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729523C9-0389-4FF2-9B27-BDE335538D5B}" xr6:coauthVersionLast="47" xr6:coauthVersionMax="47" xr10:uidLastSave="{00000000-0000-0000-0000-000000000000}"/>
  <bookViews>
    <workbookView xWindow="-108" yWindow="-108" windowWidth="23256" windowHeight="13896" firstSheet="2" activeTab="7" xr2:uid="{00000000-000D-0000-FFFF-FFFF00000000}"/>
  </bookViews>
  <sheets>
    <sheet name="00_Resumen" sheetId="2" r:id="rId1"/>
    <sheet name="M1_Administrativo" sheetId="3" r:id="rId2"/>
    <sheet name="M2_Accesos" sheetId="4" r:id="rId3"/>
    <sheet name="M3_Silleteria" sheetId="5" r:id="rId4"/>
    <sheet name="M4_Sectores" sheetId="6" r:id="rId5"/>
    <sheet name="M5_Ocupacion" sheetId="7" r:id="rId6"/>
    <sheet name="M6_Puntos_Control" sheetId="8" r:id="rId7"/>
    <sheet name="00_Instructivo" sheetId="1" r:id="rId8"/>
  </sheets>
  <definedNames>
    <definedName name="_xlnm._FilterDatabase" localSheetId="0" hidden="1">'00_Resumen'!$A$4:$Q$1204</definedName>
    <definedName name="_xlnm.Print_Area" localSheetId="0">'00_Resumen'!$A$1:$Q$1204</definedName>
  </definedNames>
  <calcPr calcId="0"/>
  <extLst>
    <ext uri="GoogleSheetsCustomDataVersion2">
      <go:sheetsCustomData xmlns:go="http://customooxmlschemas.google.com/" r:id="rId12" roundtripDataChecksum="TugY2obRkD2FvRrYfEDbbwOqbDozbjh6bKI80lXmrZQ="/>
    </ext>
  </extLst>
</workbook>
</file>

<file path=xl/calcChain.xml><?xml version="1.0" encoding="utf-8"?>
<calcChain xmlns="http://schemas.openxmlformats.org/spreadsheetml/2006/main">
  <c r="M208" i="8" l="1"/>
  <c r="M207" i="8"/>
  <c r="M206" i="8"/>
  <c r="M205" i="8"/>
  <c r="M204" i="8"/>
  <c r="M203" i="8"/>
  <c r="M202" i="8"/>
  <c r="M201" i="8"/>
  <c r="M200" i="8"/>
  <c r="M199" i="8"/>
  <c r="M198" i="8"/>
  <c r="M197" i="8"/>
  <c r="M196" i="8"/>
  <c r="M195" i="8"/>
  <c r="M194" i="8"/>
  <c r="M193" i="8"/>
  <c r="M192" i="8"/>
  <c r="M191" i="8"/>
  <c r="M190" i="8"/>
  <c r="M189" i="8"/>
  <c r="M188" i="8"/>
  <c r="M187" i="8"/>
  <c r="M186" i="8"/>
  <c r="M185" i="8"/>
  <c r="M184" i="8"/>
  <c r="M183" i="8"/>
  <c r="M182" i="8"/>
  <c r="M181" i="8"/>
  <c r="M180" i="8"/>
  <c r="M179" i="8"/>
  <c r="M178" i="8"/>
  <c r="M177" i="8"/>
  <c r="M176" i="8"/>
  <c r="M175" i="8"/>
  <c r="M174" i="8"/>
  <c r="M173" i="8"/>
  <c r="M172" i="8"/>
  <c r="M171" i="8"/>
  <c r="M170" i="8"/>
  <c r="M169" i="8"/>
  <c r="M168" i="8"/>
  <c r="M167" i="8"/>
  <c r="M166" i="8"/>
  <c r="M165" i="8"/>
  <c r="M164" i="8"/>
  <c r="M163" i="8"/>
  <c r="M162" i="8"/>
  <c r="M161" i="8"/>
  <c r="M160" i="8"/>
  <c r="M159" i="8"/>
  <c r="M158" i="8"/>
  <c r="M157" i="8"/>
  <c r="M156" i="8"/>
  <c r="M155" i="8"/>
  <c r="M154" i="8"/>
  <c r="M153" i="8"/>
  <c r="M152" i="8"/>
  <c r="M151" i="8"/>
  <c r="M150" i="8"/>
  <c r="M149" i="8"/>
  <c r="M148" i="8"/>
  <c r="M147" i="8"/>
  <c r="M146" i="8"/>
  <c r="M145" i="8"/>
  <c r="M144" i="8"/>
  <c r="M143" i="8"/>
  <c r="M142" i="8"/>
  <c r="M141" i="8"/>
  <c r="M140" i="8"/>
  <c r="M139" i="8"/>
  <c r="M138" i="8"/>
  <c r="M137" i="8"/>
  <c r="M136" i="8"/>
  <c r="M135" i="8"/>
  <c r="M134" i="8"/>
  <c r="M133" i="8"/>
  <c r="M132" i="8"/>
  <c r="M131" i="8"/>
  <c r="M130" i="8"/>
  <c r="M129" i="8"/>
  <c r="M128" i="8"/>
  <c r="M127" i="8"/>
  <c r="M126" i="8"/>
  <c r="M125" i="8"/>
  <c r="M124" i="8"/>
  <c r="M123" i="8"/>
  <c r="M122" i="8"/>
  <c r="M121" i="8"/>
  <c r="M120" i="8"/>
  <c r="M119" i="8"/>
  <c r="M118" i="8"/>
  <c r="M117" i="8"/>
  <c r="M116" i="8"/>
  <c r="M115" i="8"/>
  <c r="M114" i="8"/>
  <c r="M113" i="8"/>
  <c r="M112" i="8"/>
  <c r="M111" i="8"/>
  <c r="M110" i="8"/>
  <c r="M109" i="8"/>
  <c r="M108" i="8"/>
  <c r="M107" i="8"/>
  <c r="M106" i="8"/>
  <c r="M105" i="8"/>
  <c r="M104" i="8"/>
  <c r="M103" i="8"/>
  <c r="M102" i="8"/>
  <c r="M101" i="8"/>
  <c r="M100" i="8"/>
  <c r="M99" i="8"/>
  <c r="M98" i="8"/>
  <c r="M97" i="8"/>
  <c r="M96" i="8"/>
  <c r="M95" i="8"/>
  <c r="M94" i="8"/>
  <c r="M93" i="8"/>
  <c r="M92" i="8"/>
  <c r="M91" i="8"/>
  <c r="M90" i="8"/>
  <c r="M89" i="8"/>
  <c r="M88" i="8"/>
  <c r="M87" i="8"/>
  <c r="M86" i="8"/>
  <c r="M85" i="8"/>
  <c r="M84" i="8"/>
  <c r="M83" i="8"/>
  <c r="M82" i="8"/>
  <c r="M81" i="8"/>
  <c r="M80" i="8"/>
  <c r="M79" i="8"/>
  <c r="M78" i="8"/>
  <c r="M77" i="8"/>
  <c r="M76" i="8"/>
  <c r="M75" i="8"/>
  <c r="M74" i="8"/>
  <c r="M73" i="8"/>
  <c r="M72" i="8"/>
  <c r="M71" i="8"/>
  <c r="M70" i="8"/>
  <c r="M69" i="8"/>
  <c r="M68" i="8"/>
  <c r="M67" i="8"/>
  <c r="M66" i="8"/>
  <c r="M65" i="8"/>
  <c r="M64" i="8"/>
  <c r="M63" i="8"/>
  <c r="M62" i="8"/>
  <c r="M61" i="8"/>
  <c r="M60" i="8"/>
  <c r="M59" i="8"/>
  <c r="M58" i="8"/>
  <c r="M57" i="8"/>
  <c r="M56" i="8"/>
  <c r="M55" i="8"/>
  <c r="M54" i="8"/>
  <c r="M53" i="8"/>
  <c r="M52" i="8"/>
  <c r="M51" i="8"/>
  <c r="M50" i="8"/>
  <c r="M49" i="8"/>
  <c r="M48" i="8"/>
  <c r="M47" i="8"/>
  <c r="M46" i="8"/>
  <c r="M45" i="8"/>
  <c r="M44" i="8"/>
  <c r="M43" i="8"/>
  <c r="M42" i="8"/>
  <c r="M41" i="8"/>
  <c r="M40" i="8"/>
  <c r="M39" i="8"/>
  <c r="M38" i="8"/>
  <c r="M37" i="8"/>
  <c r="M36" i="8"/>
  <c r="M35" i="8"/>
  <c r="M34" i="8"/>
  <c r="M33" i="8"/>
  <c r="M32" i="8"/>
  <c r="M31" i="8"/>
  <c r="M30" i="8"/>
  <c r="M29" i="8"/>
  <c r="M28" i="8"/>
  <c r="M27" i="8"/>
  <c r="M26" i="8"/>
  <c r="M25" i="8"/>
  <c r="M24" i="8"/>
  <c r="M23" i="8"/>
  <c r="M22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M209" i="7"/>
  <c r="M208" i="7"/>
  <c r="M207" i="7"/>
  <c r="M206" i="7"/>
  <c r="M205" i="7"/>
  <c r="M204" i="7"/>
  <c r="M203" i="7"/>
  <c r="M202" i="7"/>
  <c r="M201" i="7"/>
  <c r="M200" i="7"/>
  <c r="M199" i="7"/>
  <c r="M198" i="7"/>
  <c r="M197" i="7"/>
  <c r="M196" i="7"/>
  <c r="M195" i="7"/>
  <c r="M194" i="7"/>
  <c r="M193" i="7"/>
  <c r="M192" i="7"/>
  <c r="M191" i="7"/>
  <c r="M190" i="7"/>
  <c r="M189" i="7"/>
  <c r="M188" i="7"/>
  <c r="M187" i="7"/>
  <c r="M186" i="7"/>
  <c r="M185" i="7"/>
  <c r="M184" i="7"/>
  <c r="M183" i="7"/>
  <c r="M182" i="7"/>
  <c r="M181" i="7"/>
  <c r="M180" i="7"/>
  <c r="M179" i="7"/>
  <c r="M178" i="7"/>
  <c r="M177" i="7"/>
  <c r="M176" i="7"/>
  <c r="M175" i="7"/>
  <c r="M174" i="7"/>
  <c r="M173" i="7"/>
  <c r="M172" i="7"/>
  <c r="M171" i="7"/>
  <c r="M170" i="7"/>
  <c r="M169" i="7"/>
  <c r="M168" i="7"/>
  <c r="M167" i="7"/>
  <c r="M166" i="7"/>
  <c r="M165" i="7"/>
  <c r="M164" i="7"/>
  <c r="M163" i="7"/>
  <c r="M162" i="7"/>
  <c r="M161" i="7"/>
  <c r="M160" i="7"/>
  <c r="M159" i="7"/>
  <c r="M158" i="7"/>
  <c r="M157" i="7"/>
  <c r="M156" i="7"/>
  <c r="M155" i="7"/>
  <c r="M154" i="7"/>
  <c r="M153" i="7"/>
  <c r="M152" i="7"/>
  <c r="M151" i="7"/>
  <c r="M150" i="7"/>
  <c r="M149" i="7"/>
  <c r="M148" i="7"/>
  <c r="M147" i="7"/>
  <c r="M146" i="7"/>
  <c r="M145" i="7"/>
  <c r="M144" i="7"/>
  <c r="M143" i="7"/>
  <c r="M142" i="7"/>
  <c r="M141" i="7"/>
  <c r="M140" i="7"/>
  <c r="M139" i="7"/>
  <c r="M138" i="7"/>
  <c r="M137" i="7"/>
  <c r="M136" i="7"/>
  <c r="M135" i="7"/>
  <c r="M134" i="7"/>
  <c r="M133" i="7"/>
  <c r="M132" i="7"/>
  <c r="M131" i="7"/>
  <c r="M130" i="7"/>
  <c r="M129" i="7"/>
  <c r="M128" i="7"/>
  <c r="M127" i="7"/>
  <c r="M126" i="7"/>
  <c r="M125" i="7"/>
  <c r="M124" i="7"/>
  <c r="M123" i="7"/>
  <c r="M122" i="7"/>
  <c r="M121" i="7"/>
  <c r="M120" i="7"/>
  <c r="M119" i="7"/>
  <c r="M118" i="7"/>
  <c r="M117" i="7"/>
  <c r="M116" i="7"/>
  <c r="M115" i="7"/>
  <c r="M114" i="7"/>
  <c r="M113" i="7"/>
  <c r="M112" i="7"/>
  <c r="M111" i="7"/>
  <c r="M110" i="7"/>
  <c r="M109" i="7"/>
  <c r="M108" i="7"/>
  <c r="M107" i="7"/>
  <c r="M106" i="7"/>
  <c r="M105" i="7"/>
  <c r="M104" i="7"/>
  <c r="M103" i="7"/>
  <c r="M102" i="7"/>
  <c r="M101" i="7"/>
  <c r="M100" i="7"/>
  <c r="M99" i="7"/>
  <c r="M98" i="7"/>
  <c r="M97" i="7"/>
  <c r="M96" i="7"/>
  <c r="M95" i="7"/>
  <c r="M94" i="7"/>
  <c r="M93" i="7"/>
  <c r="M92" i="7"/>
  <c r="M91" i="7"/>
  <c r="M90" i="7"/>
  <c r="M89" i="7"/>
  <c r="M88" i="7"/>
  <c r="M87" i="7"/>
  <c r="M86" i="7"/>
  <c r="M85" i="7"/>
  <c r="M84" i="7"/>
  <c r="M83" i="7"/>
  <c r="M82" i="7"/>
  <c r="M81" i="7"/>
  <c r="M80" i="7"/>
  <c r="M79" i="7"/>
  <c r="M78" i="7"/>
  <c r="M77" i="7"/>
  <c r="M76" i="7"/>
  <c r="M75" i="7"/>
  <c r="M74" i="7"/>
  <c r="M73" i="7"/>
  <c r="M72" i="7"/>
  <c r="M71" i="7"/>
  <c r="M70" i="7"/>
  <c r="M69" i="7"/>
  <c r="M68" i="7"/>
  <c r="M67" i="7"/>
  <c r="M66" i="7"/>
  <c r="M65" i="7"/>
  <c r="M64" i="7"/>
  <c r="M63" i="7"/>
  <c r="M62" i="7"/>
  <c r="M61" i="7"/>
  <c r="M60" i="7"/>
  <c r="M59" i="7"/>
  <c r="M58" i="7"/>
  <c r="M57" i="7"/>
  <c r="M56" i="7"/>
  <c r="M55" i="7"/>
  <c r="M54" i="7"/>
  <c r="M53" i="7"/>
  <c r="M52" i="7"/>
  <c r="M51" i="7"/>
  <c r="M50" i="7"/>
  <c r="M49" i="7"/>
  <c r="M48" i="7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9" i="7"/>
  <c r="M28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L208" i="6"/>
  <c r="L207" i="6"/>
  <c r="L206" i="6"/>
  <c r="L205" i="6"/>
  <c r="L204" i="6"/>
  <c r="L203" i="6"/>
  <c r="L202" i="6"/>
  <c r="L201" i="6"/>
  <c r="L200" i="6"/>
  <c r="L199" i="6"/>
  <c r="L198" i="6"/>
  <c r="L197" i="6"/>
  <c r="L196" i="6"/>
  <c r="L195" i="6"/>
  <c r="L194" i="6"/>
  <c r="L193" i="6"/>
  <c r="L192" i="6"/>
  <c r="L191" i="6"/>
  <c r="L190" i="6"/>
  <c r="L189" i="6"/>
  <c r="L188" i="6"/>
  <c r="L187" i="6"/>
  <c r="L186" i="6"/>
  <c r="L185" i="6"/>
  <c r="L184" i="6"/>
  <c r="L183" i="6"/>
  <c r="L182" i="6"/>
  <c r="L181" i="6"/>
  <c r="L180" i="6"/>
  <c r="L179" i="6"/>
  <c r="L178" i="6"/>
  <c r="L177" i="6"/>
  <c r="L176" i="6"/>
  <c r="L175" i="6"/>
  <c r="L174" i="6"/>
  <c r="L173" i="6"/>
  <c r="L172" i="6"/>
  <c r="L171" i="6"/>
  <c r="L170" i="6"/>
  <c r="L169" i="6"/>
  <c r="L168" i="6"/>
  <c r="L167" i="6"/>
  <c r="L166" i="6"/>
  <c r="L165" i="6"/>
  <c r="L164" i="6"/>
  <c r="L163" i="6"/>
  <c r="L162" i="6"/>
  <c r="L161" i="6"/>
  <c r="L160" i="6"/>
  <c r="L159" i="6"/>
  <c r="L158" i="6"/>
  <c r="L157" i="6"/>
  <c r="L156" i="6"/>
  <c r="L155" i="6"/>
  <c r="L154" i="6"/>
  <c r="L153" i="6"/>
  <c r="L152" i="6"/>
  <c r="L151" i="6"/>
  <c r="L150" i="6"/>
  <c r="L149" i="6"/>
  <c r="L148" i="6"/>
  <c r="L147" i="6"/>
  <c r="L146" i="6"/>
  <c r="L145" i="6"/>
  <c r="L144" i="6"/>
  <c r="L143" i="6"/>
  <c r="L142" i="6"/>
  <c r="L141" i="6"/>
  <c r="L140" i="6"/>
  <c r="L139" i="6"/>
  <c r="L138" i="6"/>
  <c r="L137" i="6"/>
  <c r="L136" i="6"/>
  <c r="L135" i="6"/>
  <c r="L134" i="6"/>
  <c r="L133" i="6"/>
  <c r="L132" i="6"/>
  <c r="L131" i="6"/>
  <c r="L130" i="6"/>
  <c r="L129" i="6"/>
  <c r="L128" i="6"/>
  <c r="L127" i="6"/>
  <c r="L126" i="6"/>
  <c r="L125" i="6"/>
  <c r="L124" i="6"/>
  <c r="L123" i="6"/>
  <c r="L122" i="6"/>
  <c r="L121" i="6"/>
  <c r="L120" i="6"/>
  <c r="L119" i="6"/>
  <c r="L118" i="6"/>
  <c r="L117" i="6"/>
  <c r="L116" i="6"/>
  <c r="L115" i="6"/>
  <c r="L114" i="6"/>
  <c r="L113" i="6"/>
  <c r="L112" i="6"/>
  <c r="L111" i="6"/>
  <c r="L110" i="6"/>
  <c r="L109" i="6"/>
  <c r="L108" i="6"/>
  <c r="L107" i="6"/>
  <c r="L106" i="6"/>
  <c r="L105" i="6"/>
  <c r="L104" i="6"/>
  <c r="L103" i="6"/>
  <c r="L102" i="6"/>
  <c r="L101" i="6"/>
  <c r="L100" i="6"/>
  <c r="L99" i="6"/>
  <c r="L98" i="6"/>
  <c r="L97" i="6"/>
  <c r="L96" i="6"/>
  <c r="L95" i="6"/>
  <c r="L94" i="6"/>
  <c r="L93" i="6"/>
  <c r="L92" i="6"/>
  <c r="L91" i="6"/>
  <c r="L90" i="6"/>
  <c r="L89" i="6"/>
  <c r="L88" i="6"/>
  <c r="L87" i="6"/>
  <c r="L86" i="6"/>
  <c r="L85" i="6"/>
  <c r="L84" i="6"/>
  <c r="L83" i="6"/>
  <c r="L82" i="6"/>
  <c r="L81" i="6"/>
  <c r="L80" i="6"/>
  <c r="L79" i="6"/>
  <c r="L78" i="6"/>
  <c r="L77" i="6"/>
  <c r="L76" i="6"/>
  <c r="L75" i="6"/>
  <c r="L74" i="6"/>
  <c r="L73" i="6"/>
  <c r="L72" i="6"/>
  <c r="L71" i="6"/>
  <c r="L70" i="6"/>
  <c r="L69" i="6"/>
  <c r="L68" i="6"/>
  <c r="L67" i="6"/>
  <c r="L66" i="6"/>
  <c r="L65" i="6"/>
  <c r="L64" i="6"/>
  <c r="L63" i="6"/>
  <c r="L62" i="6"/>
  <c r="L61" i="6"/>
  <c r="L60" i="6"/>
  <c r="L59" i="6"/>
  <c r="L58" i="6"/>
  <c r="L57" i="6"/>
  <c r="L56" i="6"/>
  <c r="L55" i="6"/>
  <c r="L54" i="6"/>
  <c r="L53" i="6"/>
  <c r="L52" i="6"/>
  <c r="L51" i="6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208" i="5"/>
  <c r="L207" i="5"/>
  <c r="L206" i="5"/>
  <c r="L205" i="5"/>
  <c r="L204" i="5"/>
  <c r="L203" i="5"/>
  <c r="L202" i="5"/>
  <c r="L201" i="5"/>
  <c r="L200" i="5"/>
  <c r="L199" i="5"/>
  <c r="L198" i="5"/>
  <c r="L197" i="5"/>
  <c r="L196" i="5"/>
  <c r="L195" i="5"/>
  <c r="L194" i="5"/>
  <c r="L193" i="5"/>
  <c r="L192" i="5"/>
  <c r="L191" i="5"/>
  <c r="L190" i="5"/>
  <c r="L189" i="5"/>
  <c r="L188" i="5"/>
  <c r="L187" i="5"/>
  <c r="L186" i="5"/>
  <c r="L185" i="5"/>
  <c r="L184" i="5"/>
  <c r="L183" i="5"/>
  <c r="L182" i="5"/>
  <c r="L181" i="5"/>
  <c r="L180" i="5"/>
  <c r="L179" i="5"/>
  <c r="L178" i="5"/>
  <c r="L177" i="5"/>
  <c r="L176" i="5"/>
  <c r="L175" i="5"/>
  <c r="L174" i="5"/>
  <c r="L173" i="5"/>
  <c r="L172" i="5"/>
  <c r="L171" i="5"/>
  <c r="L170" i="5"/>
  <c r="L169" i="5"/>
  <c r="L168" i="5"/>
  <c r="L167" i="5"/>
  <c r="L166" i="5"/>
  <c r="L165" i="5"/>
  <c r="L164" i="5"/>
  <c r="L163" i="5"/>
  <c r="L162" i="5"/>
  <c r="L161" i="5"/>
  <c r="L160" i="5"/>
  <c r="L159" i="5"/>
  <c r="L158" i="5"/>
  <c r="L157" i="5"/>
  <c r="L156" i="5"/>
  <c r="L155" i="5"/>
  <c r="L154" i="5"/>
  <c r="L153" i="5"/>
  <c r="L152" i="5"/>
  <c r="L151" i="5"/>
  <c r="L150" i="5"/>
  <c r="L149" i="5"/>
  <c r="L148" i="5"/>
  <c r="L147" i="5"/>
  <c r="L146" i="5"/>
  <c r="L145" i="5"/>
  <c r="L144" i="5"/>
  <c r="L143" i="5"/>
  <c r="L142" i="5"/>
  <c r="L141" i="5"/>
  <c r="L140" i="5"/>
  <c r="L139" i="5"/>
  <c r="L138" i="5"/>
  <c r="L137" i="5"/>
  <c r="L136" i="5"/>
  <c r="L135" i="5"/>
  <c r="L134" i="5"/>
  <c r="L133" i="5"/>
  <c r="L132" i="5"/>
  <c r="L131" i="5"/>
  <c r="L130" i="5"/>
  <c r="L129" i="5"/>
  <c r="L128" i="5"/>
  <c r="L127" i="5"/>
  <c r="L126" i="5"/>
  <c r="L125" i="5"/>
  <c r="L124" i="5"/>
  <c r="L123" i="5"/>
  <c r="L122" i="5"/>
  <c r="L121" i="5"/>
  <c r="L120" i="5"/>
  <c r="L119" i="5"/>
  <c r="L118" i="5"/>
  <c r="L117" i="5"/>
  <c r="L116" i="5"/>
  <c r="L115" i="5"/>
  <c r="L114" i="5"/>
  <c r="L113" i="5"/>
  <c r="L112" i="5"/>
  <c r="L111" i="5"/>
  <c r="L110" i="5"/>
  <c r="L109" i="5"/>
  <c r="L108" i="5"/>
  <c r="L107" i="5"/>
  <c r="L106" i="5"/>
  <c r="L105" i="5"/>
  <c r="L104" i="5"/>
  <c r="L103" i="5"/>
  <c r="L102" i="5"/>
  <c r="L101" i="5"/>
  <c r="L100" i="5"/>
  <c r="L99" i="5"/>
  <c r="L98" i="5"/>
  <c r="L97" i="5"/>
  <c r="L96" i="5"/>
  <c r="L95" i="5"/>
  <c r="L94" i="5"/>
  <c r="L93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4" i="5"/>
  <c r="L73" i="5"/>
  <c r="L72" i="5"/>
  <c r="L71" i="5"/>
  <c r="L70" i="5"/>
  <c r="L69" i="5"/>
  <c r="L68" i="5"/>
  <c r="L67" i="5"/>
  <c r="L66" i="5"/>
  <c r="L65" i="5"/>
  <c r="L64" i="5"/>
  <c r="L63" i="5"/>
  <c r="L62" i="5"/>
  <c r="L61" i="5"/>
  <c r="L60" i="5"/>
  <c r="L59" i="5"/>
  <c r="L58" i="5"/>
  <c r="L57" i="5"/>
  <c r="L56" i="5"/>
  <c r="L55" i="5"/>
  <c r="L54" i="5"/>
  <c r="L53" i="5"/>
  <c r="L52" i="5"/>
  <c r="L51" i="5"/>
  <c r="L50" i="5"/>
  <c r="L49" i="5"/>
  <c r="L48" i="5"/>
  <c r="L47" i="5"/>
  <c r="L46" i="5"/>
  <c r="L45" i="5"/>
  <c r="L44" i="5"/>
  <c r="L43" i="5"/>
  <c r="L42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M208" i="4"/>
  <c r="M207" i="4"/>
  <c r="M206" i="4"/>
  <c r="M205" i="4"/>
  <c r="M204" i="4"/>
  <c r="M203" i="4"/>
  <c r="M202" i="4"/>
  <c r="M201" i="4"/>
  <c r="M200" i="4"/>
  <c r="M199" i="4"/>
  <c r="M198" i="4"/>
  <c r="M197" i="4"/>
  <c r="M196" i="4"/>
  <c r="M195" i="4"/>
  <c r="M194" i="4"/>
  <c r="M193" i="4"/>
  <c r="M192" i="4"/>
  <c r="M191" i="4"/>
  <c r="M190" i="4"/>
  <c r="M189" i="4"/>
  <c r="M188" i="4"/>
  <c r="M187" i="4"/>
  <c r="M186" i="4"/>
  <c r="M185" i="4"/>
  <c r="M184" i="4"/>
  <c r="M183" i="4"/>
  <c r="M182" i="4"/>
  <c r="M181" i="4"/>
  <c r="M180" i="4"/>
  <c r="M179" i="4"/>
  <c r="M178" i="4"/>
  <c r="M177" i="4"/>
  <c r="M176" i="4"/>
  <c r="M175" i="4"/>
  <c r="M174" i="4"/>
  <c r="M173" i="4"/>
  <c r="M172" i="4"/>
  <c r="M171" i="4"/>
  <c r="M170" i="4"/>
  <c r="M169" i="4"/>
  <c r="M168" i="4"/>
  <c r="M167" i="4"/>
  <c r="M166" i="4"/>
  <c r="M165" i="4"/>
  <c r="M164" i="4"/>
  <c r="M163" i="4"/>
  <c r="M162" i="4"/>
  <c r="M161" i="4"/>
  <c r="M160" i="4"/>
  <c r="M159" i="4"/>
  <c r="M158" i="4"/>
  <c r="M157" i="4"/>
  <c r="M156" i="4"/>
  <c r="M155" i="4"/>
  <c r="M154" i="4"/>
  <c r="M153" i="4"/>
  <c r="M152" i="4"/>
  <c r="M151" i="4"/>
  <c r="M150" i="4"/>
  <c r="M149" i="4"/>
  <c r="M148" i="4"/>
  <c r="M147" i="4"/>
  <c r="M146" i="4"/>
  <c r="M145" i="4"/>
  <c r="M144" i="4"/>
  <c r="M143" i="4"/>
  <c r="M142" i="4"/>
  <c r="M141" i="4"/>
  <c r="M140" i="4"/>
  <c r="M139" i="4"/>
  <c r="M138" i="4"/>
  <c r="M137" i="4"/>
  <c r="M136" i="4"/>
  <c r="M135" i="4"/>
  <c r="M134" i="4"/>
  <c r="M133" i="4"/>
  <c r="M132" i="4"/>
  <c r="M131" i="4"/>
  <c r="M130" i="4"/>
  <c r="M129" i="4"/>
  <c r="M128" i="4"/>
  <c r="M127" i="4"/>
  <c r="M126" i="4"/>
  <c r="M125" i="4"/>
  <c r="M124" i="4"/>
  <c r="M123" i="4"/>
  <c r="M122" i="4"/>
  <c r="M121" i="4"/>
  <c r="M120" i="4"/>
  <c r="M119" i="4"/>
  <c r="M118" i="4"/>
  <c r="M117" i="4"/>
  <c r="M116" i="4"/>
  <c r="M115" i="4"/>
  <c r="M114" i="4"/>
  <c r="M113" i="4"/>
  <c r="M112" i="4"/>
  <c r="M111" i="4"/>
  <c r="M110" i="4"/>
  <c r="M109" i="4"/>
  <c r="M108" i="4"/>
  <c r="M107" i="4"/>
  <c r="M106" i="4"/>
  <c r="M105" i="4"/>
  <c r="M104" i="4"/>
  <c r="M103" i="4"/>
  <c r="M102" i="4"/>
  <c r="M101" i="4"/>
  <c r="M100" i="4"/>
  <c r="M99" i="4"/>
  <c r="M98" i="4"/>
  <c r="M97" i="4"/>
  <c r="M96" i="4"/>
  <c r="M95" i="4"/>
  <c r="M94" i="4"/>
  <c r="M93" i="4"/>
  <c r="M92" i="4"/>
  <c r="M91" i="4"/>
  <c r="M90" i="4"/>
  <c r="M89" i="4"/>
  <c r="M88" i="4"/>
  <c r="M87" i="4"/>
  <c r="M86" i="4"/>
  <c r="M85" i="4"/>
  <c r="M84" i="4"/>
  <c r="M83" i="4"/>
  <c r="M82" i="4"/>
  <c r="M81" i="4"/>
  <c r="M80" i="4"/>
  <c r="M79" i="4"/>
  <c r="M78" i="4"/>
  <c r="M77" i="4"/>
  <c r="M76" i="4"/>
  <c r="M75" i="4"/>
  <c r="M74" i="4"/>
  <c r="M73" i="4"/>
  <c r="M72" i="4"/>
  <c r="M71" i="4"/>
  <c r="M70" i="4"/>
  <c r="M69" i="4"/>
  <c r="M68" i="4"/>
  <c r="M67" i="4"/>
  <c r="M66" i="4"/>
  <c r="M65" i="4"/>
  <c r="M64" i="4"/>
  <c r="M63" i="4"/>
  <c r="M62" i="4"/>
  <c r="M61" i="4"/>
  <c r="M60" i="4"/>
  <c r="M59" i="4"/>
  <c r="M58" i="4"/>
  <c r="M57" i="4"/>
  <c r="M56" i="4"/>
  <c r="M55" i="4"/>
  <c r="M54" i="4"/>
  <c r="M53" i="4"/>
  <c r="M52" i="4"/>
  <c r="M51" i="4"/>
  <c r="M50" i="4"/>
  <c r="M49" i="4"/>
  <c r="M48" i="4"/>
  <c r="M47" i="4"/>
  <c r="M46" i="4"/>
  <c r="M45" i="4"/>
  <c r="M44" i="4"/>
  <c r="M43" i="4"/>
  <c r="M42" i="4"/>
  <c r="M41" i="4"/>
  <c r="M40" i="4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AJ1204" i="2"/>
  <c r="AI1204" i="2"/>
  <c r="AH1204" i="2"/>
  <c r="AG1204" i="2"/>
  <c r="AF1204" i="2"/>
  <c r="AE1204" i="2"/>
  <c r="AD1204" i="2"/>
  <c r="AC1204" i="2"/>
  <c r="AB1204" i="2"/>
  <c r="AA1204" i="2"/>
  <c r="Z1204" i="2"/>
  <c r="Y1204" i="2"/>
  <c r="X1204" i="2"/>
  <c r="W1204" i="2"/>
  <c r="V1204" i="2"/>
  <c r="U1204" i="2"/>
  <c r="T1204" i="2"/>
  <c r="AJ1203" i="2"/>
  <c r="AI1203" i="2"/>
  <c r="AH1203" i="2"/>
  <c r="AG1203" i="2"/>
  <c r="AF1203" i="2"/>
  <c r="AE1203" i="2"/>
  <c r="AD1203" i="2"/>
  <c r="AC1203" i="2"/>
  <c r="AB1203" i="2"/>
  <c r="AA1203" i="2"/>
  <c r="Z1203" i="2"/>
  <c r="Y1203" i="2"/>
  <c r="X1203" i="2"/>
  <c r="W1203" i="2"/>
  <c r="V1203" i="2"/>
  <c r="U1203" i="2"/>
  <c r="T1203" i="2"/>
  <c r="AJ1202" i="2"/>
  <c r="AI1202" i="2"/>
  <c r="AH1202" i="2"/>
  <c r="AG1202" i="2"/>
  <c r="AF1202" i="2"/>
  <c r="AE1202" i="2"/>
  <c r="AD1202" i="2"/>
  <c r="AC1202" i="2"/>
  <c r="AB1202" i="2"/>
  <c r="AA1202" i="2"/>
  <c r="Z1202" i="2"/>
  <c r="Y1202" i="2"/>
  <c r="X1202" i="2"/>
  <c r="W1202" i="2"/>
  <c r="V1202" i="2"/>
  <c r="U1202" i="2"/>
  <c r="T1202" i="2"/>
  <c r="AJ1201" i="2"/>
  <c r="AI1201" i="2"/>
  <c r="AH1201" i="2"/>
  <c r="AG1201" i="2"/>
  <c r="AF1201" i="2"/>
  <c r="AE1201" i="2"/>
  <c r="AD1201" i="2"/>
  <c r="AC1201" i="2"/>
  <c r="AB1201" i="2"/>
  <c r="AA1201" i="2"/>
  <c r="Z1201" i="2"/>
  <c r="Y1201" i="2"/>
  <c r="X1201" i="2"/>
  <c r="W1201" i="2"/>
  <c r="V1201" i="2"/>
  <c r="U1201" i="2"/>
  <c r="T1201" i="2"/>
  <c r="AJ1200" i="2"/>
  <c r="AI1200" i="2"/>
  <c r="AH1200" i="2"/>
  <c r="AG1200" i="2"/>
  <c r="AF1200" i="2"/>
  <c r="AE1200" i="2"/>
  <c r="AD1200" i="2"/>
  <c r="AC1200" i="2"/>
  <c r="AB1200" i="2"/>
  <c r="AA1200" i="2"/>
  <c r="Z1200" i="2"/>
  <c r="Y1200" i="2"/>
  <c r="X1200" i="2"/>
  <c r="W1200" i="2"/>
  <c r="V1200" i="2"/>
  <c r="U1200" i="2"/>
  <c r="T1200" i="2"/>
  <c r="AJ1199" i="2"/>
  <c r="AI1199" i="2"/>
  <c r="AH1199" i="2"/>
  <c r="AG1199" i="2"/>
  <c r="AF1199" i="2"/>
  <c r="AE1199" i="2"/>
  <c r="AD1199" i="2"/>
  <c r="AC1199" i="2"/>
  <c r="AB1199" i="2"/>
  <c r="AA1199" i="2"/>
  <c r="Z1199" i="2"/>
  <c r="Y1199" i="2"/>
  <c r="X1199" i="2"/>
  <c r="W1199" i="2"/>
  <c r="V1199" i="2"/>
  <c r="U1199" i="2"/>
  <c r="T1199" i="2"/>
  <c r="AJ1198" i="2"/>
  <c r="AI1198" i="2"/>
  <c r="AH1198" i="2"/>
  <c r="AG1198" i="2"/>
  <c r="AF1198" i="2"/>
  <c r="AE1198" i="2"/>
  <c r="AD1198" i="2"/>
  <c r="AC1198" i="2"/>
  <c r="AB1198" i="2"/>
  <c r="AA1198" i="2"/>
  <c r="Z1198" i="2"/>
  <c r="Y1198" i="2"/>
  <c r="X1198" i="2"/>
  <c r="W1198" i="2"/>
  <c r="V1198" i="2"/>
  <c r="U1198" i="2"/>
  <c r="T1198" i="2"/>
  <c r="AJ1197" i="2"/>
  <c r="AI1197" i="2"/>
  <c r="AH1197" i="2"/>
  <c r="AG1197" i="2"/>
  <c r="AF1197" i="2"/>
  <c r="AE1197" i="2"/>
  <c r="AD1197" i="2"/>
  <c r="AC1197" i="2"/>
  <c r="AB1197" i="2"/>
  <c r="AA1197" i="2"/>
  <c r="Z1197" i="2"/>
  <c r="Y1197" i="2"/>
  <c r="X1197" i="2"/>
  <c r="W1197" i="2"/>
  <c r="V1197" i="2"/>
  <c r="U1197" i="2"/>
  <c r="T1197" i="2"/>
  <c r="AJ1196" i="2"/>
  <c r="AI1196" i="2"/>
  <c r="AH1196" i="2"/>
  <c r="AG1196" i="2"/>
  <c r="AF1196" i="2"/>
  <c r="AE1196" i="2"/>
  <c r="AD1196" i="2"/>
  <c r="AC1196" i="2"/>
  <c r="AB1196" i="2"/>
  <c r="AA1196" i="2"/>
  <c r="Z1196" i="2"/>
  <c r="Y1196" i="2"/>
  <c r="X1196" i="2"/>
  <c r="W1196" i="2"/>
  <c r="V1196" i="2"/>
  <c r="U1196" i="2"/>
  <c r="T1196" i="2"/>
  <c r="AJ1195" i="2"/>
  <c r="AI1195" i="2"/>
  <c r="AH1195" i="2"/>
  <c r="AG1195" i="2"/>
  <c r="AF1195" i="2"/>
  <c r="AE1195" i="2"/>
  <c r="AD1195" i="2"/>
  <c r="AC1195" i="2"/>
  <c r="AB1195" i="2"/>
  <c r="AA1195" i="2"/>
  <c r="Z1195" i="2"/>
  <c r="Y1195" i="2"/>
  <c r="X1195" i="2"/>
  <c r="W1195" i="2"/>
  <c r="V1195" i="2"/>
  <c r="U1195" i="2"/>
  <c r="T1195" i="2"/>
  <c r="AJ1194" i="2"/>
  <c r="AI1194" i="2"/>
  <c r="AH1194" i="2"/>
  <c r="AG1194" i="2"/>
  <c r="AF1194" i="2"/>
  <c r="AE1194" i="2"/>
  <c r="AD1194" i="2"/>
  <c r="AC1194" i="2"/>
  <c r="AB1194" i="2"/>
  <c r="AA1194" i="2"/>
  <c r="Z1194" i="2"/>
  <c r="Y1194" i="2"/>
  <c r="X1194" i="2"/>
  <c r="W1194" i="2"/>
  <c r="V1194" i="2"/>
  <c r="U1194" i="2"/>
  <c r="T1194" i="2"/>
  <c r="AJ1193" i="2"/>
  <c r="AI1193" i="2"/>
  <c r="AH1193" i="2"/>
  <c r="AG1193" i="2"/>
  <c r="AF1193" i="2"/>
  <c r="AE1193" i="2"/>
  <c r="AD1193" i="2"/>
  <c r="AC1193" i="2"/>
  <c r="AB1193" i="2"/>
  <c r="AA1193" i="2"/>
  <c r="Z1193" i="2"/>
  <c r="Y1193" i="2"/>
  <c r="X1193" i="2"/>
  <c r="W1193" i="2"/>
  <c r="V1193" i="2"/>
  <c r="U1193" i="2"/>
  <c r="T1193" i="2"/>
  <c r="AJ1192" i="2"/>
  <c r="AI1192" i="2"/>
  <c r="AH1192" i="2"/>
  <c r="AG1192" i="2"/>
  <c r="AF1192" i="2"/>
  <c r="AE1192" i="2"/>
  <c r="AD1192" i="2"/>
  <c r="AC1192" i="2"/>
  <c r="AB1192" i="2"/>
  <c r="AA1192" i="2"/>
  <c r="Z1192" i="2"/>
  <c r="Y1192" i="2"/>
  <c r="X1192" i="2"/>
  <c r="W1192" i="2"/>
  <c r="V1192" i="2"/>
  <c r="U1192" i="2"/>
  <c r="T1192" i="2"/>
  <c r="AJ1191" i="2"/>
  <c r="AI1191" i="2"/>
  <c r="AH1191" i="2"/>
  <c r="AG1191" i="2"/>
  <c r="AF1191" i="2"/>
  <c r="AE1191" i="2"/>
  <c r="AD1191" i="2"/>
  <c r="AC1191" i="2"/>
  <c r="AB1191" i="2"/>
  <c r="AA1191" i="2"/>
  <c r="Z1191" i="2"/>
  <c r="Y1191" i="2"/>
  <c r="X1191" i="2"/>
  <c r="W1191" i="2"/>
  <c r="V1191" i="2"/>
  <c r="U1191" i="2"/>
  <c r="T1191" i="2"/>
  <c r="AJ1190" i="2"/>
  <c r="AI1190" i="2"/>
  <c r="AH1190" i="2"/>
  <c r="AG1190" i="2"/>
  <c r="AF1190" i="2"/>
  <c r="AE1190" i="2"/>
  <c r="AD1190" i="2"/>
  <c r="AC1190" i="2"/>
  <c r="AB1190" i="2"/>
  <c r="AA1190" i="2"/>
  <c r="Z1190" i="2"/>
  <c r="Y1190" i="2"/>
  <c r="X1190" i="2"/>
  <c r="W1190" i="2"/>
  <c r="V1190" i="2"/>
  <c r="U1190" i="2"/>
  <c r="T1190" i="2"/>
  <c r="AJ1189" i="2"/>
  <c r="AI1189" i="2"/>
  <c r="AH1189" i="2"/>
  <c r="AG1189" i="2"/>
  <c r="AF1189" i="2"/>
  <c r="AE1189" i="2"/>
  <c r="AD1189" i="2"/>
  <c r="AC1189" i="2"/>
  <c r="AB1189" i="2"/>
  <c r="AA1189" i="2"/>
  <c r="Z1189" i="2"/>
  <c r="Y1189" i="2"/>
  <c r="X1189" i="2"/>
  <c r="W1189" i="2"/>
  <c r="V1189" i="2"/>
  <c r="U1189" i="2"/>
  <c r="T1189" i="2"/>
  <c r="AJ1188" i="2"/>
  <c r="AI1188" i="2"/>
  <c r="AH1188" i="2"/>
  <c r="AG1188" i="2"/>
  <c r="AF1188" i="2"/>
  <c r="AE1188" i="2"/>
  <c r="AD1188" i="2"/>
  <c r="AC1188" i="2"/>
  <c r="AB1188" i="2"/>
  <c r="AA1188" i="2"/>
  <c r="Z1188" i="2"/>
  <c r="Y1188" i="2"/>
  <c r="X1188" i="2"/>
  <c r="W1188" i="2"/>
  <c r="V1188" i="2"/>
  <c r="U1188" i="2"/>
  <c r="T1188" i="2"/>
  <c r="AJ1187" i="2"/>
  <c r="AI1187" i="2"/>
  <c r="AH1187" i="2"/>
  <c r="AG1187" i="2"/>
  <c r="AF1187" i="2"/>
  <c r="AE1187" i="2"/>
  <c r="AD1187" i="2"/>
  <c r="AC1187" i="2"/>
  <c r="AB1187" i="2"/>
  <c r="AA1187" i="2"/>
  <c r="Z1187" i="2"/>
  <c r="Y1187" i="2"/>
  <c r="X1187" i="2"/>
  <c r="W1187" i="2"/>
  <c r="V1187" i="2"/>
  <c r="U1187" i="2"/>
  <c r="T1187" i="2"/>
  <c r="AJ1186" i="2"/>
  <c r="AI1186" i="2"/>
  <c r="AH1186" i="2"/>
  <c r="AG1186" i="2"/>
  <c r="AF1186" i="2"/>
  <c r="AE1186" i="2"/>
  <c r="AD1186" i="2"/>
  <c r="AC1186" i="2"/>
  <c r="AB1186" i="2"/>
  <c r="AA1186" i="2"/>
  <c r="Z1186" i="2"/>
  <c r="Y1186" i="2"/>
  <c r="X1186" i="2"/>
  <c r="W1186" i="2"/>
  <c r="V1186" i="2"/>
  <c r="U1186" i="2"/>
  <c r="T1186" i="2"/>
  <c r="AJ1185" i="2"/>
  <c r="AI1185" i="2"/>
  <c r="AH1185" i="2"/>
  <c r="AG1185" i="2"/>
  <c r="AF1185" i="2"/>
  <c r="AE1185" i="2"/>
  <c r="AD1185" i="2"/>
  <c r="AC1185" i="2"/>
  <c r="AB1185" i="2"/>
  <c r="AA1185" i="2"/>
  <c r="Z1185" i="2"/>
  <c r="Y1185" i="2"/>
  <c r="X1185" i="2"/>
  <c r="W1185" i="2"/>
  <c r="V1185" i="2"/>
  <c r="U1185" i="2"/>
  <c r="T1185" i="2"/>
  <c r="AJ1184" i="2"/>
  <c r="AI1184" i="2"/>
  <c r="AH1184" i="2"/>
  <c r="AG1184" i="2"/>
  <c r="AF1184" i="2"/>
  <c r="AE1184" i="2"/>
  <c r="AD1184" i="2"/>
  <c r="AC1184" i="2"/>
  <c r="AB1184" i="2"/>
  <c r="AA1184" i="2"/>
  <c r="Z1184" i="2"/>
  <c r="Y1184" i="2"/>
  <c r="X1184" i="2"/>
  <c r="W1184" i="2"/>
  <c r="V1184" i="2"/>
  <c r="U1184" i="2"/>
  <c r="T1184" i="2"/>
  <c r="AJ1183" i="2"/>
  <c r="AI1183" i="2"/>
  <c r="AH1183" i="2"/>
  <c r="AG1183" i="2"/>
  <c r="AF1183" i="2"/>
  <c r="AE1183" i="2"/>
  <c r="AD1183" i="2"/>
  <c r="AC1183" i="2"/>
  <c r="AB1183" i="2"/>
  <c r="AA1183" i="2"/>
  <c r="Z1183" i="2"/>
  <c r="Y1183" i="2"/>
  <c r="X1183" i="2"/>
  <c r="W1183" i="2"/>
  <c r="V1183" i="2"/>
  <c r="U1183" i="2"/>
  <c r="T1183" i="2"/>
  <c r="AJ1182" i="2"/>
  <c r="AI1182" i="2"/>
  <c r="AH1182" i="2"/>
  <c r="AG1182" i="2"/>
  <c r="AF1182" i="2"/>
  <c r="AE1182" i="2"/>
  <c r="AD1182" i="2"/>
  <c r="AC1182" i="2"/>
  <c r="AB1182" i="2"/>
  <c r="AA1182" i="2"/>
  <c r="Z1182" i="2"/>
  <c r="Y1182" i="2"/>
  <c r="X1182" i="2"/>
  <c r="W1182" i="2"/>
  <c r="V1182" i="2"/>
  <c r="U1182" i="2"/>
  <c r="T1182" i="2"/>
  <c r="AJ1181" i="2"/>
  <c r="AI1181" i="2"/>
  <c r="AH1181" i="2"/>
  <c r="AG1181" i="2"/>
  <c r="AF1181" i="2"/>
  <c r="AE1181" i="2"/>
  <c r="AD1181" i="2"/>
  <c r="AC1181" i="2"/>
  <c r="AB1181" i="2"/>
  <c r="AA1181" i="2"/>
  <c r="Z1181" i="2"/>
  <c r="Y1181" i="2"/>
  <c r="X1181" i="2"/>
  <c r="W1181" i="2"/>
  <c r="V1181" i="2"/>
  <c r="U1181" i="2"/>
  <c r="T1181" i="2"/>
  <c r="AJ1180" i="2"/>
  <c r="AI1180" i="2"/>
  <c r="AH1180" i="2"/>
  <c r="AG1180" i="2"/>
  <c r="AF1180" i="2"/>
  <c r="AE1180" i="2"/>
  <c r="AD1180" i="2"/>
  <c r="AC1180" i="2"/>
  <c r="AB1180" i="2"/>
  <c r="AA1180" i="2"/>
  <c r="Z1180" i="2"/>
  <c r="Y1180" i="2"/>
  <c r="X1180" i="2"/>
  <c r="W1180" i="2"/>
  <c r="V1180" i="2"/>
  <c r="U1180" i="2"/>
  <c r="T1180" i="2"/>
  <c r="AJ1179" i="2"/>
  <c r="AI1179" i="2"/>
  <c r="AH1179" i="2"/>
  <c r="AG1179" i="2"/>
  <c r="AF1179" i="2"/>
  <c r="AE1179" i="2"/>
  <c r="AD1179" i="2"/>
  <c r="AC1179" i="2"/>
  <c r="AB1179" i="2"/>
  <c r="AA1179" i="2"/>
  <c r="Z1179" i="2"/>
  <c r="Y1179" i="2"/>
  <c r="X1179" i="2"/>
  <c r="W1179" i="2"/>
  <c r="V1179" i="2"/>
  <c r="U1179" i="2"/>
  <c r="T1179" i="2"/>
  <c r="AJ1178" i="2"/>
  <c r="AI1178" i="2"/>
  <c r="AH1178" i="2"/>
  <c r="AG1178" i="2"/>
  <c r="AF1178" i="2"/>
  <c r="AE1178" i="2"/>
  <c r="AD1178" i="2"/>
  <c r="AC1178" i="2"/>
  <c r="AB1178" i="2"/>
  <c r="AA1178" i="2"/>
  <c r="Z1178" i="2"/>
  <c r="Y1178" i="2"/>
  <c r="X1178" i="2"/>
  <c r="W1178" i="2"/>
  <c r="V1178" i="2"/>
  <c r="U1178" i="2"/>
  <c r="T1178" i="2"/>
  <c r="AJ1177" i="2"/>
  <c r="AI1177" i="2"/>
  <c r="AH1177" i="2"/>
  <c r="AG1177" i="2"/>
  <c r="AF1177" i="2"/>
  <c r="AE1177" i="2"/>
  <c r="AD1177" i="2"/>
  <c r="AC1177" i="2"/>
  <c r="AB1177" i="2"/>
  <c r="AA1177" i="2"/>
  <c r="Z1177" i="2"/>
  <c r="Y1177" i="2"/>
  <c r="X1177" i="2"/>
  <c r="W1177" i="2"/>
  <c r="V1177" i="2"/>
  <c r="U1177" i="2"/>
  <c r="T1177" i="2"/>
  <c r="AJ1176" i="2"/>
  <c r="AI1176" i="2"/>
  <c r="AH1176" i="2"/>
  <c r="AG1176" i="2"/>
  <c r="AF1176" i="2"/>
  <c r="AE1176" i="2"/>
  <c r="AD1176" i="2"/>
  <c r="AC1176" i="2"/>
  <c r="AB1176" i="2"/>
  <c r="AA1176" i="2"/>
  <c r="Z1176" i="2"/>
  <c r="Y1176" i="2"/>
  <c r="X1176" i="2"/>
  <c r="W1176" i="2"/>
  <c r="V1176" i="2"/>
  <c r="U1176" i="2"/>
  <c r="T1176" i="2"/>
  <c r="AJ1175" i="2"/>
  <c r="AI1175" i="2"/>
  <c r="AH1175" i="2"/>
  <c r="AG1175" i="2"/>
  <c r="AF1175" i="2"/>
  <c r="AE1175" i="2"/>
  <c r="AD1175" i="2"/>
  <c r="AC1175" i="2"/>
  <c r="AB1175" i="2"/>
  <c r="AA1175" i="2"/>
  <c r="Z1175" i="2"/>
  <c r="Y1175" i="2"/>
  <c r="X1175" i="2"/>
  <c r="W1175" i="2"/>
  <c r="V1175" i="2"/>
  <c r="U1175" i="2"/>
  <c r="T1175" i="2"/>
  <c r="AJ1174" i="2"/>
  <c r="AI1174" i="2"/>
  <c r="AH1174" i="2"/>
  <c r="AG1174" i="2"/>
  <c r="AF1174" i="2"/>
  <c r="AE1174" i="2"/>
  <c r="AD1174" i="2"/>
  <c r="AC1174" i="2"/>
  <c r="AB1174" i="2"/>
  <c r="AA1174" i="2"/>
  <c r="Z1174" i="2"/>
  <c r="Y1174" i="2"/>
  <c r="X1174" i="2"/>
  <c r="W1174" i="2"/>
  <c r="V1174" i="2"/>
  <c r="U1174" i="2"/>
  <c r="T1174" i="2"/>
  <c r="AJ1173" i="2"/>
  <c r="AI1173" i="2"/>
  <c r="AH1173" i="2"/>
  <c r="AG1173" i="2"/>
  <c r="AF1173" i="2"/>
  <c r="AE1173" i="2"/>
  <c r="AD1173" i="2"/>
  <c r="AC1173" i="2"/>
  <c r="AB1173" i="2"/>
  <c r="AA1173" i="2"/>
  <c r="Z1173" i="2"/>
  <c r="Y1173" i="2"/>
  <c r="X1173" i="2"/>
  <c r="W1173" i="2"/>
  <c r="V1173" i="2"/>
  <c r="U1173" i="2"/>
  <c r="T1173" i="2"/>
  <c r="AJ1172" i="2"/>
  <c r="AI1172" i="2"/>
  <c r="AH1172" i="2"/>
  <c r="AG1172" i="2"/>
  <c r="AF1172" i="2"/>
  <c r="AE1172" i="2"/>
  <c r="AD1172" i="2"/>
  <c r="AC1172" i="2"/>
  <c r="AB1172" i="2"/>
  <c r="AA1172" i="2"/>
  <c r="Z1172" i="2"/>
  <c r="Y1172" i="2"/>
  <c r="X1172" i="2"/>
  <c r="W1172" i="2"/>
  <c r="V1172" i="2"/>
  <c r="U1172" i="2"/>
  <c r="T1172" i="2"/>
  <c r="AJ1171" i="2"/>
  <c r="AI1171" i="2"/>
  <c r="AH1171" i="2"/>
  <c r="AG1171" i="2"/>
  <c r="AF1171" i="2"/>
  <c r="AE1171" i="2"/>
  <c r="AD1171" i="2"/>
  <c r="AC1171" i="2"/>
  <c r="AB1171" i="2"/>
  <c r="AA1171" i="2"/>
  <c r="Z1171" i="2"/>
  <c r="Y1171" i="2"/>
  <c r="X1171" i="2"/>
  <c r="W1171" i="2"/>
  <c r="V1171" i="2"/>
  <c r="U1171" i="2"/>
  <c r="T1171" i="2"/>
  <c r="AJ1170" i="2"/>
  <c r="AI1170" i="2"/>
  <c r="AH1170" i="2"/>
  <c r="AG1170" i="2"/>
  <c r="AF1170" i="2"/>
  <c r="AE1170" i="2"/>
  <c r="AD1170" i="2"/>
  <c r="AC1170" i="2"/>
  <c r="AB1170" i="2"/>
  <c r="AA1170" i="2"/>
  <c r="Z1170" i="2"/>
  <c r="Y1170" i="2"/>
  <c r="X1170" i="2"/>
  <c r="W1170" i="2"/>
  <c r="V1170" i="2"/>
  <c r="U1170" i="2"/>
  <c r="T1170" i="2"/>
  <c r="AJ1169" i="2"/>
  <c r="AI1169" i="2"/>
  <c r="AH1169" i="2"/>
  <c r="AG1169" i="2"/>
  <c r="AF1169" i="2"/>
  <c r="AE1169" i="2"/>
  <c r="AD1169" i="2"/>
  <c r="AC1169" i="2"/>
  <c r="AB1169" i="2"/>
  <c r="AA1169" i="2"/>
  <c r="Z1169" i="2"/>
  <c r="Y1169" i="2"/>
  <c r="X1169" i="2"/>
  <c r="W1169" i="2"/>
  <c r="V1169" i="2"/>
  <c r="U1169" i="2"/>
  <c r="T1169" i="2"/>
  <c r="AJ1168" i="2"/>
  <c r="AI1168" i="2"/>
  <c r="AH1168" i="2"/>
  <c r="AG1168" i="2"/>
  <c r="AF1168" i="2"/>
  <c r="AE1168" i="2"/>
  <c r="AD1168" i="2"/>
  <c r="AC1168" i="2"/>
  <c r="AB1168" i="2"/>
  <c r="AA1168" i="2"/>
  <c r="Z1168" i="2"/>
  <c r="Y1168" i="2"/>
  <c r="X1168" i="2"/>
  <c r="W1168" i="2"/>
  <c r="V1168" i="2"/>
  <c r="U1168" i="2"/>
  <c r="T1168" i="2"/>
  <c r="AJ1167" i="2"/>
  <c r="AI1167" i="2"/>
  <c r="AH1167" i="2"/>
  <c r="AG1167" i="2"/>
  <c r="AF1167" i="2"/>
  <c r="AE1167" i="2"/>
  <c r="AD1167" i="2"/>
  <c r="AC1167" i="2"/>
  <c r="AB1167" i="2"/>
  <c r="AA1167" i="2"/>
  <c r="Z1167" i="2"/>
  <c r="Y1167" i="2"/>
  <c r="X1167" i="2"/>
  <c r="W1167" i="2"/>
  <c r="V1167" i="2"/>
  <c r="U1167" i="2"/>
  <c r="T1167" i="2"/>
  <c r="AJ1166" i="2"/>
  <c r="AI1166" i="2"/>
  <c r="AH1166" i="2"/>
  <c r="AG1166" i="2"/>
  <c r="AF1166" i="2"/>
  <c r="AE1166" i="2"/>
  <c r="AD1166" i="2"/>
  <c r="AC1166" i="2"/>
  <c r="AB1166" i="2"/>
  <c r="AA1166" i="2"/>
  <c r="Z1166" i="2"/>
  <c r="Y1166" i="2"/>
  <c r="X1166" i="2"/>
  <c r="W1166" i="2"/>
  <c r="V1166" i="2"/>
  <c r="U1166" i="2"/>
  <c r="T1166" i="2"/>
  <c r="AJ1165" i="2"/>
  <c r="AI1165" i="2"/>
  <c r="AH1165" i="2"/>
  <c r="AG1165" i="2"/>
  <c r="AF1165" i="2"/>
  <c r="AE1165" i="2"/>
  <c r="AD1165" i="2"/>
  <c r="AC1165" i="2"/>
  <c r="AB1165" i="2"/>
  <c r="AA1165" i="2"/>
  <c r="Z1165" i="2"/>
  <c r="Y1165" i="2"/>
  <c r="X1165" i="2"/>
  <c r="W1165" i="2"/>
  <c r="V1165" i="2"/>
  <c r="U1165" i="2"/>
  <c r="T1165" i="2"/>
  <c r="AJ1164" i="2"/>
  <c r="AI1164" i="2"/>
  <c r="AH1164" i="2"/>
  <c r="AG1164" i="2"/>
  <c r="AF1164" i="2"/>
  <c r="AE1164" i="2"/>
  <c r="AD1164" i="2"/>
  <c r="AC1164" i="2"/>
  <c r="AB1164" i="2"/>
  <c r="AA1164" i="2"/>
  <c r="Z1164" i="2"/>
  <c r="Y1164" i="2"/>
  <c r="X1164" i="2"/>
  <c r="W1164" i="2"/>
  <c r="V1164" i="2"/>
  <c r="U1164" i="2"/>
  <c r="T1164" i="2"/>
  <c r="AJ1163" i="2"/>
  <c r="AI1163" i="2"/>
  <c r="AH1163" i="2"/>
  <c r="AG1163" i="2"/>
  <c r="AF1163" i="2"/>
  <c r="AE1163" i="2"/>
  <c r="AD1163" i="2"/>
  <c r="AC1163" i="2"/>
  <c r="AB1163" i="2"/>
  <c r="AA1163" i="2"/>
  <c r="Z1163" i="2"/>
  <c r="Y1163" i="2"/>
  <c r="X1163" i="2"/>
  <c r="W1163" i="2"/>
  <c r="V1163" i="2"/>
  <c r="U1163" i="2"/>
  <c r="T1163" i="2"/>
  <c r="AJ1162" i="2"/>
  <c r="AI1162" i="2"/>
  <c r="AH1162" i="2"/>
  <c r="AG1162" i="2"/>
  <c r="AF1162" i="2"/>
  <c r="AE1162" i="2"/>
  <c r="AD1162" i="2"/>
  <c r="AC1162" i="2"/>
  <c r="AB1162" i="2"/>
  <c r="AA1162" i="2"/>
  <c r="Z1162" i="2"/>
  <c r="Y1162" i="2"/>
  <c r="X1162" i="2"/>
  <c r="W1162" i="2"/>
  <c r="V1162" i="2"/>
  <c r="U1162" i="2"/>
  <c r="T1162" i="2"/>
  <c r="AJ1161" i="2"/>
  <c r="AI1161" i="2"/>
  <c r="AH1161" i="2"/>
  <c r="AG1161" i="2"/>
  <c r="AF1161" i="2"/>
  <c r="AE1161" i="2"/>
  <c r="AD1161" i="2"/>
  <c r="AC1161" i="2"/>
  <c r="AB1161" i="2"/>
  <c r="AA1161" i="2"/>
  <c r="Z1161" i="2"/>
  <c r="Y1161" i="2"/>
  <c r="X1161" i="2"/>
  <c r="W1161" i="2"/>
  <c r="V1161" i="2"/>
  <c r="U1161" i="2"/>
  <c r="T1161" i="2"/>
  <c r="AJ1160" i="2"/>
  <c r="AI1160" i="2"/>
  <c r="AH1160" i="2"/>
  <c r="AG1160" i="2"/>
  <c r="AF1160" i="2"/>
  <c r="AE1160" i="2"/>
  <c r="AD1160" i="2"/>
  <c r="AC1160" i="2"/>
  <c r="AB1160" i="2"/>
  <c r="AA1160" i="2"/>
  <c r="Z1160" i="2"/>
  <c r="Y1160" i="2"/>
  <c r="X1160" i="2"/>
  <c r="W1160" i="2"/>
  <c r="V1160" i="2"/>
  <c r="U1160" i="2"/>
  <c r="T1160" i="2"/>
  <c r="AJ1159" i="2"/>
  <c r="AI1159" i="2"/>
  <c r="AH1159" i="2"/>
  <c r="AG1159" i="2"/>
  <c r="AF1159" i="2"/>
  <c r="AE1159" i="2"/>
  <c r="AD1159" i="2"/>
  <c r="AC1159" i="2"/>
  <c r="AB1159" i="2"/>
  <c r="AA1159" i="2"/>
  <c r="Z1159" i="2"/>
  <c r="Y1159" i="2"/>
  <c r="X1159" i="2"/>
  <c r="W1159" i="2"/>
  <c r="V1159" i="2"/>
  <c r="U1159" i="2"/>
  <c r="T1159" i="2"/>
  <c r="AJ1158" i="2"/>
  <c r="AI1158" i="2"/>
  <c r="AH1158" i="2"/>
  <c r="AG1158" i="2"/>
  <c r="AF1158" i="2"/>
  <c r="AE1158" i="2"/>
  <c r="AD1158" i="2"/>
  <c r="AC1158" i="2"/>
  <c r="AB1158" i="2"/>
  <c r="AA1158" i="2"/>
  <c r="Z1158" i="2"/>
  <c r="Y1158" i="2"/>
  <c r="X1158" i="2"/>
  <c r="W1158" i="2"/>
  <c r="V1158" i="2"/>
  <c r="U1158" i="2"/>
  <c r="T1158" i="2"/>
  <c r="AJ1157" i="2"/>
  <c r="AI1157" i="2"/>
  <c r="AH1157" i="2"/>
  <c r="AG1157" i="2"/>
  <c r="AF1157" i="2"/>
  <c r="AE1157" i="2"/>
  <c r="AD1157" i="2"/>
  <c r="AC1157" i="2"/>
  <c r="AB1157" i="2"/>
  <c r="AA1157" i="2"/>
  <c r="Z1157" i="2"/>
  <c r="Y1157" i="2"/>
  <c r="X1157" i="2"/>
  <c r="W1157" i="2"/>
  <c r="V1157" i="2"/>
  <c r="U1157" i="2"/>
  <c r="T1157" i="2"/>
  <c r="AJ1156" i="2"/>
  <c r="AI1156" i="2"/>
  <c r="AH1156" i="2"/>
  <c r="AG1156" i="2"/>
  <c r="AF1156" i="2"/>
  <c r="AE1156" i="2"/>
  <c r="AD1156" i="2"/>
  <c r="AC1156" i="2"/>
  <c r="AB1156" i="2"/>
  <c r="AA1156" i="2"/>
  <c r="Z1156" i="2"/>
  <c r="Y1156" i="2"/>
  <c r="X1156" i="2"/>
  <c r="W1156" i="2"/>
  <c r="V1156" i="2"/>
  <c r="U1156" i="2"/>
  <c r="T1156" i="2"/>
  <c r="AJ1155" i="2"/>
  <c r="AI1155" i="2"/>
  <c r="AH1155" i="2"/>
  <c r="AG1155" i="2"/>
  <c r="AF1155" i="2"/>
  <c r="AE1155" i="2"/>
  <c r="AD1155" i="2"/>
  <c r="AC1155" i="2"/>
  <c r="AB1155" i="2"/>
  <c r="AA1155" i="2"/>
  <c r="Z1155" i="2"/>
  <c r="Y1155" i="2"/>
  <c r="X1155" i="2"/>
  <c r="W1155" i="2"/>
  <c r="V1155" i="2"/>
  <c r="U1155" i="2"/>
  <c r="T1155" i="2"/>
  <c r="AJ1154" i="2"/>
  <c r="AI1154" i="2"/>
  <c r="AH1154" i="2"/>
  <c r="AG1154" i="2"/>
  <c r="AF1154" i="2"/>
  <c r="AE1154" i="2"/>
  <c r="AD1154" i="2"/>
  <c r="AC1154" i="2"/>
  <c r="AB1154" i="2"/>
  <c r="AA1154" i="2"/>
  <c r="Z1154" i="2"/>
  <c r="Y1154" i="2"/>
  <c r="X1154" i="2"/>
  <c r="W1154" i="2"/>
  <c r="V1154" i="2"/>
  <c r="U1154" i="2"/>
  <c r="T1154" i="2"/>
  <c r="AJ1153" i="2"/>
  <c r="AI1153" i="2"/>
  <c r="AH1153" i="2"/>
  <c r="AG1153" i="2"/>
  <c r="AF1153" i="2"/>
  <c r="AE1153" i="2"/>
  <c r="AD1153" i="2"/>
  <c r="AC1153" i="2"/>
  <c r="AB1153" i="2"/>
  <c r="AA1153" i="2"/>
  <c r="Z1153" i="2"/>
  <c r="Y1153" i="2"/>
  <c r="X1153" i="2"/>
  <c r="W1153" i="2"/>
  <c r="V1153" i="2"/>
  <c r="U1153" i="2"/>
  <c r="T1153" i="2"/>
  <c r="AJ1152" i="2"/>
  <c r="AI1152" i="2"/>
  <c r="AH1152" i="2"/>
  <c r="AG1152" i="2"/>
  <c r="AF1152" i="2"/>
  <c r="AE1152" i="2"/>
  <c r="AD1152" i="2"/>
  <c r="AC1152" i="2"/>
  <c r="AB1152" i="2"/>
  <c r="AA1152" i="2"/>
  <c r="Z1152" i="2"/>
  <c r="Y1152" i="2"/>
  <c r="X1152" i="2"/>
  <c r="W1152" i="2"/>
  <c r="V1152" i="2"/>
  <c r="U1152" i="2"/>
  <c r="T1152" i="2"/>
  <c r="AJ1151" i="2"/>
  <c r="AI1151" i="2"/>
  <c r="AH1151" i="2"/>
  <c r="AG1151" i="2"/>
  <c r="AF1151" i="2"/>
  <c r="AE1151" i="2"/>
  <c r="AD1151" i="2"/>
  <c r="AC1151" i="2"/>
  <c r="AB1151" i="2"/>
  <c r="AA1151" i="2"/>
  <c r="Z1151" i="2"/>
  <c r="Y1151" i="2"/>
  <c r="X1151" i="2"/>
  <c r="W1151" i="2"/>
  <c r="V1151" i="2"/>
  <c r="U1151" i="2"/>
  <c r="T1151" i="2"/>
  <c r="AJ1150" i="2"/>
  <c r="AI1150" i="2"/>
  <c r="AH1150" i="2"/>
  <c r="AG1150" i="2"/>
  <c r="AF1150" i="2"/>
  <c r="AE1150" i="2"/>
  <c r="AD1150" i="2"/>
  <c r="AC1150" i="2"/>
  <c r="AB1150" i="2"/>
  <c r="AA1150" i="2"/>
  <c r="Z1150" i="2"/>
  <c r="Y1150" i="2"/>
  <c r="X1150" i="2"/>
  <c r="W1150" i="2"/>
  <c r="V1150" i="2"/>
  <c r="U1150" i="2"/>
  <c r="T1150" i="2"/>
  <c r="AJ1149" i="2"/>
  <c r="AI1149" i="2"/>
  <c r="AH1149" i="2"/>
  <c r="AG1149" i="2"/>
  <c r="AF1149" i="2"/>
  <c r="AE1149" i="2"/>
  <c r="AD1149" i="2"/>
  <c r="AC1149" i="2"/>
  <c r="AB1149" i="2"/>
  <c r="AA1149" i="2"/>
  <c r="Z1149" i="2"/>
  <c r="Y1149" i="2"/>
  <c r="X1149" i="2"/>
  <c r="W1149" i="2"/>
  <c r="V1149" i="2"/>
  <c r="U1149" i="2"/>
  <c r="T1149" i="2"/>
  <c r="AJ1148" i="2"/>
  <c r="AI1148" i="2"/>
  <c r="AH1148" i="2"/>
  <c r="AG1148" i="2"/>
  <c r="AF1148" i="2"/>
  <c r="AE1148" i="2"/>
  <c r="AD1148" i="2"/>
  <c r="AC1148" i="2"/>
  <c r="AB1148" i="2"/>
  <c r="AA1148" i="2"/>
  <c r="Z1148" i="2"/>
  <c r="Y1148" i="2"/>
  <c r="X1148" i="2"/>
  <c r="W1148" i="2"/>
  <c r="V1148" i="2"/>
  <c r="U1148" i="2"/>
  <c r="T1148" i="2"/>
  <c r="AJ1147" i="2"/>
  <c r="AI1147" i="2"/>
  <c r="AH1147" i="2"/>
  <c r="AG1147" i="2"/>
  <c r="AF1147" i="2"/>
  <c r="AE1147" i="2"/>
  <c r="AD1147" i="2"/>
  <c r="AC1147" i="2"/>
  <c r="AB1147" i="2"/>
  <c r="AA1147" i="2"/>
  <c r="Z1147" i="2"/>
  <c r="Y1147" i="2"/>
  <c r="X1147" i="2"/>
  <c r="W1147" i="2"/>
  <c r="V1147" i="2"/>
  <c r="U1147" i="2"/>
  <c r="T1147" i="2"/>
  <c r="AJ1146" i="2"/>
  <c r="AI1146" i="2"/>
  <c r="AH1146" i="2"/>
  <c r="AG1146" i="2"/>
  <c r="AF1146" i="2"/>
  <c r="AE1146" i="2"/>
  <c r="AD1146" i="2"/>
  <c r="AC1146" i="2"/>
  <c r="AB1146" i="2"/>
  <c r="AA1146" i="2"/>
  <c r="Z1146" i="2"/>
  <c r="Y1146" i="2"/>
  <c r="X1146" i="2"/>
  <c r="W1146" i="2"/>
  <c r="V1146" i="2"/>
  <c r="U1146" i="2"/>
  <c r="T1146" i="2"/>
  <c r="AJ1145" i="2"/>
  <c r="AI1145" i="2"/>
  <c r="AH1145" i="2"/>
  <c r="AG1145" i="2"/>
  <c r="AF1145" i="2"/>
  <c r="AE1145" i="2"/>
  <c r="AD1145" i="2"/>
  <c r="AC1145" i="2"/>
  <c r="AB1145" i="2"/>
  <c r="AA1145" i="2"/>
  <c r="Z1145" i="2"/>
  <c r="Y1145" i="2"/>
  <c r="X1145" i="2"/>
  <c r="W1145" i="2"/>
  <c r="V1145" i="2"/>
  <c r="U1145" i="2"/>
  <c r="T1145" i="2"/>
  <c r="AJ1144" i="2"/>
  <c r="AI1144" i="2"/>
  <c r="AH1144" i="2"/>
  <c r="AG1144" i="2"/>
  <c r="AF1144" i="2"/>
  <c r="AE1144" i="2"/>
  <c r="AD1144" i="2"/>
  <c r="AC1144" i="2"/>
  <c r="AB1144" i="2"/>
  <c r="AA1144" i="2"/>
  <c r="Z1144" i="2"/>
  <c r="Y1144" i="2"/>
  <c r="X1144" i="2"/>
  <c r="W1144" i="2"/>
  <c r="V1144" i="2"/>
  <c r="U1144" i="2"/>
  <c r="T1144" i="2"/>
  <c r="AJ1143" i="2"/>
  <c r="AI1143" i="2"/>
  <c r="AH1143" i="2"/>
  <c r="AG1143" i="2"/>
  <c r="AF1143" i="2"/>
  <c r="AE1143" i="2"/>
  <c r="AD1143" i="2"/>
  <c r="AC1143" i="2"/>
  <c r="AB1143" i="2"/>
  <c r="AA1143" i="2"/>
  <c r="Z1143" i="2"/>
  <c r="Y1143" i="2"/>
  <c r="X1143" i="2"/>
  <c r="W1143" i="2"/>
  <c r="V1143" i="2"/>
  <c r="U1143" i="2"/>
  <c r="T1143" i="2"/>
  <c r="AJ1142" i="2"/>
  <c r="AI1142" i="2"/>
  <c r="AH1142" i="2"/>
  <c r="AG1142" i="2"/>
  <c r="AF1142" i="2"/>
  <c r="AE1142" i="2"/>
  <c r="AD1142" i="2"/>
  <c r="AC1142" i="2"/>
  <c r="AB1142" i="2"/>
  <c r="AA1142" i="2"/>
  <c r="Z1142" i="2"/>
  <c r="Y1142" i="2"/>
  <c r="X1142" i="2"/>
  <c r="W1142" i="2"/>
  <c r="V1142" i="2"/>
  <c r="U1142" i="2"/>
  <c r="T1142" i="2"/>
  <c r="AJ1141" i="2"/>
  <c r="AI1141" i="2"/>
  <c r="AH1141" i="2"/>
  <c r="AG1141" i="2"/>
  <c r="AF1141" i="2"/>
  <c r="AE1141" i="2"/>
  <c r="AD1141" i="2"/>
  <c r="AC1141" i="2"/>
  <c r="AB1141" i="2"/>
  <c r="AA1141" i="2"/>
  <c r="Z1141" i="2"/>
  <c r="Y1141" i="2"/>
  <c r="X1141" i="2"/>
  <c r="W1141" i="2"/>
  <c r="V1141" i="2"/>
  <c r="U1141" i="2"/>
  <c r="T1141" i="2"/>
  <c r="AJ1140" i="2"/>
  <c r="AI1140" i="2"/>
  <c r="AH1140" i="2"/>
  <c r="AG1140" i="2"/>
  <c r="AF1140" i="2"/>
  <c r="AE1140" i="2"/>
  <c r="AD1140" i="2"/>
  <c r="AC1140" i="2"/>
  <c r="AB1140" i="2"/>
  <c r="AA1140" i="2"/>
  <c r="Z1140" i="2"/>
  <c r="Y1140" i="2"/>
  <c r="X1140" i="2"/>
  <c r="W1140" i="2"/>
  <c r="V1140" i="2"/>
  <c r="U1140" i="2"/>
  <c r="T1140" i="2"/>
  <c r="AJ1139" i="2"/>
  <c r="AI1139" i="2"/>
  <c r="AH1139" i="2"/>
  <c r="AG1139" i="2"/>
  <c r="AF1139" i="2"/>
  <c r="AE1139" i="2"/>
  <c r="AD1139" i="2"/>
  <c r="AC1139" i="2"/>
  <c r="AB1139" i="2"/>
  <c r="AA1139" i="2"/>
  <c r="Z1139" i="2"/>
  <c r="Y1139" i="2"/>
  <c r="X1139" i="2"/>
  <c r="W1139" i="2"/>
  <c r="V1139" i="2"/>
  <c r="U1139" i="2"/>
  <c r="T1139" i="2"/>
  <c r="AJ1138" i="2"/>
  <c r="AI1138" i="2"/>
  <c r="AH1138" i="2"/>
  <c r="AG1138" i="2"/>
  <c r="AF1138" i="2"/>
  <c r="AE1138" i="2"/>
  <c r="AD1138" i="2"/>
  <c r="AC1138" i="2"/>
  <c r="AB1138" i="2"/>
  <c r="AA1138" i="2"/>
  <c r="Z1138" i="2"/>
  <c r="Y1138" i="2"/>
  <c r="X1138" i="2"/>
  <c r="W1138" i="2"/>
  <c r="V1138" i="2"/>
  <c r="U1138" i="2"/>
  <c r="T1138" i="2"/>
  <c r="AJ1137" i="2"/>
  <c r="AI1137" i="2"/>
  <c r="AH1137" i="2"/>
  <c r="AG1137" i="2"/>
  <c r="AF1137" i="2"/>
  <c r="AE1137" i="2"/>
  <c r="AD1137" i="2"/>
  <c r="AC1137" i="2"/>
  <c r="AB1137" i="2"/>
  <c r="AA1137" i="2"/>
  <c r="Z1137" i="2"/>
  <c r="Y1137" i="2"/>
  <c r="X1137" i="2"/>
  <c r="W1137" i="2"/>
  <c r="V1137" i="2"/>
  <c r="U1137" i="2"/>
  <c r="T1137" i="2"/>
  <c r="AJ1136" i="2"/>
  <c r="AI1136" i="2"/>
  <c r="AH1136" i="2"/>
  <c r="AG1136" i="2"/>
  <c r="AF1136" i="2"/>
  <c r="AE1136" i="2"/>
  <c r="AD1136" i="2"/>
  <c r="AC1136" i="2"/>
  <c r="AB1136" i="2"/>
  <c r="AA1136" i="2"/>
  <c r="Z1136" i="2"/>
  <c r="Y1136" i="2"/>
  <c r="X1136" i="2"/>
  <c r="W1136" i="2"/>
  <c r="V1136" i="2"/>
  <c r="U1136" i="2"/>
  <c r="T1136" i="2"/>
  <c r="AJ1135" i="2"/>
  <c r="AI1135" i="2"/>
  <c r="AH1135" i="2"/>
  <c r="AG1135" i="2"/>
  <c r="AF1135" i="2"/>
  <c r="AE1135" i="2"/>
  <c r="AD1135" i="2"/>
  <c r="AC1135" i="2"/>
  <c r="AB1135" i="2"/>
  <c r="AA1135" i="2"/>
  <c r="Z1135" i="2"/>
  <c r="Y1135" i="2"/>
  <c r="X1135" i="2"/>
  <c r="W1135" i="2"/>
  <c r="V1135" i="2"/>
  <c r="U1135" i="2"/>
  <c r="T1135" i="2"/>
  <c r="AJ1134" i="2"/>
  <c r="AI1134" i="2"/>
  <c r="AH1134" i="2"/>
  <c r="AG1134" i="2"/>
  <c r="AF1134" i="2"/>
  <c r="AE1134" i="2"/>
  <c r="AD1134" i="2"/>
  <c r="AC1134" i="2"/>
  <c r="AB1134" i="2"/>
  <c r="AA1134" i="2"/>
  <c r="Z1134" i="2"/>
  <c r="Y1134" i="2"/>
  <c r="X1134" i="2"/>
  <c r="W1134" i="2"/>
  <c r="V1134" i="2"/>
  <c r="U1134" i="2"/>
  <c r="T1134" i="2"/>
  <c r="AJ1133" i="2"/>
  <c r="AI1133" i="2"/>
  <c r="AH1133" i="2"/>
  <c r="AG1133" i="2"/>
  <c r="AF1133" i="2"/>
  <c r="AE1133" i="2"/>
  <c r="AD1133" i="2"/>
  <c r="AC1133" i="2"/>
  <c r="AB1133" i="2"/>
  <c r="AA1133" i="2"/>
  <c r="Z1133" i="2"/>
  <c r="Y1133" i="2"/>
  <c r="X1133" i="2"/>
  <c r="W1133" i="2"/>
  <c r="V1133" i="2"/>
  <c r="U1133" i="2"/>
  <c r="T1133" i="2"/>
  <c r="AJ1132" i="2"/>
  <c r="AI1132" i="2"/>
  <c r="AH1132" i="2"/>
  <c r="AG1132" i="2"/>
  <c r="AF1132" i="2"/>
  <c r="AE1132" i="2"/>
  <c r="AD1132" i="2"/>
  <c r="AC1132" i="2"/>
  <c r="AB1132" i="2"/>
  <c r="AA1132" i="2"/>
  <c r="Z1132" i="2"/>
  <c r="Y1132" i="2"/>
  <c r="X1132" i="2"/>
  <c r="W1132" i="2"/>
  <c r="V1132" i="2"/>
  <c r="U1132" i="2"/>
  <c r="T1132" i="2"/>
  <c r="AJ1131" i="2"/>
  <c r="AI1131" i="2"/>
  <c r="AH1131" i="2"/>
  <c r="AG1131" i="2"/>
  <c r="AF1131" i="2"/>
  <c r="AE1131" i="2"/>
  <c r="AD1131" i="2"/>
  <c r="AC1131" i="2"/>
  <c r="AB1131" i="2"/>
  <c r="AA1131" i="2"/>
  <c r="Z1131" i="2"/>
  <c r="Y1131" i="2"/>
  <c r="X1131" i="2"/>
  <c r="W1131" i="2"/>
  <c r="V1131" i="2"/>
  <c r="U1131" i="2"/>
  <c r="T1131" i="2"/>
  <c r="AJ1130" i="2"/>
  <c r="AI1130" i="2"/>
  <c r="AH1130" i="2"/>
  <c r="AG1130" i="2"/>
  <c r="AF1130" i="2"/>
  <c r="AE1130" i="2"/>
  <c r="AD1130" i="2"/>
  <c r="AC1130" i="2"/>
  <c r="AB1130" i="2"/>
  <c r="AA1130" i="2"/>
  <c r="Z1130" i="2"/>
  <c r="Y1130" i="2"/>
  <c r="X1130" i="2"/>
  <c r="W1130" i="2"/>
  <c r="V1130" i="2"/>
  <c r="U1130" i="2"/>
  <c r="T1130" i="2"/>
  <c r="AJ1129" i="2"/>
  <c r="AI1129" i="2"/>
  <c r="AH1129" i="2"/>
  <c r="AG1129" i="2"/>
  <c r="AF1129" i="2"/>
  <c r="AE1129" i="2"/>
  <c r="AD1129" i="2"/>
  <c r="AC1129" i="2"/>
  <c r="AB1129" i="2"/>
  <c r="AA1129" i="2"/>
  <c r="Z1129" i="2"/>
  <c r="Y1129" i="2"/>
  <c r="X1129" i="2"/>
  <c r="W1129" i="2"/>
  <c r="V1129" i="2"/>
  <c r="U1129" i="2"/>
  <c r="T1129" i="2"/>
  <c r="AJ1128" i="2"/>
  <c r="AI1128" i="2"/>
  <c r="AH1128" i="2"/>
  <c r="AG1128" i="2"/>
  <c r="AF1128" i="2"/>
  <c r="AE1128" i="2"/>
  <c r="AD1128" i="2"/>
  <c r="AC1128" i="2"/>
  <c r="AB1128" i="2"/>
  <c r="AA1128" i="2"/>
  <c r="Z1128" i="2"/>
  <c r="Y1128" i="2"/>
  <c r="X1128" i="2"/>
  <c r="W1128" i="2"/>
  <c r="V1128" i="2"/>
  <c r="U1128" i="2"/>
  <c r="T1128" i="2"/>
  <c r="AJ1127" i="2"/>
  <c r="AI1127" i="2"/>
  <c r="AH1127" i="2"/>
  <c r="AG1127" i="2"/>
  <c r="AF1127" i="2"/>
  <c r="AE1127" i="2"/>
  <c r="AD1127" i="2"/>
  <c r="AC1127" i="2"/>
  <c r="AB1127" i="2"/>
  <c r="AA1127" i="2"/>
  <c r="Z1127" i="2"/>
  <c r="Y1127" i="2"/>
  <c r="X1127" i="2"/>
  <c r="W1127" i="2"/>
  <c r="V1127" i="2"/>
  <c r="U1127" i="2"/>
  <c r="T1127" i="2"/>
  <c r="AJ1126" i="2"/>
  <c r="AI1126" i="2"/>
  <c r="AH1126" i="2"/>
  <c r="AG1126" i="2"/>
  <c r="AF1126" i="2"/>
  <c r="AE1126" i="2"/>
  <c r="AD1126" i="2"/>
  <c r="AC1126" i="2"/>
  <c r="AB1126" i="2"/>
  <c r="AA1126" i="2"/>
  <c r="Z1126" i="2"/>
  <c r="Y1126" i="2"/>
  <c r="X1126" i="2"/>
  <c r="W1126" i="2"/>
  <c r="V1126" i="2"/>
  <c r="U1126" i="2"/>
  <c r="T1126" i="2"/>
  <c r="AJ1125" i="2"/>
  <c r="AI1125" i="2"/>
  <c r="AH1125" i="2"/>
  <c r="AG1125" i="2"/>
  <c r="AF1125" i="2"/>
  <c r="AE1125" i="2"/>
  <c r="AD1125" i="2"/>
  <c r="AC1125" i="2"/>
  <c r="AB1125" i="2"/>
  <c r="AA1125" i="2"/>
  <c r="Z1125" i="2"/>
  <c r="Y1125" i="2"/>
  <c r="X1125" i="2"/>
  <c r="W1125" i="2"/>
  <c r="V1125" i="2"/>
  <c r="U1125" i="2"/>
  <c r="T1125" i="2"/>
  <c r="AJ1124" i="2"/>
  <c r="AI1124" i="2"/>
  <c r="AH1124" i="2"/>
  <c r="AG1124" i="2"/>
  <c r="AF1124" i="2"/>
  <c r="AE1124" i="2"/>
  <c r="AD1124" i="2"/>
  <c r="AC1124" i="2"/>
  <c r="AB1124" i="2"/>
  <c r="AA1124" i="2"/>
  <c r="Z1124" i="2"/>
  <c r="Y1124" i="2"/>
  <c r="X1124" i="2"/>
  <c r="W1124" i="2"/>
  <c r="V1124" i="2"/>
  <c r="U1124" i="2"/>
  <c r="T1124" i="2"/>
  <c r="AJ1123" i="2"/>
  <c r="AI1123" i="2"/>
  <c r="AH1123" i="2"/>
  <c r="AG1123" i="2"/>
  <c r="AF1123" i="2"/>
  <c r="AE1123" i="2"/>
  <c r="AD1123" i="2"/>
  <c r="AC1123" i="2"/>
  <c r="AB1123" i="2"/>
  <c r="AA1123" i="2"/>
  <c r="Z1123" i="2"/>
  <c r="Y1123" i="2"/>
  <c r="X1123" i="2"/>
  <c r="W1123" i="2"/>
  <c r="V1123" i="2"/>
  <c r="U1123" i="2"/>
  <c r="T1123" i="2"/>
  <c r="AJ1122" i="2"/>
  <c r="AI1122" i="2"/>
  <c r="AH1122" i="2"/>
  <c r="AG1122" i="2"/>
  <c r="AF1122" i="2"/>
  <c r="AE1122" i="2"/>
  <c r="AD1122" i="2"/>
  <c r="AC1122" i="2"/>
  <c r="AB1122" i="2"/>
  <c r="AA1122" i="2"/>
  <c r="Z1122" i="2"/>
  <c r="Y1122" i="2"/>
  <c r="X1122" i="2"/>
  <c r="W1122" i="2"/>
  <c r="V1122" i="2"/>
  <c r="U1122" i="2"/>
  <c r="T1122" i="2"/>
  <c r="AJ1121" i="2"/>
  <c r="AI1121" i="2"/>
  <c r="AH1121" i="2"/>
  <c r="AG1121" i="2"/>
  <c r="AF1121" i="2"/>
  <c r="AE1121" i="2"/>
  <c r="AD1121" i="2"/>
  <c r="AC1121" i="2"/>
  <c r="AB1121" i="2"/>
  <c r="AA1121" i="2"/>
  <c r="Z1121" i="2"/>
  <c r="Y1121" i="2"/>
  <c r="X1121" i="2"/>
  <c r="W1121" i="2"/>
  <c r="V1121" i="2"/>
  <c r="U1121" i="2"/>
  <c r="T1121" i="2"/>
  <c r="AJ1120" i="2"/>
  <c r="AI1120" i="2"/>
  <c r="AH1120" i="2"/>
  <c r="AG1120" i="2"/>
  <c r="AF1120" i="2"/>
  <c r="AE1120" i="2"/>
  <c r="AD1120" i="2"/>
  <c r="AC1120" i="2"/>
  <c r="AB1120" i="2"/>
  <c r="AA1120" i="2"/>
  <c r="Z1120" i="2"/>
  <c r="Y1120" i="2"/>
  <c r="X1120" i="2"/>
  <c r="W1120" i="2"/>
  <c r="V1120" i="2"/>
  <c r="U1120" i="2"/>
  <c r="T1120" i="2"/>
  <c r="AJ1119" i="2"/>
  <c r="AI1119" i="2"/>
  <c r="AH1119" i="2"/>
  <c r="AG1119" i="2"/>
  <c r="AF1119" i="2"/>
  <c r="AE1119" i="2"/>
  <c r="AD1119" i="2"/>
  <c r="AC1119" i="2"/>
  <c r="AB1119" i="2"/>
  <c r="AA1119" i="2"/>
  <c r="Z1119" i="2"/>
  <c r="Y1119" i="2"/>
  <c r="X1119" i="2"/>
  <c r="W1119" i="2"/>
  <c r="V1119" i="2"/>
  <c r="U1119" i="2"/>
  <c r="T1119" i="2"/>
  <c r="AJ1118" i="2"/>
  <c r="AI1118" i="2"/>
  <c r="AH1118" i="2"/>
  <c r="AG1118" i="2"/>
  <c r="AF1118" i="2"/>
  <c r="AE1118" i="2"/>
  <c r="AD1118" i="2"/>
  <c r="AC1118" i="2"/>
  <c r="AB1118" i="2"/>
  <c r="AA1118" i="2"/>
  <c r="Z1118" i="2"/>
  <c r="Y1118" i="2"/>
  <c r="X1118" i="2"/>
  <c r="W1118" i="2"/>
  <c r="V1118" i="2"/>
  <c r="U1118" i="2"/>
  <c r="T1118" i="2"/>
  <c r="AJ1117" i="2"/>
  <c r="AI1117" i="2"/>
  <c r="AH1117" i="2"/>
  <c r="AG1117" i="2"/>
  <c r="AF1117" i="2"/>
  <c r="AE1117" i="2"/>
  <c r="AD1117" i="2"/>
  <c r="AC1117" i="2"/>
  <c r="AB1117" i="2"/>
  <c r="AA1117" i="2"/>
  <c r="Z1117" i="2"/>
  <c r="Y1117" i="2"/>
  <c r="X1117" i="2"/>
  <c r="W1117" i="2"/>
  <c r="V1117" i="2"/>
  <c r="U1117" i="2"/>
  <c r="T1117" i="2"/>
  <c r="AJ1116" i="2"/>
  <c r="AI1116" i="2"/>
  <c r="AH1116" i="2"/>
  <c r="AG1116" i="2"/>
  <c r="AF1116" i="2"/>
  <c r="AE1116" i="2"/>
  <c r="AD1116" i="2"/>
  <c r="AC1116" i="2"/>
  <c r="AB1116" i="2"/>
  <c r="AA1116" i="2"/>
  <c r="Z1116" i="2"/>
  <c r="Y1116" i="2"/>
  <c r="X1116" i="2"/>
  <c r="W1116" i="2"/>
  <c r="V1116" i="2"/>
  <c r="U1116" i="2"/>
  <c r="T1116" i="2"/>
  <c r="AJ1115" i="2"/>
  <c r="AI1115" i="2"/>
  <c r="AH1115" i="2"/>
  <c r="AG1115" i="2"/>
  <c r="AF1115" i="2"/>
  <c r="AE1115" i="2"/>
  <c r="AD1115" i="2"/>
  <c r="AC1115" i="2"/>
  <c r="AB1115" i="2"/>
  <c r="AA1115" i="2"/>
  <c r="Z1115" i="2"/>
  <c r="Y1115" i="2"/>
  <c r="X1115" i="2"/>
  <c r="W1115" i="2"/>
  <c r="V1115" i="2"/>
  <c r="U1115" i="2"/>
  <c r="T1115" i="2"/>
  <c r="AJ1114" i="2"/>
  <c r="AI1114" i="2"/>
  <c r="AH1114" i="2"/>
  <c r="AG1114" i="2"/>
  <c r="AF1114" i="2"/>
  <c r="AE1114" i="2"/>
  <c r="AD1114" i="2"/>
  <c r="AC1114" i="2"/>
  <c r="AB1114" i="2"/>
  <c r="AA1114" i="2"/>
  <c r="Z1114" i="2"/>
  <c r="Y1114" i="2"/>
  <c r="X1114" i="2"/>
  <c r="W1114" i="2"/>
  <c r="V1114" i="2"/>
  <c r="U1114" i="2"/>
  <c r="T1114" i="2"/>
  <c r="AJ1113" i="2"/>
  <c r="AI1113" i="2"/>
  <c r="AH1113" i="2"/>
  <c r="AG1113" i="2"/>
  <c r="AF1113" i="2"/>
  <c r="AE1113" i="2"/>
  <c r="AD1113" i="2"/>
  <c r="AC1113" i="2"/>
  <c r="AB1113" i="2"/>
  <c r="AA1113" i="2"/>
  <c r="Z1113" i="2"/>
  <c r="Y1113" i="2"/>
  <c r="X1113" i="2"/>
  <c r="W1113" i="2"/>
  <c r="V1113" i="2"/>
  <c r="U1113" i="2"/>
  <c r="T1113" i="2"/>
  <c r="AJ1112" i="2"/>
  <c r="AI1112" i="2"/>
  <c r="AH1112" i="2"/>
  <c r="AG1112" i="2"/>
  <c r="AF1112" i="2"/>
  <c r="AE1112" i="2"/>
  <c r="AD1112" i="2"/>
  <c r="AC1112" i="2"/>
  <c r="AB1112" i="2"/>
  <c r="AA1112" i="2"/>
  <c r="Z1112" i="2"/>
  <c r="Y1112" i="2"/>
  <c r="X1112" i="2"/>
  <c r="W1112" i="2"/>
  <c r="V1112" i="2"/>
  <c r="U1112" i="2"/>
  <c r="T1112" i="2"/>
  <c r="AJ1111" i="2"/>
  <c r="AI1111" i="2"/>
  <c r="AH1111" i="2"/>
  <c r="AG1111" i="2"/>
  <c r="AF1111" i="2"/>
  <c r="AE1111" i="2"/>
  <c r="AD1111" i="2"/>
  <c r="AC1111" i="2"/>
  <c r="AB1111" i="2"/>
  <c r="AA1111" i="2"/>
  <c r="Z1111" i="2"/>
  <c r="Y1111" i="2"/>
  <c r="X1111" i="2"/>
  <c r="W1111" i="2"/>
  <c r="V1111" i="2"/>
  <c r="U1111" i="2"/>
  <c r="T1111" i="2"/>
  <c r="AJ1110" i="2"/>
  <c r="AI1110" i="2"/>
  <c r="AH1110" i="2"/>
  <c r="AG1110" i="2"/>
  <c r="AF1110" i="2"/>
  <c r="AE1110" i="2"/>
  <c r="AD1110" i="2"/>
  <c r="AC1110" i="2"/>
  <c r="AB1110" i="2"/>
  <c r="AA1110" i="2"/>
  <c r="Z1110" i="2"/>
  <c r="Y1110" i="2"/>
  <c r="X1110" i="2"/>
  <c r="W1110" i="2"/>
  <c r="V1110" i="2"/>
  <c r="U1110" i="2"/>
  <c r="T1110" i="2"/>
  <c r="AJ1109" i="2"/>
  <c r="AI1109" i="2"/>
  <c r="AH1109" i="2"/>
  <c r="AG1109" i="2"/>
  <c r="AF1109" i="2"/>
  <c r="AE1109" i="2"/>
  <c r="AD1109" i="2"/>
  <c r="AC1109" i="2"/>
  <c r="AB1109" i="2"/>
  <c r="AA1109" i="2"/>
  <c r="Z1109" i="2"/>
  <c r="Y1109" i="2"/>
  <c r="X1109" i="2"/>
  <c r="W1109" i="2"/>
  <c r="V1109" i="2"/>
  <c r="U1109" i="2"/>
  <c r="T1109" i="2"/>
  <c r="AJ1108" i="2"/>
  <c r="AI1108" i="2"/>
  <c r="AH1108" i="2"/>
  <c r="AG1108" i="2"/>
  <c r="AF1108" i="2"/>
  <c r="AE1108" i="2"/>
  <c r="AD1108" i="2"/>
  <c r="AC1108" i="2"/>
  <c r="AB1108" i="2"/>
  <c r="AA1108" i="2"/>
  <c r="Z1108" i="2"/>
  <c r="Y1108" i="2"/>
  <c r="X1108" i="2"/>
  <c r="W1108" i="2"/>
  <c r="V1108" i="2"/>
  <c r="U1108" i="2"/>
  <c r="T1108" i="2"/>
  <c r="AJ1107" i="2"/>
  <c r="AI1107" i="2"/>
  <c r="AH1107" i="2"/>
  <c r="AG1107" i="2"/>
  <c r="AF1107" i="2"/>
  <c r="AE1107" i="2"/>
  <c r="AD1107" i="2"/>
  <c r="AC1107" i="2"/>
  <c r="AB1107" i="2"/>
  <c r="AA1107" i="2"/>
  <c r="Z1107" i="2"/>
  <c r="Y1107" i="2"/>
  <c r="X1107" i="2"/>
  <c r="W1107" i="2"/>
  <c r="V1107" i="2"/>
  <c r="U1107" i="2"/>
  <c r="T1107" i="2"/>
  <c r="AJ1106" i="2"/>
  <c r="AI1106" i="2"/>
  <c r="AH1106" i="2"/>
  <c r="AG1106" i="2"/>
  <c r="AF1106" i="2"/>
  <c r="AE1106" i="2"/>
  <c r="AD1106" i="2"/>
  <c r="AC1106" i="2"/>
  <c r="AB1106" i="2"/>
  <c r="AA1106" i="2"/>
  <c r="Z1106" i="2"/>
  <c r="Y1106" i="2"/>
  <c r="X1106" i="2"/>
  <c r="W1106" i="2"/>
  <c r="V1106" i="2"/>
  <c r="U1106" i="2"/>
  <c r="T1106" i="2"/>
  <c r="AJ1105" i="2"/>
  <c r="AI1105" i="2"/>
  <c r="AH1105" i="2"/>
  <c r="AG1105" i="2"/>
  <c r="AF1105" i="2"/>
  <c r="AE1105" i="2"/>
  <c r="AD1105" i="2"/>
  <c r="AC1105" i="2"/>
  <c r="AB1105" i="2"/>
  <c r="AA1105" i="2"/>
  <c r="Z1105" i="2"/>
  <c r="Y1105" i="2"/>
  <c r="X1105" i="2"/>
  <c r="W1105" i="2"/>
  <c r="V1105" i="2"/>
  <c r="U1105" i="2"/>
  <c r="T1105" i="2"/>
  <c r="AJ1104" i="2"/>
  <c r="AI1104" i="2"/>
  <c r="AH1104" i="2"/>
  <c r="AG1104" i="2"/>
  <c r="AF1104" i="2"/>
  <c r="AE1104" i="2"/>
  <c r="AD1104" i="2"/>
  <c r="AC1104" i="2"/>
  <c r="AB1104" i="2"/>
  <c r="AA1104" i="2"/>
  <c r="Z1104" i="2"/>
  <c r="Y1104" i="2"/>
  <c r="X1104" i="2"/>
  <c r="W1104" i="2"/>
  <c r="V1104" i="2"/>
  <c r="U1104" i="2"/>
  <c r="T1104" i="2"/>
  <c r="AJ1103" i="2"/>
  <c r="AI1103" i="2"/>
  <c r="AH1103" i="2"/>
  <c r="AG1103" i="2"/>
  <c r="AF1103" i="2"/>
  <c r="AE1103" i="2"/>
  <c r="AD1103" i="2"/>
  <c r="AC1103" i="2"/>
  <c r="AB1103" i="2"/>
  <c r="AA1103" i="2"/>
  <c r="Z1103" i="2"/>
  <c r="Y1103" i="2"/>
  <c r="X1103" i="2"/>
  <c r="W1103" i="2"/>
  <c r="V1103" i="2"/>
  <c r="U1103" i="2"/>
  <c r="T1103" i="2"/>
  <c r="AJ1102" i="2"/>
  <c r="AI1102" i="2"/>
  <c r="AH1102" i="2"/>
  <c r="AG1102" i="2"/>
  <c r="AF1102" i="2"/>
  <c r="AE1102" i="2"/>
  <c r="AD1102" i="2"/>
  <c r="AC1102" i="2"/>
  <c r="AB1102" i="2"/>
  <c r="AA1102" i="2"/>
  <c r="Z1102" i="2"/>
  <c r="Y1102" i="2"/>
  <c r="X1102" i="2"/>
  <c r="W1102" i="2"/>
  <c r="V1102" i="2"/>
  <c r="U1102" i="2"/>
  <c r="T1102" i="2"/>
  <c r="AJ1101" i="2"/>
  <c r="AI1101" i="2"/>
  <c r="AH1101" i="2"/>
  <c r="AG1101" i="2"/>
  <c r="AF1101" i="2"/>
  <c r="AE1101" i="2"/>
  <c r="AD1101" i="2"/>
  <c r="AC1101" i="2"/>
  <c r="AB1101" i="2"/>
  <c r="AA1101" i="2"/>
  <c r="Z1101" i="2"/>
  <c r="Y1101" i="2"/>
  <c r="X1101" i="2"/>
  <c r="W1101" i="2"/>
  <c r="V1101" i="2"/>
  <c r="U1101" i="2"/>
  <c r="T1101" i="2"/>
  <c r="AJ1100" i="2"/>
  <c r="AI1100" i="2"/>
  <c r="AH1100" i="2"/>
  <c r="AG1100" i="2"/>
  <c r="AF1100" i="2"/>
  <c r="AE1100" i="2"/>
  <c r="AD1100" i="2"/>
  <c r="AC1100" i="2"/>
  <c r="AB1100" i="2"/>
  <c r="AA1100" i="2"/>
  <c r="Z1100" i="2"/>
  <c r="Y1100" i="2"/>
  <c r="X1100" i="2"/>
  <c r="W1100" i="2"/>
  <c r="V1100" i="2"/>
  <c r="U1100" i="2"/>
  <c r="T1100" i="2"/>
  <c r="AJ1099" i="2"/>
  <c r="AI1099" i="2"/>
  <c r="AH1099" i="2"/>
  <c r="AG1099" i="2"/>
  <c r="AF1099" i="2"/>
  <c r="AE1099" i="2"/>
  <c r="AD1099" i="2"/>
  <c r="AC1099" i="2"/>
  <c r="AB1099" i="2"/>
  <c r="AA1099" i="2"/>
  <c r="Z1099" i="2"/>
  <c r="Y1099" i="2"/>
  <c r="X1099" i="2"/>
  <c r="W1099" i="2"/>
  <c r="V1099" i="2"/>
  <c r="U1099" i="2"/>
  <c r="T1099" i="2"/>
  <c r="AJ1098" i="2"/>
  <c r="AI1098" i="2"/>
  <c r="AH1098" i="2"/>
  <c r="AG1098" i="2"/>
  <c r="AF1098" i="2"/>
  <c r="AE1098" i="2"/>
  <c r="AD1098" i="2"/>
  <c r="AC1098" i="2"/>
  <c r="AB1098" i="2"/>
  <c r="AA1098" i="2"/>
  <c r="Z1098" i="2"/>
  <c r="Y1098" i="2"/>
  <c r="X1098" i="2"/>
  <c r="W1098" i="2"/>
  <c r="V1098" i="2"/>
  <c r="U1098" i="2"/>
  <c r="T1098" i="2"/>
  <c r="AJ1097" i="2"/>
  <c r="AI1097" i="2"/>
  <c r="AH1097" i="2"/>
  <c r="AG1097" i="2"/>
  <c r="AF1097" i="2"/>
  <c r="AE1097" i="2"/>
  <c r="AD1097" i="2"/>
  <c r="AC1097" i="2"/>
  <c r="AB1097" i="2"/>
  <c r="AA1097" i="2"/>
  <c r="Z1097" i="2"/>
  <c r="Y1097" i="2"/>
  <c r="X1097" i="2"/>
  <c r="W1097" i="2"/>
  <c r="V1097" i="2"/>
  <c r="U1097" i="2"/>
  <c r="T1097" i="2"/>
  <c r="AJ1096" i="2"/>
  <c r="AI1096" i="2"/>
  <c r="AH1096" i="2"/>
  <c r="AG1096" i="2"/>
  <c r="AF1096" i="2"/>
  <c r="AE1096" i="2"/>
  <c r="AD1096" i="2"/>
  <c r="AC1096" i="2"/>
  <c r="AB1096" i="2"/>
  <c r="AA1096" i="2"/>
  <c r="Z1096" i="2"/>
  <c r="Y1096" i="2"/>
  <c r="X1096" i="2"/>
  <c r="W1096" i="2"/>
  <c r="V1096" i="2"/>
  <c r="U1096" i="2"/>
  <c r="T1096" i="2"/>
  <c r="AJ1095" i="2"/>
  <c r="AI1095" i="2"/>
  <c r="AH1095" i="2"/>
  <c r="AG1095" i="2"/>
  <c r="AF1095" i="2"/>
  <c r="AE1095" i="2"/>
  <c r="AD1095" i="2"/>
  <c r="AC1095" i="2"/>
  <c r="AB1095" i="2"/>
  <c r="AA1095" i="2"/>
  <c r="Z1095" i="2"/>
  <c r="Y1095" i="2"/>
  <c r="X1095" i="2"/>
  <c r="W1095" i="2"/>
  <c r="V1095" i="2"/>
  <c r="U1095" i="2"/>
  <c r="T1095" i="2"/>
  <c r="AJ1094" i="2"/>
  <c r="AI1094" i="2"/>
  <c r="AH1094" i="2"/>
  <c r="AG1094" i="2"/>
  <c r="AF1094" i="2"/>
  <c r="AE1094" i="2"/>
  <c r="AD1094" i="2"/>
  <c r="AC1094" i="2"/>
  <c r="AB1094" i="2"/>
  <c r="AA1094" i="2"/>
  <c r="Z1094" i="2"/>
  <c r="Y1094" i="2"/>
  <c r="X1094" i="2"/>
  <c r="W1094" i="2"/>
  <c r="V1094" i="2"/>
  <c r="U1094" i="2"/>
  <c r="T1094" i="2"/>
  <c r="AJ1093" i="2"/>
  <c r="AI1093" i="2"/>
  <c r="AH1093" i="2"/>
  <c r="AG1093" i="2"/>
  <c r="AF1093" i="2"/>
  <c r="AE1093" i="2"/>
  <c r="AD1093" i="2"/>
  <c r="AC1093" i="2"/>
  <c r="AB1093" i="2"/>
  <c r="AA1093" i="2"/>
  <c r="Z1093" i="2"/>
  <c r="Y1093" i="2"/>
  <c r="X1093" i="2"/>
  <c r="W1093" i="2"/>
  <c r="V1093" i="2"/>
  <c r="U1093" i="2"/>
  <c r="T1093" i="2"/>
  <c r="AJ1092" i="2"/>
  <c r="AI1092" i="2"/>
  <c r="AH1092" i="2"/>
  <c r="AG1092" i="2"/>
  <c r="AF1092" i="2"/>
  <c r="AE1092" i="2"/>
  <c r="AD1092" i="2"/>
  <c r="AC1092" i="2"/>
  <c r="AB1092" i="2"/>
  <c r="AA1092" i="2"/>
  <c r="Z1092" i="2"/>
  <c r="Y1092" i="2"/>
  <c r="X1092" i="2"/>
  <c r="W1092" i="2"/>
  <c r="V1092" i="2"/>
  <c r="U1092" i="2"/>
  <c r="T1092" i="2"/>
  <c r="AJ1091" i="2"/>
  <c r="AI1091" i="2"/>
  <c r="AH1091" i="2"/>
  <c r="AG1091" i="2"/>
  <c r="AF1091" i="2"/>
  <c r="AE1091" i="2"/>
  <c r="AD1091" i="2"/>
  <c r="AC1091" i="2"/>
  <c r="AB1091" i="2"/>
  <c r="AA1091" i="2"/>
  <c r="Z1091" i="2"/>
  <c r="Y1091" i="2"/>
  <c r="X1091" i="2"/>
  <c r="W1091" i="2"/>
  <c r="V1091" i="2"/>
  <c r="U1091" i="2"/>
  <c r="T1091" i="2"/>
  <c r="AJ1090" i="2"/>
  <c r="AI1090" i="2"/>
  <c r="AH1090" i="2"/>
  <c r="AG1090" i="2"/>
  <c r="AF1090" i="2"/>
  <c r="AE1090" i="2"/>
  <c r="AD1090" i="2"/>
  <c r="AC1090" i="2"/>
  <c r="AB1090" i="2"/>
  <c r="AA1090" i="2"/>
  <c r="Z1090" i="2"/>
  <c r="Y1090" i="2"/>
  <c r="X1090" i="2"/>
  <c r="W1090" i="2"/>
  <c r="V1090" i="2"/>
  <c r="U1090" i="2"/>
  <c r="T1090" i="2"/>
  <c r="AJ1089" i="2"/>
  <c r="AI1089" i="2"/>
  <c r="AH1089" i="2"/>
  <c r="AG1089" i="2"/>
  <c r="AF1089" i="2"/>
  <c r="AE1089" i="2"/>
  <c r="AD1089" i="2"/>
  <c r="AC1089" i="2"/>
  <c r="AB1089" i="2"/>
  <c r="AA1089" i="2"/>
  <c r="Z1089" i="2"/>
  <c r="Y1089" i="2"/>
  <c r="X1089" i="2"/>
  <c r="W1089" i="2"/>
  <c r="V1089" i="2"/>
  <c r="U1089" i="2"/>
  <c r="T1089" i="2"/>
  <c r="AJ1088" i="2"/>
  <c r="AI1088" i="2"/>
  <c r="AH1088" i="2"/>
  <c r="AG1088" i="2"/>
  <c r="AF1088" i="2"/>
  <c r="AE1088" i="2"/>
  <c r="AD1088" i="2"/>
  <c r="AC1088" i="2"/>
  <c r="AB1088" i="2"/>
  <c r="AA1088" i="2"/>
  <c r="Z1088" i="2"/>
  <c r="Y1088" i="2"/>
  <c r="X1088" i="2"/>
  <c r="W1088" i="2"/>
  <c r="V1088" i="2"/>
  <c r="U1088" i="2"/>
  <c r="T1088" i="2"/>
  <c r="AJ1087" i="2"/>
  <c r="AI1087" i="2"/>
  <c r="AH1087" i="2"/>
  <c r="AG1087" i="2"/>
  <c r="AF1087" i="2"/>
  <c r="AE1087" i="2"/>
  <c r="AD1087" i="2"/>
  <c r="AC1087" i="2"/>
  <c r="AB1087" i="2"/>
  <c r="AA1087" i="2"/>
  <c r="Z1087" i="2"/>
  <c r="Y1087" i="2"/>
  <c r="X1087" i="2"/>
  <c r="W1087" i="2"/>
  <c r="V1087" i="2"/>
  <c r="U1087" i="2"/>
  <c r="T1087" i="2"/>
  <c r="AJ1086" i="2"/>
  <c r="AI1086" i="2"/>
  <c r="AH1086" i="2"/>
  <c r="AG1086" i="2"/>
  <c r="AF1086" i="2"/>
  <c r="AE1086" i="2"/>
  <c r="AD1086" i="2"/>
  <c r="AC1086" i="2"/>
  <c r="AB1086" i="2"/>
  <c r="AA1086" i="2"/>
  <c r="Z1086" i="2"/>
  <c r="Y1086" i="2"/>
  <c r="X1086" i="2"/>
  <c r="W1086" i="2"/>
  <c r="V1086" i="2"/>
  <c r="U1086" i="2"/>
  <c r="T1086" i="2"/>
  <c r="AJ1085" i="2"/>
  <c r="AI1085" i="2"/>
  <c r="AH1085" i="2"/>
  <c r="AG1085" i="2"/>
  <c r="AF1085" i="2"/>
  <c r="AE1085" i="2"/>
  <c r="AD1085" i="2"/>
  <c r="AC1085" i="2"/>
  <c r="AB1085" i="2"/>
  <c r="AA1085" i="2"/>
  <c r="Z1085" i="2"/>
  <c r="Y1085" i="2"/>
  <c r="X1085" i="2"/>
  <c r="W1085" i="2"/>
  <c r="V1085" i="2"/>
  <c r="U1085" i="2"/>
  <c r="T1085" i="2"/>
  <c r="AJ1084" i="2"/>
  <c r="AI1084" i="2"/>
  <c r="AH1084" i="2"/>
  <c r="AG1084" i="2"/>
  <c r="AF1084" i="2"/>
  <c r="AE1084" i="2"/>
  <c r="AD1084" i="2"/>
  <c r="AC1084" i="2"/>
  <c r="AB1084" i="2"/>
  <c r="AA1084" i="2"/>
  <c r="Z1084" i="2"/>
  <c r="Y1084" i="2"/>
  <c r="X1084" i="2"/>
  <c r="W1084" i="2"/>
  <c r="V1084" i="2"/>
  <c r="U1084" i="2"/>
  <c r="T1084" i="2"/>
  <c r="AJ1083" i="2"/>
  <c r="AI1083" i="2"/>
  <c r="AH1083" i="2"/>
  <c r="AG1083" i="2"/>
  <c r="AF1083" i="2"/>
  <c r="AE1083" i="2"/>
  <c r="AD1083" i="2"/>
  <c r="AC1083" i="2"/>
  <c r="AB1083" i="2"/>
  <c r="AA1083" i="2"/>
  <c r="Z1083" i="2"/>
  <c r="Y1083" i="2"/>
  <c r="X1083" i="2"/>
  <c r="W1083" i="2"/>
  <c r="V1083" i="2"/>
  <c r="U1083" i="2"/>
  <c r="T1083" i="2"/>
  <c r="AJ1082" i="2"/>
  <c r="AI1082" i="2"/>
  <c r="AH1082" i="2"/>
  <c r="AG1082" i="2"/>
  <c r="AF1082" i="2"/>
  <c r="AE1082" i="2"/>
  <c r="AD1082" i="2"/>
  <c r="AC1082" i="2"/>
  <c r="AB1082" i="2"/>
  <c r="AA1082" i="2"/>
  <c r="Z1082" i="2"/>
  <c r="Y1082" i="2"/>
  <c r="X1082" i="2"/>
  <c r="W1082" i="2"/>
  <c r="V1082" i="2"/>
  <c r="U1082" i="2"/>
  <c r="T1082" i="2"/>
  <c r="AJ1081" i="2"/>
  <c r="AI1081" i="2"/>
  <c r="AH1081" i="2"/>
  <c r="AG1081" i="2"/>
  <c r="AF1081" i="2"/>
  <c r="AE1081" i="2"/>
  <c r="AD1081" i="2"/>
  <c r="AC1081" i="2"/>
  <c r="AB1081" i="2"/>
  <c r="AA1081" i="2"/>
  <c r="Z1081" i="2"/>
  <c r="Y1081" i="2"/>
  <c r="X1081" i="2"/>
  <c r="W1081" i="2"/>
  <c r="V1081" i="2"/>
  <c r="U1081" i="2"/>
  <c r="T1081" i="2"/>
  <c r="AJ1080" i="2"/>
  <c r="AI1080" i="2"/>
  <c r="AH1080" i="2"/>
  <c r="AG1080" i="2"/>
  <c r="AF1080" i="2"/>
  <c r="AE1080" i="2"/>
  <c r="AD1080" i="2"/>
  <c r="AC1080" i="2"/>
  <c r="AB1080" i="2"/>
  <c r="AA1080" i="2"/>
  <c r="Z1080" i="2"/>
  <c r="Y1080" i="2"/>
  <c r="X1080" i="2"/>
  <c r="W1080" i="2"/>
  <c r="V1080" i="2"/>
  <c r="U1080" i="2"/>
  <c r="T1080" i="2"/>
  <c r="AJ1079" i="2"/>
  <c r="AI1079" i="2"/>
  <c r="AH1079" i="2"/>
  <c r="AG1079" i="2"/>
  <c r="AF1079" i="2"/>
  <c r="AE1079" i="2"/>
  <c r="AD1079" i="2"/>
  <c r="AC1079" i="2"/>
  <c r="AB1079" i="2"/>
  <c r="AA1079" i="2"/>
  <c r="Z1079" i="2"/>
  <c r="Y1079" i="2"/>
  <c r="X1079" i="2"/>
  <c r="W1079" i="2"/>
  <c r="V1079" i="2"/>
  <c r="U1079" i="2"/>
  <c r="T1079" i="2"/>
  <c r="AJ1078" i="2"/>
  <c r="AI1078" i="2"/>
  <c r="AH1078" i="2"/>
  <c r="AG1078" i="2"/>
  <c r="AF1078" i="2"/>
  <c r="AE1078" i="2"/>
  <c r="AD1078" i="2"/>
  <c r="AC1078" i="2"/>
  <c r="AB1078" i="2"/>
  <c r="AA1078" i="2"/>
  <c r="Z1078" i="2"/>
  <c r="Y1078" i="2"/>
  <c r="X1078" i="2"/>
  <c r="W1078" i="2"/>
  <c r="V1078" i="2"/>
  <c r="U1078" i="2"/>
  <c r="T1078" i="2"/>
  <c r="AJ1077" i="2"/>
  <c r="AI1077" i="2"/>
  <c r="AH1077" i="2"/>
  <c r="AG1077" i="2"/>
  <c r="AF1077" i="2"/>
  <c r="AE1077" i="2"/>
  <c r="AD1077" i="2"/>
  <c r="AC1077" i="2"/>
  <c r="AB1077" i="2"/>
  <c r="AA1077" i="2"/>
  <c r="Z1077" i="2"/>
  <c r="Y1077" i="2"/>
  <c r="X1077" i="2"/>
  <c r="W1077" i="2"/>
  <c r="V1077" i="2"/>
  <c r="U1077" i="2"/>
  <c r="T1077" i="2"/>
  <c r="AJ1076" i="2"/>
  <c r="AI1076" i="2"/>
  <c r="AH1076" i="2"/>
  <c r="AG1076" i="2"/>
  <c r="AF1076" i="2"/>
  <c r="AE1076" i="2"/>
  <c r="AD1076" i="2"/>
  <c r="AC1076" i="2"/>
  <c r="AB1076" i="2"/>
  <c r="AA1076" i="2"/>
  <c r="Z1076" i="2"/>
  <c r="Y1076" i="2"/>
  <c r="X1076" i="2"/>
  <c r="W1076" i="2"/>
  <c r="V1076" i="2"/>
  <c r="U1076" i="2"/>
  <c r="T1076" i="2"/>
  <c r="AJ1075" i="2"/>
  <c r="AI1075" i="2"/>
  <c r="AH1075" i="2"/>
  <c r="AG1075" i="2"/>
  <c r="AF1075" i="2"/>
  <c r="AE1075" i="2"/>
  <c r="AD1075" i="2"/>
  <c r="AC1075" i="2"/>
  <c r="AB1075" i="2"/>
  <c r="AA1075" i="2"/>
  <c r="Z1075" i="2"/>
  <c r="Y1075" i="2"/>
  <c r="X1075" i="2"/>
  <c r="W1075" i="2"/>
  <c r="V1075" i="2"/>
  <c r="U1075" i="2"/>
  <c r="T1075" i="2"/>
  <c r="AJ1074" i="2"/>
  <c r="AI1074" i="2"/>
  <c r="AH1074" i="2"/>
  <c r="AG1074" i="2"/>
  <c r="AF1074" i="2"/>
  <c r="AE1074" i="2"/>
  <c r="AD1074" i="2"/>
  <c r="AC1074" i="2"/>
  <c r="AB1074" i="2"/>
  <c r="AA1074" i="2"/>
  <c r="Z1074" i="2"/>
  <c r="Y1074" i="2"/>
  <c r="X1074" i="2"/>
  <c r="W1074" i="2"/>
  <c r="V1074" i="2"/>
  <c r="U1074" i="2"/>
  <c r="T1074" i="2"/>
  <c r="AJ1073" i="2"/>
  <c r="AI1073" i="2"/>
  <c r="AH1073" i="2"/>
  <c r="AG1073" i="2"/>
  <c r="AF1073" i="2"/>
  <c r="AE1073" i="2"/>
  <c r="AD1073" i="2"/>
  <c r="AC1073" i="2"/>
  <c r="AB1073" i="2"/>
  <c r="AA1073" i="2"/>
  <c r="Z1073" i="2"/>
  <c r="Y1073" i="2"/>
  <c r="X1073" i="2"/>
  <c r="W1073" i="2"/>
  <c r="V1073" i="2"/>
  <c r="U1073" i="2"/>
  <c r="T1073" i="2"/>
  <c r="AJ1072" i="2"/>
  <c r="AI1072" i="2"/>
  <c r="AH1072" i="2"/>
  <c r="AG1072" i="2"/>
  <c r="AF1072" i="2"/>
  <c r="AE1072" i="2"/>
  <c r="AD1072" i="2"/>
  <c r="AC1072" i="2"/>
  <c r="AB1072" i="2"/>
  <c r="AA1072" i="2"/>
  <c r="Z1072" i="2"/>
  <c r="Y1072" i="2"/>
  <c r="X1072" i="2"/>
  <c r="W1072" i="2"/>
  <c r="V1072" i="2"/>
  <c r="U1072" i="2"/>
  <c r="T1072" i="2"/>
  <c r="AJ1071" i="2"/>
  <c r="AI1071" i="2"/>
  <c r="AH1071" i="2"/>
  <c r="AG1071" i="2"/>
  <c r="AF1071" i="2"/>
  <c r="AE1071" i="2"/>
  <c r="AD1071" i="2"/>
  <c r="AC1071" i="2"/>
  <c r="AB1071" i="2"/>
  <c r="AA1071" i="2"/>
  <c r="Z1071" i="2"/>
  <c r="Y1071" i="2"/>
  <c r="X1071" i="2"/>
  <c r="W1071" i="2"/>
  <c r="V1071" i="2"/>
  <c r="U1071" i="2"/>
  <c r="T1071" i="2"/>
  <c r="AJ1070" i="2"/>
  <c r="AI1070" i="2"/>
  <c r="AH1070" i="2"/>
  <c r="AG1070" i="2"/>
  <c r="AF1070" i="2"/>
  <c r="AE1070" i="2"/>
  <c r="AD1070" i="2"/>
  <c r="AC1070" i="2"/>
  <c r="AB1070" i="2"/>
  <c r="AA1070" i="2"/>
  <c r="Z1070" i="2"/>
  <c r="Y1070" i="2"/>
  <c r="X1070" i="2"/>
  <c r="W1070" i="2"/>
  <c r="V1070" i="2"/>
  <c r="U1070" i="2"/>
  <c r="T1070" i="2"/>
  <c r="AJ1069" i="2"/>
  <c r="AI1069" i="2"/>
  <c r="AH1069" i="2"/>
  <c r="AG1069" i="2"/>
  <c r="AF1069" i="2"/>
  <c r="AE1069" i="2"/>
  <c r="AD1069" i="2"/>
  <c r="AC1069" i="2"/>
  <c r="AB1069" i="2"/>
  <c r="AA1069" i="2"/>
  <c r="Z1069" i="2"/>
  <c r="Y1069" i="2"/>
  <c r="X1069" i="2"/>
  <c r="W1069" i="2"/>
  <c r="V1069" i="2"/>
  <c r="U1069" i="2"/>
  <c r="T1069" i="2"/>
  <c r="AJ1068" i="2"/>
  <c r="AI1068" i="2"/>
  <c r="AH1068" i="2"/>
  <c r="AG1068" i="2"/>
  <c r="AF1068" i="2"/>
  <c r="AE1068" i="2"/>
  <c r="AD1068" i="2"/>
  <c r="AC1068" i="2"/>
  <c r="AB1068" i="2"/>
  <c r="AA1068" i="2"/>
  <c r="Z1068" i="2"/>
  <c r="Y1068" i="2"/>
  <c r="X1068" i="2"/>
  <c r="W1068" i="2"/>
  <c r="V1068" i="2"/>
  <c r="U1068" i="2"/>
  <c r="T1068" i="2"/>
  <c r="AJ1067" i="2"/>
  <c r="AI1067" i="2"/>
  <c r="AH1067" i="2"/>
  <c r="AG1067" i="2"/>
  <c r="AF1067" i="2"/>
  <c r="AE1067" i="2"/>
  <c r="AD1067" i="2"/>
  <c r="AC1067" i="2"/>
  <c r="AB1067" i="2"/>
  <c r="AA1067" i="2"/>
  <c r="Z1067" i="2"/>
  <c r="Y1067" i="2"/>
  <c r="X1067" i="2"/>
  <c r="W1067" i="2"/>
  <c r="V1067" i="2"/>
  <c r="U1067" i="2"/>
  <c r="T1067" i="2"/>
  <c r="AJ1066" i="2"/>
  <c r="AI1066" i="2"/>
  <c r="AH1066" i="2"/>
  <c r="AG1066" i="2"/>
  <c r="AF1066" i="2"/>
  <c r="AE1066" i="2"/>
  <c r="AD1066" i="2"/>
  <c r="AC1066" i="2"/>
  <c r="AB1066" i="2"/>
  <c r="AA1066" i="2"/>
  <c r="Z1066" i="2"/>
  <c r="Y1066" i="2"/>
  <c r="X1066" i="2"/>
  <c r="W1066" i="2"/>
  <c r="V1066" i="2"/>
  <c r="U1066" i="2"/>
  <c r="T1066" i="2"/>
  <c r="AJ1065" i="2"/>
  <c r="AI1065" i="2"/>
  <c r="AH1065" i="2"/>
  <c r="AG1065" i="2"/>
  <c r="AF1065" i="2"/>
  <c r="AE1065" i="2"/>
  <c r="AD1065" i="2"/>
  <c r="AC1065" i="2"/>
  <c r="AB1065" i="2"/>
  <c r="AA1065" i="2"/>
  <c r="Z1065" i="2"/>
  <c r="Y1065" i="2"/>
  <c r="X1065" i="2"/>
  <c r="W1065" i="2"/>
  <c r="V1065" i="2"/>
  <c r="U1065" i="2"/>
  <c r="T1065" i="2"/>
  <c r="AJ1064" i="2"/>
  <c r="AI1064" i="2"/>
  <c r="AH1064" i="2"/>
  <c r="AG1064" i="2"/>
  <c r="AF1064" i="2"/>
  <c r="AE1064" i="2"/>
  <c r="AD1064" i="2"/>
  <c r="AC1064" i="2"/>
  <c r="AB1064" i="2"/>
  <c r="AA1064" i="2"/>
  <c r="Z1064" i="2"/>
  <c r="Y1064" i="2"/>
  <c r="X1064" i="2"/>
  <c r="W1064" i="2"/>
  <c r="V1064" i="2"/>
  <c r="U1064" i="2"/>
  <c r="T1064" i="2"/>
  <c r="AJ1063" i="2"/>
  <c r="AI1063" i="2"/>
  <c r="AH1063" i="2"/>
  <c r="AG1063" i="2"/>
  <c r="AF1063" i="2"/>
  <c r="AE1063" i="2"/>
  <c r="AD1063" i="2"/>
  <c r="AC1063" i="2"/>
  <c r="AB1063" i="2"/>
  <c r="AA1063" i="2"/>
  <c r="Z1063" i="2"/>
  <c r="Y1063" i="2"/>
  <c r="X1063" i="2"/>
  <c r="W1063" i="2"/>
  <c r="V1063" i="2"/>
  <c r="U1063" i="2"/>
  <c r="T1063" i="2"/>
  <c r="AJ1062" i="2"/>
  <c r="AI1062" i="2"/>
  <c r="AH1062" i="2"/>
  <c r="AG1062" i="2"/>
  <c r="AF1062" i="2"/>
  <c r="AE1062" i="2"/>
  <c r="AD1062" i="2"/>
  <c r="AC1062" i="2"/>
  <c r="AB1062" i="2"/>
  <c r="AA1062" i="2"/>
  <c r="Z1062" i="2"/>
  <c r="Y1062" i="2"/>
  <c r="X1062" i="2"/>
  <c r="W1062" i="2"/>
  <c r="V1062" i="2"/>
  <c r="U1062" i="2"/>
  <c r="T1062" i="2"/>
  <c r="AJ1061" i="2"/>
  <c r="AI1061" i="2"/>
  <c r="AH1061" i="2"/>
  <c r="AG1061" i="2"/>
  <c r="AF1061" i="2"/>
  <c r="AE1061" i="2"/>
  <c r="AD1061" i="2"/>
  <c r="AC1061" i="2"/>
  <c r="AB1061" i="2"/>
  <c r="AA1061" i="2"/>
  <c r="Z1061" i="2"/>
  <c r="Y1061" i="2"/>
  <c r="X1061" i="2"/>
  <c r="W1061" i="2"/>
  <c r="V1061" i="2"/>
  <c r="U1061" i="2"/>
  <c r="T1061" i="2"/>
  <c r="AJ1060" i="2"/>
  <c r="AI1060" i="2"/>
  <c r="AH1060" i="2"/>
  <c r="AG1060" i="2"/>
  <c r="AF1060" i="2"/>
  <c r="AE1060" i="2"/>
  <c r="AD1060" i="2"/>
  <c r="AC1060" i="2"/>
  <c r="AB1060" i="2"/>
  <c r="AA1060" i="2"/>
  <c r="Z1060" i="2"/>
  <c r="Y1060" i="2"/>
  <c r="X1060" i="2"/>
  <c r="W1060" i="2"/>
  <c r="V1060" i="2"/>
  <c r="U1060" i="2"/>
  <c r="T1060" i="2"/>
  <c r="AJ1059" i="2"/>
  <c r="AI1059" i="2"/>
  <c r="AH1059" i="2"/>
  <c r="AG1059" i="2"/>
  <c r="AF1059" i="2"/>
  <c r="AE1059" i="2"/>
  <c r="AD1059" i="2"/>
  <c r="AC1059" i="2"/>
  <c r="AB1059" i="2"/>
  <c r="AA1059" i="2"/>
  <c r="Z1059" i="2"/>
  <c r="Y1059" i="2"/>
  <c r="X1059" i="2"/>
  <c r="W1059" i="2"/>
  <c r="V1059" i="2"/>
  <c r="U1059" i="2"/>
  <c r="T1059" i="2"/>
  <c r="AJ1058" i="2"/>
  <c r="AI1058" i="2"/>
  <c r="AH1058" i="2"/>
  <c r="AG1058" i="2"/>
  <c r="AF1058" i="2"/>
  <c r="AE1058" i="2"/>
  <c r="AD1058" i="2"/>
  <c r="AC1058" i="2"/>
  <c r="AB1058" i="2"/>
  <c r="AA1058" i="2"/>
  <c r="Z1058" i="2"/>
  <c r="Y1058" i="2"/>
  <c r="X1058" i="2"/>
  <c r="W1058" i="2"/>
  <c r="V1058" i="2"/>
  <c r="U1058" i="2"/>
  <c r="T1058" i="2"/>
  <c r="AJ1057" i="2"/>
  <c r="AI1057" i="2"/>
  <c r="AH1057" i="2"/>
  <c r="AG1057" i="2"/>
  <c r="AF1057" i="2"/>
  <c r="AE1057" i="2"/>
  <c r="AD1057" i="2"/>
  <c r="AC1057" i="2"/>
  <c r="AB1057" i="2"/>
  <c r="AA1057" i="2"/>
  <c r="Z1057" i="2"/>
  <c r="Y1057" i="2"/>
  <c r="X1057" i="2"/>
  <c r="W1057" i="2"/>
  <c r="V1057" i="2"/>
  <c r="U1057" i="2"/>
  <c r="T1057" i="2"/>
  <c r="AJ1056" i="2"/>
  <c r="AI1056" i="2"/>
  <c r="AH1056" i="2"/>
  <c r="AG1056" i="2"/>
  <c r="AF1056" i="2"/>
  <c r="AE1056" i="2"/>
  <c r="AD1056" i="2"/>
  <c r="AC1056" i="2"/>
  <c r="AB1056" i="2"/>
  <c r="AA1056" i="2"/>
  <c r="Z1056" i="2"/>
  <c r="Y1056" i="2"/>
  <c r="X1056" i="2"/>
  <c r="W1056" i="2"/>
  <c r="V1056" i="2"/>
  <c r="U1056" i="2"/>
  <c r="T1056" i="2"/>
  <c r="AJ1055" i="2"/>
  <c r="AI1055" i="2"/>
  <c r="AH1055" i="2"/>
  <c r="AG1055" i="2"/>
  <c r="AF1055" i="2"/>
  <c r="AE1055" i="2"/>
  <c r="AD1055" i="2"/>
  <c r="AC1055" i="2"/>
  <c r="AB1055" i="2"/>
  <c r="AA1055" i="2"/>
  <c r="Z1055" i="2"/>
  <c r="Y1055" i="2"/>
  <c r="X1055" i="2"/>
  <c r="W1055" i="2"/>
  <c r="V1055" i="2"/>
  <c r="U1055" i="2"/>
  <c r="T1055" i="2"/>
  <c r="AJ1054" i="2"/>
  <c r="AI1054" i="2"/>
  <c r="AH1054" i="2"/>
  <c r="AG1054" i="2"/>
  <c r="AF1054" i="2"/>
  <c r="AE1054" i="2"/>
  <c r="AD1054" i="2"/>
  <c r="AC1054" i="2"/>
  <c r="AB1054" i="2"/>
  <c r="AA1054" i="2"/>
  <c r="Z1054" i="2"/>
  <c r="Y1054" i="2"/>
  <c r="X1054" i="2"/>
  <c r="W1054" i="2"/>
  <c r="V1054" i="2"/>
  <c r="U1054" i="2"/>
  <c r="T1054" i="2"/>
  <c r="AJ1053" i="2"/>
  <c r="AI1053" i="2"/>
  <c r="AH1053" i="2"/>
  <c r="AG1053" i="2"/>
  <c r="AF1053" i="2"/>
  <c r="AE1053" i="2"/>
  <c r="AD1053" i="2"/>
  <c r="AC1053" i="2"/>
  <c r="AB1053" i="2"/>
  <c r="AA1053" i="2"/>
  <c r="Z1053" i="2"/>
  <c r="Y1053" i="2"/>
  <c r="X1053" i="2"/>
  <c r="W1053" i="2"/>
  <c r="V1053" i="2"/>
  <c r="U1053" i="2"/>
  <c r="T1053" i="2"/>
  <c r="AJ1052" i="2"/>
  <c r="AI1052" i="2"/>
  <c r="AH1052" i="2"/>
  <c r="AG1052" i="2"/>
  <c r="AF1052" i="2"/>
  <c r="AE1052" i="2"/>
  <c r="AD1052" i="2"/>
  <c r="AC1052" i="2"/>
  <c r="AB1052" i="2"/>
  <c r="AA1052" i="2"/>
  <c r="Z1052" i="2"/>
  <c r="Y1052" i="2"/>
  <c r="X1052" i="2"/>
  <c r="W1052" i="2"/>
  <c r="V1052" i="2"/>
  <c r="U1052" i="2"/>
  <c r="T1052" i="2"/>
  <c r="AJ1051" i="2"/>
  <c r="AI1051" i="2"/>
  <c r="AH1051" i="2"/>
  <c r="AG1051" i="2"/>
  <c r="AF1051" i="2"/>
  <c r="AE1051" i="2"/>
  <c r="AD1051" i="2"/>
  <c r="AC1051" i="2"/>
  <c r="AB1051" i="2"/>
  <c r="AA1051" i="2"/>
  <c r="Z1051" i="2"/>
  <c r="Y1051" i="2"/>
  <c r="X1051" i="2"/>
  <c r="W1051" i="2"/>
  <c r="V1051" i="2"/>
  <c r="U1051" i="2"/>
  <c r="T1051" i="2"/>
  <c r="AJ1050" i="2"/>
  <c r="AI1050" i="2"/>
  <c r="AH1050" i="2"/>
  <c r="AG1050" i="2"/>
  <c r="AF1050" i="2"/>
  <c r="AE1050" i="2"/>
  <c r="AD1050" i="2"/>
  <c r="AC1050" i="2"/>
  <c r="AB1050" i="2"/>
  <c r="AA1050" i="2"/>
  <c r="Z1050" i="2"/>
  <c r="Y1050" i="2"/>
  <c r="X1050" i="2"/>
  <c r="W1050" i="2"/>
  <c r="V1050" i="2"/>
  <c r="U1050" i="2"/>
  <c r="T1050" i="2"/>
  <c r="AJ1049" i="2"/>
  <c r="AI1049" i="2"/>
  <c r="AH1049" i="2"/>
  <c r="AG1049" i="2"/>
  <c r="AF1049" i="2"/>
  <c r="AE1049" i="2"/>
  <c r="AD1049" i="2"/>
  <c r="AC1049" i="2"/>
  <c r="AB1049" i="2"/>
  <c r="AA1049" i="2"/>
  <c r="Z1049" i="2"/>
  <c r="Y1049" i="2"/>
  <c r="X1049" i="2"/>
  <c r="W1049" i="2"/>
  <c r="V1049" i="2"/>
  <c r="U1049" i="2"/>
  <c r="T1049" i="2"/>
  <c r="AJ1048" i="2"/>
  <c r="AI1048" i="2"/>
  <c r="AH1048" i="2"/>
  <c r="AG1048" i="2"/>
  <c r="AF1048" i="2"/>
  <c r="AE1048" i="2"/>
  <c r="AD1048" i="2"/>
  <c r="AC1048" i="2"/>
  <c r="AB1048" i="2"/>
  <c r="AA1048" i="2"/>
  <c r="Z1048" i="2"/>
  <c r="Y1048" i="2"/>
  <c r="X1048" i="2"/>
  <c r="W1048" i="2"/>
  <c r="V1048" i="2"/>
  <c r="U1048" i="2"/>
  <c r="T1048" i="2"/>
  <c r="AJ1047" i="2"/>
  <c r="AI1047" i="2"/>
  <c r="AH1047" i="2"/>
  <c r="AG1047" i="2"/>
  <c r="AF1047" i="2"/>
  <c r="AE1047" i="2"/>
  <c r="AD1047" i="2"/>
  <c r="AC1047" i="2"/>
  <c r="AB1047" i="2"/>
  <c r="AA1047" i="2"/>
  <c r="Z1047" i="2"/>
  <c r="Y1047" i="2"/>
  <c r="X1047" i="2"/>
  <c r="W1047" i="2"/>
  <c r="V1047" i="2"/>
  <c r="U1047" i="2"/>
  <c r="T1047" i="2"/>
  <c r="AJ1046" i="2"/>
  <c r="AI1046" i="2"/>
  <c r="AH1046" i="2"/>
  <c r="AG1046" i="2"/>
  <c r="AF1046" i="2"/>
  <c r="AE1046" i="2"/>
  <c r="AD1046" i="2"/>
  <c r="AC1046" i="2"/>
  <c r="AB1046" i="2"/>
  <c r="AA1046" i="2"/>
  <c r="Z1046" i="2"/>
  <c r="Y1046" i="2"/>
  <c r="X1046" i="2"/>
  <c r="W1046" i="2"/>
  <c r="V1046" i="2"/>
  <c r="U1046" i="2"/>
  <c r="T1046" i="2"/>
  <c r="AJ1045" i="2"/>
  <c r="AI1045" i="2"/>
  <c r="AH1045" i="2"/>
  <c r="AG1045" i="2"/>
  <c r="AF1045" i="2"/>
  <c r="AE1045" i="2"/>
  <c r="AD1045" i="2"/>
  <c r="AC1045" i="2"/>
  <c r="AB1045" i="2"/>
  <c r="AA1045" i="2"/>
  <c r="Z1045" i="2"/>
  <c r="Y1045" i="2"/>
  <c r="X1045" i="2"/>
  <c r="W1045" i="2"/>
  <c r="V1045" i="2"/>
  <c r="U1045" i="2"/>
  <c r="T1045" i="2"/>
  <c r="AJ1044" i="2"/>
  <c r="AI1044" i="2"/>
  <c r="AH1044" i="2"/>
  <c r="AG1044" i="2"/>
  <c r="AF1044" i="2"/>
  <c r="AE1044" i="2"/>
  <c r="AD1044" i="2"/>
  <c r="AC1044" i="2"/>
  <c r="AB1044" i="2"/>
  <c r="AA1044" i="2"/>
  <c r="Z1044" i="2"/>
  <c r="Y1044" i="2"/>
  <c r="X1044" i="2"/>
  <c r="W1044" i="2"/>
  <c r="V1044" i="2"/>
  <c r="U1044" i="2"/>
  <c r="T1044" i="2"/>
  <c r="AJ1043" i="2"/>
  <c r="AI1043" i="2"/>
  <c r="AH1043" i="2"/>
  <c r="AG1043" i="2"/>
  <c r="AF1043" i="2"/>
  <c r="AE1043" i="2"/>
  <c r="AD1043" i="2"/>
  <c r="AC1043" i="2"/>
  <c r="AB1043" i="2"/>
  <c r="AA1043" i="2"/>
  <c r="Z1043" i="2"/>
  <c r="Y1043" i="2"/>
  <c r="X1043" i="2"/>
  <c r="W1043" i="2"/>
  <c r="V1043" i="2"/>
  <c r="U1043" i="2"/>
  <c r="T1043" i="2"/>
  <c r="AJ1042" i="2"/>
  <c r="AI1042" i="2"/>
  <c r="AH1042" i="2"/>
  <c r="AG1042" i="2"/>
  <c r="AF1042" i="2"/>
  <c r="AE1042" i="2"/>
  <c r="AD1042" i="2"/>
  <c r="AC1042" i="2"/>
  <c r="AB1042" i="2"/>
  <c r="AA1042" i="2"/>
  <c r="Z1042" i="2"/>
  <c r="Y1042" i="2"/>
  <c r="X1042" i="2"/>
  <c r="W1042" i="2"/>
  <c r="V1042" i="2"/>
  <c r="U1042" i="2"/>
  <c r="T1042" i="2"/>
  <c r="AJ1041" i="2"/>
  <c r="AI1041" i="2"/>
  <c r="AH1041" i="2"/>
  <c r="AG1041" i="2"/>
  <c r="AF1041" i="2"/>
  <c r="AE1041" i="2"/>
  <c r="AD1041" i="2"/>
  <c r="AC1041" i="2"/>
  <c r="AB1041" i="2"/>
  <c r="AA1041" i="2"/>
  <c r="Z1041" i="2"/>
  <c r="Y1041" i="2"/>
  <c r="X1041" i="2"/>
  <c r="W1041" i="2"/>
  <c r="V1041" i="2"/>
  <c r="U1041" i="2"/>
  <c r="T1041" i="2"/>
  <c r="AJ1040" i="2"/>
  <c r="AI1040" i="2"/>
  <c r="AH1040" i="2"/>
  <c r="AG1040" i="2"/>
  <c r="AF1040" i="2"/>
  <c r="AE1040" i="2"/>
  <c r="AD1040" i="2"/>
  <c r="AC1040" i="2"/>
  <c r="AB1040" i="2"/>
  <c r="AA1040" i="2"/>
  <c r="Z1040" i="2"/>
  <c r="Y1040" i="2"/>
  <c r="X1040" i="2"/>
  <c r="W1040" i="2"/>
  <c r="V1040" i="2"/>
  <c r="U1040" i="2"/>
  <c r="T1040" i="2"/>
  <c r="AJ1039" i="2"/>
  <c r="AI1039" i="2"/>
  <c r="AH1039" i="2"/>
  <c r="AG1039" i="2"/>
  <c r="AF1039" i="2"/>
  <c r="AE1039" i="2"/>
  <c r="AD1039" i="2"/>
  <c r="AC1039" i="2"/>
  <c r="AB1039" i="2"/>
  <c r="AA1039" i="2"/>
  <c r="Z1039" i="2"/>
  <c r="Y1039" i="2"/>
  <c r="X1039" i="2"/>
  <c r="W1039" i="2"/>
  <c r="V1039" i="2"/>
  <c r="U1039" i="2"/>
  <c r="T1039" i="2"/>
  <c r="AJ1038" i="2"/>
  <c r="AI1038" i="2"/>
  <c r="AH1038" i="2"/>
  <c r="AG1038" i="2"/>
  <c r="AF1038" i="2"/>
  <c r="AE1038" i="2"/>
  <c r="AD1038" i="2"/>
  <c r="AC1038" i="2"/>
  <c r="AB1038" i="2"/>
  <c r="AA1038" i="2"/>
  <c r="Z1038" i="2"/>
  <c r="Y1038" i="2"/>
  <c r="X1038" i="2"/>
  <c r="W1038" i="2"/>
  <c r="V1038" i="2"/>
  <c r="U1038" i="2"/>
  <c r="T1038" i="2"/>
  <c r="AJ1037" i="2"/>
  <c r="AI1037" i="2"/>
  <c r="AH1037" i="2"/>
  <c r="AG1037" i="2"/>
  <c r="AF1037" i="2"/>
  <c r="AE1037" i="2"/>
  <c r="AD1037" i="2"/>
  <c r="AC1037" i="2"/>
  <c r="AB1037" i="2"/>
  <c r="AA1037" i="2"/>
  <c r="Z1037" i="2"/>
  <c r="Y1037" i="2"/>
  <c r="X1037" i="2"/>
  <c r="W1037" i="2"/>
  <c r="V1037" i="2"/>
  <c r="U1037" i="2"/>
  <c r="T1037" i="2"/>
  <c r="AJ1036" i="2"/>
  <c r="AI1036" i="2"/>
  <c r="AH1036" i="2"/>
  <c r="AG1036" i="2"/>
  <c r="AF1036" i="2"/>
  <c r="AE1036" i="2"/>
  <c r="AD1036" i="2"/>
  <c r="AC1036" i="2"/>
  <c r="AB1036" i="2"/>
  <c r="AA1036" i="2"/>
  <c r="Z1036" i="2"/>
  <c r="Y1036" i="2"/>
  <c r="X1036" i="2"/>
  <c r="W1036" i="2"/>
  <c r="V1036" i="2"/>
  <c r="U1036" i="2"/>
  <c r="T1036" i="2"/>
  <c r="AJ1035" i="2"/>
  <c r="AI1035" i="2"/>
  <c r="AH1035" i="2"/>
  <c r="AG1035" i="2"/>
  <c r="AF1035" i="2"/>
  <c r="AE1035" i="2"/>
  <c r="AD1035" i="2"/>
  <c r="AC1035" i="2"/>
  <c r="AB1035" i="2"/>
  <c r="AA1035" i="2"/>
  <c r="Z1035" i="2"/>
  <c r="Y1035" i="2"/>
  <c r="X1035" i="2"/>
  <c r="W1035" i="2"/>
  <c r="V1035" i="2"/>
  <c r="U1035" i="2"/>
  <c r="T1035" i="2"/>
  <c r="AJ1034" i="2"/>
  <c r="AI1034" i="2"/>
  <c r="AH1034" i="2"/>
  <c r="AG1034" i="2"/>
  <c r="AF1034" i="2"/>
  <c r="AE1034" i="2"/>
  <c r="AD1034" i="2"/>
  <c r="AC1034" i="2"/>
  <c r="AB1034" i="2"/>
  <c r="AA1034" i="2"/>
  <c r="Z1034" i="2"/>
  <c r="Y1034" i="2"/>
  <c r="X1034" i="2"/>
  <c r="W1034" i="2"/>
  <c r="V1034" i="2"/>
  <c r="U1034" i="2"/>
  <c r="T1034" i="2"/>
  <c r="AJ1033" i="2"/>
  <c r="AI1033" i="2"/>
  <c r="AH1033" i="2"/>
  <c r="AG1033" i="2"/>
  <c r="AF1033" i="2"/>
  <c r="AE1033" i="2"/>
  <c r="AD1033" i="2"/>
  <c r="AC1033" i="2"/>
  <c r="AB1033" i="2"/>
  <c r="AA1033" i="2"/>
  <c r="Z1033" i="2"/>
  <c r="Y1033" i="2"/>
  <c r="X1033" i="2"/>
  <c r="W1033" i="2"/>
  <c r="V1033" i="2"/>
  <c r="U1033" i="2"/>
  <c r="T1033" i="2"/>
  <c r="AJ1032" i="2"/>
  <c r="AI1032" i="2"/>
  <c r="AH1032" i="2"/>
  <c r="AG1032" i="2"/>
  <c r="AF1032" i="2"/>
  <c r="AE1032" i="2"/>
  <c r="AD1032" i="2"/>
  <c r="AC1032" i="2"/>
  <c r="AB1032" i="2"/>
  <c r="AA1032" i="2"/>
  <c r="Z1032" i="2"/>
  <c r="Y1032" i="2"/>
  <c r="X1032" i="2"/>
  <c r="W1032" i="2"/>
  <c r="V1032" i="2"/>
  <c r="U1032" i="2"/>
  <c r="T1032" i="2"/>
  <c r="AJ1031" i="2"/>
  <c r="AI1031" i="2"/>
  <c r="AH1031" i="2"/>
  <c r="AG1031" i="2"/>
  <c r="AF1031" i="2"/>
  <c r="AE1031" i="2"/>
  <c r="AD1031" i="2"/>
  <c r="AC1031" i="2"/>
  <c r="AB1031" i="2"/>
  <c r="AA1031" i="2"/>
  <c r="Z1031" i="2"/>
  <c r="Y1031" i="2"/>
  <c r="X1031" i="2"/>
  <c r="W1031" i="2"/>
  <c r="V1031" i="2"/>
  <c r="U1031" i="2"/>
  <c r="T1031" i="2"/>
  <c r="AJ1030" i="2"/>
  <c r="AI1030" i="2"/>
  <c r="AH1030" i="2"/>
  <c r="AG1030" i="2"/>
  <c r="AF1030" i="2"/>
  <c r="AE1030" i="2"/>
  <c r="AD1030" i="2"/>
  <c r="AC1030" i="2"/>
  <c r="AB1030" i="2"/>
  <c r="AA1030" i="2"/>
  <c r="Z1030" i="2"/>
  <c r="Y1030" i="2"/>
  <c r="X1030" i="2"/>
  <c r="W1030" i="2"/>
  <c r="V1030" i="2"/>
  <c r="U1030" i="2"/>
  <c r="T1030" i="2"/>
  <c r="AJ1029" i="2"/>
  <c r="AI1029" i="2"/>
  <c r="AH1029" i="2"/>
  <c r="AG1029" i="2"/>
  <c r="AF1029" i="2"/>
  <c r="AE1029" i="2"/>
  <c r="AD1029" i="2"/>
  <c r="AC1029" i="2"/>
  <c r="AB1029" i="2"/>
  <c r="AA1029" i="2"/>
  <c r="Z1029" i="2"/>
  <c r="Y1029" i="2"/>
  <c r="X1029" i="2"/>
  <c r="W1029" i="2"/>
  <c r="V1029" i="2"/>
  <c r="U1029" i="2"/>
  <c r="T1029" i="2"/>
  <c r="AJ1028" i="2"/>
  <c r="AI1028" i="2"/>
  <c r="AH1028" i="2"/>
  <c r="AG1028" i="2"/>
  <c r="AF1028" i="2"/>
  <c r="AE1028" i="2"/>
  <c r="AD1028" i="2"/>
  <c r="AC1028" i="2"/>
  <c r="AB1028" i="2"/>
  <c r="AA1028" i="2"/>
  <c r="Z1028" i="2"/>
  <c r="Y1028" i="2"/>
  <c r="X1028" i="2"/>
  <c r="W1028" i="2"/>
  <c r="V1028" i="2"/>
  <c r="U1028" i="2"/>
  <c r="T1028" i="2"/>
  <c r="AJ1027" i="2"/>
  <c r="AI1027" i="2"/>
  <c r="AH1027" i="2"/>
  <c r="AG1027" i="2"/>
  <c r="AF1027" i="2"/>
  <c r="AE1027" i="2"/>
  <c r="AD1027" i="2"/>
  <c r="AC1027" i="2"/>
  <c r="AB1027" i="2"/>
  <c r="AA1027" i="2"/>
  <c r="Z1027" i="2"/>
  <c r="Y1027" i="2"/>
  <c r="X1027" i="2"/>
  <c r="W1027" i="2"/>
  <c r="V1027" i="2"/>
  <c r="U1027" i="2"/>
  <c r="T1027" i="2"/>
  <c r="AJ1026" i="2"/>
  <c r="AI1026" i="2"/>
  <c r="AH1026" i="2"/>
  <c r="AG1026" i="2"/>
  <c r="AF1026" i="2"/>
  <c r="AE1026" i="2"/>
  <c r="AD1026" i="2"/>
  <c r="AC1026" i="2"/>
  <c r="AB1026" i="2"/>
  <c r="AA1026" i="2"/>
  <c r="Z1026" i="2"/>
  <c r="Y1026" i="2"/>
  <c r="X1026" i="2"/>
  <c r="W1026" i="2"/>
  <c r="V1026" i="2"/>
  <c r="U1026" i="2"/>
  <c r="T1026" i="2"/>
  <c r="AJ1025" i="2"/>
  <c r="AI1025" i="2"/>
  <c r="AH1025" i="2"/>
  <c r="AG1025" i="2"/>
  <c r="AF1025" i="2"/>
  <c r="AE1025" i="2"/>
  <c r="AD1025" i="2"/>
  <c r="AC1025" i="2"/>
  <c r="AB1025" i="2"/>
  <c r="AA1025" i="2"/>
  <c r="Z1025" i="2"/>
  <c r="Y1025" i="2"/>
  <c r="X1025" i="2"/>
  <c r="W1025" i="2"/>
  <c r="V1025" i="2"/>
  <c r="U1025" i="2"/>
  <c r="T1025" i="2"/>
  <c r="AJ1024" i="2"/>
  <c r="AI1024" i="2"/>
  <c r="AH1024" i="2"/>
  <c r="AG1024" i="2"/>
  <c r="AF1024" i="2"/>
  <c r="AE1024" i="2"/>
  <c r="AD1024" i="2"/>
  <c r="AC1024" i="2"/>
  <c r="AB1024" i="2"/>
  <c r="AA1024" i="2"/>
  <c r="Z1024" i="2"/>
  <c r="Y1024" i="2"/>
  <c r="X1024" i="2"/>
  <c r="W1024" i="2"/>
  <c r="V1024" i="2"/>
  <c r="U1024" i="2"/>
  <c r="T1024" i="2"/>
  <c r="AJ1023" i="2"/>
  <c r="AI1023" i="2"/>
  <c r="AH1023" i="2"/>
  <c r="AG1023" i="2"/>
  <c r="AF1023" i="2"/>
  <c r="AE1023" i="2"/>
  <c r="AD1023" i="2"/>
  <c r="AC1023" i="2"/>
  <c r="AB1023" i="2"/>
  <c r="AA1023" i="2"/>
  <c r="Z1023" i="2"/>
  <c r="Y1023" i="2"/>
  <c r="X1023" i="2"/>
  <c r="W1023" i="2"/>
  <c r="V1023" i="2"/>
  <c r="U1023" i="2"/>
  <c r="T1023" i="2"/>
  <c r="AJ1022" i="2"/>
  <c r="AI1022" i="2"/>
  <c r="AH1022" i="2"/>
  <c r="AG1022" i="2"/>
  <c r="AF1022" i="2"/>
  <c r="AE1022" i="2"/>
  <c r="AD1022" i="2"/>
  <c r="AC1022" i="2"/>
  <c r="AB1022" i="2"/>
  <c r="AA1022" i="2"/>
  <c r="Z1022" i="2"/>
  <c r="Y1022" i="2"/>
  <c r="X1022" i="2"/>
  <c r="W1022" i="2"/>
  <c r="V1022" i="2"/>
  <c r="U1022" i="2"/>
  <c r="T1022" i="2"/>
  <c r="AJ1021" i="2"/>
  <c r="AI1021" i="2"/>
  <c r="AH1021" i="2"/>
  <c r="AG1021" i="2"/>
  <c r="AF1021" i="2"/>
  <c r="AE1021" i="2"/>
  <c r="AD1021" i="2"/>
  <c r="AC1021" i="2"/>
  <c r="AB1021" i="2"/>
  <c r="AA1021" i="2"/>
  <c r="Z1021" i="2"/>
  <c r="Y1021" i="2"/>
  <c r="X1021" i="2"/>
  <c r="W1021" i="2"/>
  <c r="V1021" i="2"/>
  <c r="U1021" i="2"/>
  <c r="T1021" i="2"/>
  <c r="AJ1020" i="2"/>
  <c r="AI1020" i="2"/>
  <c r="AH1020" i="2"/>
  <c r="AG1020" i="2"/>
  <c r="AF1020" i="2"/>
  <c r="AE1020" i="2"/>
  <c r="AD1020" i="2"/>
  <c r="AC1020" i="2"/>
  <c r="AB1020" i="2"/>
  <c r="AA1020" i="2"/>
  <c r="Z1020" i="2"/>
  <c r="Y1020" i="2"/>
  <c r="X1020" i="2"/>
  <c r="W1020" i="2"/>
  <c r="V1020" i="2"/>
  <c r="U1020" i="2"/>
  <c r="T1020" i="2"/>
  <c r="AJ1019" i="2"/>
  <c r="AI1019" i="2"/>
  <c r="AH1019" i="2"/>
  <c r="AG1019" i="2"/>
  <c r="AF1019" i="2"/>
  <c r="AE1019" i="2"/>
  <c r="AD1019" i="2"/>
  <c r="AC1019" i="2"/>
  <c r="AB1019" i="2"/>
  <c r="AA1019" i="2"/>
  <c r="Z1019" i="2"/>
  <c r="Y1019" i="2"/>
  <c r="X1019" i="2"/>
  <c r="W1019" i="2"/>
  <c r="V1019" i="2"/>
  <c r="U1019" i="2"/>
  <c r="T1019" i="2"/>
  <c r="AJ1018" i="2"/>
  <c r="AI1018" i="2"/>
  <c r="AH1018" i="2"/>
  <c r="AG1018" i="2"/>
  <c r="AF1018" i="2"/>
  <c r="AE1018" i="2"/>
  <c r="AD1018" i="2"/>
  <c r="AC1018" i="2"/>
  <c r="AB1018" i="2"/>
  <c r="AA1018" i="2"/>
  <c r="Z1018" i="2"/>
  <c r="Y1018" i="2"/>
  <c r="X1018" i="2"/>
  <c r="W1018" i="2"/>
  <c r="V1018" i="2"/>
  <c r="U1018" i="2"/>
  <c r="T1018" i="2"/>
  <c r="AJ1017" i="2"/>
  <c r="AI1017" i="2"/>
  <c r="AH1017" i="2"/>
  <c r="AG1017" i="2"/>
  <c r="AF1017" i="2"/>
  <c r="AE1017" i="2"/>
  <c r="AD1017" i="2"/>
  <c r="AC1017" i="2"/>
  <c r="AB1017" i="2"/>
  <c r="AA1017" i="2"/>
  <c r="Z1017" i="2"/>
  <c r="Y1017" i="2"/>
  <c r="X1017" i="2"/>
  <c r="W1017" i="2"/>
  <c r="V1017" i="2"/>
  <c r="U1017" i="2"/>
  <c r="T1017" i="2"/>
  <c r="AJ1016" i="2"/>
  <c r="AI1016" i="2"/>
  <c r="AH1016" i="2"/>
  <c r="AG1016" i="2"/>
  <c r="AF1016" i="2"/>
  <c r="AE1016" i="2"/>
  <c r="AD1016" i="2"/>
  <c r="AC1016" i="2"/>
  <c r="AB1016" i="2"/>
  <c r="AA1016" i="2"/>
  <c r="Z1016" i="2"/>
  <c r="Y1016" i="2"/>
  <c r="X1016" i="2"/>
  <c r="W1016" i="2"/>
  <c r="V1016" i="2"/>
  <c r="U1016" i="2"/>
  <c r="T1016" i="2"/>
  <c r="AJ1015" i="2"/>
  <c r="AI1015" i="2"/>
  <c r="AH1015" i="2"/>
  <c r="AG1015" i="2"/>
  <c r="AF1015" i="2"/>
  <c r="AE1015" i="2"/>
  <c r="AD1015" i="2"/>
  <c r="AC1015" i="2"/>
  <c r="AB1015" i="2"/>
  <c r="AA1015" i="2"/>
  <c r="Z1015" i="2"/>
  <c r="Y1015" i="2"/>
  <c r="X1015" i="2"/>
  <c r="W1015" i="2"/>
  <c r="V1015" i="2"/>
  <c r="U1015" i="2"/>
  <c r="T1015" i="2"/>
  <c r="AJ1014" i="2"/>
  <c r="AI1014" i="2"/>
  <c r="AH1014" i="2"/>
  <c r="AG1014" i="2"/>
  <c r="AF1014" i="2"/>
  <c r="AE1014" i="2"/>
  <c r="AD1014" i="2"/>
  <c r="AC1014" i="2"/>
  <c r="AB1014" i="2"/>
  <c r="AA1014" i="2"/>
  <c r="Z1014" i="2"/>
  <c r="Y1014" i="2"/>
  <c r="X1014" i="2"/>
  <c r="W1014" i="2"/>
  <c r="V1014" i="2"/>
  <c r="U1014" i="2"/>
  <c r="T1014" i="2"/>
  <c r="AJ1013" i="2"/>
  <c r="AI1013" i="2"/>
  <c r="AH1013" i="2"/>
  <c r="AG1013" i="2"/>
  <c r="AF1013" i="2"/>
  <c r="AE1013" i="2"/>
  <c r="AD1013" i="2"/>
  <c r="AC1013" i="2"/>
  <c r="AB1013" i="2"/>
  <c r="AA1013" i="2"/>
  <c r="Z1013" i="2"/>
  <c r="Y1013" i="2"/>
  <c r="X1013" i="2"/>
  <c r="W1013" i="2"/>
  <c r="V1013" i="2"/>
  <c r="U1013" i="2"/>
  <c r="T1013" i="2"/>
  <c r="AJ1012" i="2"/>
  <c r="AI1012" i="2"/>
  <c r="AH1012" i="2"/>
  <c r="AG1012" i="2"/>
  <c r="AF1012" i="2"/>
  <c r="AE1012" i="2"/>
  <c r="AD1012" i="2"/>
  <c r="AC1012" i="2"/>
  <c r="AB1012" i="2"/>
  <c r="AA1012" i="2"/>
  <c r="Z1012" i="2"/>
  <c r="Y1012" i="2"/>
  <c r="X1012" i="2"/>
  <c r="W1012" i="2"/>
  <c r="V1012" i="2"/>
  <c r="U1012" i="2"/>
  <c r="T1012" i="2"/>
  <c r="AJ1011" i="2"/>
  <c r="AI1011" i="2"/>
  <c r="AH1011" i="2"/>
  <c r="AG1011" i="2"/>
  <c r="AF1011" i="2"/>
  <c r="AE1011" i="2"/>
  <c r="AD1011" i="2"/>
  <c r="AC1011" i="2"/>
  <c r="AB1011" i="2"/>
  <c r="AA1011" i="2"/>
  <c r="Z1011" i="2"/>
  <c r="Y1011" i="2"/>
  <c r="X1011" i="2"/>
  <c r="W1011" i="2"/>
  <c r="V1011" i="2"/>
  <c r="U1011" i="2"/>
  <c r="T1011" i="2"/>
  <c r="AJ1010" i="2"/>
  <c r="AI1010" i="2"/>
  <c r="AH1010" i="2"/>
  <c r="AG1010" i="2"/>
  <c r="AF1010" i="2"/>
  <c r="AE1010" i="2"/>
  <c r="AD1010" i="2"/>
  <c r="AC1010" i="2"/>
  <c r="AB1010" i="2"/>
  <c r="AA1010" i="2"/>
  <c r="Z1010" i="2"/>
  <c r="Y1010" i="2"/>
  <c r="X1010" i="2"/>
  <c r="W1010" i="2"/>
  <c r="V1010" i="2"/>
  <c r="U1010" i="2"/>
  <c r="T1010" i="2"/>
  <c r="AJ1009" i="2"/>
  <c r="AI1009" i="2"/>
  <c r="AH1009" i="2"/>
  <c r="AG1009" i="2"/>
  <c r="AF1009" i="2"/>
  <c r="AE1009" i="2"/>
  <c r="AD1009" i="2"/>
  <c r="AC1009" i="2"/>
  <c r="AB1009" i="2"/>
  <c r="AA1009" i="2"/>
  <c r="Z1009" i="2"/>
  <c r="Y1009" i="2"/>
  <c r="X1009" i="2"/>
  <c r="W1009" i="2"/>
  <c r="V1009" i="2"/>
  <c r="U1009" i="2"/>
  <c r="T1009" i="2"/>
  <c r="AJ1008" i="2"/>
  <c r="AI1008" i="2"/>
  <c r="AH1008" i="2"/>
  <c r="AG1008" i="2"/>
  <c r="AF1008" i="2"/>
  <c r="AE1008" i="2"/>
  <c r="AD1008" i="2"/>
  <c r="AC1008" i="2"/>
  <c r="AB1008" i="2"/>
  <c r="AA1008" i="2"/>
  <c r="Z1008" i="2"/>
  <c r="Y1008" i="2"/>
  <c r="X1008" i="2"/>
  <c r="W1008" i="2"/>
  <c r="V1008" i="2"/>
  <c r="U1008" i="2"/>
  <c r="T1008" i="2"/>
  <c r="AJ1007" i="2"/>
  <c r="AI1007" i="2"/>
  <c r="AH1007" i="2"/>
  <c r="AG1007" i="2"/>
  <c r="AF1007" i="2"/>
  <c r="AE1007" i="2"/>
  <c r="AD1007" i="2"/>
  <c r="AC1007" i="2"/>
  <c r="AB1007" i="2"/>
  <c r="AA1007" i="2"/>
  <c r="Z1007" i="2"/>
  <c r="Y1007" i="2"/>
  <c r="X1007" i="2"/>
  <c r="W1007" i="2"/>
  <c r="V1007" i="2"/>
  <c r="U1007" i="2"/>
  <c r="T1007" i="2"/>
  <c r="AJ1006" i="2"/>
  <c r="AI1006" i="2"/>
  <c r="AH1006" i="2"/>
  <c r="AG1006" i="2"/>
  <c r="AF1006" i="2"/>
  <c r="AE1006" i="2"/>
  <c r="AD1006" i="2"/>
  <c r="AC1006" i="2"/>
  <c r="AB1006" i="2"/>
  <c r="AA1006" i="2"/>
  <c r="Z1006" i="2"/>
  <c r="Y1006" i="2"/>
  <c r="X1006" i="2"/>
  <c r="W1006" i="2"/>
  <c r="V1006" i="2"/>
  <c r="U1006" i="2"/>
  <c r="T1006" i="2"/>
  <c r="AJ1005" i="2"/>
  <c r="AI1005" i="2"/>
  <c r="AH1005" i="2"/>
  <c r="AG1005" i="2"/>
  <c r="AF1005" i="2"/>
  <c r="AE1005" i="2"/>
  <c r="AD1005" i="2"/>
  <c r="AC1005" i="2"/>
  <c r="AB1005" i="2"/>
  <c r="AA1005" i="2"/>
  <c r="Z1005" i="2"/>
  <c r="Y1005" i="2"/>
  <c r="X1005" i="2"/>
  <c r="W1005" i="2"/>
  <c r="V1005" i="2"/>
  <c r="U1005" i="2"/>
  <c r="T1005" i="2"/>
  <c r="AJ1004" i="2"/>
  <c r="AI1004" i="2"/>
  <c r="AH1004" i="2"/>
  <c r="AG1004" i="2"/>
  <c r="AF1004" i="2"/>
  <c r="AE1004" i="2"/>
  <c r="AD1004" i="2"/>
  <c r="AC1004" i="2"/>
  <c r="AB1004" i="2"/>
  <c r="AA1004" i="2"/>
  <c r="Z1004" i="2"/>
  <c r="Y1004" i="2"/>
  <c r="X1004" i="2"/>
  <c r="W1004" i="2"/>
  <c r="V1004" i="2"/>
  <c r="U1004" i="2"/>
  <c r="T1004" i="2"/>
  <c r="AJ1003" i="2"/>
  <c r="AI1003" i="2"/>
  <c r="AH1003" i="2"/>
  <c r="AG1003" i="2"/>
  <c r="AF1003" i="2"/>
  <c r="AE1003" i="2"/>
  <c r="AD1003" i="2"/>
  <c r="AC1003" i="2"/>
  <c r="AB1003" i="2"/>
  <c r="AA1003" i="2"/>
  <c r="Z1003" i="2"/>
  <c r="Y1003" i="2"/>
  <c r="X1003" i="2"/>
  <c r="W1003" i="2"/>
  <c r="V1003" i="2"/>
  <c r="U1003" i="2"/>
  <c r="T1003" i="2"/>
  <c r="AJ1002" i="2"/>
  <c r="AI1002" i="2"/>
  <c r="AH1002" i="2"/>
  <c r="AG1002" i="2"/>
  <c r="AF1002" i="2"/>
  <c r="AE1002" i="2"/>
  <c r="AD1002" i="2"/>
  <c r="AC1002" i="2"/>
  <c r="AB1002" i="2"/>
  <c r="AA1002" i="2"/>
  <c r="Z1002" i="2"/>
  <c r="Y1002" i="2"/>
  <c r="X1002" i="2"/>
  <c r="W1002" i="2"/>
  <c r="V1002" i="2"/>
  <c r="U1002" i="2"/>
  <c r="T1002" i="2"/>
  <c r="AJ1001" i="2"/>
  <c r="AI1001" i="2"/>
  <c r="AH1001" i="2"/>
  <c r="AG1001" i="2"/>
  <c r="AF1001" i="2"/>
  <c r="AE1001" i="2"/>
  <c r="AD1001" i="2"/>
  <c r="AC1001" i="2"/>
  <c r="AB1001" i="2"/>
  <c r="AA1001" i="2"/>
  <c r="Z1001" i="2"/>
  <c r="Y1001" i="2"/>
  <c r="X1001" i="2"/>
  <c r="W1001" i="2"/>
  <c r="V1001" i="2"/>
  <c r="U1001" i="2"/>
  <c r="T1001" i="2"/>
  <c r="AJ1000" i="2"/>
  <c r="AI1000" i="2"/>
  <c r="AH1000" i="2"/>
  <c r="AG1000" i="2"/>
  <c r="AF1000" i="2"/>
  <c r="AE1000" i="2"/>
  <c r="AD1000" i="2"/>
  <c r="AC1000" i="2"/>
  <c r="AB1000" i="2"/>
  <c r="AA1000" i="2"/>
  <c r="Z1000" i="2"/>
  <c r="Y1000" i="2"/>
  <c r="X1000" i="2"/>
  <c r="W1000" i="2"/>
  <c r="V1000" i="2"/>
  <c r="U1000" i="2"/>
  <c r="T1000" i="2"/>
  <c r="AJ999" i="2"/>
  <c r="AI999" i="2"/>
  <c r="AH999" i="2"/>
  <c r="AG999" i="2"/>
  <c r="AF999" i="2"/>
  <c r="AE999" i="2"/>
  <c r="AD999" i="2"/>
  <c r="AC999" i="2"/>
  <c r="AB999" i="2"/>
  <c r="AA999" i="2"/>
  <c r="Z999" i="2"/>
  <c r="Y999" i="2"/>
  <c r="X999" i="2"/>
  <c r="W999" i="2"/>
  <c r="V999" i="2"/>
  <c r="U999" i="2"/>
  <c r="T999" i="2"/>
  <c r="AJ998" i="2"/>
  <c r="AI998" i="2"/>
  <c r="AH998" i="2"/>
  <c r="AG998" i="2"/>
  <c r="AF998" i="2"/>
  <c r="AE998" i="2"/>
  <c r="AD998" i="2"/>
  <c r="AC998" i="2"/>
  <c r="AB998" i="2"/>
  <c r="AA998" i="2"/>
  <c r="Z998" i="2"/>
  <c r="Y998" i="2"/>
  <c r="X998" i="2"/>
  <c r="W998" i="2"/>
  <c r="V998" i="2"/>
  <c r="U998" i="2"/>
  <c r="T998" i="2"/>
  <c r="AJ997" i="2"/>
  <c r="AI997" i="2"/>
  <c r="AH997" i="2"/>
  <c r="AG997" i="2"/>
  <c r="AF997" i="2"/>
  <c r="AE997" i="2"/>
  <c r="AD997" i="2"/>
  <c r="AC997" i="2"/>
  <c r="AB997" i="2"/>
  <c r="AA997" i="2"/>
  <c r="Z997" i="2"/>
  <c r="Y997" i="2"/>
  <c r="X997" i="2"/>
  <c r="W997" i="2"/>
  <c r="V997" i="2"/>
  <c r="U997" i="2"/>
  <c r="T997" i="2"/>
  <c r="AJ996" i="2"/>
  <c r="AI996" i="2"/>
  <c r="AH996" i="2"/>
  <c r="AG996" i="2"/>
  <c r="AF996" i="2"/>
  <c r="AE996" i="2"/>
  <c r="AD996" i="2"/>
  <c r="AC996" i="2"/>
  <c r="AB996" i="2"/>
  <c r="AA996" i="2"/>
  <c r="Z996" i="2"/>
  <c r="Y996" i="2"/>
  <c r="X996" i="2"/>
  <c r="W996" i="2"/>
  <c r="V996" i="2"/>
  <c r="U996" i="2"/>
  <c r="T996" i="2"/>
  <c r="AJ995" i="2"/>
  <c r="AI995" i="2"/>
  <c r="AH995" i="2"/>
  <c r="AG995" i="2"/>
  <c r="AF995" i="2"/>
  <c r="AE995" i="2"/>
  <c r="AD995" i="2"/>
  <c r="AC995" i="2"/>
  <c r="AB995" i="2"/>
  <c r="AA995" i="2"/>
  <c r="Z995" i="2"/>
  <c r="Y995" i="2"/>
  <c r="X995" i="2"/>
  <c r="W995" i="2"/>
  <c r="V995" i="2"/>
  <c r="U995" i="2"/>
  <c r="T995" i="2"/>
  <c r="AJ994" i="2"/>
  <c r="AI994" i="2"/>
  <c r="AH994" i="2"/>
  <c r="AG994" i="2"/>
  <c r="AF994" i="2"/>
  <c r="AE994" i="2"/>
  <c r="AD994" i="2"/>
  <c r="AC994" i="2"/>
  <c r="AB994" i="2"/>
  <c r="AA994" i="2"/>
  <c r="Z994" i="2"/>
  <c r="Y994" i="2"/>
  <c r="X994" i="2"/>
  <c r="W994" i="2"/>
  <c r="V994" i="2"/>
  <c r="U994" i="2"/>
  <c r="T994" i="2"/>
  <c r="AJ993" i="2"/>
  <c r="AI993" i="2"/>
  <c r="AH993" i="2"/>
  <c r="AG993" i="2"/>
  <c r="AF993" i="2"/>
  <c r="AE993" i="2"/>
  <c r="AD993" i="2"/>
  <c r="AC993" i="2"/>
  <c r="AB993" i="2"/>
  <c r="AA993" i="2"/>
  <c r="Z993" i="2"/>
  <c r="Y993" i="2"/>
  <c r="X993" i="2"/>
  <c r="W993" i="2"/>
  <c r="V993" i="2"/>
  <c r="U993" i="2"/>
  <c r="T993" i="2"/>
  <c r="AJ992" i="2"/>
  <c r="AI992" i="2"/>
  <c r="AH992" i="2"/>
  <c r="AG992" i="2"/>
  <c r="AF992" i="2"/>
  <c r="AE992" i="2"/>
  <c r="AD992" i="2"/>
  <c r="AC992" i="2"/>
  <c r="AB992" i="2"/>
  <c r="AA992" i="2"/>
  <c r="Z992" i="2"/>
  <c r="Y992" i="2"/>
  <c r="X992" i="2"/>
  <c r="W992" i="2"/>
  <c r="V992" i="2"/>
  <c r="U992" i="2"/>
  <c r="T992" i="2"/>
  <c r="AJ991" i="2"/>
  <c r="AI991" i="2"/>
  <c r="AH991" i="2"/>
  <c r="AG991" i="2"/>
  <c r="AF991" i="2"/>
  <c r="AE991" i="2"/>
  <c r="AD991" i="2"/>
  <c r="AC991" i="2"/>
  <c r="AB991" i="2"/>
  <c r="AA991" i="2"/>
  <c r="Z991" i="2"/>
  <c r="Y991" i="2"/>
  <c r="X991" i="2"/>
  <c r="W991" i="2"/>
  <c r="V991" i="2"/>
  <c r="U991" i="2"/>
  <c r="T991" i="2"/>
  <c r="AJ990" i="2"/>
  <c r="AI990" i="2"/>
  <c r="AH990" i="2"/>
  <c r="AG990" i="2"/>
  <c r="AF990" i="2"/>
  <c r="AE990" i="2"/>
  <c r="AD990" i="2"/>
  <c r="AC990" i="2"/>
  <c r="AB990" i="2"/>
  <c r="AA990" i="2"/>
  <c r="Z990" i="2"/>
  <c r="Y990" i="2"/>
  <c r="X990" i="2"/>
  <c r="W990" i="2"/>
  <c r="V990" i="2"/>
  <c r="U990" i="2"/>
  <c r="T990" i="2"/>
  <c r="AJ989" i="2"/>
  <c r="AI989" i="2"/>
  <c r="AH989" i="2"/>
  <c r="AG989" i="2"/>
  <c r="AF989" i="2"/>
  <c r="AE989" i="2"/>
  <c r="AD989" i="2"/>
  <c r="AC989" i="2"/>
  <c r="AB989" i="2"/>
  <c r="AA989" i="2"/>
  <c r="Z989" i="2"/>
  <c r="Y989" i="2"/>
  <c r="X989" i="2"/>
  <c r="W989" i="2"/>
  <c r="V989" i="2"/>
  <c r="U989" i="2"/>
  <c r="T989" i="2"/>
  <c r="AJ988" i="2"/>
  <c r="AI988" i="2"/>
  <c r="AH988" i="2"/>
  <c r="AG988" i="2"/>
  <c r="AF988" i="2"/>
  <c r="AE988" i="2"/>
  <c r="AD988" i="2"/>
  <c r="AC988" i="2"/>
  <c r="AB988" i="2"/>
  <c r="AA988" i="2"/>
  <c r="Z988" i="2"/>
  <c r="Y988" i="2"/>
  <c r="X988" i="2"/>
  <c r="W988" i="2"/>
  <c r="V988" i="2"/>
  <c r="U988" i="2"/>
  <c r="T988" i="2"/>
  <c r="AJ987" i="2"/>
  <c r="AI987" i="2"/>
  <c r="AH987" i="2"/>
  <c r="AG987" i="2"/>
  <c r="AF987" i="2"/>
  <c r="AE987" i="2"/>
  <c r="AD987" i="2"/>
  <c r="AC987" i="2"/>
  <c r="AB987" i="2"/>
  <c r="AA987" i="2"/>
  <c r="Z987" i="2"/>
  <c r="Y987" i="2"/>
  <c r="X987" i="2"/>
  <c r="W987" i="2"/>
  <c r="V987" i="2"/>
  <c r="U987" i="2"/>
  <c r="T987" i="2"/>
  <c r="AJ986" i="2"/>
  <c r="AI986" i="2"/>
  <c r="AH986" i="2"/>
  <c r="AG986" i="2"/>
  <c r="AF986" i="2"/>
  <c r="AE986" i="2"/>
  <c r="AD986" i="2"/>
  <c r="AC986" i="2"/>
  <c r="AB986" i="2"/>
  <c r="AA986" i="2"/>
  <c r="Z986" i="2"/>
  <c r="Y986" i="2"/>
  <c r="X986" i="2"/>
  <c r="W986" i="2"/>
  <c r="V986" i="2"/>
  <c r="U986" i="2"/>
  <c r="T986" i="2"/>
  <c r="AJ985" i="2"/>
  <c r="AI985" i="2"/>
  <c r="AH985" i="2"/>
  <c r="AG985" i="2"/>
  <c r="AF985" i="2"/>
  <c r="AE985" i="2"/>
  <c r="AD985" i="2"/>
  <c r="AC985" i="2"/>
  <c r="AB985" i="2"/>
  <c r="AA985" i="2"/>
  <c r="Z985" i="2"/>
  <c r="Y985" i="2"/>
  <c r="X985" i="2"/>
  <c r="W985" i="2"/>
  <c r="V985" i="2"/>
  <c r="U985" i="2"/>
  <c r="T985" i="2"/>
  <c r="AJ984" i="2"/>
  <c r="AI984" i="2"/>
  <c r="AH984" i="2"/>
  <c r="AG984" i="2"/>
  <c r="AF984" i="2"/>
  <c r="AE984" i="2"/>
  <c r="AD984" i="2"/>
  <c r="AC984" i="2"/>
  <c r="AB984" i="2"/>
  <c r="AA984" i="2"/>
  <c r="Z984" i="2"/>
  <c r="Y984" i="2"/>
  <c r="X984" i="2"/>
  <c r="W984" i="2"/>
  <c r="V984" i="2"/>
  <c r="U984" i="2"/>
  <c r="T984" i="2"/>
  <c r="AJ983" i="2"/>
  <c r="AI983" i="2"/>
  <c r="AH983" i="2"/>
  <c r="AG983" i="2"/>
  <c r="AF983" i="2"/>
  <c r="AE983" i="2"/>
  <c r="AD983" i="2"/>
  <c r="AC983" i="2"/>
  <c r="AB983" i="2"/>
  <c r="AA983" i="2"/>
  <c r="Z983" i="2"/>
  <c r="Y983" i="2"/>
  <c r="X983" i="2"/>
  <c r="W983" i="2"/>
  <c r="V983" i="2"/>
  <c r="U983" i="2"/>
  <c r="T983" i="2"/>
  <c r="AJ982" i="2"/>
  <c r="AI982" i="2"/>
  <c r="AH982" i="2"/>
  <c r="AG982" i="2"/>
  <c r="AF982" i="2"/>
  <c r="AE982" i="2"/>
  <c r="AD982" i="2"/>
  <c r="AC982" i="2"/>
  <c r="AB982" i="2"/>
  <c r="AA982" i="2"/>
  <c r="Z982" i="2"/>
  <c r="Y982" i="2"/>
  <c r="X982" i="2"/>
  <c r="W982" i="2"/>
  <c r="V982" i="2"/>
  <c r="U982" i="2"/>
  <c r="T982" i="2"/>
  <c r="AJ981" i="2"/>
  <c r="AI981" i="2"/>
  <c r="AH981" i="2"/>
  <c r="AG981" i="2"/>
  <c r="AF981" i="2"/>
  <c r="AE981" i="2"/>
  <c r="AD981" i="2"/>
  <c r="AC981" i="2"/>
  <c r="AB981" i="2"/>
  <c r="AA981" i="2"/>
  <c r="Z981" i="2"/>
  <c r="Y981" i="2"/>
  <c r="X981" i="2"/>
  <c r="W981" i="2"/>
  <c r="V981" i="2"/>
  <c r="U981" i="2"/>
  <c r="T981" i="2"/>
  <c r="AJ980" i="2"/>
  <c r="AI980" i="2"/>
  <c r="AH980" i="2"/>
  <c r="AG980" i="2"/>
  <c r="AF980" i="2"/>
  <c r="AE980" i="2"/>
  <c r="AD980" i="2"/>
  <c r="AC980" i="2"/>
  <c r="AB980" i="2"/>
  <c r="AA980" i="2"/>
  <c r="Z980" i="2"/>
  <c r="Y980" i="2"/>
  <c r="X980" i="2"/>
  <c r="W980" i="2"/>
  <c r="V980" i="2"/>
  <c r="U980" i="2"/>
  <c r="T980" i="2"/>
  <c r="AJ979" i="2"/>
  <c r="AI979" i="2"/>
  <c r="AH979" i="2"/>
  <c r="AG979" i="2"/>
  <c r="AF979" i="2"/>
  <c r="AE979" i="2"/>
  <c r="AD979" i="2"/>
  <c r="AC979" i="2"/>
  <c r="AB979" i="2"/>
  <c r="AA979" i="2"/>
  <c r="Z979" i="2"/>
  <c r="Y979" i="2"/>
  <c r="X979" i="2"/>
  <c r="W979" i="2"/>
  <c r="V979" i="2"/>
  <c r="U979" i="2"/>
  <c r="T979" i="2"/>
  <c r="AJ978" i="2"/>
  <c r="AI978" i="2"/>
  <c r="AH978" i="2"/>
  <c r="AG978" i="2"/>
  <c r="AF978" i="2"/>
  <c r="AE978" i="2"/>
  <c r="AD978" i="2"/>
  <c r="AC978" i="2"/>
  <c r="AB978" i="2"/>
  <c r="AA978" i="2"/>
  <c r="Z978" i="2"/>
  <c r="Y978" i="2"/>
  <c r="X978" i="2"/>
  <c r="W978" i="2"/>
  <c r="V978" i="2"/>
  <c r="U978" i="2"/>
  <c r="T978" i="2"/>
  <c r="AJ977" i="2"/>
  <c r="AI977" i="2"/>
  <c r="AH977" i="2"/>
  <c r="AG977" i="2"/>
  <c r="AF977" i="2"/>
  <c r="AE977" i="2"/>
  <c r="AD977" i="2"/>
  <c r="AC977" i="2"/>
  <c r="AB977" i="2"/>
  <c r="AA977" i="2"/>
  <c r="Z977" i="2"/>
  <c r="Y977" i="2"/>
  <c r="X977" i="2"/>
  <c r="W977" i="2"/>
  <c r="V977" i="2"/>
  <c r="U977" i="2"/>
  <c r="T977" i="2"/>
  <c r="AJ976" i="2"/>
  <c r="AI976" i="2"/>
  <c r="AH976" i="2"/>
  <c r="AG976" i="2"/>
  <c r="AF976" i="2"/>
  <c r="AE976" i="2"/>
  <c r="AD976" i="2"/>
  <c r="AC976" i="2"/>
  <c r="AB976" i="2"/>
  <c r="AA976" i="2"/>
  <c r="Z976" i="2"/>
  <c r="Y976" i="2"/>
  <c r="X976" i="2"/>
  <c r="W976" i="2"/>
  <c r="V976" i="2"/>
  <c r="U976" i="2"/>
  <c r="T976" i="2"/>
  <c r="AJ975" i="2"/>
  <c r="AI975" i="2"/>
  <c r="AH975" i="2"/>
  <c r="AG975" i="2"/>
  <c r="AF975" i="2"/>
  <c r="AE975" i="2"/>
  <c r="AD975" i="2"/>
  <c r="AC975" i="2"/>
  <c r="AB975" i="2"/>
  <c r="AA975" i="2"/>
  <c r="Z975" i="2"/>
  <c r="Y975" i="2"/>
  <c r="X975" i="2"/>
  <c r="W975" i="2"/>
  <c r="V975" i="2"/>
  <c r="U975" i="2"/>
  <c r="T975" i="2"/>
  <c r="AJ974" i="2"/>
  <c r="AI974" i="2"/>
  <c r="AH974" i="2"/>
  <c r="AG974" i="2"/>
  <c r="AF974" i="2"/>
  <c r="AE974" i="2"/>
  <c r="AD974" i="2"/>
  <c r="AC974" i="2"/>
  <c r="AB974" i="2"/>
  <c r="AA974" i="2"/>
  <c r="Z974" i="2"/>
  <c r="Y974" i="2"/>
  <c r="X974" i="2"/>
  <c r="W974" i="2"/>
  <c r="V974" i="2"/>
  <c r="U974" i="2"/>
  <c r="T974" i="2"/>
  <c r="AJ973" i="2"/>
  <c r="AI973" i="2"/>
  <c r="AH973" i="2"/>
  <c r="AG973" i="2"/>
  <c r="AF973" i="2"/>
  <c r="AE973" i="2"/>
  <c r="AD973" i="2"/>
  <c r="AC973" i="2"/>
  <c r="AB973" i="2"/>
  <c r="AA973" i="2"/>
  <c r="Z973" i="2"/>
  <c r="Y973" i="2"/>
  <c r="X973" i="2"/>
  <c r="W973" i="2"/>
  <c r="V973" i="2"/>
  <c r="U973" i="2"/>
  <c r="T973" i="2"/>
  <c r="AJ972" i="2"/>
  <c r="AI972" i="2"/>
  <c r="AH972" i="2"/>
  <c r="AG972" i="2"/>
  <c r="AF972" i="2"/>
  <c r="AE972" i="2"/>
  <c r="AD972" i="2"/>
  <c r="AC972" i="2"/>
  <c r="AB972" i="2"/>
  <c r="AA972" i="2"/>
  <c r="Z972" i="2"/>
  <c r="Y972" i="2"/>
  <c r="X972" i="2"/>
  <c r="W972" i="2"/>
  <c r="V972" i="2"/>
  <c r="U972" i="2"/>
  <c r="T972" i="2"/>
  <c r="AJ971" i="2"/>
  <c r="AI971" i="2"/>
  <c r="AH971" i="2"/>
  <c r="AG971" i="2"/>
  <c r="AF971" i="2"/>
  <c r="AE971" i="2"/>
  <c r="AD971" i="2"/>
  <c r="AC971" i="2"/>
  <c r="AB971" i="2"/>
  <c r="AA971" i="2"/>
  <c r="Z971" i="2"/>
  <c r="Y971" i="2"/>
  <c r="X971" i="2"/>
  <c r="W971" i="2"/>
  <c r="V971" i="2"/>
  <c r="U971" i="2"/>
  <c r="T971" i="2"/>
  <c r="AJ970" i="2"/>
  <c r="AI970" i="2"/>
  <c r="AH970" i="2"/>
  <c r="AG970" i="2"/>
  <c r="AF970" i="2"/>
  <c r="AE970" i="2"/>
  <c r="AD970" i="2"/>
  <c r="AC970" i="2"/>
  <c r="AB970" i="2"/>
  <c r="AA970" i="2"/>
  <c r="Z970" i="2"/>
  <c r="Y970" i="2"/>
  <c r="X970" i="2"/>
  <c r="W970" i="2"/>
  <c r="V970" i="2"/>
  <c r="U970" i="2"/>
  <c r="T970" i="2"/>
  <c r="AJ969" i="2"/>
  <c r="AI969" i="2"/>
  <c r="AH969" i="2"/>
  <c r="AG969" i="2"/>
  <c r="AF969" i="2"/>
  <c r="AE969" i="2"/>
  <c r="AD969" i="2"/>
  <c r="AC969" i="2"/>
  <c r="AB969" i="2"/>
  <c r="AA969" i="2"/>
  <c r="Z969" i="2"/>
  <c r="Y969" i="2"/>
  <c r="X969" i="2"/>
  <c r="W969" i="2"/>
  <c r="V969" i="2"/>
  <c r="U969" i="2"/>
  <c r="T969" i="2"/>
  <c r="AJ968" i="2"/>
  <c r="AI968" i="2"/>
  <c r="AH968" i="2"/>
  <c r="AG968" i="2"/>
  <c r="AF968" i="2"/>
  <c r="AE968" i="2"/>
  <c r="AD968" i="2"/>
  <c r="AC968" i="2"/>
  <c r="AB968" i="2"/>
  <c r="AA968" i="2"/>
  <c r="Z968" i="2"/>
  <c r="Y968" i="2"/>
  <c r="X968" i="2"/>
  <c r="W968" i="2"/>
  <c r="V968" i="2"/>
  <c r="U968" i="2"/>
  <c r="T968" i="2"/>
  <c r="AJ967" i="2"/>
  <c r="AI967" i="2"/>
  <c r="AH967" i="2"/>
  <c r="AG967" i="2"/>
  <c r="AF967" i="2"/>
  <c r="AE967" i="2"/>
  <c r="AD967" i="2"/>
  <c r="AC967" i="2"/>
  <c r="AB967" i="2"/>
  <c r="AA967" i="2"/>
  <c r="Z967" i="2"/>
  <c r="Y967" i="2"/>
  <c r="X967" i="2"/>
  <c r="W967" i="2"/>
  <c r="V967" i="2"/>
  <c r="U967" i="2"/>
  <c r="T967" i="2"/>
  <c r="AJ966" i="2"/>
  <c r="AI966" i="2"/>
  <c r="AH966" i="2"/>
  <c r="AG966" i="2"/>
  <c r="AF966" i="2"/>
  <c r="AE966" i="2"/>
  <c r="AD966" i="2"/>
  <c r="AC966" i="2"/>
  <c r="AB966" i="2"/>
  <c r="AA966" i="2"/>
  <c r="Z966" i="2"/>
  <c r="Y966" i="2"/>
  <c r="X966" i="2"/>
  <c r="W966" i="2"/>
  <c r="V966" i="2"/>
  <c r="U966" i="2"/>
  <c r="T966" i="2"/>
  <c r="AJ965" i="2"/>
  <c r="AI965" i="2"/>
  <c r="AH965" i="2"/>
  <c r="AG965" i="2"/>
  <c r="AF965" i="2"/>
  <c r="AE965" i="2"/>
  <c r="AD965" i="2"/>
  <c r="AC965" i="2"/>
  <c r="AB965" i="2"/>
  <c r="AA965" i="2"/>
  <c r="Z965" i="2"/>
  <c r="Y965" i="2"/>
  <c r="X965" i="2"/>
  <c r="W965" i="2"/>
  <c r="V965" i="2"/>
  <c r="U965" i="2"/>
  <c r="T965" i="2"/>
  <c r="AJ964" i="2"/>
  <c r="AI964" i="2"/>
  <c r="AH964" i="2"/>
  <c r="AG964" i="2"/>
  <c r="AF964" i="2"/>
  <c r="AE964" i="2"/>
  <c r="AD964" i="2"/>
  <c r="AC964" i="2"/>
  <c r="AB964" i="2"/>
  <c r="AA964" i="2"/>
  <c r="Z964" i="2"/>
  <c r="Y964" i="2"/>
  <c r="X964" i="2"/>
  <c r="W964" i="2"/>
  <c r="V964" i="2"/>
  <c r="U964" i="2"/>
  <c r="T964" i="2"/>
  <c r="AJ963" i="2"/>
  <c r="AI963" i="2"/>
  <c r="AH963" i="2"/>
  <c r="AG963" i="2"/>
  <c r="AF963" i="2"/>
  <c r="AE963" i="2"/>
  <c r="AD963" i="2"/>
  <c r="AC963" i="2"/>
  <c r="AB963" i="2"/>
  <c r="AA963" i="2"/>
  <c r="Z963" i="2"/>
  <c r="Y963" i="2"/>
  <c r="X963" i="2"/>
  <c r="W963" i="2"/>
  <c r="V963" i="2"/>
  <c r="U963" i="2"/>
  <c r="T963" i="2"/>
  <c r="AJ962" i="2"/>
  <c r="AI962" i="2"/>
  <c r="AH962" i="2"/>
  <c r="AG962" i="2"/>
  <c r="AF962" i="2"/>
  <c r="AE962" i="2"/>
  <c r="AD962" i="2"/>
  <c r="AC962" i="2"/>
  <c r="AB962" i="2"/>
  <c r="AA962" i="2"/>
  <c r="Z962" i="2"/>
  <c r="Y962" i="2"/>
  <c r="X962" i="2"/>
  <c r="W962" i="2"/>
  <c r="V962" i="2"/>
  <c r="U962" i="2"/>
  <c r="T962" i="2"/>
  <c r="AJ961" i="2"/>
  <c r="AI961" i="2"/>
  <c r="AH961" i="2"/>
  <c r="AG961" i="2"/>
  <c r="AF961" i="2"/>
  <c r="AE961" i="2"/>
  <c r="AD961" i="2"/>
  <c r="AC961" i="2"/>
  <c r="AB961" i="2"/>
  <c r="AA961" i="2"/>
  <c r="Z961" i="2"/>
  <c r="Y961" i="2"/>
  <c r="X961" i="2"/>
  <c r="W961" i="2"/>
  <c r="V961" i="2"/>
  <c r="U961" i="2"/>
  <c r="T961" i="2"/>
  <c r="AJ960" i="2"/>
  <c r="AI960" i="2"/>
  <c r="AH960" i="2"/>
  <c r="AG960" i="2"/>
  <c r="AF960" i="2"/>
  <c r="AE960" i="2"/>
  <c r="AD960" i="2"/>
  <c r="AC960" i="2"/>
  <c r="AB960" i="2"/>
  <c r="AA960" i="2"/>
  <c r="Z960" i="2"/>
  <c r="Y960" i="2"/>
  <c r="X960" i="2"/>
  <c r="W960" i="2"/>
  <c r="V960" i="2"/>
  <c r="U960" i="2"/>
  <c r="T960" i="2"/>
  <c r="AJ959" i="2"/>
  <c r="AI959" i="2"/>
  <c r="AH959" i="2"/>
  <c r="AG959" i="2"/>
  <c r="AF959" i="2"/>
  <c r="AE959" i="2"/>
  <c r="AD959" i="2"/>
  <c r="AC959" i="2"/>
  <c r="AB959" i="2"/>
  <c r="AA959" i="2"/>
  <c r="Z959" i="2"/>
  <c r="Y959" i="2"/>
  <c r="X959" i="2"/>
  <c r="W959" i="2"/>
  <c r="V959" i="2"/>
  <c r="U959" i="2"/>
  <c r="T959" i="2"/>
  <c r="AJ958" i="2"/>
  <c r="AI958" i="2"/>
  <c r="AH958" i="2"/>
  <c r="AG958" i="2"/>
  <c r="AF958" i="2"/>
  <c r="AE958" i="2"/>
  <c r="AD958" i="2"/>
  <c r="AC958" i="2"/>
  <c r="AB958" i="2"/>
  <c r="AA958" i="2"/>
  <c r="Z958" i="2"/>
  <c r="Y958" i="2"/>
  <c r="X958" i="2"/>
  <c r="W958" i="2"/>
  <c r="V958" i="2"/>
  <c r="U958" i="2"/>
  <c r="T958" i="2"/>
  <c r="AJ957" i="2"/>
  <c r="AI957" i="2"/>
  <c r="AH957" i="2"/>
  <c r="AG957" i="2"/>
  <c r="AF957" i="2"/>
  <c r="AE957" i="2"/>
  <c r="AD957" i="2"/>
  <c r="AC957" i="2"/>
  <c r="AB957" i="2"/>
  <c r="AA957" i="2"/>
  <c r="Z957" i="2"/>
  <c r="Y957" i="2"/>
  <c r="X957" i="2"/>
  <c r="W957" i="2"/>
  <c r="V957" i="2"/>
  <c r="U957" i="2"/>
  <c r="T957" i="2"/>
  <c r="AJ956" i="2"/>
  <c r="AI956" i="2"/>
  <c r="AH956" i="2"/>
  <c r="AG956" i="2"/>
  <c r="AF956" i="2"/>
  <c r="AE956" i="2"/>
  <c r="AD956" i="2"/>
  <c r="AC956" i="2"/>
  <c r="AB956" i="2"/>
  <c r="AA956" i="2"/>
  <c r="Z956" i="2"/>
  <c r="Y956" i="2"/>
  <c r="X956" i="2"/>
  <c r="W956" i="2"/>
  <c r="V956" i="2"/>
  <c r="U956" i="2"/>
  <c r="T956" i="2"/>
  <c r="AJ955" i="2"/>
  <c r="AI955" i="2"/>
  <c r="AH955" i="2"/>
  <c r="AG955" i="2"/>
  <c r="AF955" i="2"/>
  <c r="AE955" i="2"/>
  <c r="AD955" i="2"/>
  <c r="AC955" i="2"/>
  <c r="AB955" i="2"/>
  <c r="AA955" i="2"/>
  <c r="Z955" i="2"/>
  <c r="Y955" i="2"/>
  <c r="X955" i="2"/>
  <c r="W955" i="2"/>
  <c r="V955" i="2"/>
  <c r="U955" i="2"/>
  <c r="T955" i="2"/>
  <c r="AJ954" i="2"/>
  <c r="AI954" i="2"/>
  <c r="AH954" i="2"/>
  <c r="AG954" i="2"/>
  <c r="AF954" i="2"/>
  <c r="AE954" i="2"/>
  <c r="AD954" i="2"/>
  <c r="AC954" i="2"/>
  <c r="AB954" i="2"/>
  <c r="AA954" i="2"/>
  <c r="Z954" i="2"/>
  <c r="Y954" i="2"/>
  <c r="X954" i="2"/>
  <c r="W954" i="2"/>
  <c r="V954" i="2"/>
  <c r="U954" i="2"/>
  <c r="T954" i="2"/>
  <c r="AJ953" i="2"/>
  <c r="AI953" i="2"/>
  <c r="AH953" i="2"/>
  <c r="AG953" i="2"/>
  <c r="AF953" i="2"/>
  <c r="AE953" i="2"/>
  <c r="AD953" i="2"/>
  <c r="AC953" i="2"/>
  <c r="AB953" i="2"/>
  <c r="AA953" i="2"/>
  <c r="Z953" i="2"/>
  <c r="Y953" i="2"/>
  <c r="X953" i="2"/>
  <c r="W953" i="2"/>
  <c r="V953" i="2"/>
  <c r="U953" i="2"/>
  <c r="T953" i="2"/>
  <c r="AJ952" i="2"/>
  <c r="AI952" i="2"/>
  <c r="AH952" i="2"/>
  <c r="AG952" i="2"/>
  <c r="AF952" i="2"/>
  <c r="AE952" i="2"/>
  <c r="AD952" i="2"/>
  <c r="AC952" i="2"/>
  <c r="AB952" i="2"/>
  <c r="AA952" i="2"/>
  <c r="Z952" i="2"/>
  <c r="Y952" i="2"/>
  <c r="X952" i="2"/>
  <c r="W952" i="2"/>
  <c r="V952" i="2"/>
  <c r="U952" i="2"/>
  <c r="T952" i="2"/>
  <c r="AJ951" i="2"/>
  <c r="AI951" i="2"/>
  <c r="AH951" i="2"/>
  <c r="AG951" i="2"/>
  <c r="AF951" i="2"/>
  <c r="AE951" i="2"/>
  <c r="AD951" i="2"/>
  <c r="AC951" i="2"/>
  <c r="AB951" i="2"/>
  <c r="AA951" i="2"/>
  <c r="Z951" i="2"/>
  <c r="Y951" i="2"/>
  <c r="X951" i="2"/>
  <c r="W951" i="2"/>
  <c r="V951" i="2"/>
  <c r="U951" i="2"/>
  <c r="T951" i="2"/>
  <c r="AJ950" i="2"/>
  <c r="AI950" i="2"/>
  <c r="AH950" i="2"/>
  <c r="AG950" i="2"/>
  <c r="AF950" i="2"/>
  <c r="AE950" i="2"/>
  <c r="AD950" i="2"/>
  <c r="AC950" i="2"/>
  <c r="AB950" i="2"/>
  <c r="AA950" i="2"/>
  <c r="Z950" i="2"/>
  <c r="Y950" i="2"/>
  <c r="X950" i="2"/>
  <c r="W950" i="2"/>
  <c r="V950" i="2"/>
  <c r="U950" i="2"/>
  <c r="T950" i="2"/>
  <c r="AJ949" i="2"/>
  <c r="AI949" i="2"/>
  <c r="AH949" i="2"/>
  <c r="AG949" i="2"/>
  <c r="AF949" i="2"/>
  <c r="AE949" i="2"/>
  <c r="AD949" i="2"/>
  <c r="AC949" i="2"/>
  <c r="AB949" i="2"/>
  <c r="AA949" i="2"/>
  <c r="Z949" i="2"/>
  <c r="Y949" i="2"/>
  <c r="X949" i="2"/>
  <c r="W949" i="2"/>
  <c r="V949" i="2"/>
  <c r="U949" i="2"/>
  <c r="T949" i="2"/>
  <c r="AJ948" i="2"/>
  <c r="AI948" i="2"/>
  <c r="AH948" i="2"/>
  <c r="AG948" i="2"/>
  <c r="AF948" i="2"/>
  <c r="AE948" i="2"/>
  <c r="AD948" i="2"/>
  <c r="AC948" i="2"/>
  <c r="AB948" i="2"/>
  <c r="AA948" i="2"/>
  <c r="Z948" i="2"/>
  <c r="Y948" i="2"/>
  <c r="X948" i="2"/>
  <c r="W948" i="2"/>
  <c r="V948" i="2"/>
  <c r="U948" i="2"/>
  <c r="T948" i="2"/>
  <c r="AJ947" i="2"/>
  <c r="AI947" i="2"/>
  <c r="AH947" i="2"/>
  <c r="AG947" i="2"/>
  <c r="AF947" i="2"/>
  <c r="AE947" i="2"/>
  <c r="AD947" i="2"/>
  <c r="AC947" i="2"/>
  <c r="AB947" i="2"/>
  <c r="AA947" i="2"/>
  <c r="Z947" i="2"/>
  <c r="Y947" i="2"/>
  <c r="X947" i="2"/>
  <c r="W947" i="2"/>
  <c r="V947" i="2"/>
  <c r="U947" i="2"/>
  <c r="T947" i="2"/>
  <c r="AJ946" i="2"/>
  <c r="AI946" i="2"/>
  <c r="AH946" i="2"/>
  <c r="AG946" i="2"/>
  <c r="AF946" i="2"/>
  <c r="AE946" i="2"/>
  <c r="AD946" i="2"/>
  <c r="AC946" i="2"/>
  <c r="AB946" i="2"/>
  <c r="AA946" i="2"/>
  <c r="Z946" i="2"/>
  <c r="Y946" i="2"/>
  <c r="X946" i="2"/>
  <c r="W946" i="2"/>
  <c r="V946" i="2"/>
  <c r="U946" i="2"/>
  <c r="T946" i="2"/>
  <c r="AJ945" i="2"/>
  <c r="AI945" i="2"/>
  <c r="AH945" i="2"/>
  <c r="AG945" i="2"/>
  <c r="AF945" i="2"/>
  <c r="AE945" i="2"/>
  <c r="AD945" i="2"/>
  <c r="AC945" i="2"/>
  <c r="AB945" i="2"/>
  <c r="AA945" i="2"/>
  <c r="Z945" i="2"/>
  <c r="Y945" i="2"/>
  <c r="X945" i="2"/>
  <c r="W945" i="2"/>
  <c r="V945" i="2"/>
  <c r="U945" i="2"/>
  <c r="T945" i="2"/>
  <c r="AJ944" i="2"/>
  <c r="AI944" i="2"/>
  <c r="AH944" i="2"/>
  <c r="AG944" i="2"/>
  <c r="AF944" i="2"/>
  <c r="AE944" i="2"/>
  <c r="AD944" i="2"/>
  <c r="AC944" i="2"/>
  <c r="AB944" i="2"/>
  <c r="AA944" i="2"/>
  <c r="Z944" i="2"/>
  <c r="Y944" i="2"/>
  <c r="X944" i="2"/>
  <c r="W944" i="2"/>
  <c r="V944" i="2"/>
  <c r="U944" i="2"/>
  <c r="T944" i="2"/>
  <c r="AJ943" i="2"/>
  <c r="AI943" i="2"/>
  <c r="AH943" i="2"/>
  <c r="AG943" i="2"/>
  <c r="AF943" i="2"/>
  <c r="AE943" i="2"/>
  <c r="AD943" i="2"/>
  <c r="AC943" i="2"/>
  <c r="AB943" i="2"/>
  <c r="AA943" i="2"/>
  <c r="Z943" i="2"/>
  <c r="Y943" i="2"/>
  <c r="X943" i="2"/>
  <c r="W943" i="2"/>
  <c r="V943" i="2"/>
  <c r="U943" i="2"/>
  <c r="T943" i="2"/>
  <c r="AJ942" i="2"/>
  <c r="AI942" i="2"/>
  <c r="AH942" i="2"/>
  <c r="AG942" i="2"/>
  <c r="AF942" i="2"/>
  <c r="AE942" i="2"/>
  <c r="AD942" i="2"/>
  <c r="AC942" i="2"/>
  <c r="AB942" i="2"/>
  <c r="AA942" i="2"/>
  <c r="Z942" i="2"/>
  <c r="Y942" i="2"/>
  <c r="X942" i="2"/>
  <c r="W942" i="2"/>
  <c r="V942" i="2"/>
  <c r="U942" i="2"/>
  <c r="T942" i="2"/>
  <c r="AJ941" i="2"/>
  <c r="AI941" i="2"/>
  <c r="AH941" i="2"/>
  <c r="AG941" i="2"/>
  <c r="AF941" i="2"/>
  <c r="AE941" i="2"/>
  <c r="AD941" i="2"/>
  <c r="AC941" i="2"/>
  <c r="AB941" i="2"/>
  <c r="AA941" i="2"/>
  <c r="Z941" i="2"/>
  <c r="Y941" i="2"/>
  <c r="X941" i="2"/>
  <c r="W941" i="2"/>
  <c r="V941" i="2"/>
  <c r="U941" i="2"/>
  <c r="T941" i="2"/>
  <c r="AJ940" i="2"/>
  <c r="AI940" i="2"/>
  <c r="AH940" i="2"/>
  <c r="AG940" i="2"/>
  <c r="AF940" i="2"/>
  <c r="AE940" i="2"/>
  <c r="AD940" i="2"/>
  <c r="AC940" i="2"/>
  <c r="AB940" i="2"/>
  <c r="AA940" i="2"/>
  <c r="Z940" i="2"/>
  <c r="Y940" i="2"/>
  <c r="X940" i="2"/>
  <c r="W940" i="2"/>
  <c r="V940" i="2"/>
  <c r="U940" i="2"/>
  <c r="T940" i="2"/>
  <c r="AJ939" i="2"/>
  <c r="AI939" i="2"/>
  <c r="AH939" i="2"/>
  <c r="AG939" i="2"/>
  <c r="AF939" i="2"/>
  <c r="AE939" i="2"/>
  <c r="AD939" i="2"/>
  <c r="AC939" i="2"/>
  <c r="AB939" i="2"/>
  <c r="AA939" i="2"/>
  <c r="Z939" i="2"/>
  <c r="Y939" i="2"/>
  <c r="X939" i="2"/>
  <c r="W939" i="2"/>
  <c r="V939" i="2"/>
  <c r="U939" i="2"/>
  <c r="T939" i="2"/>
  <c r="AJ938" i="2"/>
  <c r="AI938" i="2"/>
  <c r="AH938" i="2"/>
  <c r="AG938" i="2"/>
  <c r="AF938" i="2"/>
  <c r="AE938" i="2"/>
  <c r="AD938" i="2"/>
  <c r="AC938" i="2"/>
  <c r="AB938" i="2"/>
  <c r="AA938" i="2"/>
  <c r="Z938" i="2"/>
  <c r="Y938" i="2"/>
  <c r="X938" i="2"/>
  <c r="W938" i="2"/>
  <c r="V938" i="2"/>
  <c r="U938" i="2"/>
  <c r="T938" i="2"/>
  <c r="AJ937" i="2"/>
  <c r="AI937" i="2"/>
  <c r="AH937" i="2"/>
  <c r="AG937" i="2"/>
  <c r="AF937" i="2"/>
  <c r="AE937" i="2"/>
  <c r="AD937" i="2"/>
  <c r="AC937" i="2"/>
  <c r="AB937" i="2"/>
  <c r="AA937" i="2"/>
  <c r="Z937" i="2"/>
  <c r="Y937" i="2"/>
  <c r="X937" i="2"/>
  <c r="W937" i="2"/>
  <c r="V937" i="2"/>
  <c r="U937" i="2"/>
  <c r="T937" i="2"/>
  <c r="AJ936" i="2"/>
  <c r="AI936" i="2"/>
  <c r="AH936" i="2"/>
  <c r="AG936" i="2"/>
  <c r="AF936" i="2"/>
  <c r="AE936" i="2"/>
  <c r="AD936" i="2"/>
  <c r="AC936" i="2"/>
  <c r="AB936" i="2"/>
  <c r="AA936" i="2"/>
  <c r="Z936" i="2"/>
  <c r="Y936" i="2"/>
  <c r="X936" i="2"/>
  <c r="W936" i="2"/>
  <c r="V936" i="2"/>
  <c r="U936" i="2"/>
  <c r="T936" i="2"/>
  <c r="AJ935" i="2"/>
  <c r="AI935" i="2"/>
  <c r="AH935" i="2"/>
  <c r="AG935" i="2"/>
  <c r="AF935" i="2"/>
  <c r="AE935" i="2"/>
  <c r="AD935" i="2"/>
  <c r="AC935" i="2"/>
  <c r="AB935" i="2"/>
  <c r="AA935" i="2"/>
  <c r="Z935" i="2"/>
  <c r="Y935" i="2"/>
  <c r="X935" i="2"/>
  <c r="W935" i="2"/>
  <c r="V935" i="2"/>
  <c r="U935" i="2"/>
  <c r="T935" i="2"/>
  <c r="AJ934" i="2"/>
  <c r="AI934" i="2"/>
  <c r="AH934" i="2"/>
  <c r="AG934" i="2"/>
  <c r="AF934" i="2"/>
  <c r="AE934" i="2"/>
  <c r="AD934" i="2"/>
  <c r="AC934" i="2"/>
  <c r="AB934" i="2"/>
  <c r="AA934" i="2"/>
  <c r="Z934" i="2"/>
  <c r="Y934" i="2"/>
  <c r="X934" i="2"/>
  <c r="W934" i="2"/>
  <c r="V934" i="2"/>
  <c r="U934" i="2"/>
  <c r="T934" i="2"/>
  <c r="AJ933" i="2"/>
  <c r="AI933" i="2"/>
  <c r="AH933" i="2"/>
  <c r="AG933" i="2"/>
  <c r="AF933" i="2"/>
  <c r="AE933" i="2"/>
  <c r="AD933" i="2"/>
  <c r="AC933" i="2"/>
  <c r="AB933" i="2"/>
  <c r="AA933" i="2"/>
  <c r="Z933" i="2"/>
  <c r="Y933" i="2"/>
  <c r="X933" i="2"/>
  <c r="W933" i="2"/>
  <c r="V933" i="2"/>
  <c r="U933" i="2"/>
  <c r="T933" i="2"/>
  <c r="AJ932" i="2"/>
  <c r="AI932" i="2"/>
  <c r="AH932" i="2"/>
  <c r="AG932" i="2"/>
  <c r="AF932" i="2"/>
  <c r="AE932" i="2"/>
  <c r="AD932" i="2"/>
  <c r="AC932" i="2"/>
  <c r="AB932" i="2"/>
  <c r="AA932" i="2"/>
  <c r="Z932" i="2"/>
  <c r="Y932" i="2"/>
  <c r="X932" i="2"/>
  <c r="W932" i="2"/>
  <c r="V932" i="2"/>
  <c r="U932" i="2"/>
  <c r="T932" i="2"/>
  <c r="AJ931" i="2"/>
  <c r="AI931" i="2"/>
  <c r="AH931" i="2"/>
  <c r="AG931" i="2"/>
  <c r="AF931" i="2"/>
  <c r="AE931" i="2"/>
  <c r="AD931" i="2"/>
  <c r="AC931" i="2"/>
  <c r="AB931" i="2"/>
  <c r="AA931" i="2"/>
  <c r="Z931" i="2"/>
  <c r="Y931" i="2"/>
  <c r="X931" i="2"/>
  <c r="W931" i="2"/>
  <c r="V931" i="2"/>
  <c r="U931" i="2"/>
  <c r="T931" i="2"/>
  <c r="AJ930" i="2"/>
  <c r="AI930" i="2"/>
  <c r="AH930" i="2"/>
  <c r="AG930" i="2"/>
  <c r="AF930" i="2"/>
  <c r="AE930" i="2"/>
  <c r="AD930" i="2"/>
  <c r="AC930" i="2"/>
  <c r="AB930" i="2"/>
  <c r="AA930" i="2"/>
  <c r="Z930" i="2"/>
  <c r="Y930" i="2"/>
  <c r="X930" i="2"/>
  <c r="W930" i="2"/>
  <c r="V930" i="2"/>
  <c r="U930" i="2"/>
  <c r="T930" i="2"/>
  <c r="AJ929" i="2"/>
  <c r="AI929" i="2"/>
  <c r="AH929" i="2"/>
  <c r="AG929" i="2"/>
  <c r="AF929" i="2"/>
  <c r="AE929" i="2"/>
  <c r="AD929" i="2"/>
  <c r="AC929" i="2"/>
  <c r="AB929" i="2"/>
  <c r="AA929" i="2"/>
  <c r="Z929" i="2"/>
  <c r="Y929" i="2"/>
  <c r="X929" i="2"/>
  <c r="W929" i="2"/>
  <c r="V929" i="2"/>
  <c r="U929" i="2"/>
  <c r="T929" i="2"/>
  <c r="AJ928" i="2"/>
  <c r="AI928" i="2"/>
  <c r="AH928" i="2"/>
  <c r="AG928" i="2"/>
  <c r="AF928" i="2"/>
  <c r="AE928" i="2"/>
  <c r="AD928" i="2"/>
  <c r="AC928" i="2"/>
  <c r="AB928" i="2"/>
  <c r="AA928" i="2"/>
  <c r="Z928" i="2"/>
  <c r="Y928" i="2"/>
  <c r="X928" i="2"/>
  <c r="W928" i="2"/>
  <c r="V928" i="2"/>
  <c r="U928" i="2"/>
  <c r="T928" i="2"/>
  <c r="AJ927" i="2"/>
  <c r="AI927" i="2"/>
  <c r="AH927" i="2"/>
  <c r="AG927" i="2"/>
  <c r="AF927" i="2"/>
  <c r="AE927" i="2"/>
  <c r="AD927" i="2"/>
  <c r="AC927" i="2"/>
  <c r="AB927" i="2"/>
  <c r="AA927" i="2"/>
  <c r="Z927" i="2"/>
  <c r="Y927" i="2"/>
  <c r="X927" i="2"/>
  <c r="W927" i="2"/>
  <c r="V927" i="2"/>
  <c r="U927" i="2"/>
  <c r="T927" i="2"/>
  <c r="AJ926" i="2"/>
  <c r="AI926" i="2"/>
  <c r="AH926" i="2"/>
  <c r="AG926" i="2"/>
  <c r="AF926" i="2"/>
  <c r="AE926" i="2"/>
  <c r="AD926" i="2"/>
  <c r="AC926" i="2"/>
  <c r="AB926" i="2"/>
  <c r="AA926" i="2"/>
  <c r="Z926" i="2"/>
  <c r="Y926" i="2"/>
  <c r="X926" i="2"/>
  <c r="W926" i="2"/>
  <c r="V926" i="2"/>
  <c r="U926" i="2"/>
  <c r="T926" i="2"/>
  <c r="AJ925" i="2"/>
  <c r="AI925" i="2"/>
  <c r="AH925" i="2"/>
  <c r="AG925" i="2"/>
  <c r="AF925" i="2"/>
  <c r="AE925" i="2"/>
  <c r="AD925" i="2"/>
  <c r="AC925" i="2"/>
  <c r="AB925" i="2"/>
  <c r="AA925" i="2"/>
  <c r="Z925" i="2"/>
  <c r="Y925" i="2"/>
  <c r="X925" i="2"/>
  <c r="W925" i="2"/>
  <c r="V925" i="2"/>
  <c r="U925" i="2"/>
  <c r="T925" i="2"/>
  <c r="AJ924" i="2"/>
  <c r="AI924" i="2"/>
  <c r="AH924" i="2"/>
  <c r="AG924" i="2"/>
  <c r="AF924" i="2"/>
  <c r="AE924" i="2"/>
  <c r="AD924" i="2"/>
  <c r="AC924" i="2"/>
  <c r="AB924" i="2"/>
  <c r="AA924" i="2"/>
  <c r="Z924" i="2"/>
  <c r="Y924" i="2"/>
  <c r="X924" i="2"/>
  <c r="W924" i="2"/>
  <c r="V924" i="2"/>
  <c r="U924" i="2"/>
  <c r="T924" i="2"/>
  <c r="AJ923" i="2"/>
  <c r="AI923" i="2"/>
  <c r="AH923" i="2"/>
  <c r="AG923" i="2"/>
  <c r="AF923" i="2"/>
  <c r="AE923" i="2"/>
  <c r="AD923" i="2"/>
  <c r="AC923" i="2"/>
  <c r="AB923" i="2"/>
  <c r="AA923" i="2"/>
  <c r="Z923" i="2"/>
  <c r="Y923" i="2"/>
  <c r="X923" i="2"/>
  <c r="W923" i="2"/>
  <c r="V923" i="2"/>
  <c r="U923" i="2"/>
  <c r="T923" i="2"/>
  <c r="AJ922" i="2"/>
  <c r="AI922" i="2"/>
  <c r="AH922" i="2"/>
  <c r="AG922" i="2"/>
  <c r="AF922" i="2"/>
  <c r="AE922" i="2"/>
  <c r="AD922" i="2"/>
  <c r="AC922" i="2"/>
  <c r="AB922" i="2"/>
  <c r="AA922" i="2"/>
  <c r="Z922" i="2"/>
  <c r="Y922" i="2"/>
  <c r="X922" i="2"/>
  <c r="W922" i="2"/>
  <c r="V922" i="2"/>
  <c r="U922" i="2"/>
  <c r="T922" i="2"/>
  <c r="AJ921" i="2"/>
  <c r="AI921" i="2"/>
  <c r="AH921" i="2"/>
  <c r="AG921" i="2"/>
  <c r="AF921" i="2"/>
  <c r="AE921" i="2"/>
  <c r="AD921" i="2"/>
  <c r="AC921" i="2"/>
  <c r="AB921" i="2"/>
  <c r="AA921" i="2"/>
  <c r="Z921" i="2"/>
  <c r="Y921" i="2"/>
  <c r="X921" i="2"/>
  <c r="W921" i="2"/>
  <c r="V921" i="2"/>
  <c r="U921" i="2"/>
  <c r="T921" i="2"/>
  <c r="AJ920" i="2"/>
  <c r="AI920" i="2"/>
  <c r="AH920" i="2"/>
  <c r="AG920" i="2"/>
  <c r="AF920" i="2"/>
  <c r="AE920" i="2"/>
  <c r="AD920" i="2"/>
  <c r="AC920" i="2"/>
  <c r="AB920" i="2"/>
  <c r="AA920" i="2"/>
  <c r="Z920" i="2"/>
  <c r="Y920" i="2"/>
  <c r="X920" i="2"/>
  <c r="W920" i="2"/>
  <c r="V920" i="2"/>
  <c r="U920" i="2"/>
  <c r="T920" i="2"/>
  <c r="AJ919" i="2"/>
  <c r="AI919" i="2"/>
  <c r="AH919" i="2"/>
  <c r="AG919" i="2"/>
  <c r="AF919" i="2"/>
  <c r="AE919" i="2"/>
  <c r="AD919" i="2"/>
  <c r="AC919" i="2"/>
  <c r="AB919" i="2"/>
  <c r="AA919" i="2"/>
  <c r="Z919" i="2"/>
  <c r="Y919" i="2"/>
  <c r="X919" i="2"/>
  <c r="W919" i="2"/>
  <c r="V919" i="2"/>
  <c r="U919" i="2"/>
  <c r="T919" i="2"/>
  <c r="AJ918" i="2"/>
  <c r="AI918" i="2"/>
  <c r="AH918" i="2"/>
  <c r="AG918" i="2"/>
  <c r="AF918" i="2"/>
  <c r="AE918" i="2"/>
  <c r="AD918" i="2"/>
  <c r="AC918" i="2"/>
  <c r="AB918" i="2"/>
  <c r="AA918" i="2"/>
  <c r="Z918" i="2"/>
  <c r="Y918" i="2"/>
  <c r="X918" i="2"/>
  <c r="W918" i="2"/>
  <c r="V918" i="2"/>
  <c r="U918" i="2"/>
  <c r="T918" i="2"/>
  <c r="AJ917" i="2"/>
  <c r="AI917" i="2"/>
  <c r="AH917" i="2"/>
  <c r="AG917" i="2"/>
  <c r="AF917" i="2"/>
  <c r="AE917" i="2"/>
  <c r="AD917" i="2"/>
  <c r="AC917" i="2"/>
  <c r="AB917" i="2"/>
  <c r="AA917" i="2"/>
  <c r="Z917" i="2"/>
  <c r="Y917" i="2"/>
  <c r="X917" i="2"/>
  <c r="W917" i="2"/>
  <c r="V917" i="2"/>
  <c r="U917" i="2"/>
  <c r="T917" i="2"/>
  <c r="AJ916" i="2"/>
  <c r="AI916" i="2"/>
  <c r="AH916" i="2"/>
  <c r="AG916" i="2"/>
  <c r="AF916" i="2"/>
  <c r="AE916" i="2"/>
  <c r="AD916" i="2"/>
  <c r="AC916" i="2"/>
  <c r="AB916" i="2"/>
  <c r="AA916" i="2"/>
  <c r="Z916" i="2"/>
  <c r="Y916" i="2"/>
  <c r="X916" i="2"/>
  <c r="W916" i="2"/>
  <c r="V916" i="2"/>
  <c r="U916" i="2"/>
  <c r="T916" i="2"/>
  <c r="AJ915" i="2"/>
  <c r="AI915" i="2"/>
  <c r="AH915" i="2"/>
  <c r="AG915" i="2"/>
  <c r="AF915" i="2"/>
  <c r="AE915" i="2"/>
  <c r="AD915" i="2"/>
  <c r="AC915" i="2"/>
  <c r="AB915" i="2"/>
  <c r="AA915" i="2"/>
  <c r="Z915" i="2"/>
  <c r="Y915" i="2"/>
  <c r="X915" i="2"/>
  <c r="W915" i="2"/>
  <c r="V915" i="2"/>
  <c r="U915" i="2"/>
  <c r="T915" i="2"/>
  <c r="AJ914" i="2"/>
  <c r="AI914" i="2"/>
  <c r="AH914" i="2"/>
  <c r="AG914" i="2"/>
  <c r="AF914" i="2"/>
  <c r="AE914" i="2"/>
  <c r="AD914" i="2"/>
  <c r="AC914" i="2"/>
  <c r="AB914" i="2"/>
  <c r="AA914" i="2"/>
  <c r="Z914" i="2"/>
  <c r="Y914" i="2"/>
  <c r="X914" i="2"/>
  <c r="W914" i="2"/>
  <c r="V914" i="2"/>
  <c r="U914" i="2"/>
  <c r="T914" i="2"/>
  <c r="AJ913" i="2"/>
  <c r="AI913" i="2"/>
  <c r="AH913" i="2"/>
  <c r="AG913" i="2"/>
  <c r="AF913" i="2"/>
  <c r="AE913" i="2"/>
  <c r="AD913" i="2"/>
  <c r="AC913" i="2"/>
  <c r="AB913" i="2"/>
  <c r="AA913" i="2"/>
  <c r="Z913" i="2"/>
  <c r="Y913" i="2"/>
  <c r="X913" i="2"/>
  <c r="W913" i="2"/>
  <c r="V913" i="2"/>
  <c r="U913" i="2"/>
  <c r="T913" i="2"/>
  <c r="AJ912" i="2"/>
  <c r="AI912" i="2"/>
  <c r="AH912" i="2"/>
  <c r="AG912" i="2"/>
  <c r="AF912" i="2"/>
  <c r="AE912" i="2"/>
  <c r="AD912" i="2"/>
  <c r="AC912" i="2"/>
  <c r="AB912" i="2"/>
  <c r="AA912" i="2"/>
  <c r="Z912" i="2"/>
  <c r="Y912" i="2"/>
  <c r="X912" i="2"/>
  <c r="W912" i="2"/>
  <c r="V912" i="2"/>
  <c r="U912" i="2"/>
  <c r="T912" i="2"/>
  <c r="AJ911" i="2"/>
  <c r="AI911" i="2"/>
  <c r="AH911" i="2"/>
  <c r="AG911" i="2"/>
  <c r="AF911" i="2"/>
  <c r="AE911" i="2"/>
  <c r="AD911" i="2"/>
  <c r="AC911" i="2"/>
  <c r="AB911" i="2"/>
  <c r="AA911" i="2"/>
  <c r="Z911" i="2"/>
  <c r="Y911" i="2"/>
  <c r="X911" i="2"/>
  <c r="W911" i="2"/>
  <c r="V911" i="2"/>
  <c r="U911" i="2"/>
  <c r="T911" i="2"/>
  <c r="AJ910" i="2"/>
  <c r="AI910" i="2"/>
  <c r="AH910" i="2"/>
  <c r="AG910" i="2"/>
  <c r="AF910" i="2"/>
  <c r="AE910" i="2"/>
  <c r="AD910" i="2"/>
  <c r="AC910" i="2"/>
  <c r="AB910" i="2"/>
  <c r="AA910" i="2"/>
  <c r="Z910" i="2"/>
  <c r="Y910" i="2"/>
  <c r="X910" i="2"/>
  <c r="W910" i="2"/>
  <c r="V910" i="2"/>
  <c r="U910" i="2"/>
  <c r="T910" i="2"/>
  <c r="AJ909" i="2"/>
  <c r="AI909" i="2"/>
  <c r="AH909" i="2"/>
  <c r="AG909" i="2"/>
  <c r="AF909" i="2"/>
  <c r="AE909" i="2"/>
  <c r="AD909" i="2"/>
  <c r="AC909" i="2"/>
  <c r="AB909" i="2"/>
  <c r="AA909" i="2"/>
  <c r="Z909" i="2"/>
  <c r="Y909" i="2"/>
  <c r="X909" i="2"/>
  <c r="W909" i="2"/>
  <c r="V909" i="2"/>
  <c r="U909" i="2"/>
  <c r="T909" i="2"/>
  <c r="AJ908" i="2"/>
  <c r="AI908" i="2"/>
  <c r="AH908" i="2"/>
  <c r="AG908" i="2"/>
  <c r="AF908" i="2"/>
  <c r="AE908" i="2"/>
  <c r="AD908" i="2"/>
  <c r="AC908" i="2"/>
  <c r="AB908" i="2"/>
  <c r="AA908" i="2"/>
  <c r="Z908" i="2"/>
  <c r="Y908" i="2"/>
  <c r="X908" i="2"/>
  <c r="W908" i="2"/>
  <c r="V908" i="2"/>
  <c r="U908" i="2"/>
  <c r="T908" i="2"/>
  <c r="AJ907" i="2"/>
  <c r="AI907" i="2"/>
  <c r="AH907" i="2"/>
  <c r="AG907" i="2"/>
  <c r="AF907" i="2"/>
  <c r="AE907" i="2"/>
  <c r="AD907" i="2"/>
  <c r="AC907" i="2"/>
  <c r="AB907" i="2"/>
  <c r="AA907" i="2"/>
  <c r="Z907" i="2"/>
  <c r="Y907" i="2"/>
  <c r="X907" i="2"/>
  <c r="W907" i="2"/>
  <c r="V907" i="2"/>
  <c r="U907" i="2"/>
  <c r="T907" i="2"/>
  <c r="AJ906" i="2"/>
  <c r="AI906" i="2"/>
  <c r="AH906" i="2"/>
  <c r="AG906" i="2"/>
  <c r="AF906" i="2"/>
  <c r="AE906" i="2"/>
  <c r="AD906" i="2"/>
  <c r="AC906" i="2"/>
  <c r="AB906" i="2"/>
  <c r="AA906" i="2"/>
  <c r="Z906" i="2"/>
  <c r="Y906" i="2"/>
  <c r="X906" i="2"/>
  <c r="W906" i="2"/>
  <c r="V906" i="2"/>
  <c r="U906" i="2"/>
  <c r="T906" i="2"/>
  <c r="AJ905" i="2"/>
  <c r="AI905" i="2"/>
  <c r="AH905" i="2"/>
  <c r="AG905" i="2"/>
  <c r="AF905" i="2"/>
  <c r="AE905" i="2"/>
  <c r="AD905" i="2"/>
  <c r="AC905" i="2"/>
  <c r="AB905" i="2"/>
  <c r="AA905" i="2"/>
  <c r="Z905" i="2"/>
  <c r="Y905" i="2"/>
  <c r="X905" i="2"/>
  <c r="W905" i="2"/>
  <c r="V905" i="2"/>
  <c r="U905" i="2"/>
  <c r="T905" i="2"/>
  <c r="AJ904" i="2"/>
  <c r="AI904" i="2"/>
  <c r="AH904" i="2"/>
  <c r="AG904" i="2"/>
  <c r="AF904" i="2"/>
  <c r="AE904" i="2"/>
  <c r="AD904" i="2"/>
  <c r="AC904" i="2"/>
  <c r="AB904" i="2"/>
  <c r="AA904" i="2"/>
  <c r="Z904" i="2"/>
  <c r="Y904" i="2"/>
  <c r="X904" i="2"/>
  <c r="W904" i="2"/>
  <c r="V904" i="2"/>
  <c r="U904" i="2"/>
  <c r="T904" i="2"/>
  <c r="AJ903" i="2"/>
  <c r="AI903" i="2"/>
  <c r="AH903" i="2"/>
  <c r="AG903" i="2"/>
  <c r="AF903" i="2"/>
  <c r="AE903" i="2"/>
  <c r="AD903" i="2"/>
  <c r="AC903" i="2"/>
  <c r="AB903" i="2"/>
  <c r="AA903" i="2"/>
  <c r="Z903" i="2"/>
  <c r="Y903" i="2"/>
  <c r="X903" i="2"/>
  <c r="W903" i="2"/>
  <c r="V903" i="2"/>
  <c r="U903" i="2"/>
  <c r="T903" i="2"/>
  <c r="AJ902" i="2"/>
  <c r="AI902" i="2"/>
  <c r="AH902" i="2"/>
  <c r="AG902" i="2"/>
  <c r="AF902" i="2"/>
  <c r="AE902" i="2"/>
  <c r="AD902" i="2"/>
  <c r="AC902" i="2"/>
  <c r="AB902" i="2"/>
  <c r="AA902" i="2"/>
  <c r="Z902" i="2"/>
  <c r="Y902" i="2"/>
  <c r="X902" i="2"/>
  <c r="W902" i="2"/>
  <c r="V902" i="2"/>
  <c r="U902" i="2"/>
  <c r="T902" i="2"/>
  <c r="AJ901" i="2"/>
  <c r="AI901" i="2"/>
  <c r="AH901" i="2"/>
  <c r="AG901" i="2"/>
  <c r="AF901" i="2"/>
  <c r="AE901" i="2"/>
  <c r="AD901" i="2"/>
  <c r="AC901" i="2"/>
  <c r="AB901" i="2"/>
  <c r="AA901" i="2"/>
  <c r="Z901" i="2"/>
  <c r="Y901" i="2"/>
  <c r="X901" i="2"/>
  <c r="W901" i="2"/>
  <c r="V901" i="2"/>
  <c r="U901" i="2"/>
  <c r="T901" i="2"/>
  <c r="AJ900" i="2"/>
  <c r="AI900" i="2"/>
  <c r="AH900" i="2"/>
  <c r="AG900" i="2"/>
  <c r="AF900" i="2"/>
  <c r="AE900" i="2"/>
  <c r="AD900" i="2"/>
  <c r="AC900" i="2"/>
  <c r="AB900" i="2"/>
  <c r="AA900" i="2"/>
  <c r="Z900" i="2"/>
  <c r="Y900" i="2"/>
  <c r="X900" i="2"/>
  <c r="W900" i="2"/>
  <c r="V900" i="2"/>
  <c r="U900" i="2"/>
  <c r="T900" i="2"/>
  <c r="AJ899" i="2"/>
  <c r="AI899" i="2"/>
  <c r="AH899" i="2"/>
  <c r="AG899" i="2"/>
  <c r="AF899" i="2"/>
  <c r="AE899" i="2"/>
  <c r="AD899" i="2"/>
  <c r="AC899" i="2"/>
  <c r="AB899" i="2"/>
  <c r="AA899" i="2"/>
  <c r="Z899" i="2"/>
  <c r="Y899" i="2"/>
  <c r="X899" i="2"/>
  <c r="W899" i="2"/>
  <c r="V899" i="2"/>
  <c r="U899" i="2"/>
  <c r="T899" i="2"/>
  <c r="AJ898" i="2"/>
  <c r="AI898" i="2"/>
  <c r="AH898" i="2"/>
  <c r="AG898" i="2"/>
  <c r="AF898" i="2"/>
  <c r="AE898" i="2"/>
  <c r="AD898" i="2"/>
  <c r="AC898" i="2"/>
  <c r="AB898" i="2"/>
  <c r="AA898" i="2"/>
  <c r="Z898" i="2"/>
  <c r="Y898" i="2"/>
  <c r="X898" i="2"/>
  <c r="W898" i="2"/>
  <c r="V898" i="2"/>
  <c r="U898" i="2"/>
  <c r="T898" i="2"/>
  <c r="AJ897" i="2"/>
  <c r="AI897" i="2"/>
  <c r="AH897" i="2"/>
  <c r="AG897" i="2"/>
  <c r="AF897" i="2"/>
  <c r="AE897" i="2"/>
  <c r="AD897" i="2"/>
  <c r="AC897" i="2"/>
  <c r="AB897" i="2"/>
  <c r="AA897" i="2"/>
  <c r="Z897" i="2"/>
  <c r="Y897" i="2"/>
  <c r="X897" i="2"/>
  <c r="W897" i="2"/>
  <c r="V897" i="2"/>
  <c r="U897" i="2"/>
  <c r="T897" i="2"/>
  <c r="AJ896" i="2"/>
  <c r="AI896" i="2"/>
  <c r="AH896" i="2"/>
  <c r="AG896" i="2"/>
  <c r="AF896" i="2"/>
  <c r="AE896" i="2"/>
  <c r="AD896" i="2"/>
  <c r="AC896" i="2"/>
  <c r="AB896" i="2"/>
  <c r="AA896" i="2"/>
  <c r="Z896" i="2"/>
  <c r="Y896" i="2"/>
  <c r="X896" i="2"/>
  <c r="W896" i="2"/>
  <c r="V896" i="2"/>
  <c r="U896" i="2"/>
  <c r="T896" i="2"/>
  <c r="AJ895" i="2"/>
  <c r="AI895" i="2"/>
  <c r="AH895" i="2"/>
  <c r="AG895" i="2"/>
  <c r="AF895" i="2"/>
  <c r="AE895" i="2"/>
  <c r="AD895" i="2"/>
  <c r="AC895" i="2"/>
  <c r="AB895" i="2"/>
  <c r="AA895" i="2"/>
  <c r="Z895" i="2"/>
  <c r="Y895" i="2"/>
  <c r="X895" i="2"/>
  <c r="W895" i="2"/>
  <c r="V895" i="2"/>
  <c r="U895" i="2"/>
  <c r="T895" i="2"/>
  <c r="AJ894" i="2"/>
  <c r="AI894" i="2"/>
  <c r="AH894" i="2"/>
  <c r="AG894" i="2"/>
  <c r="AF894" i="2"/>
  <c r="AE894" i="2"/>
  <c r="AD894" i="2"/>
  <c r="AC894" i="2"/>
  <c r="AB894" i="2"/>
  <c r="AA894" i="2"/>
  <c r="Z894" i="2"/>
  <c r="Y894" i="2"/>
  <c r="X894" i="2"/>
  <c r="W894" i="2"/>
  <c r="V894" i="2"/>
  <c r="U894" i="2"/>
  <c r="T894" i="2"/>
  <c r="AJ893" i="2"/>
  <c r="AI893" i="2"/>
  <c r="AH893" i="2"/>
  <c r="AG893" i="2"/>
  <c r="AF893" i="2"/>
  <c r="AE893" i="2"/>
  <c r="AD893" i="2"/>
  <c r="AC893" i="2"/>
  <c r="AB893" i="2"/>
  <c r="AA893" i="2"/>
  <c r="Z893" i="2"/>
  <c r="Y893" i="2"/>
  <c r="X893" i="2"/>
  <c r="W893" i="2"/>
  <c r="V893" i="2"/>
  <c r="U893" i="2"/>
  <c r="T893" i="2"/>
  <c r="AJ892" i="2"/>
  <c r="AI892" i="2"/>
  <c r="AH892" i="2"/>
  <c r="AG892" i="2"/>
  <c r="AF892" i="2"/>
  <c r="AE892" i="2"/>
  <c r="AD892" i="2"/>
  <c r="AC892" i="2"/>
  <c r="AB892" i="2"/>
  <c r="AA892" i="2"/>
  <c r="Z892" i="2"/>
  <c r="Y892" i="2"/>
  <c r="X892" i="2"/>
  <c r="W892" i="2"/>
  <c r="V892" i="2"/>
  <c r="U892" i="2"/>
  <c r="T892" i="2"/>
  <c r="AJ891" i="2"/>
  <c r="AI891" i="2"/>
  <c r="AH891" i="2"/>
  <c r="AG891" i="2"/>
  <c r="AF891" i="2"/>
  <c r="AE891" i="2"/>
  <c r="AD891" i="2"/>
  <c r="AC891" i="2"/>
  <c r="AB891" i="2"/>
  <c r="AA891" i="2"/>
  <c r="Z891" i="2"/>
  <c r="Y891" i="2"/>
  <c r="X891" i="2"/>
  <c r="W891" i="2"/>
  <c r="V891" i="2"/>
  <c r="U891" i="2"/>
  <c r="T891" i="2"/>
  <c r="AJ890" i="2"/>
  <c r="AI890" i="2"/>
  <c r="AH890" i="2"/>
  <c r="AG890" i="2"/>
  <c r="AF890" i="2"/>
  <c r="AE890" i="2"/>
  <c r="AD890" i="2"/>
  <c r="AC890" i="2"/>
  <c r="AB890" i="2"/>
  <c r="AA890" i="2"/>
  <c r="Z890" i="2"/>
  <c r="Y890" i="2"/>
  <c r="X890" i="2"/>
  <c r="W890" i="2"/>
  <c r="V890" i="2"/>
  <c r="U890" i="2"/>
  <c r="T890" i="2"/>
  <c r="AJ889" i="2"/>
  <c r="AI889" i="2"/>
  <c r="AH889" i="2"/>
  <c r="AG889" i="2"/>
  <c r="AF889" i="2"/>
  <c r="AE889" i="2"/>
  <c r="AD889" i="2"/>
  <c r="AC889" i="2"/>
  <c r="AB889" i="2"/>
  <c r="AA889" i="2"/>
  <c r="Z889" i="2"/>
  <c r="Y889" i="2"/>
  <c r="X889" i="2"/>
  <c r="W889" i="2"/>
  <c r="V889" i="2"/>
  <c r="U889" i="2"/>
  <c r="T889" i="2"/>
  <c r="AJ888" i="2"/>
  <c r="AI888" i="2"/>
  <c r="AH888" i="2"/>
  <c r="AG888" i="2"/>
  <c r="AF888" i="2"/>
  <c r="AE888" i="2"/>
  <c r="AD888" i="2"/>
  <c r="AC888" i="2"/>
  <c r="AB888" i="2"/>
  <c r="AA888" i="2"/>
  <c r="Z888" i="2"/>
  <c r="Y888" i="2"/>
  <c r="X888" i="2"/>
  <c r="W888" i="2"/>
  <c r="V888" i="2"/>
  <c r="U888" i="2"/>
  <c r="T888" i="2"/>
  <c r="AJ887" i="2"/>
  <c r="AI887" i="2"/>
  <c r="AH887" i="2"/>
  <c r="AG887" i="2"/>
  <c r="AF887" i="2"/>
  <c r="AE887" i="2"/>
  <c r="AD887" i="2"/>
  <c r="AC887" i="2"/>
  <c r="AB887" i="2"/>
  <c r="AA887" i="2"/>
  <c r="Z887" i="2"/>
  <c r="Y887" i="2"/>
  <c r="X887" i="2"/>
  <c r="W887" i="2"/>
  <c r="V887" i="2"/>
  <c r="U887" i="2"/>
  <c r="T887" i="2"/>
  <c r="AJ886" i="2"/>
  <c r="AI886" i="2"/>
  <c r="AH886" i="2"/>
  <c r="AG886" i="2"/>
  <c r="AF886" i="2"/>
  <c r="AE886" i="2"/>
  <c r="AD886" i="2"/>
  <c r="AC886" i="2"/>
  <c r="AB886" i="2"/>
  <c r="AA886" i="2"/>
  <c r="Z886" i="2"/>
  <c r="Y886" i="2"/>
  <c r="X886" i="2"/>
  <c r="W886" i="2"/>
  <c r="V886" i="2"/>
  <c r="U886" i="2"/>
  <c r="T886" i="2"/>
  <c r="AJ885" i="2"/>
  <c r="AI885" i="2"/>
  <c r="AH885" i="2"/>
  <c r="AG885" i="2"/>
  <c r="AF885" i="2"/>
  <c r="AE885" i="2"/>
  <c r="AD885" i="2"/>
  <c r="AC885" i="2"/>
  <c r="AB885" i="2"/>
  <c r="AA885" i="2"/>
  <c r="Z885" i="2"/>
  <c r="Y885" i="2"/>
  <c r="X885" i="2"/>
  <c r="W885" i="2"/>
  <c r="V885" i="2"/>
  <c r="U885" i="2"/>
  <c r="T885" i="2"/>
  <c r="AJ884" i="2"/>
  <c r="AI884" i="2"/>
  <c r="AH884" i="2"/>
  <c r="AG884" i="2"/>
  <c r="AF884" i="2"/>
  <c r="AE884" i="2"/>
  <c r="AD884" i="2"/>
  <c r="AC884" i="2"/>
  <c r="AB884" i="2"/>
  <c r="AA884" i="2"/>
  <c r="Z884" i="2"/>
  <c r="Y884" i="2"/>
  <c r="X884" i="2"/>
  <c r="W884" i="2"/>
  <c r="V884" i="2"/>
  <c r="U884" i="2"/>
  <c r="T884" i="2"/>
  <c r="AJ883" i="2"/>
  <c r="AI883" i="2"/>
  <c r="AH883" i="2"/>
  <c r="AG883" i="2"/>
  <c r="AF883" i="2"/>
  <c r="AE883" i="2"/>
  <c r="AD883" i="2"/>
  <c r="AC883" i="2"/>
  <c r="AB883" i="2"/>
  <c r="AA883" i="2"/>
  <c r="Z883" i="2"/>
  <c r="Y883" i="2"/>
  <c r="X883" i="2"/>
  <c r="W883" i="2"/>
  <c r="V883" i="2"/>
  <c r="U883" i="2"/>
  <c r="T883" i="2"/>
  <c r="AJ882" i="2"/>
  <c r="AI882" i="2"/>
  <c r="AH882" i="2"/>
  <c r="AG882" i="2"/>
  <c r="AF882" i="2"/>
  <c r="AE882" i="2"/>
  <c r="AD882" i="2"/>
  <c r="AC882" i="2"/>
  <c r="AB882" i="2"/>
  <c r="AA882" i="2"/>
  <c r="Z882" i="2"/>
  <c r="Y882" i="2"/>
  <c r="X882" i="2"/>
  <c r="W882" i="2"/>
  <c r="V882" i="2"/>
  <c r="U882" i="2"/>
  <c r="T882" i="2"/>
  <c r="AJ881" i="2"/>
  <c r="AI881" i="2"/>
  <c r="AH881" i="2"/>
  <c r="AG881" i="2"/>
  <c r="AF881" i="2"/>
  <c r="AE881" i="2"/>
  <c r="AD881" i="2"/>
  <c r="AC881" i="2"/>
  <c r="AB881" i="2"/>
  <c r="AA881" i="2"/>
  <c r="Z881" i="2"/>
  <c r="Y881" i="2"/>
  <c r="X881" i="2"/>
  <c r="W881" i="2"/>
  <c r="V881" i="2"/>
  <c r="U881" i="2"/>
  <c r="T881" i="2"/>
  <c r="AJ880" i="2"/>
  <c r="AI880" i="2"/>
  <c r="AH880" i="2"/>
  <c r="AG880" i="2"/>
  <c r="AF880" i="2"/>
  <c r="AE880" i="2"/>
  <c r="AD880" i="2"/>
  <c r="AC880" i="2"/>
  <c r="AB880" i="2"/>
  <c r="AA880" i="2"/>
  <c r="Z880" i="2"/>
  <c r="Y880" i="2"/>
  <c r="X880" i="2"/>
  <c r="W880" i="2"/>
  <c r="V880" i="2"/>
  <c r="U880" i="2"/>
  <c r="T880" i="2"/>
  <c r="AJ879" i="2"/>
  <c r="AI879" i="2"/>
  <c r="AH879" i="2"/>
  <c r="AG879" i="2"/>
  <c r="AF879" i="2"/>
  <c r="AE879" i="2"/>
  <c r="AD879" i="2"/>
  <c r="AC879" i="2"/>
  <c r="AB879" i="2"/>
  <c r="AA879" i="2"/>
  <c r="Z879" i="2"/>
  <c r="Y879" i="2"/>
  <c r="X879" i="2"/>
  <c r="W879" i="2"/>
  <c r="V879" i="2"/>
  <c r="U879" i="2"/>
  <c r="T879" i="2"/>
  <c r="AJ878" i="2"/>
  <c r="AI878" i="2"/>
  <c r="AH878" i="2"/>
  <c r="AG878" i="2"/>
  <c r="AF878" i="2"/>
  <c r="AE878" i="2"/>
  <c r="AD878" i="2"/>
  <c r="AC878" i="2"/>
  <c r="AB878" i="2"/>
  <c r="AA878" i="2"/>
  <c r="Z878" i="2"/>
  <c r="Y878" i="2"/>
  <c r="X878" i="2"/>
  <c r="W878" i="2"/>
  <c r="V878" i="2"/>
  <c r="U878" i="2"/>
  <c r="T878" i="2"/>
  <c r="AJ877" i="2"/>
  <c r="AI877" i="2"/>
  <c r="AH877" i="2"/>
  <c r="AG877" i="2"/>
  <c r="AF877" i="2"/>
  <c r="AE877" i="2"/>
  <c r="AD877" i="2"/>
  <c r="AC877" i="2"/>
  <c r="AB877" i="2"/>
  <c r="AA877" i="2"/>
  <c r="Z877" i="2"/>
  <c r="Y877" i="2"/>
  <c r="X877" i="2"/>
  <c r="W877" i="2"/>
  <c r="V877" i="2"/>
  <c r="U877" i="2"/>
  <c r="T877" i="2"/>
  <c r="AJ876" i="2"/>
  <c r="AI876" i="2"/>
  <c r="AH876" i="2"/>
  <c r="AG876" i="2"/>
  <c r="AF876" i="2"/>
  <c r="AE876" i="2"/>
  <c r="AD876" i="2"/>
  <c r="AC876" i="2"/>
  <c r="AB876" i="2"/>
  <c r="AA876" i="2"/>
  <c r="Z876" i="2"/>
  <c r="Y876" i="2"/>
  <c r="X876" i="2"/>
  <c r="W876" i="2"/>
  <c r="V876" i="2"/>
  <c r="U876" i="2"/>
  <c r="T876" i="2"/>
  <c r="AJ875" i="2"/>
  <c r="AI875" i="2"/>
  <c r="AH875" i="2"/>
  <c r="AG875" i="2"/>
  <c r="AF875" i="2"/>
  <c r="AE875" i="2"/>
  <c r="AD875" i="2"/>
  <c r="AC875" i="2"/>
  <c r="AB875" i="2"/>
  <c r="AA875" i="2"/>
  <c r="Z875" i="2"/>
  <c r="Y875" i="2"/>
  <c r="X875" i="2"/>
  <c r="W875" i="2"/>
  <c r="V875" i="2"/>
  <c r="U875" i="2"/>
  <c r="T875" i="2"/>
  <c r="AJ874" i="2"/>
  <c r="AI874" i="2"/>
  <c r="AH874" i="2"/>
  <c r="AG874" i="2"/>
  <c r="AF874" i="2"/>
  <c r="AE874" i="2"/>
  <c r="AD874" i="2"/>
  <c r="AC874" i="2"/>
  <c r="AB874" i="2"/>
  <c r="AA874" i="2"/>
  <c r="Z874" i="2"/>
  <c r="Y874" i="2"/>
  <c r="X874" i="2"/>
  <c r="W874" i="2"/>
  <c r="V874" i="2"/>
  <c r="U874" i="2"/>
  <c r="T874" i="2"/>
  <c r="AJ873" i="2"/>
  <c r="AI873" i="2"/>
  <c r="AH873" i="2"/>
  <c r="AG873" i="2"/>
  <c r="AF873" i="2"/>
  <c r="AE873" i="2"/>
  <c r="AD873" i="2"/>
  <c r="AC873" i="2"/>
  <c r="AB873" i="2"/>
  <c r="AA873" i="2"/>
  <c r="Z873" i="2"/>
  <c r="Y873" i="2"/>
  <c r="X873" i="2"/>
  <c r="W873" i="2"/>
  <c r="V873" i="2"/>
  <c r="U873" i="2"/>
  <c r="T873" i="2"/>
  <c r="AJ872" i="2"/>
  <c r="AI872" i="2"/>
  <c r="AH872" i="2"/>
  <c r="AG872" i="2"/>
  <c r="AF872" i="2"/>
  <c r="AE872" i="2"/>
  <c r="AD872" i="2"/>
  <c r="AC872" i="2"/>
  <c r="AB872" i="2"/>
  <c r="AA872" i="2"/>
  <c r="Z872" i="2"/>
  <c r="Y872" i="2"/>
  <c r="X872" i="2"/>
  <c r="W872" i="2"/>
  <c r="V872" i="2"/>
  <c r="U872" i="2"/>
  <c r="T872" i="2"/>
  <c r="AJ871" i="2"/>
  <c r="AI871" i="2"/>
  <c r="AH871" i="2"/>
  <c r="AG871" i="2"/>
  <c r="AF871" i="2"/>
  <c r="AE871" i="2"/>
  <c r="AD871" i="2"/>
  <c r="AC871" i="2"/>
  <c r="AB871" i="2"/>
  <c r="AA871" i="2"/>
  <c r="Z871" i="2"/>
  <c r="Y871" i="2"/>
  <c r="X871" i="2"/>
  <c r="W871" i="2"/>
  <c r="V871" i="2"/>
  <c r="U871" i="2"/>
  <c r="T871" i="2"/>
  <c r="AJ870" i="2"/>
  <c r="AI870" i="2"/>
  <c r="AH870" i="2"/>
  <c r="AG870" i="2"/>
  <c r="AF870" i="2"/>
  <c r="AE870" i="2"/>
  <c r="AD870" i="2"/>
  <c r="AC870" i="2"/>
  <c r="AB870" i="2"/>
  <c r="AA870" i="2"/>
  <c r="Z870" i="2"/>
  <c r="Y870" i="2"/>
  <c r="X870" i="2"/>
  <c r="W870" i="2"/>
  <c r="V870" i="2"/>
  <c r="U870" i="2"/>
  <c r="T870" i="2"/>
  <c r="AJ869" i="2"/>
  <c r="AI869" i="2"/>
  <c r="AH869" i="2"/>
  <c r="AG869" i="2"/>
  <c r="AF869" i="2"/>
  <c r="AE869" i="2"/>
  <c r="AD869" i="2"/>
  <c r="AC869" i="2"/>
  <c r="AB869" i="2"/>
  <c r="AA869" i="2"/>
  <c r="Z869" i="2"/>
  <c r="Y869" i="2"/>
  <c r="X869" i="2"/>
  <c r="W869" i="2"/>
  <c r="V869" i="2"/>
  <c r="U869" i="2"/>
  <c r="T869" i="2"/>
  <c r="AJ868" i="2"/>
  <c r="AI868" i="2"/>
  <c r="AH868" i="2"/>
  <c r="AG868" i="2"/>
  <c r="AF868" i="2"/>
  <c r="AE868" i="2"/>
  <c r="AD868" i="2"/>
  <c r="AC868" i="2"/>
  <c r="AB868" i="2"/>
  <c r="AA868" i="2"/>
  <c r="Z868" i="2"/>
  <c r="Y868" i="2"/>
  <c r="X868" i="2"/>
  <c r="W868" i="2"/>
  <c r="V868" i="2"/>
  <c r="U868" i="2"/>
  <c r="T868" i="2"/>
  <c r="AJ867" i="2"/>
  <c r="AI867" i="2"/>
  <c r="AH867" i="2"/>
  <c r="AG867" i="2"/>
  <c r="AF867" i="2"/>
  <c r="AE867" i="2"/>
  <c r="AD867" i="2"/>
  <c r="AC867" i="2"/>
  <c r="AB867" i="2"/>
  <c r="AA867" i="2"/>
  <c r="Z867" i="2"/>
  <c r="Y867" i="2"/>
  <c r="X867" i="2"/>
  <c r="W867" i="2"/>
  <c r="V867" i="2"/>
  <c r="U867" i="2"/>
  <c r="T867" i="2"/>
  <c r="AJ866" i="2"/>
  <c r="AI866" i="2"/>
  <c r="AH866" i="2"/>
  <c r="AG866" i="2"/>
  <c r="AF866" i="2"/>
  <c r="AE866" i="2"/>
  <c r="AD866" i="2"/>
  <c r="AC866" i="2"/>
  <c r="AB866" i="2"/>
  <c r="AA866" i="2"/>
  <c r="Z866" i="2"/>
  <c r="Y866" i="2"/>
  <c r="X866" i="2"/>
  <c r="W866" i="2"/>
  <c r="V866" i="2"/>
  <c r="U866" i="2"/>
  <c r="T866" i="2"/>
  <c r="AJ865" i="2"/>
  <c r="AI865" i="2"/>
  <c r="AH865" i="2"/>
  <c r="AG865" i="2"/>
  <c r="AF865" i="2"/>
  <c r="AE865" i="2"/>
  <c r="AD865" i="2"/>
  <c r="AC865" i="2"/>
  <c r="AB865" i="2"/>
  <c r="AA865" i="2"/>
  <c r="Z865" i="2"/>
  <c r="Y865" i="2"/>
  <c r="X865" i="2"/>
  <c r="W865" i="2"/>
  <c r="V865" i="2"/>
  <c r="U865" i="2"/>
  <c r="T865" i="2"/>
  <c r="AJ864" i="2"/>
  <c r="AI864" i="2"/>
  <c r="AH864" i="2"/>
  <c r="AG864" i="2"/>
  <c r="AF864" i="2"/>
  <c r="AE864" i="2"/>
  <c r="AD864" i="2"/>
  <c r="AC864" i="2"/>
  <c r="AB864" i="2"/>
  <c r="AA864" i="2"/>
  <c r="Z864" i="2"/>
  <c r="Y864" i="2"/>
  <c r="X864" i="2"/>
  <c r="W864" i="2"/>
  <c r="V864" i="2"/>
  <c r="U864" i="2"/>
  <c r="T864" i="2"/>
  <c r="AJ863" i="2"/>
  <c r="AI863" i="2"/>
  <c r="AH863" i="2"/>
  <c r="AG863" i="2"/>
  <c r="AF863" i="2"/>
  <c r="AE863" i="2"/>
  <c r="AD863" i="2"/>
  <c r="AC863" i="2"/>
  <c r="AB863" i="2"/>
  <c r="AA863" i="2"/>
  <c r="Z863" i="2"/>
  <c r="Y863" i="2"/>
  <c r="X863" i="2"/>
  <c r="W863" i="2"/>
  <c r="V863" i="2"/>
  <c r="U863" i="2"/>
  <c r="T863" i="2"/>
  <c r="AJ862" i="2"/>
  <c r="AI862" i="2"/>
  <c r="AH862" i="2"/>
  <c r="AG862" i="2"/>
  <c r="AF862" i="2"/>
  <c r="AE862" i="2"/>
  <c r="AD862" i="2"/>
  <c r="AC862" i="2"/>
  <c r="AB862" i="2"/>
  <c r="AA862" i="2"/>
  <c r="Z862" i="2"/>
  <c r="Y862" i="2"/>
  <c r="X862" i="2"/>
  <c r="W862" i="2"/>
  <c r="V862" i="2"/>
  <c r="U862" i="2"/>
  <c r="T862" i="2"/>
  <c r="AJ861" i="2"/>
  <c r="AI861" i="2"/>
  <c r="AH861" i="2"/>
  <c r="AG861" i="2"/>
  <c r="AF861" i="2"/>
  <c r="AE861" i="2"/>
  <c r="AD861" i="2"/>
  <c r="AC861" i="2"/>
  <c r="AB861" i="2"/>
  <c r="AA861" i="2"/>
  <c r="Z861" i="2"/>
  <c r="Y861" i="2"/>
  <c r="X861" i="2"/>
  <c r="W861" i="2"/>
  <c r="V861" i="2"/>
  <c r="U861" i="2"/>
  <c r="T861" i="2"/>
  <c r="AJ860" i="2"/>
  <c r="AI860" i="2"/>
  <c r="AH860" i="2"/>
  <c r="AG860" i="2"/>
  <c r="AF860" i="2"/>
  <c r="AE860" i="2"/>
  <c r="AD860" i="2"/>
  <c r="AC860" i="2"/>
  <c r="AB860" i="2"/>
  <c r="AA860" i="2"/>
  <c r="Z860" i="2"/>
  <c r="Y860" i="2"/>
  <c r="X860" i="2"/>
  <c r="W860" i="2"/>
  <c r="V860" i="2"/>
  <c r="U860" i="2"/>
  <c r="T860" i="2"/>
  <c r="AJ859" i="2"/>
  <c r="AI859" i="2"/>
  <c r="AH859" i="2"/>
  <c r="AG859" i="2"/>
  <c r="AF859" i="2"/>
  <c r="AE859" i="2"/>
  <c r="AD859" i="2"/>
  <c r="AC859" i="2"/>
  <c r="AB859" i="2"/>
  <c r="AA859" i="2"/>
  <c r="Z859" i="2"/>
  <c r="Y859" i="2"/>
  <c r="X859" i="2"/>
  <c r="W859" i="2"/>
  <c r="V859" i="2"/>
  <c r="U859" i="2"/>
  <c r="T859" i="2"/>
  <c r="AJ858" i="2"/>
  <c r="AI858" i="2"/>
  <c r="AH858" i="2"/>
  <c r="AG858" i="2"/>
  <c r="AF858" i="2"/>
  <c r="AE858" i="2"/>
  <c r="AD858" i="2"/>
  <c r="AC858" i="2"/>
  <c r="AB858" i="2"/>
  <c r="AA858" i="2"/>
  <c r="Z858" i="2"/>
  <c r="Y858" i="2"/>
  <c r="X858" i="2"/>
  <c r="W858" i="2"/>
  <c r="V858" i="2"/>
  <c r="U858" i="2"/>
  <c r="T858" i="2"/>
  <c r="AJ857" i="2"/>
  <c r="AI857" i="2"/>
  <c r="AH857" i="2"/>
  <c r="AG857" i="2"/>
  <c r="AF857" i="2"/>
  <c r="AE857" i="2"/>
  <c r="AD857" i="2"/>
  <c r="AC857" i="2"/>
  <c r="AB857" i="2"/>
  <c r="AA857" i="2"/>
  <c r="Z857" i="2"/>
  <c r="Y857" i="2"/>
  <c r="X857" i="2"/>
  <c r="W857" i="2"/>
  <c r="V857" i="2"/>
  <c r="U857" i="2"/>
  <c r="T857" i="2"/>
  <c r="AJ856" i="2"/>
  <c r="AI856" i="2"/>
  <c r="AH856" i="2"/>
  <c r="AG856" i="2"/>
  <c r="AF856" i="2"/>
  <c r="AE856" i="2"/>
  <c r="AD856" i="2"/>
  <c r="AC856" i="2"/>
  <c r="AB856" i="2"/>
  <c r="AA856" i="2"/>
  <c r="Z856" i="2"/>
  <c r="Y856" i="2"/>
  <c r="X856" i="2"/>
  <c r="W856" i="2"/>
  <c r="V856" i="2"/>
  <c r="U856" i="2"/>
  <c r="T856" i="2"/>
  <c r="AJ855" i="2"/>
  <c r="AI855" i="2"/>
  <c r="AH855" i="2"/>
  <c r="AG855" i="2"/>
  <c r="AF855" i="2"/>
  <c r="AE855" i="2"/>
  <c r="AD855" i="2"/>
  <c r="AC855" i="2"/>
  <c r="AB855" i="2"/>
  <c r="AA855" i="2"/>
  <c r="Z855" i="2"/>
  <c r="Y855" i="2"/>
  <c r="X855" i="2"/>
  <c r="W855" i="2"/>
  <c r="V855" i="2"/>
  <c r="U855" i="2"/>
  <c r="T855" i="2"/>
  <c r="AJ854" i="2"/>
  <c r="AI854" i="2"/>
  <c r="AH854" i="2"/>
  <c r="AG854" i="2"/>
  <c r="AF854" i="2"/>
  <c r="AE854" i="2"/>
  <c r="AD854" i="2"/>
  <c r="AC854" i="2"/>
  <c r="AB854" i="2"/>
  <c r="AA854" i="2"/>
  <c r="Z854" i="2"/>
  <c r="Y854" i="2"/>
  <c r="X854" i="2"/>
  <c r="W854" i="2"/>
  <c r="V854" i="2"/>
  <c r="U854" i="2"/>
  <c r="T854" i="2"/>
  <c r="AJ853" i="2"/>
  <c r="AI853" i="2"/>
  <c r="AH853" i="2"/>
  <c r="AG853" i="2"/>
  <c r="AF853" i="2"/>
  <c r="AE853" i="2"/>
  <c r="AD853" i="2"/>
  <c r="AC853" i="2"/>
  <c r="AB853" i="2"/>
  <c r="AA853" i="2"/>
  <c r="Z853" i="2"/>
  <c r="Y853" i="2"/>
  <c r="X853" i="2"/>
  <c r="W853" i="2"/>
  <c r="V853" i="2"/>
  <c r="U853" i="2"/>
  <c r="T853" i="2"/>
  <c r="AJ852" i="2"/>
  <c r="AI852" i="2"/>
  <c r="AH852" i="2"/>
  <c r="AG852" i="2"/>
  <c r="AF852" i="2"/>
  <c r="AE852" i="2"/>
  <c r="AD852" i="2"/>
  <c r="AC852" i="2"/>
  <c r="AB852" i="2"/>
  <c r="AA852" i="2"/>
  <c r="Z852" i="2"/>
  <c r="Y852" i="2"/>
  <c r="X852" i="2"/>
  <c r="W852" i="2"/>
  <c r="V852" i="2"/>
  <c r="U852" i="2"/>
  <c r="T852" i="2"/>
  <c r="AJ851" i="2"/>
  <c r="AI851" i="2"/>
  <c r="AH851" i="2"/>
  <c r="AG851" i="2"/>
  <c r="AF851" i="2"/>
  <c r="AE851" i="2"/>
  <c r="AD851" i="2"/>
  <c r="AC851" i="2"/>
  <c r="AB851" i="2"/>
  <c r="AA851" i="2"/>
  <c r="Z851" i="2"/>
  <c r="Y851" i="2"/>
  <c r="X851" i="2"/>
  <c r="W851" i="2"/>
  <c r="V851" i="2"/>
  <c r="U851" i="2"/>
  <c r="T851" i="2"/>
  <c r="AJ850" i="2"/>
  <c r="AI850" i="2"/>
  <c r="AH850" i="2"/>
  <c r="AG850" i="2"/>
  <c r="AF850" i="2"/>
  <c r="AE850" i="2"/>
  <c r="AD850" i="2"/>
  <c r="AC850" i="2"/>
  <c r="AB850" i="2"/>
  <c r="AA850" i="2"/>
  <c r="Z850" i="2"/>
  <c r="Y850" i="2"/>
  <c r="X850" i="2"/>
  <c r="W850" i="2"/>
  <c r="V850" i="2"/>
  <c r="U850" i="2"/>
  <c r="T850" i="2"/>
  <c r="AJ849" i="2"/>
  <c r="AI849" i="2"/>
  <c r="AH849" i="2"/>
  <c r="AG849" i="2"/>
  <c r="AF849" i="2"/>
  <c r="AE849" i="2"/>
  <c r="AD849" i="2"/>
  <c r="AC849" i="2"/>
  <c r="AB849" i="2"/>
  <c r="AA849" i="2"/>
  <c r="Z849" i="2"/>
  <c r="Y849" i="2"/>
  <c r="X849" i="2"/>
  <c r="W849" i="2"/>
  <c r="V849" i="2"/>
  <c r="U849" i="2"/>
  <c r="T849" i="2"/>
  <c r="AJ848" i="2"/>
  <c r="AI848" i="2"/>
  <c r="AH848" i="2"/>
  <c r="AG848" i="2"/>
  <c r="AF848" i="2"/>
  <c r="AE848" i="2"/>
  <c r="AD848" i="2"/>
  <c r="AC848" i="2"/>
  <c r="AB848" i="2"/>
  <c r="AA848" i="2"/>
  <c r="Z848" i="2"/>
  <c r="Y848" i="2"/>
  <c r="X848" i="2"/>
  <c r="W848" i="2"/>
  <c r="V848" i="2"/>
  <c r="U848" i="2"/>
  <c r="T848" i="2"/>
  <c r="AJ847" i="2"/>
  <c r="AI847" i="2"/>
  <c r="AH847" i="2"/>
  <c r="AG847" i="2"/>
  <c r="AF847" i="2"/>
  <c r="AE847" i="2"/>
  <c r="AD847" i="2"/>
  <c r="AC847" i="2"/>
  <c r="AB847" i="2"/>
  <c r="AA847" i="2"/>
  <c r="Z847" i="2"/>
  <c r="Y847" i="2"/>
  <c r="X847" i="2"/>
  <c r="W847" i="2"/>
  <c r="V847" i="2"/>
  <c r="U847" i="2"/>
  <c r="T847" i="2"/>
  <c r="AJ846" i="2"/>
  <c r="AI846" i="2"/>
  <c r="AH846" i="2"/>
  <c r="AG846" i="2"/>
  <c r="AF846" i="2"/>
  <c r="AE846" i="2"/>
  <c r="AD846" i="2"/>
  <c r="AC846" i="2"/>
  <c r="AB846" i="2"/>
  <c r="AA846" i="2"/>
  <c r="Z846" i="2"/>
  <c r="Y846" i="2"/>
  <c r="X846" i="2"/>
  <c r="W846" i="2"/>
  <c r="V846" i="2"/>
  <c r="U846" i="2"/>
  <c r="T846" i="2"/>
  <c r="AJ845" i="2"/>
  <c r="AI845" i="2"/>
  <c r="AH845" i="2"/>
  <c r="AG845" i="2"/>
  <c r="AF845" i="2"/>
  <c r="AE845" i="2"/>
  <c r="AD845" i="2"/>
  <c r="AC845" i="2"/>
  <c r="AB845" i="2"/>
  <c r="AA845" i="2"/>
  <c r="Z845" i="2"/>
  <c r="Y845" i="2"/>
  <c r="X845" i="2"/>
  <c r="W845" i="2"/>
  <c r="V845" i="2"/>
  <c r="U845" i="2"/>
  <c r="T845" i="2"/>
  <c r="AJ844" i="2"/>
  <c r="AI844" i="2"/>
  <c r="AH844" i="2"/>
  <c r="AG844" i="2"/>
  <c r="AF844" i="2"/>
  <c r="AE844" i="2"/>
  <c r="AD844" i="2"/>
  <c r="AC844" i="2"/>
  <c r="AB844" i="2"/>
  <c r="AA844" i="2"/>
  <c r="Z844" i="2"/>
  <c r="Y844" i="2"/>
  <c r="X844" i="2"/>
  <c r="W844" i="2"/>
  <c r="V844" i="2"/>
  <c r="U844" i="2"/>
  <c r="T844" i="2"/>
  <c r="AJ843" i="2"/>
  <c r="AI843" i="2"/>
  <c r="AH843" i="2"/>
  <c r="AG843" i="2"/>
  <c r="AF843" i="2"/>
  <c r="AE843" i="2"/>
  <c r="AD843" i="2"/>
  <c r="AC843" i="2"/>
  <c r="AB843" i="2"/>
  <c r="AA843" i="2"/>
  <c r="Z843" i="2"/>
  <c r="Y843" i="2"/>
  <c r="X843" i="2"/>
  <c r="W843" i="2"/>
  <c r="V843" i="2"/>
  <c r="U843" i="2"/>
  <c r="T843" i="2"/>
  <c r="AJ842" i="2"/>
  <c r="AI842" i="2"/>
  <c r="AH842" i="2"/>
  <c r="AG842" i="2"/>
  <c r="AF842" i="2"/>
  <c r="AE842" i="2"/>
  <c r="AD842" i="2"/>
  <c r="AC842" i="2"/>
  <c r="AB842" i="2"/>
  <c r="AA842" i="2"/>
  <c r="Z842" i="2"/>
  <c r="Y842" i="2"/>
  <c r="X842" i="2"/>
  <c r="W842" i="2"/>
  <c r="V842" i="2"/>
  <c r="U842" i="2"/>
  <c r="T842" i="2"/>
  <c r="AJ841" i="2"/>
  <c r="AI841" i="2"/>
  <c r="AH841" i="2"/>
  <c r="AG841" i="2"/>
  <c r="AF841" i="2"/>
  <c r="AE841" i="2"/>
  <c r="AD841" i="2"/>
  <c r="AC841" i="2"/>
  <c r="AB841" i="2"/>
  <c r="AA841" i="2"/>
  <c r="Z841" i="2"/>
  <c r="Y841" i="2"/>
  <c r="X841" i="2"/>
  <c r="W841" i="2"/>
  <c r="V841" i="2"/>
  <c r="U841" i="2"/>
  <c r="T841" i="2"/>
  <c r="AJ840" i="2"/>
  <c r="AI840" i="2"/>
  <c r="AH840" i="2"/>
  <c r="AG840" i="2"/>
  <c r="AF840" i="2"/>
  <c r="AE840" i="2"/>
  <c r="AD840" i="2"/>
  <c r="AC840" i="2"/>
  <c r="AB840" i="2"/>
  <c r="AA840" i="2"/>
  <c r="Z840" i="2"/>
  <c r="Y840" i="2"/>
  <c r="X840" i="2"/>
  <c r="W840" i="2"/>
  <c r="V840" i="2"/>
  <c r="U840" i="2"/>
  <c r="T840" i="2"/>
  <c r="AJ839" i="2"/>
  <c r="AI839" i="2"/>
  <c r="AH839" i="2"/>
  <c r="AG839" i="2"/>
  <c r="AF839" i="2"/>
  <c r="AE839" i="2"/>
  <c r="AD839" i="2"/>
  <c r="AC839" i="2"/>
  <c r="AB839" i="2"/>
  <c r="AA839" i="2"/>
  <c r="Z839" i="2"/>
  <c r="Y839" i="2"/>
  <c r="X839" i="2"/>
  <c r="W839" i="2"/>
  <c r="V839" i="2"/>
  <c r="U839" i="2"/>
  <c r="T839" i="2"/>
  <c r="AJ838" i="2"/>
  <c r="AI838" i="2"/>
  <c r="AH838" i="2"/>
  <c r="AG838" i="2"/>
  <c r="AF838" i="2"/>
  <c r="AE838" i="2"/>
  <c r="AD838" i="2"/>
  <c r="AC838" i="2"/>
  <c r="AB838" i="2"/>
  <c r="AA838" i="2"/>
  <c r="Z838" i="2"/>
  <c r="Y838" i="2"/>
  <c r="X838" i="2"/>
  <c r="W838" i="2"/>
  <c r="V838" i="2"/>
  <c r="U838" i="2"/>
  <c r="T838" i="2"/>
  <c r="AJ837" i="2"/>
  <c r="AI837" i="2"/>
  <c r="AH837" i="2"/>
  <c r="AG837" i="2"/>
  <c r="AF837" i="2"/>
  <c r="AE837" i="2"/>
  <c r="AD837" i="2"/>
  <c r="AC837" i="2"/>
  <c r="AB837" i="2"/>
  <c r="AA837" i="2"/>
  <c r="Z837" i="2"/>
  <c r="Y837" i="2"/>
  <c r="X837" i="2"/>
  <c r="W837" i="2"/>
  <c r="V837" i="2"/>
  <c r="U837" i="2"/>
  <c r="T837" i="2"/>
  <c r="AJ836" i="2"/>
  <c r="AI836" i="2"/>
  <c r="AH836" i="2"/>
  <c r="AG836" i="2"/>
  <c r="AF836" i="2"/>
  <c r="AE836" i="2"/>
  <c r="AD836" i="2"/>
  <c r="AC836" i="2"/>
  <c r="AB836" i="2"/>
  <c r="AA836" i="2"/>
  <c r="Z836" i="2"/>
  <c r="Y836" i="2"/>
  <c r="X836" i="2"/>
  <c r="W836" i="2"/>
  <c r="V836" i="2"/>
  <c r="U836" i="2"/>
  <c r="T836" i="2"/>
  <c r="AJ835" i="2"/>
  <c r="AI835" i="2"/>
  <c r="AH835" i="2"/>
  <c r="AG835" i="2"/>
  <c r="AF835" i="2"/>
  <c r="AE835" i="2"/>
  <c r="AD835" i="2"/>
  <c r="AC835" i="2"/>
  <c r="AB835" i="2"/>
  <c r="AA835" i="2"/>
  <c r="Z835" i="2"/>
  <c r="Y835" i="2"/>
  <c r="X835" i="2"/>
  <c r="W835" i="2"/>
  <c r="V835" i="2"/>
  <c r="U835" i="2"/>
  <c r="T835" i="2"/>
  <c r="AJ834" i="2"/>
  <c r="AI834" i="2"/>
  <c r="AH834" i="2"/>
  <c r="AG834" i="2"/>
  <c r="AF834" i="2"/>
  <c r="AE834" i="2"/>
  <c r="AD834" i="2"/>
  <c r="AC834" i="2"/>
  <c r="AB834" i="2"/>
  <c r="AA834" i="2"/>
  <c r="Z834" i="2"/>
  <c r="Y834" i="2"/>
  <c r="X834" i="2"/>
  <c r="W834" i="2"/>
  <c r="V834" i="2"/>
  <c r="U834" i="2"/>
  <c r="T834" i="2"/>
  <c r="AJ833" i="2"/>
  <c r="AI833" i="2"/>
  <c r="AH833" i="2"/>
  <c r="AG833" i="2"/>
  <c r="AF833" i="2"/>
  <c r="AE833" i="2"/>
  <c r="AD833" i="2"/>
  <c r="AC833" i="2"/>
  <c r="AB833" i="2"/>
  <c r="AA833" i="2"/>
  <c r="Z833" i="2"/>
  <c r="Y833" i="2"/>
  <c r="X833" i="2"/>
  <c r="W833" i="2"/>
  <c r="V833" i="2"/>
  <c r="U833" i="2"/>
  <c r="T833" i="2"/>
  <c r="AJ832" i="2"/>
  <c r="AI832" i="2"/>
  <c r="AH832" i="2"/>
  <c r="AG832" i="2"/>
  <c r="AF832" i="2"/>
  <c r="AE832" i="2"/>
  <c r="AD832" i="2"/>
  <c r="AC832" i="2"/>
  <c r="AB832" i="2"/>
  <c r="AA832" i="2"/>
  <c r="Z832" i="2"/>
  <c r="Y832" i="2"/>
  <c r="X832" i="2"/>
  <c r="W832" i="2"/>
  <c r="V832" i="2"/>
  <c r="U832" i="2"/>
  <c r="T832" i="2"/>
  <c r="AJ831" i="2"/>
  <c r="AI831" i="2"/>
  <c r="AH831" i="2"/>
  <c r="AG831" i="2"/>
  <c r="AF831" i="2"/>
  <c r="AE831" i="2"/>
  <c r="AD831" i="2"/>
  <c r="AC831" i="2"/>
  <c r="AB831" i="2"/>
  <c r="AA831" i="2"/>
  <c r="Z831" i="2"/>
  <c r="Y831" i="2"/>
  <c r="X831" i="2"/>
  <c r="W831" i="2"/>
  <c r="V831" i="2"/>
  <c r="U831" i="2"/>
  <c r="T831" i="2"/>
  <c r="AJ830" i="2"/>
  <c r="AI830" i="2"/>
  <c r="AH830" i="2"/>
  <c r="AG830" i="2"/>
  <c r="AF830" i="2"/>
  <c r="AE830" i="2"/>
  <c r="AD830" i="2"/>
  <c r="AC830" i="2"/>
  <c r="AB830" i="2"/>
  <c r="AA830" i="2"/>
  <c r="Z830" i="2"/>
  <c r="Y830" i="2"/>
  <c r="X830" i="2"/>
  <c r="W830" i="2"/>
  <c r="V830" i="2"/>
  <c r="U830" i="2"/>
  <c r="T830" i="2"/>
  <c r="AJ829" i="2"/>
  <c r="AI829" i="2"/>
  <c r="AH829" i="2"/>
  <c r="AG829" i="2"/>
  <c r="AF829" i="2"/>
  <c r="AE829" i="2"/>
  <c r="AD829" i="2"/>
  <c r="AC829" i="2"/>
  <c r="AB829" i="2"/>
  <c r="AA829" i="2"/>
  <c r="Z829" i="2"/>
  <c r="Y829" i="2"/>
  <c r="X829" i="2"/>
  <c r="W829" i="2"/>
  <c r="V829" i="2"/>
  <c r="U829" i="2"/>
  <c r="T829" i="2"/>
  <c r="AJ828" i="2"/>
  <c r="AI828" i="2"/>
  <c r="AH828" i="2"/>
  <c r="AG828" i="2"/>
  <c r="AF828" i="2"/>
  <c r="AE828" i="2"/>
  <c r="AD828" i="2"/>
  <c r="AC828" i="2"/>
  <c r="AB828" i="2"/>
  <c r="AA828" i="2"/>
  <c r="Z828" i="2"/>
  <c r="Y828" i="2"/>
  <c r="X828" i="2"/>
  <c r="W828" i="2"/>
  <c r="V828" i="2"/>
  <c r="U828" i="2"/>
  <c r="T828" i="2"/>
  <c r="AJ827" i="2"/>
  <c r="AI827" i="2"/>
  <c r="AH827" i="2"/>
  <c r="AG827" i="2"/>
  <c r="AF827" i="2"/>
  <c r="AE827" i="2"/>
  <c r="AD827" i="2"/>
  <c r="AC827" i="2"/>
  <c r="AB827" i="2"/>
  <c r="AA827" i="2"/>
  <c r="Z827" i="2"/>
  <c r="Y827" i="2"/>
  <c r="X827" i="2"/>
  <c r="W827" i="2"/>
  <c r="V827" i="2"/>
  <c r="U827" i="2"/>
  <c r="T827" i="2"/>
  <c r="AJ826" i="2"/>
  <c r="AI826" i="2"/>
  <c r="AH826" i="2"/>
  <c r="AG826" i="2"/>
  <c r="AF826" i="2"/>
  <c r="AE826" i="2"/>
  <c r="AD826" i="2"/>
  <c r="AC826" i="2"/>
  <c r="AB826" i="2"/>
  <c r="AA826" i="2"/>
  <c r="Z826" i="2"/>
  <c r="Y826" i="2"/>
  <c r="X826" i="2"/>
  <c r="W826" i="2"/>
  <c r="V826" i="2"/>
  <c r="U826" i="2"/>
  <c r="T826" i="2"/>
  <c r="AJ825" i="2"/>
  <c r="AI825" i="2"/>
  <c r="AH825" i="2"/>
  <c r="AG825" i="2"/>
  <c r="AF825" i="2"/>
  <c r="AE825" i="2"/>
  <c r="AD825" i="2"/>
  <c r="AC825" i="2"/>
  <c r="AB825" i="2"/>
  <c r="AA825" i="2"/>
  <c r="Z825" i="2"/>
  <c r="Y825" i="2"/>
  <c r="X825" i="2"/>
  <c r="W825" i="2"/>
  <c r="V825" i="2"/>
  <c r="U825" i="2"/>
  <c r="T825" i="2"/>
  <c r="AJ824" i="2"/>
  <c r="AI824" i="2"/>
  <c r="AH824" i="2"/>
  <c r="AG824" i="2"/>
  <c r="AF824" i="2"/>
  <c r="AE824" i="2"/>
  <c r="AD824" i="2"/>
  <c r="AC824" i="2"/>
  <c r="AB824" i="2"/>
  <c r="AA824" i="2"/>
  <c r="Z824" i="2"/>
  <c r="Y824" i="2"/>
  <c r="X824" i="2"/>
  <c r="W824" i="2"/>
  <c r="V824" i="2"/>
  <c r="U824" i="2"/>
  <c r="T824" i="2"/>
  <c r="AJ823" i="2"/>
  <c r="AI823" i="2"/>
  <c r="AH823" i="2"/>
  <c r="AG823" i="2"/>
  <c r="AF823" i="2"/>
  <c r="AE823" i="2"/>
  <c r="AD823" i="2"/>
  <c r="AC823" i="2"/>
  <c r="AB823" i="2"/>
  <c r="AA823" i="2"/>
  <c r="Z823" i="2"/>
  <c r="Y823" i="2"/>
  <c r="X823" i="2"/>
  <c r="W823" i="2"/>
  <c r="V823" i="2"/>
  <c r="U823" i="2"/>
  <c r="T823" i="2"/>
  <c r="AJ822" i="2"/>
  <c r="AI822" i="2"/>
  <c r="AH822" i="2"/>
  <c r="AG822" i="2"/>
  <c r="AF822" i="2"/>
  <c r="AE822" i="2"/>
  <c r="AD822" i="2"/>
  <c r="AC822" i="2"/>
  <c r="AB822" i="2"/>
  <c r="AA822" i="2"/>
  <c r="Z822" i="2"/>
  <c r="Y822" i="2"/>
  <c r="X822" i="2"/>
  <c r="W822" i="2"/>
  <c r="V822" i="2"/>
  <c r="U822" i="2"/>
  <c r="T822" i="2"/>
  <c r="AJ821" i="2"/>
  <c r="AI821" i="2"/>
  <c r="AH821" i="2"/>
  <c r="AG821" i="2"/>
  <c r="AF821" i="2"/>
  <c r="AE821" i="2"/>
  <c r="AD821" i="2"/>
  <c r="AC821" i="2"/>
  <c r="AB821" i="2"/>
  <c r="AA821" i="2"/>
  <c r="Z821" i="2"/>
  <c r="Y821" i="2"/>
  <c r="X821" i="2"/>
  <c r="W821" i="2"/>
  <c r="V821" i="2"/>
  <c r="U821" i="2"/>
  <c r="T821" i="2"/>
  <c r="AJ820" i="2"/>
  <c r="AI820" i="2"/>
  <c r="AH820" i="2"/>
  <c r="AG820" i="2"/>
  <c r="AF820" i="2"/>
  <c r="AE820" i="2"/>
  <c r="AD820" i="2"/>
  <c r="AC820" i="2"/>
  <c r="AB820" i="2"/>
  <c r="AA820" i="2"/>
  <c r="Z820" i="2"/>
  <c r="Y820" i="2"/>
  <c r="X820" i="2"/>
  <c r="W820" i="2"/>
  <c r="V820" i="2"/>
  <c r="U820" i="2"/>
  <c r="T820" i="2"/>
  <c r="AJ819" i="2"/>
  <c r="AI819" i="2"/>
  <c r="AH819" i="2"/>
  <c r="AG819" i="2"/>
  <c r="AF819" i="2"/>
  <c r="AE819" i="2"/>
  <c r="AD819" i="2"/>
  <c r="AC819" i="2"/>
  <c r="AB819" i="2"/>
  <c r="AA819" i="2"/>
  <c r="Z819" i="2"/>
  <c r="Y819" i="2"/>
  <c r="X819" i="2"/>
  <c r="W819" i="2"/>
  <c r="V819" i="2"/>
  <c r="U819" i="2"/>
  <c r="T819" i="2"/>
  <c r="AJ818" i="2"/>
  <c r="AI818" i="2"/>
  <c r="AH818" i="2"/>
  <c r="AG818" i="2"/>
  <c r="AF818" i="2"/>
  <c r="AE818" i="2"/>
  <c r="AD818" i="2"/>
  <c r="AC818" i="2"/>
  <c r="AB818" i="2"/>
  <c r="AA818" i="2"/>
  <c r="Z818" i="2"/>
  <c r="Y818" i="2"/>
  <c r="X818" i="2"/>
  <c r="W818" i="2"/>
  <c r="V818" i="2"/>
  <c r="U818" i="2"/>
  <c r="T818" i="2"/>
  <c r="AJ817" i="2"/>
  <c r="AI817" i="2"/>
  <c r="AH817" i="2"/>
  <c r="AG817" i="2"/>
  <c r="AF817" i="2"/>
  <c r="AE817" i="2"/>
  <c r="AD817" i="2"/>
  <c r="AC817" i="2"/>
  <c r="AB817" i="2"/>
  <c r="AA817" i="2"/>
  <c r="Z817" i="2"/>
  <c r="Y817" i="2"/>
  <c r="X817" i="2"/>
  <c r="W817" i="2"/>
  <c r="V817" i="2"/>
  <c r="U817" i="2"/>
  <c r="T817" i="2"/>
  <c r="AJ816" i="2"/>
  <c r="AI816" i="2"/>
  <c r="AH816" i="2"/>
  <c r="AG816" i="2"/>
  <c r="AF816" i="2"/>
  <c r="AE816" i="2"/>
  <c r="AD816" i="2"/>
  <c r="AC816" i="2"/>
  <c r="AB816" i="2"/>
  <c r="AA816" i="2"/>
  <c r="Z816" i="2"/>
  <c r="Y816" i="2"/>
  <c r="X816" i="2"/>
  <c r="W816" i="2"/>
  <c r="V816" i="2"/>
  <c r="U816" i="2"/>
  <c r="T816" i="2"/>
  <c r="AJ815" i="2"/>
  <c r="AI815" i="2"/>
  <c r="AH815" i="2"/>
  <c r="AG815" i="2"/>
  <c r="AF815" i="2"/>
  <c r="AE815" i="2"/>
  <c r="AD815" i="2"/>
  <c r="AC815" i="2"/>
  <c r="AB815" i="2"/>
  <c r="AA815" i="2"/>
  <c r="Z815" i="2"/>
  <c r="Y815" i="2"/>
  <c r="X815" i="2"/>
  <c r="W815" i="2"/>
  <c r="V815" i="2"/>
  <c r="U815" i="2"/>
  <c r="T815" i="2"/>
  <c r="AJ814" i="2"/>
  <c r="AI814" i="2"/>
  <c r="AH814" i="2"/>
  <c r="AG814" i="2"/>
  <c r="AF814" i="2"/>
  <c r="AE814" i="2"/>
  <c r="AD814" i="2"/>
  <c r="AC814" i="2"/>
  <c r="AB814" i="2"/>
  <c r="AA814" i="2"/>
  <c r="Z814" i="2"/>
  <c r="Y814" i="2"/>
  <c r="X814" i="2"/>
  <c r="W814" i="2"/>
  <c r="V814" i="2"/>
  <c r="U814" i="2"/>
  <c r="T814" i="2"/>
  <c r="AJ813" i="2"/>
  <c r="AI813" i="2"/>
  <c r="AH813" i="2"/>
  <c r="AG813" i="2"/>
  <c r="AF813" i="2"/>
  <c r="AE813" i="2"/>
  <c r="AD813" i="2"/>
  <c r="AC813" i="2"/>
  <c r="AB813" i="2"/>
  <c r="AA813" i="2"/>
  <c r="Z813" i="2"/>
  <c r="Y813" i="2"/>
  <c r="X813" i="2"/>
  <c r="W813" i="2"/>
  <c r="V813" i="2"/>
  <c r="U813" i="2"/>
  <c r="T813" i="2"/>
  <c r="AJ812" i="2"/>
  <c r="AI812" i="2"/>
  <c r="AH812" i="2"/>
  <c r="AG812" i="2"/>
  <c r="AF812" i="2"/>
  <c r="AE812" i="2"/>
  <c r="AD812" i="2"/>
  <c r="AC812" i="2"/>
  <c r="AB812" i="2"/>
  <c r="AA812" i="2"/>
  <c r="Z812" i="2"/>
  <c r="Y812" i="2"/>
  <c r="X812" i="2"/>
  <c r="W812" i="2"/>
  <c r="V812" i="2"/>
  <c r="U812" i="2"/>
  <c r="T812" i="2"/>
  <c r="AJ811" i="2"/>
  <c r="AI811" i="2"/>
  <c r="AH811" i="2"/>
  <c r="AG811" i="2"/>
  <c r="AF811" i="2"/>
  <c r="AE811" i="2"/>
  <c r="AD811" i="2"/>
  <c r="AC811" i="2"/>
  <c r="AB811" i="2"/>
  <c r="AA811" i="2"/>
  <c r="Z811" i="2"/>
  <c r="Y811" i="2"/>
  <c r="X811" i="2"/>
  <c r="W811" i="2"/>
  <c r="V811" i="2"/>
  <c r="U811" i="2"/>
  <c r="T811" i="2"/>
  <c r="AJ810" i="2"/>
  <c r="AI810" i="2"/>
  <c r="AH810" i="2"/>
  <c r="AG810" i="2"/>
  <c r="AF810" i="2"/>
  <c r="AE810" i="2"/>
  <c r="AD810" i="2"/>
  <c r="AC810" i="2"/>
  <c r="AB810" i="2"/>
  <c r="AA810" i="2"/>
  <c r="Z810" i="2"/>
  <c r="Y810" i="2"/>
  <c r="X810" i="2"/>
  <c r="W810" i="2"/>
  <c r="V810" i="2"/>
  <c r="U810" i="2"/>
  <c r="T810" i="2"/>
  <c r="AJ809" i="2"/>
  <c r="AI809" i="2"/>
  <c r="AH809" i="2"/>
  <c r="AG809" i="2"/>
  <c r="AF809" i="2"/>
  <c r="AE809" i="2"/>
  <c r="AD809" i="2"/>
  <c r="AC809" i="2"/>
  <c r="AB809" i="2"/>
  <c r="AA809" i="2"/>
  <c r="Z809" i="2"/>
  <c r="Y809" i="2"/>
  <c r="X809" i="2"/>
  <c r="W809" i="2"/>
  <c r="V809" i="2"/>
  <c r="U809" i="2"/>
  <c r="T809" i="2"/>
  <c r="AJ808" i="2"/>
  <c r="AI808" i="2"/>
  <c r="AH808" i="2"/>
  <c r="AG808" i="2"/>
  <c r="AF808" i="2"/>
  <c r="AE808" i="2"/>
  <c r="AD808" i="2"/>
  <c r="AC808" i="2"/>
  <c r="AB808" i="2"/>
  <c r="AA808" i="2"/>
  <c r="Z808" i="2"/>
  <c r="Y808" i="2"/>
  <c r="X808" i="2"/>
  <c r="W808" i="2"/>
  <c r="V808" i="2"/>
  <c r="U808" i="2"/>
  <c r="T808" i="2"/>
  <c r="AJ807" i="2"/>
  <c r="AI807" i="2"/>
  <c r="AH807" i="2"/>
  <c r="AG807" i="2"/>
  <c r="AF807" i="2"/>
  <c r="AE807" i="2"/>
  <c r="AD807" i="2"/>
  <c r="AC807" i="2"/>
  <c r="AB807" i="2"/>
  <c r="AA807" i="2"/>
  <c r="Z807" i="2"/>
  <c r="Y807" i="2"/>
  <c r="X807" i="2"/>
  <c r="W807" i="2"/>
  <c r="V807" i="2"/>
  <c r="U807" i="2"/>
  <c r="T807" i="2"/>
  <c r="AJ806" i="2"/>
  <c r="AI806" i="2"/>
  <c r="AH806" i="2"/>
  <c r="AG806" i="2"/>
  <c r="AF806" i="2"/>
  <c r="AE806" i="2"/>
  <c r="AD806" i="2"/>
  <c r="AC806" i="2"/>
  <c r="AB806" i="2"/>
  <c r="AA806" i="2"/>
  <c r="Z806" i="2"/>
  <c r="Y806" i="2"/>
  <c r="X806" i="2"/>
  <c r="W806" i="2"/>
  <c r="V806" i="2"/>
  <c r="U806" i="2"/>
  <c r="T806" i="2"/>
  <c r="AJ805" i="2"/>
  <c r="AI805" i="2"/>
  <c r="AH805" i="2"/>
  <c r="AG805" i="2"/>
  <c r="AF805" i="2"/>
  <c r="AE805" i="2"/>
  <c r="AD805" i="2"/>
  <c r="AC805" i="2"/>
  <c r="AB805" i="2"/>
  <c r="AA805" i="2"/>
  <c r="Z805" i="2"/>
  <c r="Y805" i="2"/>
  <c r="X805" i="2"/>
  <c r="W805" i="2"/>
  <c r="V805" i="2"/>
  <c r="U805" i="2"/>
  <c r="T805" i="2"/>
  <c r="AJ804" i="2"/>
  <c r="AI804" i="2"/>
  <c r="AH804" i="2"/>
  <c r="AG804" i="2"/>
  <c r="AF804" i="2"/>
  <c r="AE804" i="2"/>
  <c r="AD804" i="2"/>
  <c r="AC804" i="2"/>
  <c r="AB804" i="2"/>
  <c r="AA804" i="2"/>
  <c r="Z804" i="2"/>
  <c r="Y804" i="2"/>
  <c r="X804" i="2"/>
  <c r="W804" i="2"/>
  <c r="V804" i="2"/>
  <c r="U804" i="2"/>
  <c r="T804" i="2"/>
  <c r="AJ803" i="2"/>
  <c r="AI803" i="2"/>
  <c r="AH803" i="2"/>
  <c r="AG803" i="2"/>
  <c r="AF803" i="2"/>
  <c r="AE803" i="2"/>
  <c r="AD803" i="2"/>
  <c r="AC803" i="2"/>
  <c r="AB803" i="2"/>
  <c r="AA803" i="2"/>
  <c r="Z803" i="2"/>
  <c r="Y803" i="2"/>
  <c r="X803" i="2"/>
  <c r="W803" i="2"/>
  <c r="V803" i="2"/>
  <c r="U803" i="2"/>
  <c r="T803" i="2"/>
  <c r="AJ802" i="2"/>
  <c r="AI802" i="2"/>
  <c r="AH802" i="2"/>
  <c r="AG802" i="2"/>
  <c r="AF802" i="2"/>
  <c r="AE802" i="2"/>
  <c r="AD802" i="2"/>
  <c r="AC802" i="2"/>
  <c r="AB802" i="2"/>
  <c r="AA802" i="2"/>
  <c r="Z802" i="2"/>
  <c r="Y802" i="2"/>
  <c r="X802" i="2"/>
  <c r="W802" i="2"/>
  <c r="V802" i="2"/>
  <c r="U802" i="2"/>
  <c r="T802" i="2"/>
  <c r="AJ801" i="2"/>
  <c r="AI801" i="2"/>
  <c r="AH801" i="2"/>
  <c r="AG801" i="2"/>
  <c r="AF801" i="2"/>
  <c r="AE801" i="2"/>
  <c r="AD801" i="2"/>
  <c r="AC801" i="2"/>
  <c r="AB801" i="2"/>
  <c r="AA801" i="2"/>
  <c r="Z801" i="2"/>
  <c r="Y801" i="2"/>
  <c r="X801" i="2"/>
  <c r="W801" i="2"/>
  <c r="V801" i="2"/>
  <c r="U801" i="2"/>
  <c r="T801" i="2"/>
  <c r="AJ800" i="2"/>
  <c r="AI800" i="2"/>
  <c r="AH800" i="2"/>
  <c r="AG800" i="2"/>
  <c r="AF800" i="2"/>
  <c r="AE800" i="2"/>
  <c r="AD800" i="2"/>
  <c r="AC800" i="2"/>
  <c r="AB800" i="2"/>
  <c r="AA800" i="2"/>
  <c r="Z800" i="2"/>
  <c r="Y800" i="2"/>
  <c r="X800" i="2"/>
  <c r="W800" i="2"/>
  <c r="V800" i="2"/>
  <c r="U800" i="2"/>
  <c r="T800" i="2"/>
  <c r="AJ799" i="2"/>
  <c r="AI799" i="2"/>
  <c r="AH799" i="2"/>
  <c r="AG799" i="2"/>
  <c r="AF799" i="2"/>
  <c r="AE799" i="2"/>
  <c r="AD799" i="2"/>
  <c r="AC799" i="2"/>
  <c r="AB799" i="2"/>
  <c r="AA799" i="2"/>
  <c r="Z799" i="2"/>
  <c r="Y799" i="2"/>
  <c r="X799" i="2"/>
  <c r="W799" i="2"/>
  <c r="V799" i="2"/>
  <c r="U799" i="2"/>
  <c r="T799" i="2"/>
  <c r="AJ798" i="2"/>
  <c r="AI798" i="2"/>
  <c r="AH798" i="2"/>
  <c r="AG798" i="2"/>
  <c r="AF798" i="2"/>
  <c r="AE798" i="2"/>
  <c r="AD798" i="2"/>
  <c r="AC798" i="2"/>
  <c r="AB798" i="2"/>
  <c r="AA798" i="2"/>
  <c r="Z798" i="2"/>
  <c r="Y798" i="2"/>
  <c r="X798" i="2"/>
  <c r="W798" i="2"/>
  <c r="V798" i="2"/>
  <c r="U798" i="2"/>
  <c r="T798" i="2"/>
  <c r="AJ797" i="2"/>
  <c r="AI797" i="2"/>
  <c r="AH797" i="2"/>
  <c r="AG797" i="2"/>
  <c r="AF797" i="2"/>
  <c r="AE797" i="2"/>
  <c r="AD797" i="2"/>
  <c r="AC797" i="2"/>
  <c r="AB797" i="2"/>
  <c r="AA797" i="2"/>
  <c r="Z797" i="2"/>
  <c r="Y797" i="2"/>
  <c r="X797" i="2"/>
  <c r="W797" i="2"/>
  <c r="V797" i="2"/>
  <c r="U797" i="2"/>
  <c r="T797" i="2"/>
  <c r="AJ796" i="2"/>
  <c r="AI796" i="2"/>
  <c r="AH796" i="2"/>
  <c r="AG796" i="2"/>
  <c r="AF796" i="2"/>
  <c r="AE796" i="2"/>
  <c r="AD796" i="2"/>
  <c r="AC796" i="2"/>
  <c r="AB796" i="2"/>
  <c r="AA796" i="2"/>
  <c r="Z796" i="2"/>
  <c r="Y796" i="2"/>
  <c r="X796" i="2"/>
  <c r="W796" i="2"/>
  <c r="V796" i="2"/>
  <c r="U796" i="2"/>
  <c r="T796" i="2"/>
  <c r="AJ795" i="2"/>
  <c r="AI795" i="2"/>
  <c r="AH795" i="2"/>
  <c r="AG795" i="2"/>
  <c r="AF795" i="2"/>
  <c r="AE795" i="2"/>
  <c r="AD795" i="2"/>
  <c r="AC795" i="2"/>
  <c r="AB795" i="2"/>
  <c r="AA795" i="2"/>
  <c r="Z795" i="2"/>
  <c r="Y795" i="2"/>
  <c r="X795" i="2"/>
  <c r="W795" i="2"/>
  <c r="V795" i="2"/>
  <c r="U795" i="2"/>
  <c r="T795" i="2"/>
  <c r="AJ794" i="2"/>
  <c r="AI794" i="2"/>
  <c r="AH794" i="2"/>
  <c r="AG794" i="2"/>
  <c r="AF794" i="2"/>
  <c r="AE794" i="2"/>
  <c r="AD794" i="2"/>
  <c r="AC794" i="2"/>
  <c r="AB794" i="2"/>
  <c r="AA794" i="2"/>
  <c r="Z794" i="2"/>
  <c r="Y794" i="2"/>
  <c r="X794" i="2"/>
  <c r="W794" i="2"/>
  <c r="V794" i="2"/>
  <c r="U794" i="2"/>
  <c r="T794" i="2"/>
  <c r="AJ793" i="2"/>
  <c r="AI793" i="2"/>
  <c r="AH793" i="2"/>
  <c r="AG793" i="2"/>
  <c r="AF793" i="2"/>
  <c r="AE793" i="2"/>
  <c r="AD793" i="2"/>
  <c r="AC793" i="2"/>
  <c r="AB793" i="2"/>
  <c r="AA793" i="2"/>
  <c r="Z793" i="2"/>
  <c r="Y793" i="2"/>
  <c r="X793" i="2"/>
  <c r="W793" i="2"/>
  <c r="V793" i="2"/>
  <c r="U793" i="2"/>
  <c r="T793" i="2"/>
  <c r="AJ792" i="2"/>
  <c r="AI792" i="2"/>
  <c r="AH792" i="2"/>
  <c r="AG792" i="2"/>
  <c r="AF792" i="2"/>
  <c r="AE792" i="2"/>
  <c r="AD792" i="2"/>
  <c r="AC792" i="2"/>
  <c r="AB792" i="2"/>
  <c r="AA792" i="2"/>
  <c r="Z792" i="2"/>
  <c r="Y792" i="2"/>
  <c r="X792" i="2"/>
  <c r="W792" i="2"/>
  <c r="V792" i="2"/>
  <c r="U792" i="2"/>
  <c r="T792" i="2"/>
  <c r="AJ791" i="2"/>
  <c r="AI791" i="2"/>
  <c r="AH791" i="2"/>
  <c r="AG791" i="2"/>
  <c r="AF791" i="2"/>
  <c r="AE791" i="2"/>
  <c r="AD791" i="2"/>
  <c r="AC791" i="2"/>
  <c r="AB791" i="2"/>
  <c r="AA791" i="2"/>
  <c r="Z791" i="2"/>
  <c r="Y791" i="2"/>
  <c r="X791" i="2"/>
  <c r="W791" i="2"/>
  <c r="V791" i="2"/>
  <c r="U791" i="2"/>
  <c r="T791" i="2"/>
  <c r="AJ790" i="2"/>
  <c r="AI790" i="2"/>
  <c r="AH790" i="2"/>
  <c r="AG790" i="2"/>
  <c r="AF790" i="2"/>
  <c r="AE790" i="2"/>
  <c r="AD790" i="2"/>
  <c r="AC790" i="2"/>
  <c r="AB790" i="2"/>
  <c r="AA790" i="2"/>
  <c r="Z790" i="2"/>
  <c r="Y790" i="2"/>
  <c r="X790" i="2"/>
  <c r="W790" i="2"/>
  <c r="V790" i="2"/>
  <c r="U790" i="2"/>
  <c r="T790" i="2"/>
  <c r="AJ789" i="2"/>
  <c r="AI789" i="2"/>
  <c r="AH789" i="2"/>
  <c r="AG789" i="2"/>
  <c r="AF789" i="2"/>
  <c r="AE789" i="2"/>
  <c r="AD789" i="2"/>
  <c r="AC789" i="2"/>
  <c r="AB789" i="2"/>
  <c r="AA789" i="2"/>
  <c r="Z789" i="2"/>
  <c r="Y789" i="2"/>
  <c r="X789" i="2"/>
  <c r="W789" i="2"/>
  <c r="V789" i="2"/>
  <c r="U789" i="2"/>
  <c r="T789" i="2"/>
  <c r="AJ788" i="2"/>
  <c r="AI788" i="2"/>
  <c r="AH788" i="2"/>
  <c r="AG788" i="2"/>
  <c r="AF788" i="2"/>
  <c r="AE788" i="2"/>
  <c r="AD788" i="2"/>
  <c r="AC788" i="2"/>
  <c r="AB788" i="2"/>
  <c r="AA788" i="2"/>
  <c r="Z788" i="2"/>
  <c r="Y788" i="2"/>
  <c r="X788" i="2"/>
  <c r="W788" i="2"/>
  <c r="V788" i="2"/>
  <c r="U788" i="2"/>
  <c r="T788" i="2"/>
  <c r="AJ787" i="2"/>
  <c r="AI787" i="2"/>
  <c r="AH787" i="2"/>
  <c r="AG787" i="2"/>
  <c r="AF787" i="2"/>
  <c r="AE787" i="2"/>
  <c r="AD787" i="2"/>
  <c r="AC787" i="2"/>
  <c r="AB787" i="2"/>
  <c r="AA787" i="2"/>
  <c r="Z787" i="2"/>
  <c r="Y787" i="2"/>
  <c r="X787" i="2"/>
  <c r="W787" i="2"/>
  <c r="V787" i="2"/>
  <c r="U787" i="2"/>
  <c r="T787" i="2"/>
  <c r="AJ786" i="2"/>
  <c r="AI786" i="2"/>
  <c r="AH786" i="2"/>
  <c r="AG786" i="2"/>
  <c r="AF786" i="2"/>
  <c r="AE786" i="2"/>
  <c r="AD786" i="2"/>
  <c r="AC786" i="2"/>
  <c r="AB786" i="2"/>
  <c r="AA786" i="2"/>
  <c r="Z786" i="2"/>
  <c r="Y786" i="2"/>
  <c r="X786" i="2"/>
  <c r="W786" i="2"/>
  <c r="V786" i="2"/>
  <c r="U786" i="2"/>
  <c r="T786" i="2"/>
  <c r="AJ785" i="2"/>
  <c r="AI785" i="2"/>
  <c r="AH785" i="2"/>
  <c r="AG785" i="2"/>
  <c r="AF785" i="2"/>
  <c r="AE785" i="2"/>
  <c r="AD785" i="2"/>
  <c r="AC785" i="2"/>
  <c r="AB785" i="2"/>
  <c r="AA785" i="2"/>
  <c r="Z785" i="2"/>
  <c r="Y785" i="2"/>
  <c r="X785" i="2"/>
  <c r="W785" i="2"/>
  <c r="V785" i="2"/>
  <c r="U785" i="2"/>
  <c r="T785" i="2"/>
  <c r="AJ784" i="2"/>
  <c r="AI784" i="2"/>
  <c r="AH784" i="2"/>
  <c r="AG784" i="2"/>
  <c r="AF784" i="2"/>
  <c r="AE784" i="2"/>
  <c r="AD784" i="2"/>
  <c r="AC784" i="2"/>
  <c r="AB784" i="2"/>
  <c r="AA784" i="2"/>
  <c r="Z784" i="2"/>
  <c r="Y784" i="2"/>
  <c r="X784" i="2"/>
  <c r="W784" i="2"/>
  <c r="V784" i="2"/>
  <c r="U784" i="2"/>
  <c r="T784" i="2"/>
  <c r="AJ783" i="2"/>
  <c r="AI783" i="2"/>
  <c r="AH783" i="2"/>
  <c r="AG783" i="2"/>
  <c r="AF783" i="2"/>
  <c r="AE783" i="2"/>
  <c r="AD783" i="2"/>
  <c r="AC783" i="2"/>
  <c r="AB783" i="2"/>
  <c r="AA783" i="2"/>
  <c r="Z783" i="2"/>
  <c r="Y783" i="2"/>
  <c r="X783" i="2"/>
  <c r="W783" i="2"/>
  <c r="V783" i="2"/>
  <c r="U783" i="2"/>
  <c r="T783" i="2"/>
  <c r="AJ782" i="2"/>
  <c r="AI782" i="2"/>
  <c r="AH782" i="2"/>
  <c r="AG782" i="2"/>
  <c r="AF782" i="2"/>
  <c r="AE782" i="2"/>
  <c r="AD782" i="2"/>
  <c r="AC782" i="2"/>
  <c r="AB782" i="2"/>
  <c r="AA782" i="2"/>
  <c r="Z782" i="2"/>
  <c r="Y782" i="2"/>
  <c r="X782" i="2"/>
  <c r="W782" i="2"/>
  <c r="V782" i="2"/>
  <c r="U782" i="2"/>
  <c r="T782" i="2"/>
  <c r="AJ781" i="2"/>
  <c r="AI781" i="2"/>
  <c r="AH781" i="2"/>
  <c r="AG781" i="2"/>
  <c r="AF781" i="2"/>
  <c r="AE781" i="2"/>
  <c r="AD781" i="2"/>
  <c r="AC781" i="2"/>
  <c r="AB781" i="2"/>
  <c r="AA781" i="2"/>
  <c r="Z781" i="2"/>
  <c r="Y781" i="2"/>
  <c r="X781" i="2"/>
  <c r="W781" i="2"/>
  <c r="V781" i="2"/>
  <c r="U781" i="2"/>
  <c r="T781" i="2"/>
  <c r="AJ780" i="2"/>
  <c r="AI780" i="2"/>
  <c r="AH780" i="2"/>
  <c r="AG780" i="2"/>
  <c r="AF780" i="2"/>
  <c r="AE780" i="2"/>
  <c r="AD780" i="2"/>
  <c r="AC780" i="2"/>
  <c r="AB780" i="2"/>
  <c r="AA780" i="2"/>
  <c r="Z780" i="2"/>
  <c r="Y780" i="2"/>
  <c r="X780" i="2"/>
  <c r="W780" i="2"/>
  <c r="V780" i="2"/>
  <c r="U780" i="2"/>
  <c r="T780" i="2"/>
  <c r="AJ779" i="2"/>
  <c r="AI779" i="2"/>
  <c r="AH779" i="2"/>
  <c r="AG779" i="2"/>
  <c r="AF779" i="2"/>
  <c r="AE779" i="2"/>
  <c r="AD779" i="2"/>
  <c r="AC779" i="2"/>
  <c r="AB779" i="2"/>
  <c r="AA779" i="2"/>
  <c r="Z779" i="2"/>
  <c r="Y779" i="2"/>
  <c r="X779" i="2"/>
  <c r="W779" i="2"/>
  <c r="V779" i="2"/>
  <c r="U779" i="2"/>
  <c r="T779" i="2"/>
  <c r="AJ778" i="2"/>
  <c r="AI778" i="2"/>
  <c r="AH778" i="2"/>
  <c r="AG778" i="2"/>
  <c r="AF778" i="2"/>
  <c r="AE778" i="2"/>
  <c r="AD778" i="2"/>
  <c r="AC778" i="2"/>
  <c r="AB778" i="2"/>
  <c r="AA778" i="2"/>
  <c r="Z778" i="2"/>
  <c r="Y778" i="2"/>
  <c r="X778" i="2"/>
  <c r="W778" i="2"/>
  <c r="V778" i="2"/>
  <c r="U778" i="2"/>
  <c r="T778" i="2"/>
  <c r="AJ777" i="2"/>
  <c r="AI777" i="2"/>
  <c r="AH777" i="2"/>
  <c r="AG777" i="2"/>
  <c r="AF777" i="2"/>
  <c r="AE777" i="2"/>
  <c r="AD777" i="2"/>
  <c r="AC777" i="2"/>
  <c r="AB777" i="2"/>
  <c r="AA777" i="2"/>
  <c r="Z777" i="2"/>
  <c r="Y777" i="2"/>
  <c r="X777" i="2"/>
  <c r="W777" i="2"/>
  <c r="V777" i="2"/>
  <c r="U777" i="2"/>
  <c r="T777" i="2"/>
  <c r="AJ776" i="2"/>
  <c r="AI776" i="2"/>
  <c r="AH776" i="2"/>
  <c r="AG776" i="2"/>
  <c r="AF776" i="2"/>
  <c r="AE776" i="2"/>
  <c r="AD776" i="2"/>
  <c r="AC776" i="2"/>
  <c r="AB776" i="2"/>
  <c r="AA776" i="2"/>
  <c r="Z776" i="2"/>
  <c r="Y776" i="2"/>
  <c r="X776" i="2"/>
  <c r="W776" i="2"/>
  <c r="V776" i="2"/>
  <c r="U776" i="2"/>
  <c r="T776" i="2"/>
  <c r="AJ775" i="2"/>
  <c r="AI775" i="2"/>
  <c r="AH775" i="2"/>
  <c r="AG775" i="2"/>
  <c r="AF775" i="2"/>
  <c r="AE775" i="2"/>
  <c r="AD775" i="2"/>
  <c r="AC775" i="2"/>
  <c r="AB775" i="2"/>
  <c r="AA775" i="2"/>
  <c r="Z775" i="2"/>
  <c r="Y775" i="2"/>
  <c r="X775" i="2"/>
  <c r="W775" i="2"/>
  <c r="V775" i="2"/>
  <c r="U775" i="2"/>
  <c r="T775" i="2"/>
  <c r="AJ774" i="2"/>
  <c r="AI774" i="2"/>
  <c r="AH774" i="2"/>
  <c r="AG774" i="2"/>
  <c r="AF774" i="2"/>
  <c r="AE774" i="2"/>
  <c r="AD774" i="2"/>
  <c r="AC774" i="2"/>
  <c r="AB774" i="2"/>
  <c r="AA774" i="2"/>
  <c r="Z774" i="2"/>
  <c r="Y774" i="2"/>
  <c r="X774" i="2"/>
  <c r="W774" i="2"/>
  <c r="V774" i="2"/>
  <c r="U774" i="2"/>
  <c r="T774" i="2"/>
  <c r="AJ773" i="2"/>
  <c r="AI773" i="2"/>
  <c r="AH773" i="2"/>
  <c r="AG773" i="2"/>
  <c r="AF773" i="2"/>
  <c r="AE773" i="2"/>
  <c r="AD773" i="2"/>
  <c r="AC773" i="2"/>
  <c r="AB773" i="2"/>
  <c r="AA773" i="2"/>
  <c r="Z773" i="2"/>
  <c r="Y773" i="2"/>
  <c r="X773" i="2"/>
  <c r="W773" i="2"/>
  <c r="V773" i="2"/>
  <c r="U773" i="2"/>
  <c r="T773" i="2"/>
  <c r="AJ772" i="2"/>
  <c r="AI772" i="2"/>
  <c r="AH772" i="2"/>
  <c r="AG772" i="2"/>
  <c r="AF772" i="2"/>
  <c r="AE772" i="2"/>
  <c r="AD772" i="2"/>
  <c r="AC772" i="2"/>
  <c r="AB772" i="2"/>
  <c r="AA772" i="2"/>
  <c r="Z772" i="2"/>
  <c r="Y772" i="2"/>
  <c r="X772" i="2"/>
  <c r="W772" i="2"/>
  <c r="V772" i="2"/>
  <c r="U772" i="2"/>
  <c r="T772" i="2"/>
  <c r="AJ771" i="2"/>
  <c r="AI771" i="2"/>
  <c r="AH771" i="2"/>
  <c r="AG771" i="2"/>
  <c r="AF771" i="2"/>
  <c r="AE771" i="2"/>
  <c r="AD771" i="2"/>
  <c r="AC771" i="2"/>
  <c r="AB771" i="2"/>
  <c r="AA771" i="2"/>
  <c r="Z771" i="2"/>
  <c r="Y771" i="2"/>
  <c r="X771" i="2"/>
  <c r="W771" i="2"/>
  <c r="V771" i="2"/>
  <c r="U771" i="2"/>
  <c r="T771" i="2"/>
  <c r="AJ770" i="2"/>
  <c r="AI770" i="2"/>
  <c r="AH770" i="2"/>
  <c r="AG770" i="2"/>
  <c r="AF770" i="2"/>
  <c r="AE770" i="2"/>
  <c r="AD770" i="2"/>
  <c r="AC770" i="2"/>
  <c r="AB770" i="2"/>
  <c r="AA770" i="2"/>
  <c r="Z770" i="2"/>
  <c r="Y770" i="2"/>
  <c r="X770" i="2"/>
  <c r="W770" i="2"/>
  <c r="V770" i="2"/>
  <c r="U770" i="2"/>
  <c r="T770" i="2"/>
  <c r="AJ769" i="2"/>
  <c r="AI769" i="2"/>
  <c r="AH769" i="2"/>
  <c r="AG769" i="2"/>
  <c r="AF769" i="2"/>
  <c r="AE769" i="2"/>
  <c r="AD769" i="2"/>
  <c r="AC769" i="2"/>
  <c r="AB769" i="2"/>
  <c r="AA769" i="2"/>
  <c r="Z769" i="2"/>
  <c r="Y769" i="2"/>
  <c r="X769" i="2"/>
  <c r="W769" i="2"/>
  <c r="V769" i="2"/>
  <c r="U769" i="2"/>
  <c r="T769" i="2"/>
  <c r="AJ768" i="2"/>
  <c r="AI768" i="2"/>
  <c r="AH768" i="2"/>
  <c r="AG768" i="2"/>
  <c r="AF768" i="2"/>
  <c r="AE768" i="2"/>
  <c r="AD768" i="2"/>
  <c r="AC768" i="2"/>
  <c r="AB768" i="2"/>
  <c r="AA768" i="2"/>
  <c r="Z768" i="2"/>
  <c r="Y768" i="2"/>
  <c r="X768" i="2"/>
  <c r="W768" i="2"/>
  <c r="V768" i="2"/>
  <c r="U768" i="2"/>
  <c r="T768" i="2"/>
  <c r="AJ767" i="2"/>
  <c r="AI767" i="2"/>
  <c r="AH767" i="2"/>
  <c r="AG767" i="2"/>
  <c r="AF767" i="2"/>
  <c r="AE767" i="2"/>
  <c r="AD767" i="2"/>
  <c r="AC767" i="2"/>
  <c r="AB767" i="2"/>
  <c r="AA767" i="2"/>
  <c r="Z767" i="2"/>
  <c r="Y767" i="2"/>
  <c r="X767" i="2"/>
  <c r="W767" i="2"/>
  <c r="V767" i="2"/>
  <c r="U767" i="2"/>
  <c r="T767" i="2"/>
  <c r="AJ766" i="2"/>
  <c r="AI766" i="2"/>
  <c r="AH766" i="2"/>
  <c r="AG766" i="2"/>
  <c r="AF766" i="2"/>
  <c r="AE766" i="2"/>
  <c r="AD766" i="2"/>
  <c r="AC766" i="2"/>
  <c r="AB766" i="2"/>
  <c r="AA766" i="2"/>
  <c r="Z766" i="2"/>
  <c r="Y766" i="2"/>
  <c r="X766" i="2"/>
  <c r="W766" i="2"/>
  <c r="V766" i="2"/>
  <c r="U766" i="2"/>
  <c r="T766" i="2"/>
  <c r="AJ765" i="2"/>
  <c r="AI765" i="2"/>
  <c r="AH765" i="2"/>
  <c r="AG765" i="2"/>
  <c r="AF765" i="2"/>
  <c r="AE765" i="2"/>
  <c r="AD765" i="2"/>
  <c r="AC765" i="2"/>
  <c r="AB765" i="2"/>
  <c r="AA765" i="2"/>
  <c r="Z765" i="2"/>
  <c r="Y765" i="2"/>
  <c r="X765" i="2"/>
  <c r="W765" i="2"/>
  <c r="V765" i="2"/>
  <c r="U765" i="2"/>
  <c r="T765" i="2"/>
  <c r="AJ764" i="2"/>
  <c r="AI764" i="2"/>
  <c r="AH764" i="2"/>
  <c r="AG764" i="2"/>
  <c r="AF764" i="2"/>
  <c r="AE764" i="2"/>
  <c r="AD764" i="2"/>
  <c r="AC764" i="2"/>
  <c r="AB764" i="2"/>
  <c r="AA764" i="2"/>
  <c r="Z764" i="2"/>
  <c r="Y764" i="2"/>
  <c r="X764" i="2"/>
  <c r="W764" i="2"/>
  <c r="V764" i="2"/>
  <c r="U764" i="2"/>
  <c r="T764" i="2"/>
  <c r="AJ763" i="2"/>
  <c r="AI763" i="2"/>
  <c r="AH763" i="2"/>
  <c r="AG763" i="2"/>
  <c r="AF763" i="2"/>
  <c r="AE763" i="2"/>
  <c r="AD763" i="2"/>
  <c r="AC763" i="2"/>
  <c r="AB763" i="2"/>
  <c r="AA763" i="2"/>
  <c r="Z763" i="2"/>
  <c r="Y763" i="2"/>
  <c r="X763" i="2"/>
  <c r="W763" i="2"/>
  <c r="V763" i="2"/>
  <c r="U763" i="2"/>
  <c r="T763" i="2"/>
  <c r="AJ762" i="2"/>
  <c r="AI762" i="2"/>
  <c r="AH762" i="2"/>
  <c r="AG762" i="2"/>
  <c r="AF762" i="2"/>
  <c r="AE762" i="2"/>
  <c r="AD762" i="2"/>
  <c r="AC762" i="2"/>
  <c r="AB762" i="2"/>
  <c r="AA762" i="2"/>
  <c r="Z762" i="2"/>
  <c r="Y762" i="2"/>
  <c r="X762" i="2"/>
  <c r="W762" i="2"/>
  <c r="V762" i="2"/>
  <c r="U762" i="2"/>
  <c r="T762" i="2"/>
  <c r="AJ761" i="2"/>
  <c r="AI761" i="2"/>
  <c r="AH761" i="2"/>
  <c r="AG761" i="2"/>
  <c r="AF761" i="2"/>
  <c r="AE761" i="2"/>
  <c r="AD761" i="2"/>
  <c r="AC761" i="2"/>
  <c r="AB761" i="2"/>
  <c r="AA761" i="2"/>
  <c r="Z761" i="2"/>
  <c r="Y761" i="2"/>
  <c r="X761" i="2"/>
  <c r="W761" i="2"/>
  <c r="V761" i="2"/>
  <c r="U761" i="2"/>
  <c r="T761" i="2"/>
  <c r="AJ760" i="2"/>
  <c r="AI760" i="2"/>
  <c r="AH760" i="2"/>
  <c r="AG760" i="2"/>
  <c r="AF760" i="2"/>
  <c r="AE760" i="2"/>
  <c r="AD760" i="2"/>
  <c r="AC760" i="2"/>
  <c r="AB760" i="2"/>
  <c r="AA760" i="2"/>
  <c r="Z760" i="2"/>
  <c r="Y760" i="2"/>
  <c r="X760" i="2"/>
  <c r="W760" i="2"/>
  <c r="V760" i="2"/>
  <c r="U760" i="2"/>
  <c r="T760" i="2"/>
  <c r="AJ759" i="2"/>
  <c r="AI759" i="2"/>
  <c r="AH759" i="2"/>
  <c r="AG759" i="2"/>
  <c r="AF759" i="2"/>
  <c r="AE759" i="2"/>
  <c r="AD759" i="2"/>
  <c r="AC759" i="2"/>
  <c r="AB759" i="2"/>
  <c r="AA759" i="2"/>
  <c r="Z759" i="2"/>
  <c r="Y759" i="2"/>
  <c r="X759" i="2"/>
  <c r="W759" i="2"/>
  <c r="V759" i="2"/>
  <c r="U759" i="2"/>
  <c r="T759" i="2"/>
  <c r="AJ758" i="2"/>
  <c r="AI758" i="2"/>
  <c r="AH758" i="2"/>
  <c r="AG758" i="2"/>
  <c r="AF758" i="2"/>
  <c r="AE758" i="2"/>
  <c r="AD758" i="2"/>
  <c r="AC758" i="2"/>
  <c r="AB758" i="2"/>
  <c r="AA758" i="2"/>
  <c r="Z758" i="2"/>
  <c r="Y758" i="2"/>
  <c r="X758" i="2"/>
  <c r="W758" i="2"/>
  <c r="V758" i="2"/>
  <c r="U758" i="2"/>
  <c r="T758" i="2"/>
  <c r="AJ757" i="2"/>
  <c r="AI757" i="2"/>
  <c r="AH757" i="2"/>
  <c r="AG757" i="2"/>
  <c r="AF757" i="2"/>
  <c r="AE757" i="2"/>
  <c r="AD757" i="2"/>
  <c r="AC757" i="2"/>
  <c r="AB757" i="2"/>
  <c r="AA757" i="2"/>
  <c r="Z757" i="2"/>
  <c r="Y757" i="2"/>
  <c r="X757" i="2"/>
  <c r="W757" i="2"/>
  <c r="V757" i="2"/>
  <c r="U757" i="2"/>
  <c r="T757" i="2"/>
  <c r="AJ756" i="2"/>
  <c r="AI756" i="2"/>
  <c r="AH756" i="2"/>
  <c r="AG756" i="2"/>
  <c r="AF756" i="2"/>
  <c r="AE756" i="2"/>
  <c r="AD756" i="2"/>
  <c r="AC756" i="2"/>
  <c r="AB756" i="2"/>
  <c r="AA756" i="2"/>
  <c r="Z756" i="2"/>
  <c r="Y756" i="2"/>
  <c r="X756" i="2"/>
  <c r="W756" i="2"/>
  <c r="V756" i="2"/>
  <c r="U756" i="2"/>
  <c r="T756" i="2"/>
  <c r="AJ755" i="2"/>
  <c r="AI755" i="2"/>
  <c r="AH755" i="2"/>
  <c r="AG755" i="2"/>
  <c r="AF755" i="2"/>
  <c r="AE755" i="2"/>
  <c r="AD755" i="2"/>
  <c r="AC755" i="2"/>
  <c r="AB755" i="2"/>
  <c r="AA755" i="2"/>
  <c r="Z755" i="2"/>
  <c r="Y755" i="2"/>
  <c r="X755" i="2"/>
  <c r="W755" i="2"/>
  <c r="V755" i="2"/>
  <c r="U755" i="2"/>
  <c r="T755" i="2"/>
  <c r="AJ754" i="2"/>
  <c r="AI754" i="2"/>
  <c r="AH754" i="2"/>
  <c r="AG754" i="2"/>
  <c r="AF754" i="2"/>
  <c r="AE754" i="2"/>
  <c r="AD754" i="2"/>
  <c r="AC754" i="2"/>
  <c r="AB754" i="2"/>
  <c r="AA754" i="2"/>
  <c r="Z754" i="2"/>
  <c r="Y754" i="2"/>
  <c r="X754" i="2"/>
  <c r="W754" i="2"/>
  <c r="V754" i="2"/>
  <c r="U754" i="2"/>
  <c r="T754" i="2"/>
  <c r="AJ753" i="2"/>
  <c r="AI753" i="2"/>
  <c r="AH753" i="2"/>
  <c r="AG753" i="2"/>
  <c r="AF753" i="2"/>
  <c r="AE753" i="2"/>
  <c r="AD753" i="2"/>
  <c r="AC753" i="2"/>
  <c r="AB753" i="2"/>
  <c r="AA753" i="2"/>
  <c r="Z753" i="2"/>
  <c r="Y753" i="2"/>
  <c r="X753" i="2"/>
  <c r="W753" i="2"/>
  <c r="V753" i="2"/>
  <c r="U753" i="2"/>
  <c r="T753" i="2"/>
  <c r="AJ752" i="2"/>
  <c r="AI752" i="2"/>
  <c r="AH752" i="2"/>
  <c r="AG752" i="2"/>
  <c r="AF752" i="2"/>
  <c r="AE752" i="2"/>
  <c r="AD752" i="2"/>
  <c r="AC752" i="2"/>
  <c r="AB752" i="2"/>
  <c r="AA752" i="2"/>
  <c r="Z752" i="2"/>
  <c r="Y752" i="2"/>
  <c r="X752" i="2"/>
  <c r="W752" i="2"/>
  <c r="V752" i="2"/>
  <c r="U752" i="2"/>
  <c r="T752" i="2"/>
  <c r="AJ751" i="2"/>
  <c r="AI751" i="2"/>
  <c r="AH751" i="2"/>
  <c r="AG751" i="2"/>
  <c r="AF751" i="2"/>
  <c r="AE751" i="2"/>
  <c r="AD751" i="2"/>
  <c r="AC751" i="2"/>
  <c r="AB751" i="2"/>
  <c r="AA751" i="2"/>
  <c r="Z751" i="2"/>
  <c r="Y751" i="2"/>
  <c r="X751" i="2"/>
  <c r="W751" i="2"/>
  <c r="V751" i="2"/>
  <c r="U751" i="2"/>
  <c r="T751" i="2"/>
  <c r="AJ750" i="2"/>
  <c r="AI750" i="2"/>
  <c r="AH750" i="2"/>
  <c r="AG750" i="2"/>
  <c r="AF750" i="2"/>
  <c r="AE750" i="2"/>
  <c r="AD750" i="2"/>
  <c r="AC750" i="2"/>
  <c r="AB750" i="2"/>
  <c r="AA750" i="2"/>
  <c r="Z750" i="2"/>
  <c r="Y750" i="2"/>
  <c r="X750" i="2"/>
  <c r="W750" i="2"/>
  <c r="V750" i="2"/>
  <c r="U750" i="2"/>
  <c r="T750" i="2"/>
  <c r="AJ749" i="2"/>
  <c r="AI749" i="2"/>
  <c r="AH749" i="2"/>
  <c r="AG749" i="2"/>
  <c r="AF749" i="2"/>
  <c r="AE749" i="2"/>
  <c r="AD749" i="2"/>
  <c r="AC749" i="2"/>
  <c r="AB749" i="2"/>
  <c r="AA749" i="2"/>
  <c r="Z749" i="2"/>
  <c r="Y749" i="2"/>
  <c r="X749" i="2"/>
  <c r="W749" i="2"/>
  <c r="V749" i="2"/>
  <c r="U749" i="2"/>
  <c r="T749" i="2"/>
  <c r="AJ748" i="2"/>
  <c r="AI748" i="2"/>
  <c r="AH748" i="2"/>
  <c r="AG748" i="2"/>
  <c r="AF748" i="2"/>
  <c r="AE748" i="2"/>
  <c r="AD748" i="2"/>
  <c r="AC748" i="2"/>
  <c r="AB748" i="2"/>
  <c r="AA748" i="2"/>
  <c r="Z748" i="2"/>
  <c r="Y748" i="2"/>
  <c r="X748" i="2"/>
  <c r="W748" i="2"/>
  <c r="V748" i="2"/>
  <c r="U748" i="2"/>
  <c r="T748" i="2"/>
  <c r="AJ747" i="2"/>
  <c r="AI747" i="2"/>
  <c r="AH747" i="2"/>
  <c r="AG747" i="2"/>
  <c r="AF747" i="2"/>
  <c r="AE747" i="2"/>
  <c r="AD747" i="2"/>
  <c r="AC747" i="2"/>
  <c r="AB747" i="2"/>
  <c r="AA747" i="2"/>
  <c r="Z747" i="2"/>
  <c r="Y747" i="2"/>
  <c r="X747" i="2"/>
  <c r="W747" i="2"/>
  <c r="V747" i="2"/>
  <c r="U747" i="2"/>
  <c r="T747" i="2"/>
  <c r="AJ746" i="2"/>
  <c r="AI746" i="2"/>
  <c r="AH746" i="2"/>
  <c r="AG746" i="2"/>
  <c r="AF746" i="2"/>
  <c r="AE746" i="2"/>
  <c r="AD746" i="2"/>
  <c r="AC746" i="2"/>
  <c r="AB746" i="2"/>
  <c r="AA746" i="2"/>
  <c r="Z746" i="2"/>
  <c r="Y746" i="2"/>
  <c r="X746" i="2"/>
  <c r="W746" i="2"/>
  <c r="V746" i="2"/>
  <c r="U746" i="2"/>
  <c r="T746" i="2"/>
  <c r="AJ745" i="2"/>
  <c r="AI745" i="2"/>
  <c r="AH745" i="2"/>
  <c r="AG745" i="2"/>
  <c r="AF745" i="2"/>
  <c r="AE745" i="2"/>
  <c r="AD745" i="2"/>
  <c r="AC745" i="2"/>
  <c r="AB745" i="2"/>
  <c r="AA745" i="2"/>
  <c r="Z745" i="2"/>
  <c r="Y745" i="2"/>
  <c r="X745" i="2"/>
  <c r="W745" i="2"/>
  <c r="V745" i="2"/>
  <c r="U745" i="2"/>
  <c r="T745" i="2"/>
  <c r="AJ744" i="2"/>
  <c r="AI744" i="2"/>
  <c r="AH744" i="2"/>
  <c r="AG744" i="2"/>
  <c r="AF744" i="2"/>
  <c r="AE744" i="2"/>
  <c r="AD744" i="2"/>
  <c r="AC744" i="2"/>
  <c r="AB744" i="2"/>
  <c r="AA744" i="2"/>
  <c r="Z744" i="2"/>
  <c r="Y744" i="2"/>
  <c r="X744" i="2"/>
  <c r="W744" i="2"/>
  <c r="V744" i="2"/>
  <c r="U744" i="2"/>
  <c r="T744" i="2"/>
  <c r="AJ743" i="2"/>
  <c r="AI743" i="2"/>
  <c r="AH743" i="2"/>
  <c r="AG743" i="2"/>
  <c r="AF743" i="2"/>
  <c r="AE743" i="2"/>
  <c r="AD743" i="2"/>
  <c r="AC743" i="2"/>
  <c r="AB743" i="2"/>
  <c r="AA743" i="2"/>
  <c r="Z743" i="2"/>
  <c r="Y743" i="2"/>
  <c r="X743" i="2"/>
  <c r="W743" i="2"/>
  <c r="V743" i="2"/>
  <c r="U743" i="2"/>
  <c r="T743" i="2"/>
  <c r="AJ742" i="2"/>
  <c r="AI742" i="2"/>
  <c r="AH742" i="2"/>
  <c r="AG742" i="2"/>
  <c r="AF742" i="2"/>
  <c r="AE742" i="2"/>
  <c r="AD742" i="2"/>
  <c r="AC742" i="2"/>
  <c r="AB742" i="2"/>
  <c r="AA742" i="2"/>
  <c r="Z742" i="2"/>
  <c r="Y742" i="2"/>
  <c r="X742" i="2"/>
  <c r="W742" i="2"/>
  <c r="V742" i="2"/>
  <c r="U742" i="2"/>
  <c r="T742" i="2"/>
  <c r="AJ741" i="2"/>
  <c r="AI741" i="2"/>
  <c r="AH741" i="2"/>
  <c r="AG741" i="2"/>
  <c r="AF741" i="2"/>
  <c r="AE741" i="2"/>
  <c r="AD741" i="2"/>
  <c r="AC741" i="2"/>
  <c r="AB741" i="2"/>
  <c r="AA741" i="2"/>
  <c r="Z741" i="2"/>
  <c r="Y741" i="2"/>
  <c r="X741" i="2"/>
  <c r="W741" i="2"/>
  <c r="V741" i="2"/>
  <c r="U741" i="2"/>
  <c r="T741" i="2"/>
  <c r="AJ740" i="2"/>
  <c r="AI740" i="2"/>
  <c r="AH740" i="2"/>
  <c r="AG740" i="2"/>
  <c r="AF740" i="2"/>
  <c r="AE740" i="2"/>
  <c r="AD740" i="2"/>
  <c r="AC740" i="2"/>
  <c r="AB740" i="2"/>
  <c r="AA740" i="2"/>
  <c r="Z740" i="2"/>
  <c r="Y740" i="2"/>
  <c r="X740" i="2"/>
  <c r="W740" i="2"/>
  <c r="V740" i="2"/>
  <c r="U740" i="2"/>
  <c r="T740" i="2"/>
  <c r="AJ739" i="2"/>
  <c r="AI739" i="2"/>
  <c r="AH739" i="2"/>
  <c r="AG739" i="2"/>
  <c r="AF739" i="2"/>
  <c r="AE739" i="2"/>
  <c r="AD739" i="2"/>
  <c r="AC739" i="2"/>
  <c r="AB739" i="2"/>
  <c r="AA739" i="2"/>
  <c r="Z739" i="2"/>
  <c r="Y739" i="2"/>
  <c r="X739" i="2"/>
  <c r="W739" i="2"/>
  <c r="V739" i="2"/>
  <c r="U739" i="2"/>
  <c r="T739" i="2"/>
  <c r="AJ738" i="2"/>
  <c r="AI738" i="2"/>
  <c r="AH738" i="2"/>
  <c r="AG738" i="2"/>
  <c r="AF738" i="2"/>
  <c r="AE738" i="2"/>
  <c r="AD738" i="2"/>
  <c r="AC738" i="2"/>
  <c r="AB738" i="2"/>
  <c r="AA738" i="2"/>
  <c r="Z738" i="2"/>
  <c r="Y738" i="2"/>
  <c r="X738" i="2"/>
  <c r="W738" i="2"/>
  <c r="V738" i="2"/>
  <c r="U738" i="2"/>
  <c r="T738" i="2"/>
  <c r="AJ737" i="2"/>
  <c r="AI737" i="2"/>
  <c r="AH737" i="2"/>
  <c r="AG737" i="2"/>
  <c r="AF737" i="2"/>
  <c r="AE737" i="2"/>
  <c r="AD737" i="2"/>
  <c r="AC737" i="2"/>
  <c r="AB737" i="2"/>
  <c r="AA737" i="2"/>
  <c r="Z737" i="2"/>
  <c r="Y737" i="2"/>
  <c r="X737" i="2"/>
  <c r="W737" i="2"/>
  <c r="V737" i="2"/>
  <c r="U737" i="2"/>
  <c r="T737" i="2"/>
  <c r="AJ736" i="2"/>
  <c r="AI736" i="2"/>
  <c r="AH736" i="2"/>
  <c r="AG736" i="2"/>
  <c r="AF736" i="2"/>
  <c r="AE736" i="2"/>
  <c r="AD736" i="2"/>
  <c r="AC736" i="2"/>
  <c r="AB736" i="2"/>
  <c r="AA736" i="2"/>
  <c r="Z736" i="2"/>
  <c r="Y736" i="2"/>
  <c r="X736" i="2"/>
  <c r="W736" i="2"/>
  <c r="V736" i="2"/>
  <c r="U736" i="2"/>
  <c r="T736" i="2"/>
  <c r="AJ735" i="2"/>
  <c r="AI735" i="2"/>
  <c r="AH735" i="2"/>
  <c r="AG735" i="2"/>
  <c r="AF735" i="2"/>
  <c r="AE735" i="2"/>
  <c r="AD735" i="2"/>
  <c r="AC735" i="2"/>
  <c r="AB735" i="2"/>
  <c r="AA735" i="2"/>
  <c r="Z735" i="2"/>
  <c r="Y735" i="2"/>
  <c r="X735" i="2"/>
  <c r="W735" i="2"/>
  <c r="V735" i="2"/>
  <c r="U735" i="2"/>
  <c r="T735" i="2"/>
  <c r="AJ734" i="2"/>
  <c r="AI734" i="2"/>
  <c r="AH734" i="2"/>
  <c r="AG734" i="2"/>
  <c r="AF734" i="2"/>
  <c r="AE734" i="2"/>
  <c r="AD734" i="2"/>
  <c r="AC734" i="2"/>
  <c r="AB734" i="2"/>
  <c r="AA734" i="2"/>
  <c r="Z734" i="2"/>
  <c r="Y734" i="2"/>
  <c r="X734" i="2"/>
  <c r="W734" i="2"/>
  <c r="V734" i="2"/>
  <c r="U734" i="2"/>
  <c r="T734" i="2"/>
  <c r="AJ733" i="2"/>
  <c r="AI733" i="2"/>
  <c r="AH733" i="2"/>
  <c r="AG733" i="2"/>
  <c r="AF733" i="2"/>
  <c r="AE733" i="2"/>
  <c r="AD733" i="2"/>
  <c r="AC733" i="2"/>
  <c r="AB733" i="2"/>
  <c r="AA733" i="2"/>
  <c r="Z733" i="2"/>
  <c r="Y733" i="2"/>
  <c r="X733" i="2"/>
  <c r="W733" i="2"/>
  <c r="V733" i="2"/>
  <c r="U733" i="2"/>
  <c r="T733" i="2"/>
  <c r="AJ732" i="2"/>
  <c r="AI732" i="2"/>
  <c r="AH732" i="2"/>
  <c r="AG732" i="2"/>
  <c r="AF732" i="2"/>
  <c r="AE732" i="2"/>
  <c r="AD732" i="2"/>
  <c r="AC732" i="2"/>
  <c r="AB732" i="2"/>
  <c r="AA732" i="2"/>
  <c r="Z732" i="2"/>
  <c r="Y732" i="2"/>
  <c r="X732" i="2"/>
  <c r="W732" i="2"/>
  <c r="V732" i="2"/>
  <c r="U732" i="2"/>
  <c r="T732" i="2"/>
  <c r="AJ731" i="2"/>
  <c r="AI731" i="2"/>
  <c r="AH731" i="2"/>
  <c r="AG731" i="2"/>
  <c r="AF731" i="2"/>
  <c r="AE731" i="2"/>
  <c r="AD731" i="2"/>
  <c r="AC731" i="2"/>
  <c r="AB731" i="2"/>
  <c r="AA731" i="2"/>
  <c r="Z731" i="2"/>
  <c r="Y731" i="2"/>
  <c r="X731" i="2"/>
  <c r="W731" i="2"/>
  <c r="V731" i="2"/>
  <c r="U731" i="2"/>
  <c r="T731" i="2"/>
  <c r="AJ730" i="2"/>
  <c r="AI730" i="2"/>
  <c r="AH730" i="2"/>
  <c r="AG730" i="2"/>
  <c r="AF730" i="2"/>
  <c r="AE730" i="2"/>
  <c r="AD730" i="2"/>
  <c r="AC730" i="2"/>
  <c r="AB730" i="2"/>
  <c r="AA730" i="2"/>
  <c r="Z730" i="2"/>
  <c r="Y730" i="2"/>
  <c r="X730" i="2"/>
  <c r="W730" i="2"/>
  <c r="V730" i="2"/>
  <c r="U730" i="2"/>
  <c r="T730" i="2"/>
  <c r="AJ729" i="2"/>
  <c r="AI729" i="2"/>
  <c r="AH729" i="2"/>
  <c r="AG729" i="2"/>
  <c r="AF729" i="2"/>
  <c r="AE729" i="2"/>
  <c r="AD729" i="2"/>
  <c r="AC729" i="2"/>
  <c r="AB729" i="2"/>
  <c r="AA729" i="2"/>
  <c r="Z729" i="2"/>
  <c r="Y729" i="2"/>
  <c r="X729" i="2"/>
  <c r="W729" i="2"/>
  <c r="V729" i="2"/>
  <c r="U729" i="2"/>
  <c r="T729" i="2"/>
  <c r="AJ728" i="2"/>
  <c r="AI728" i="2"/>
  <c r="AH728" i="2"/>
  <c r="AG728" i="2"/>
  <c r="AF728" i="2"/>
  <c r="AE728" i="2"/>
  <c r="AD728" i="2"/>
  <c r="AC728" i="2"/>
  <c r="AB728" i="2"/>
  <c r="AA728" i="2"/>
  <c r="Z728" i="2"/>
  <c r="Y728" i="2"/>
  <c r="X728" i="2"/>
  <c r="W728" i="2"/>
  <c r="V728" i="2"/>
  <c r="U728" i="2"/>
  <c r="T728" i="2"/>
  <c r="AJ727" i="2"/>
  <c r="AI727" i="2"/>
  <c r="AH727" i="2"/>
  <c r="AG727" i="2"/>
  <c r="AF727" i="2"/>
  <c r="AE727" i="2"/>
  <c r="AD727" i="2"/>
  <c r="AC727" i="2"/>
  <c r="AB727" i="2"/>
  <c r="AA727" i="2"/>
  <c r="Z727" i="2"/>
  <c r="Y727" i="2"/>
  <c r="X727" i="2"/>
  <c r="W727" i="2"/>
  <c r="V727" i="2"/>
  <c r="U727" i="2"/>
  <c r="T727" i="2"/>
  <c r="AJ726" i="2"/>
  <c r="AI726" i="2"/>
  <c r="AH726" i="2"/>
  <c r="AG726" i="2"/>
  <c r="AF726" i="2"/>
  <c r="AE726" i="2"/>
  <c r="AD726" i="2"/>
  <c r="AC726" i="2"/>
  <c r="AB726" i="2"/>
  <c r="AA726" i="2"/>
  <c r="Z726" i="2"/>
  <c r="Y726" i="2"/>
  <c r="X726" i="2"/>
  <c r="W726" i="2"/>
  <c r="V726" i="2"/>
  <c r="U726" i="2"/>
  <c r="T726" i="2"/>
  <c r="AJ725" i="2"/>
  <c r="AI725" i="2"/>
  <c r="AH725" i="2"/>
  <c r="AG725" i="2"/>
  <c r="AF725" i="2"/>
  <c r="AE725" i="2"/>
  <c r="AD725" i="2"/>
  <c r="AC725" i="2"/>
  <c r="AB725" i="2"/>
  <c r="AA725" i="2"/>
  <c r="Z725" i="2"/>
  <c r="Y725" i="2"/>
  <c r="X725" i="2"/>
  <c r="W725" i="2"/>
  <c r="V725" i="2"/>
  <c r="U725" i="2"/>
  <c r="T725" i="2"/>
  <c r="AJ724" i="2"/>
  <c r="AI724" i="2"/>
  <c r="AH724" i="2"/>
  <c r="AG724" i="2"/>
  <c r="AF724" i="2"/>
  <c r="AE724" i="2"/>
  <c r="AD724" i="2"/>
  <c r="AC724" i="2"/>
  <c r="AB724" i="2"/>
  <c r="AA724" i="2"/>
  <c r="Z724" i="2"/>
  <c r="Y724" i="2"/>
  <c r="X724" i="2"/>
  <c r="W724" i="2"/>
  <c r="V724" i="2"/>
  <c r="U724" i="2"/>
  <c r="T724" i="2"/>
  <c r="AJ723" i="2"/>
  <c r="AI723" i="2"/>
  <c r="AH723" i="2"/>
  <c r="AG723" i="2"/>
  <c r="AF723" i="2"/>
  <c r="AE723" i="2"/>
  <c r="AD723" i="2"/>
  <c r="AC723" i="2"/>
  <c r="AB723" i="2"/>
  <c r="AA723" i="2"/>
  <c r="Z723" i="2"/>
  <c r="Y723" i="2"/>
  <c r="X723" i="2"/>
  <c r="W723" i="2"/>
  <c r="V723" i="2"/>
  <c r="U723" i="2"/>
  <c r="T723" i="2"/>
  <c r="AJ722" i="2"/>
  <c r="AI722" i="2"/>
  <c r="AH722" i="2"/>
  <c r="AG722" i="2"/>
  <c r="AF722" i="2"/>
  <c r="AE722" i="2"/>
  <c r="AD722" i="2"/>
  <c r="AC722" i="2"/>
  <c r="AB722" i="2"/>
  <c r="AA722" i="2"/>
  <c r="Z722" i="2"/>
  <c r="Y722" i="2"/>
  <c r="X722" i="2"/>
  <c r="W722" i="2"/>
  <c r="V722" i="2"/>
  <c r="U722" i="2"/>
  <c r="T722" i="2"/>
  <c r="AJ721" i="2"/>
  <c r="AI721" i="2"/>
  <c r="AH721" i="2"/>
  <c r="AG721" i="2"/>
  <c r="AF721" i="2"/>
  <c r="AE721" i="2"/>
  <c r="AD721" i="2"/>
  <c r="AC721" i="2"/>
  <c r="AB721" i="2"/>
  <c r="AA721" i="2"/>
  <c r="Z721" i="2"/>
  <c r="Y721" i="2"/>
  <c r="X721" i="2"/>
  <c r="W721" i="2"/>
  <c r="V721" i="2"/>
  <c r="U721" i="2"/>
  <c r="T721" i="2"/>
  <c r="AJ720" i="2"/>
  <c r="AI720" i="2"/>
  <c r="AH720" i="2"/>
  <c r="AG720" i="2"/>
  <c r="AF720" i="2"/>
  <c r="AE720" i="2"/>
  <c r="AD720" i="2"/>
  <c r="AC720" i="2"/>
  <c r="AB720" i="2"/>
  <c r="AA720" i="2"/>
  <c r="Z720" i="2"/>
  <c r="Y720" i="2"/>
  <c r="X720" i="2"/>
  <c r="W720" i="2"/>
  <c r="V720" i="2"/>
  <c r="U720" i="2"/>
  <c r="T720" i="2"/>
  <c r="AJ719" i="2"/>
  <c r="AI719" i="2"/>
  <c r="AH719" i="2"/>
  <c r="AG719" i="2"/>
  <c r="AF719" i="2"/>
  <c r="AE719" i="2"/>
  <c r="AD719" i="2"/>
  <c r="AC719" i="2"/>
  <c r="AB719" i="2"/>
  <c r="AA719" i="2"/>
  <c r="Z719" i="2"/>
  <c r="Y719" i="2"/>
  <c r="X719" i="2"/>
  <c r="W719" i="2"/>
  <c r="V719" i="2"/>
  <c r="U719" i="2"/>
  <c r="T719" i="2"/>
  <c r="AJ718" i="2"/>
  <c r="AI718" i="2"/>
  <c r="AH718" i="2"/>
  <c r="AG718" i="2"/>
  <c r="AF718" i="2"/>
  <c r="AE718" i="2"/>
  <c r="AD718" i="2"/>
  <c r="AC718" i="2"/>
  <c r="AB718" i="2"/>
  <c r="AA718" i="2"/>
  <c r="Z718" i="2"/>
  <c r="Y718" i="2"/>
  <c r="X718" i="2"/>
  <c r="W718" i="2"/>
  <c r="V718" i="2"/>
  <c r="U718" i="2"/>
  <c r="T718" i="2"/>
  <c r="AJ717" i="2"/>
  <c r="AI717" i="2"/>
  <c r="AH717" i="2"/>
  <c r="AG717" i="2"/>
  <c r="AF717" i="2"/>
  <c r="AE717" i="2"/>
  <c r="AD717" i="2"/>
  <c r="AC717" i="2"/>
  <c r="AB717" i="2"/>
  <c r="AA717" i="2"/>
  <c r="Z717" i="2"/>
  <c r="Y717" i="2"/>
  <c r="X717" i="2"/>
  <c r="W717" i="2"/>
  <c r="V717" i="2"/>
  <c r="U717" i="2"/>
  <c r="T717" i="2"/>
  <c r="AJ716" i="2"/>
  <c r="AI716" i="2"/>
  <c r="AH716" i="2"/>
  <c r="AG716" i="2"/>
  <c r="AF716" i="2"/>
  <c r="AE716" i="2"/>
  <c r="AD716" i="2"/>
  <c r="AC716" i="2"/>
  <c r="AB716" i="2"/>
  <c r="AA716" i="2"/>
  <c r="Z716" i="2"/>
  <c r="Y716" i="2"/>
  <c r="X716" i="2"/>
  <c r="W716" i="2"/>
  <c r="V716" i="2"/>
  <c r="U716" i="2"/>
  <c r="T716" i="2"/>
  <c r="AJ715" i="2"/>
  <c r="AI715" i="2"/>
  <c r="AH715" i="2"/>
  <c r="AG715" i="2"/>
  <c r="AF715" i="2"/>
  <c r="AE715" i="2"/>
  <c r="AD715" i="2"/>
  <c r="AC715" i="2"/>
  <c r="AB715" i="2"/>
  <c r="AA715" i="2"/>
  <c r="Z715" i="2"/>
  <c r="Y715" i="2"/>
  <c r="X715" i="2"/>
  <c r="W715" i="2"/>
  <c r="V715" i="2"/>
  <c r="U715" i="2"/>
  <c r="T715" i="2"/>
  <c r="AJ714" i="2"/>
  <c r="AI714" i="2"/>
  <c r="AH714" i="2"/>
  <c r="AG714" i="2"/>
  <c r="AF714" i="2"/>
  <c r="AE714" i="2"/>
  <c r="AD714" i="2"/>
  <c r="AC714" i="2"/>
  <c r="AB714" i="2"/>
  <c r="AA714" i="2"/>
  <c r="Z714" i="2"/>
  <c r="Y714" i="2"/>
  <c r="X714" i="2"/>
  <c r="W714" i="2"/>
  <c r="V714" i="2"/>
  <c r="U714" i="2"/>
  <c r="T714" i="2"/>
  <c r="AJ713" i="2"/>
  <c r="AI713" i="2"/>
  <c r="AH713" i="2"/>
  <c r="AG713" i="2"/>
  <c r="AF713" i="2"/>
  <c r="AE713" i="2"/>
  <c r="AD713" i="2"/>
  <c r="AC713" i="2"/>
  <c r="AB713" i="2"/>
  <c r="AA713" i="2"/>
  <c r="Z713" i="2"/>
  <c r="Y713" i="2"/>
  <c r="X713" i="2"/>
  <c r="W713" i="2"/>
  <c r="V713" i="2"/>
  <c r="U713" i="2"/>
  <c r="T713" i="2"/>
  <c r="AJ712" i="2"/>
  <c r="AI712" i="2"/>
  <c r="AH712" i="2"/>
  <c r="AG712" i="2"/>
  <c r="AF712" i="2"/>
  <c r="AE712" i="2"/>
  <c r="AD712" i="2"/>
  <c r="AC712" i="2"/>
  <c r="AB712" i="2"/>
  <c r="AA712" i="2"/>
  <c r="Z712" i="2"/>
  <c r="Y712" i="2"/>
  <c r="X712" i="2"/>
  <c r="W712" i="2"/>
  <c r="V712" i="2"/>
  <c r="U712" i="2"/>
  <c r="T712" i="2"/>
  <c r="AJ711" i="2"/>
  <c r="AI711" i="2"/>
  <c r="AH711" i="2"/>
  <c r="AG711" i="2"/>
  <c r="AF711" i="2"/>
  <c r="AE711" i="2"/>
  <c r="AD711" i="2"/>
  <c r="AC711" i="2"/>
  <c r="AB711" i="2"/>
  <c r="AA711" i="2"/>
  <c r="Z711" i="2"/>
  <c r="Y711" i="2"/>
  <c r="X711" i="2"/>
  <c r="W711" i="2"/>
  <c r="V711" i="2"/>
  <c r="U711" i="2"/>
  <c r="T711" i="2"/>
  <c r="AJ710" i="2"/>
  <c r="AI710" i="2"/>
  <c r="AH710" i="2"/>
  <c r="AG710" i="2"/>
  <c r="AF710" i="2"/>
  <c r="AE710" i="2"/>
  <c r="AD710" i="2"/>
  <c r="AC710" i="2"/>
  <c r="AB710" i="2"/>
  <c r="AA710" i="2"/>
  <c r="Z710" i="2"/>
  <c r="Y710" i="2"/>
  <c r="X710" i="2"/>
  <c r="W710" i="2"/>
  <c r="V710" i="2"/>
  <c r="U710" i="2"/>
  <c r="T710" i="2"/>
  <c r="AJ709" i="2"/>
  <c r="AI709" i="2"/>
  <c r="AH709" i="2"/>
  <c r="AG709" i="2"/>
  <c r="AF709" i="2"/>
  <c r="AE709" i="2"/>
  <c r="AD709" i="2"/>
  <c r="AC709" i="2"/>
  <c r="AB709" i="2"/>
  <c r="AA709" i="2"/>
  <c r="Z709" i="2"/>
  <c r="Y709" i="2"/>
  <c r="X709" i="2"/>
  <c r="W709" i="2"/>
  <c r="V709" i="2"/>
  <c r="U709" i="2"/>
  <c r="T709" i="2"/>
  <c r="AJ708" i="2"/>
  <c r="AI708" i="2"/>
  <c r="AH708" i="2"/>
  <c r="AG708" i="2"/>
  <c r="AF708" i="2"/>
  <c r="AE708" i="2"/>
  <c r="AD708" i="2"/>
  <c r="AC708" i="2"/>
  <c r="AB708" i="2"/>
  <c r="AA708" i="2"/>
  <c r="Z708" i="2"/>
  <c r="Y708" i="2"/>
  <c r="X708" i="2"/>
  <c r="W708" i="2"/>
  <c r="V708" i="2"/>
  <c r="U708" i="2"/>
  <c r="T708" i="2"/>
  <c r="AJ707" i="2"/>
  <c r="AI707" i="2"/>
  <c r="AH707" i="2"/>
  <c r="AG707" i="2"/>
  <c r="AF707" i="2"/>
  <c r="AE707" i="2"/>
  <c r="AD707" i="2"/>
  <c r="AC707" i="2"/>
  <c r="AB707" i="2"/>
  <c r="AA707" i="2"/>
  <c r="Z707" i="2"/>
  <c r="Y707" i="2"/>
  <c r="X707" i="2"/>
  <c r="W707" i="2"/>
  <c r="V707" i="2"/>
  <c r="U707" i="2"/>
  <c r="T707" i="2"/>
  <c r="AJ706" i="2"/>
  <c r="AI706" i="2"/>
  <c r="AH706" i="2"/>
  <c r="AG706" i="2"/>
  <c r="AF706" i="2"/>
  <c r="AE706" i="2"/>
  <c r="AD706" i="2"/>
  <c r="AC706" i="2"/>
  <c r="AB706" i="2"/>
  <c r="AA706" i="2"/>
  <c r="Z706" i="2"/>
  <c r="Y706" i="2"/>
  <c r="X706" i="2"/>
  <c r="W706" i="2"/>
  <c r="V706" i="2"/>
  <c r="U706" i="2"/>
  <c r="T706" i="2"/>
  <c r="AJ705" i="2"/>
  <c r="AI705" i="2"/>
  <c r="AH705" i="2"/>
  <c r="AG705" i="2"/>
  <c r="AF705" i="2"/>
  <c r="AE705" i="2"/>
  <c r="AD705" i="2"/>
  <c r="AC705" i="2"/>
  <c r="AB705" i="2"/>
  <c r="AA705" i="2"/>
  <c r="Z705" i="2"/>
  <c r="Y705" i="2"/>
  <c r="X705" i="2"/>
  <c r="W705" i="2"/>
  <c r="V705" i="2"/>
  <c r="U705" i="2"/>
  <c r="T705" i="2"/>
  <c r="AJ704" i="2"/>
  <c r="AI704" i="2"/>
  <c r="AH704" i="2"/>
  <c r="AG704" i="2"/>
  <c r="AF704" i="2"/>
  <c r="AE704" i="2"/>
  <c r="AD704" i="2"/>
  <c r="AC704" i="2"/>
  <c r="AB704" i="2"/>
  <c r="AA704" i="2"/>
  <c r="Z704" i="2"/>
  <c r="Y704" i="2"/>
  <c r="X704" i="2"/>
  <c r="W704" i="2"/>
  <c r="V704" i="2"/>
  <c r="U704" i="2"/>
  <c r="T704" i="2"/>
  <c r="AJ703" i="2"/>
  <c r="AI703" i="2"/>
  <c r="AH703" i="2"/>
  <c r="AG703" i="2"/>
  <c r="AF703" i="2"/>
  <c r="AE703" i="2"/>
  <c r="AD703" i="2"/>
  <c r="AC703" i="2"/>
  <c r="AB703" i="2"/>
  <c r="AA703" i="2"/>
  <c r="Z703" i="2"/>
  <c r="Y703" i="2"/>
  <c r="X703" i="2"/>
  <c r="W703" i="2"/>
  <c r="V703" i="2"/>
  <c r="U703" i="2"/>
  <c r="T703" i="2"/>
  <c r="AJ702" i="2"/>
  <c r="AI702" i="2"/>
  <c r="AH702" i="2"/>
  <c r="AG702" i="2"/>
  <c r="AF702" i="2"/>
  <c r="AE702" i="2"/>
  <c r="AD702" i="2"/>
  <c r="AC702" i="2"/>
  <c r="AB702" i="2"/>
  <c r="AA702" i="2"/>
  <c r="Z702" i="2"/>
  <c r="Y702" i="2"/>
  <c r="X702" i="2"/>
  <c r="W702" i="2"/>
  <c r="V702" i="2"/>
  <c r="U702" i="2"/>
  <c r="T702" i="2"/>
  <c r="AJ701" i="2"/>
  <c r="AI701" i="2"/>
  <c r="AH701" i="2"/>
  <c r="AG701" i="2"/>
  <c r="AF701" i="2"/>
  <c r="AE701" i="2"/>
  <c r="AD701" i="2"/>
  <c r="AC701" i="2"/>
  <c r="AB701" i="2"/>
  <c r="AA701" i="2"/>
  <c r="Z701" i="2"/>
  <c r="Y701" i="2"/>
  <c r="X701" i="2"/>
  <c r="W701" i="2"/>
  <c r="V701" i="2"/>
  <c r="U701" i="2"/>
  <c r="T701" i="2"/>
  <c r="AJ700" i="2"/>
  <c r="AI700" i="2"/>
  <c r="AH700" i="2"/>
  <c r="AG700" i="2"/>
  <c r="AF700" i="2"/>
  <c r="AE700" i="2"/>
  <c r="AD700" i="2"/>
  <c r="AC700" i="2"/>
  <c r="AB700" i="2"/>
  <c r="AA700" i="2"/>
  <c r="Z700" i="2"/>
  <c r="Y700" i="2"/>
  <c r="X700" i="2"/>
  <c r="W700" i="2"/>
  <c r="V700" i="2"/>
  <c r="U700" i="2"/>
  <c r="T700" i="2"/>
  <c r="AJ699" i="2"/>
  <c r="AI699" i="2"/>
  <c r="AH699" i="2"/>
  <c r="AG699" i="2"/>
  <c r="AF699" i="2"/>
  <c r="AE699" i="2"/>
  <c r="AD699" i="2"/>
  <c r="AC699" i="2"/>
  <c r="AB699" i="2"/>
  <c r="AA699" i="2"/>
  <c r="Z699" i="2"/>
  <c r="Y699" i="2"/>
  <c r="X699" i="2"/>
  <c r="W699" i="2"/>
  <c r="V699" i="2"/>
  <c r="U699" i="2"/>
  <c r="T699" i="2"/>
  <c r="AJ698" i="2"/>
  <c r="AI698" i="2"/>
  <c r="AH698" i="2"/>
  <c r="AG698" i="2"/>
  <c r="AF698" i="2"/>
  <c r="AE698" i="2"/>
  <c r="AD698" i="2"/>
  <c r="AC698" i="2"/>
  <c r="AB698" i="2"/>
  <c r="AA698" i="2"/>
  <c r="Z698" i="2"/>
  <c r="Y698" i="2"/>
  <c r="X698" i="2"/>
  <c r="W698" i="2"/>
  <c r="V698" i="2"/>
  <c r="U698" i="2"/>
  <c r="T698" i="2"/>
  <c r="AJ697" i="2"/>
  <c r="AI697" i="2"/>
  <c r="AH697" i="2"/>
  <c r="AG697" i="2"/>
  <c r="AF697" i="2"/>
  <c r="AE697" i="2"/>
  <c r="AD697" i="2"/>
  <c r="AC697" i="2"/>
  <c r="AB697" i="2"/>
  <c r="AA697" i="2"/>
  <c r="Z697" i="2"/>
  <c r="Y697" i="2"/>
  <c r="X697" i="2"/>
  <c r="W697" i="2"/>
  <c r="V697" i="2"/>
  <c r="U697" i="2"/>
  <c r="T697" i="2"/>
  <c r="AJ696" i="2"/>
  <c r="AI696" i="2"/>
  <c r="AH696" i="2"/>
  <c r="AG696" i="2"/>
  <c r="AF696" i="2"/>
  <c r="AE696" i="2"/>
  <c r="AD696" i="2"/>
  <c r="AC696" i="2"/>
  <c r="AB696" i="2"/>
  <c r="AA696" i="2"/>
  <c r="Z696" i="2"/>
  <c r="Y696" i="2"/>
  <c r="X696" i="2"/>
  <c r="W696" i="2"/>
  <c r="V696" i="2"/>
  <c r="U696" i="2"/>
  <c r="T696" i="2"/>
  <c r="AJ695" i="2"/>
  <c r="AI695" i="2"/>
  <c r="AH695" i="2"/>
  <c r="AG695" i="2"/>
  <c r="AF695" i="2"/>
  <c r="AE695" i="2"/>
  <c r="AD695" i="2"/>
  <c r="AC695" i="2"/>
  <c r="AB695" i="2"/>
  <c r="AA695" i="2"/>
  <c r="Z695" i="2"/>
  <c r="Y695" i="2"/>
  <c r="X695" i="2"/>
  <c r="W695" i="2"/>
  <c r="V695" i="2"/>
  <c r="U695" i="2"/>
  <c r="T695" i="2"/>
  <c r="AJ694" i="2"/>
  <c r="AI694" i="2"/>
  <c r="AH694" i="2"/>
  <c r="AG694" i="2"/>
  <c r="AF694" i="2"/>
  <c r="AE694" i="2"/>
  <c r="AD694" i="2"/>
  <c r="AC694" i="2"/>
  <c r="AB694" i="2"/>
  <c r="AA694" i="2"/>
  <c r="Z694" i="2"/>
  <c r="Y694" i="2"/>
  <c r="X694" i="2"/>
  <c r="W694" i="2"/>
  <c r="V694" i="2"/>
  <c r="U694" i="2"/>
  <c r="T694" i="2"/>
  <c r="AJ693" i="2"/>
  <c r="AI693" i="2"/>
  <c r="AH693" i="2"/>
  <c r="AG693" i="2"/>
  <c r="AF693" i="2"/>
  <c r="AE693" i="2"/>
  <c r="AD693" i="2"/>
  <c r="AC693" i="2"/>
  <c r="AB693" i="2"/>
  <c r="AA693" i="2"/>
  <c r="Z693" i="2"/>
  <c r="Y693" i="2"/>
  <c r="X693" i="2"/>
  <c r="W693" i="2"/>
  <c r="V693" i="2"/>
  <c r="U693" i="2"/>
  <c r="T693" i="2"/>
  <c r="AJ692" i="2"/>
  <c r="AI692" i="2"/>
  <c r="AH692" i="2"/>
  <c r="AG692" i="2"/>
  <c r="AF692" i="2"/>
  <c r="AE692" i="2"/>
  <c r="AD692" i="2"/>
  <c r="AC692" i="2"/>
  <c r="AB692" i="2"/>
  <c r="AA692" i="2"/>
  <c r="Z692" i="2"/>
  <c r="Y692" i="2"/>
  <c r="X692" i="2"/>
  <c r="W692" i="2"/>
  <c r="V692" i="2"/>
  <c r="U692" i="2"/>
  <c r="T692" i="2"/>
  <c r="AJ691" i="2"/>
  <c r="AI691" i="2"/>
  <c r="AH691" i="2"/>
  <c r="AG691" i="2"/>
  <c r="AF691" i="2"/>
  <c r="AE691" i="2"/>
  <c r="AD691" i="2"/>
  <c r="AC691" i="2"/>
  <c r="AB691" i="2"/>
  <c r="AA691" i="2"/>
  <c r="Z691" i="2"/>
  <c r="Y691" i="2"/>
  <c r="X691" i="2"/>
  <c r="W691" i="2"/>
  <c r="V691" i="2"/>
  <c r="U691" i="2"/>
  <c r="T691" i="2"/>
  <c r="AJ690" i="2"/>
  <c r="AI690" i="2"/>
  <c r="AH690" i="2"/>
  <c r="AG690" i="2"/>
  <c r="AF690" i="2"/>
  <c r="AE690" i="2"/>
  <c r="AD690" i="2"/>
  <c r="AC690" i="2"/>
  <c r="AB690" i="2"/>
  <c r="AA690" i="2"/>
  <c r="Z690" i="2"/>
  <c r="Y690" i="2"/>
  <c r="X690" i="2"/>
  <c r="W690" i="2"/>
  <c r="V690" i="2"/>
  <c r="U690" i="2"/>
  <c r="T690" i="2"/>
  <c r="AJ689" i="2"/>
  <c r="AI689" i="2"/>
  <c r="AH689" i="2"/>
  <c r="AG689" i="2"/>
  <c r="AF689" i="2"/>
  <c r="AE689" i="2"/>
  <c r="AD689" i="2"/>
  <c r="AC689" i="2"/>
  <c r="AB689" i="2"/>
  <c r="AA689" i="2"/>
  <c r="Z689" i="2"/>
  <c r="Y689" i="2"/>
  <c r="X689" i="2"/>
  <c r="W689" i="2"/>
  <c r="V689" i="2"/>
  <c r="U689" i="2"/>
  <c r="T689" i="2"/>
  <c r="AJ688" i="2"/>
  <c r="AI688" i="2"/>
  <c r="AH688" i="2"/>
  <c r="AG688" i="2"/>
  <c r="AF688" i="2"/>
  <c r="AE688" i="2"/>
  <c r="AD688" i="2"/>
  <c r="AC688" i="2"/>
  <c r="AB688" i="2"/>
  <c r="AA688" i="2"/>
  <c r="Z688" i="2"/>
  <c r="Y688" i="2"/>
  <c r="X688" i="2"/>
  <c r="W688" i="2"/>
  <c r="V688" i="2"/>
  <c r="U688" i="2"/>
  <c r="T688" i="2"/>
  <c r="AJ687" i="2"/>
  <c r="AI687" i="2"/>
  <c r="AH687" i="2"/>
  <c r="AG687" i="2"/>
  <c r="AF687" i="2"/>
  <c r="AE687" i="2"/>
  <c r="AD687" i="2"/>
  <c r="AC687" i="2"/>
  <c r="AB687" i="2"/>
  <c r="AA687" i="2"/>
  <c r="Z687" i="2"/>
  <c r="Y687" i="2"/>
  <c r="X687" i="2"/>
  <c r="W687" i="2"/>
  <c r="V687" i="2"/>
  <c r="U687" i="2"/>
  <c r="T687" i="2"/>
  <c r="AJ686" i="2"/>
  <c r="AI686" i="2"/>
  <c r="AH686" i="2"/>
  <c r="AG686" i="2"/>
  <c r="AF686" i="2"/>
  <c r="AE686" i="2"/>
  <c r="AD686" i="2"/>
  <c r="AC686" i="2"/>
  <c r="AB686" i="2"/>
  <c r="AA686" i="2"/>
  <c r="Z686" i="2"/>
  <c r="Y686" i="2"/>
  <c r="X686" i="2"/>
  <c r="W686" i="2"/>
  <c r="V686" i="2"/>
  <c r="U686" i="2"/>
  <c r="T686" i="2"/>
  <c r="AJ685" i="2"/>
  <c r="AI685" i="2"/>
  <c r="AH685" i="2"/>
  <c r="AG685" i="2"/>
  <c r="AF685" i="2"/>
  <c r="AE685" i="2"/>
  <c r="AD685" i="2"/>
  <c r="AC685" i="2"/>
  <c r="AB685" i="2"/>
  <c r="AA685" i="2"/>
  <c r="Z685" i="2"/>
  <c r="Y685" i="2"/>
  <c r="X685" i="2"/>
  <c r="W685" i="2"/>
  <c r="V685" i="2"/>
  <c r="U685" i="2"/>
  <c r="T685" i="2"/>
  <c r="AJ684" i="2"/>
  <c r="AI684" i="2"/>
  <c r="AH684" i="2"/>
  <c r="AG684" i="2"/>
  <c r="AF684" i="2"/>
  <c r="AE684" i="2"/>
  <c r="AD684" i="2"/>
  <c r="AC684" i="2"/>
  <c r="AB684" i="2"/>
  <c r="AA684" i="2"/>
  <c r="Z684" i="2"/>
  <c r="Y684" i="2"/>
  <c r="X684" i="2"/>
  <c r="W684" i="2"/>
  <c r="V684" i="2"/>
  <c r="U684" i="2"/>
  <c r="T684" i="2"/>
  <c r="AJ683" i="2"/>
  <c r="AI683" i="2"/>
  <c r="AH683" i="2"/>
  <c r="AG683" i="2"/>
  <c r="AF683" i="2"/>
  <c r="AE683" i="2"/>
  <c r="AD683" i="2"/>
  <c r="AC683" i="2"/>
  <c r="AB683" i="2"/>
  <c r="AA683" i="2"/>
  <c r="Z683" i="2"/>
  <c r="Y683" i="2"/>
  <c r="X683" i="2"/>
  <c r="W683" i="2"/>
  <c r="V683" i="2"/>
  <c r="U683" i="2"/>
  <c r="T683" i="2"/>
  <c r="AJ682" i="2"/>
  <c r="AI682" i="2"/>
  <c r="AH682" i="2"/>
  <c r="AG682" i="2"/>
  <c r="AF682" i="2"/>
  <c r="AE682" i="2"/>
  <c r="AD682" i="2"/>
  <c r="AC682" i="2"/>
  <c r="AB682" i="2"/>
  <c r="AA682" i="2"/>
  <c r="Z682" i="2"/>
  <c r="Y682" i="2"/>
  <c r="X682" i="2"/>
  <c r="W682" i="2"/>
  <c r="V682" i="2"/>
  <c r="U682" i="2"/>
  <c r="T682" i="2"/>
  <c r="AJ681" i="2"/>
  <c r="AI681" i="2"/>
  <c r="AH681" i="2"/>
  <c r="AG681" i="2"/>
  <c r="AF681" i="2"/>
  <c r="AE681" i="2"/>
  <c r="AD681" i="2"/>
  <c r="AC681" i="2"/>
  <c r="AB681" i="2"/>
  <c r="AA681" i="2"/>
  <c r="Z681" i="2"/>
  <c r="Y681" i="2"/>
  <c r="X681" i="2"/>
  <c r="W681" i="2"/>
  <c r="V681" i="2"/>
  <c r="U681" i="2"/>
  <c r="T681" i="2"/>
  <c r="AJ680" i="2"/>
  <c r="AI680" i="2"/>
  <c r="AH680" i="2"/>
  <c r="AG680" i="2"/>
  <c r="AF680" i="2"/>
  <c r="AE680" i="2"/>
  <c r="AD680" i="2"/>
  <c r="AC680" i="2"/>
  <c r="AB680" i="2"/>
  <c r="AA680" i="2"/>
  <c r="Z680" i="2"/>
  <c r="Y680" i="2"/>
  <c r="X680" i="2"/>
  <c r="W680" i="2"/>
  <c r="V680" i="2"/>
  <c r="U680" i="2"/>
  <c r="T680" i="2"/>
  <c r="AJ679" i="2"/>
  <c r="AI679" i="2"/>
  <c r="AH679" i="2"/>
  <c r="AG679" i="2"/>
  <c r="AF679" i="2"/>
  <c r="AE679" i="2"/>
  <c r="AD679" i="2"/>
  <c r="AC679" i="2"/>
  <c r="AB679" i="2"/>
  <c r="AA679" i="2"/>
  <c r="Z679" i="2"/>
  <c r="Y679" i="2"/>
  <c r="X679" i="2"/>
  <c r="W679" i="2"/>
  <c r="V679" i="2"/>
  <c r="U679" i="2"/>
  <c r="T679" i="2"/>
  <c r="AJ678" i="2"/>
  <c r="AI678" i="2"/>
  <c r="AH678" i="2"/>
  <c r="AG678" i="2"/>
  <c r="AF678" i="2"/>
  <c r="AE678" i="2"/>
  <c r="AD678" i="2"/>
  <c r="AC678" i="2"/>
  <c r="AB678" i="2"/>
  <c r="AA678" i="2"/>
  <c r="Z678" i="2"/>
  <c r="Y678" i="2"/>
  <c r="X678" i="2"/>
  <c r="W678" i="2"/>
  <c r="V678" i="2"/>
  <c r="U678" i="2"/>
  <c r="T678" i="2"/>
  <c r="AJ677" i="2"/>
  <c r="AI677" i="2"/>
  <c r="AH677" i="2"/>
  <c r="AG677" i="2"/>
  <c r="AF677" i="2"/>
  <c r="AE677" i="2"/>
  <c r="AD677" i="2"/>
  <c r="AC677" i="2"/>
  <c r="AB677" i="2"/>
  <c r="AA677" i="2"/>
  <c r="Z677" i="2"/>
  <c r="Y677" i="2"/>
  <c r="X677" i="2"/>
  <c r="W677" i="2"/>
  <c r="V677" i="2"/>
  <c r="U677" i="2"/>
  <c r="T677" i="2"/>
  <c r="AJ676" i="2"/>
  <c r="AI676" i="2"/>
  <c r="AH676" i="2"/>
  <c r="AG676" i="2"/>
  <c r="AF676" i="2"/>
  <c r="AE676" i="2"/>
  <c r="AD676" i="2"/>
  <c r="AC676" i="2"/>
  <c r="AB676" i="2"/>
  <c r="AA676" i="2"/>
  <c r="Z676" i="2"/>
  <c r="Y676" i="2"/>
  <c r="X676" i="2"/>
  <c r="W676" i="2"/>
  <c r="V676" i="2"/>
  <c r="U676" i="2"/>
  <c r="T676" i="2"/>
  <c r="AJ675" i="2"/>
  <c r="AI675" i="2"/>
  <c r="AH675" i="2"/>
  <c r="AG675" i="2"/>
  <c r="AF675" i="2"/>
  <c r="AE675" i="2"/>
  <c r="AD675" i="2"/>
  <c r="AC675" i="2"/>
  <c r="AB675" i="2"/>
  <c r="AA675" i="2"/>
  <c r="Z675" i="2"/>
  <c r="Y675" i="2"/>
  <c r="X675" i="2"/>
  <c r="W675" i="2"/>
  <c r="V675" i="2"/>
  <c r="U675" i="2"/>
  <c r="T675" i="2"/>
  <c r="AJ674" i="2"/>
  <c r="AI674" i="2"/>
  <c r="AH674" i="2"/>
  <c r="AG674" i="2"/>
  <c r="AF674" i="2"/>
  <c r="AE674" i="2"/>
  <c r="AD674" i="2"/>
  <c r="AC674" i="2"/>
  <c r="AB674" i="2"/>
  <c r="AA674" i="2"/>
  <c r="Z674" i="2"/>
  <c r="Y674" i="2"/>
  <c r="X674" i="2"/>
  <c r="W674" i="2"/>
  <c r="V674" i="2"/>
  <c r="U674" i="2"/>
  <c r="T674" i="2"/>
  <c r="AJ673" i="2"/>
  <c r="AI673" i="2"/>
  <c r="AH673" i="2"/>
  <c r="AG673" i="2"/>
  <c r="AF673" i="2"/>
  <c r="AE673" i="2"/>
  <c r="AD673" i="2"/>
  <c r="AC673" i="2"/>
  <c r="AB673" i="2"/>
  <c r="AA673" i="2"/>
  <c r="Z673" i="2"/>
  <c r="Y673" i="2"/>
  <c r="X673" i="2"/>
  <c r="W673" i="2"/>
  <c r="V673" i="2"/>
  <c r="U673" i="2"/>
  <c r="T673" i="2"/>
  <c r="AJ672" i="2"/>
  <c r="AI672" i="2"/>
  <c r="AH672" i="2"/>
  <c r="AG672" i="2"/>
  <c r="AF672" i="2"/>
  <c r="AE672" i="2"/>
  <c r="AD672" i="2"/>
  <c r="AC672" i="2"/>
  <c r="AB672" i="2"/>
  <c r="AA672" i="2"/>
  <c r="Z672" i="2"/>
  <c r="Y672" i="2"/>
  <c r="X672" i="2"/>
  <c r="W672" i="2"/>
  <c r="V672" i="2"/>
  <c r="U672" i="2"/>
  <c r="T672" i="2"/>
  <c r="AJ671" i="2"/>
  <c r="AI671" i="2"/>
  <c r="AH671" i="2"/>
  <c r="AG671" i="2"/>
  <c r="AF671" i="2"/>
  <c r="AE671" i="2"/>
  <c r="AD671" i="2"/>
  <c r="AC671" i="2"/>
  <c r="AB671" i="2"/>
  <c r="AA671" i="2"/>
  <c r="Z671" i="2"/>
  <c r="Y671" i="2"/>
  <c r="X671" i="2"/>
  <c r="W671" i="2"/>
  <c r="V671" i="2"/>
  <c r="U671" i="2"/>
  <c r="T671" i="2"/>
  <c r="AJ670" i="2"/>
  <c r="AI670" i="2"/>
  <c r="AH670" i="2"/>
  <c r="AG670" i="2"/>
  <c r="AF670" i="2"/>
  <c r="AE670" i="2"/>
  <c r="AD670" i="2"/>
  <c r="AC670" i="2"/>
  <c r="AB670" i="2"/>
  <c r="AA670" i="2"/>
  <c r="Z670" i="2"/>
  <c r="Y670" i="2"/>
  <c r="X670" i="2"/>
  <c r="W670" i="2"/>
  <c r="V670" i="2"/>
  <c r="U670" i="2"/>
  <c r="T670" i="2"/>
  <c r="AJ669" i="2"/>
  <c r="AI669" i="2"/>
  <c r="AH669" i="2"/>
  <c r="AG669" i="2"/>
  <c r="AF669" i="2"/>
  <c r="AE669" i="2"/>
  <c r="AD669" i="2"/>
  <c r="AC669" i="2"/>
  <c r="AB669" i="2"/>
  <c r="AA669" i="2"/>
  <c r="Z669" i="2"/>
  <c r="Y669" i="2"/>
  <c r="X669" i="2"/>
  <c r="W669" i="2"/>
  <c r="V669" i="2"/>
  <c r="U669" i="2"/>
  <c r="T669" i="2"/>
  <c r="AJ668" i="2"/>
  <c r="AI668" i="2"/>
  <c r="AH668" i="2"/>
  <c r="AG668" i="2"/>
  <c r="AF668" i="2"/>
  <c r="AE668" i="2"/>
  <c r="AD668" i="2"/>
  <c r="AC668" i="2"/>
  <c r="AB668" i="2"/>
  <c r="AA668" i="2"/>
  <c r="Z668" i="2"/>
  <c r="Y668" i="2"/>
  <c r="X668" i="2"/>
  <c r="W668" i="2"/>
  <c r="V668" i="2"/>
  <c r="U668" i="2"/>
  <c r="T668" i="2"/>
  <c r="AJ667" i="2"/>
  <c r="AI667" i="2"/>
  <c r="AH667" i="2"/>
  <c r="AG667" i="2"/>
  <c r="AF667" i="2"/>
  <c r="AE667" i="2"/>
  <c r="AD667" i="2"/>
  <c r="AC667" i="2"/>
  <c r="AB667" i="2"/>
  <c r="AA667" i="2"/>
  <c r="Z667" i="2"/>
  <c r="Y667" i="2"/>
  <c r="X667" i="2"/>
  <c r="W667" i="2"/>
  <c r="V667" i="2"/>
  <c r="U667" i="2"/>
  <c r="T667" i="2"/>
  <c r="AJ666" i="2"/>
  <c r="AI666" i="2"/>
  <c r="AH666" i="2"/>
  <c r="AG666" i="2"/>
  <c r="AF666" i="2"/>
  <c r="AE666" i="2"/>
  <c r="AD666" i="2"/>
  <c r="AC666" i="2"/>
  <c r="AB666" i="2"/>
  <c r="AA666" i="2"/>
  <c r="Z666" i="2"/>
  <c r="Y666" i="2"/>
  <c r="X666" i="2"/>
  <c r="W666" i="2"/>
  <c r="V666" i="2"/>
  <c r="U666" i="2"/>
  <c r="T666" i="2"/>
  <c r="AJ665" i="2"/>
  <c r="AI665" i="2"/>
  <c r="AH665" i="2"/>
  <c r="AG665" i="2"/>
  <c r="AF665" i="2"/>
  <c r="AE665" i="2"/>
  <c r="AD665" i="2"/>
  <c r="AC665" i="2"/>
  <c r="AB665" i="2"/>
  <c r="AA665" i="2"/>
  <c r="Z665" i="2"/>
  <c r="Y665" i="2"/>
  <c r="X665" i="2"/>
  <c r="W665" i="2"/>
  <c r="V665" i="2"/>
  <c r="U665" i="2"/>
  <c r="T665" i="2"/>
  <c r="AJ664" i="2"/>
  <c r="AI664" i="2"/>
  <c r="AH664" i="2"/>
  <c r="AG664" i="2"/>
  <c r="AF664" i="2"/>
  <c r="AE664" i="2"/>
  <c r="AD664" i="2"/>
  <c r="AC664" i="2"/>
  <c r="AB664" i="2"/>
  <c r="AA664" i="2"/>
  <c r="Z664" i="2"/>
  <c r="Y664" i="2"/>
  <c r="X664" i="2"/>
  <c r="W664" i="2"/>
  <c r="V664" i="2"/>
  <c r="U664" i="2"/>
  <c r="T664" i="2"/>
  <c r="AJ663" i="2"/>
  <c r="AI663" i="2"/>
  <c r="AH663" i="2"/>
  <c r="AG663" i="2"/>
  <c r="AF663" i="2"/>
  <c r="AE663" i="2"/>
  <c r="AD663" i="2"/>
  <c r="AC663" i="2"/>
  <c r="AB663" i="2"/>
  <c r="AA663" i="2"/>
  <c r="Z663" i="2"/>
  <c r="Y663" i="2"/>
  <c r="X663" i="2"/>
  <c r="W663" i="2"/>
  <c r="V663" i="2"/>
  <c r="U663" i="2"/>
  <c r="T663" i="2"/>
  <c r="AJ662" i="2"/>
  <c r="AI662" i="2"/>
  <c r="AH662" i="2"/>
  <c r="AG662" i="2"/>
  <c r="AF662" i="2"/>
  <c r="AE662" i="2"/>
  <c r="AD662" i="2"/>
  <c r="AC662" i="2"/>
  <c r="AB662" i="2"/>
  <c r="AA662" i="2"/>
  <c r="Z662" i="2"/>
  <c r="Y662" i="2"/>
  <c r="X662" i="2"/>
  <c r="W662" i="2"/>
  <c r="V662" i="2"/>
  <c r="U662" i="2"/>
  <c r="T662" i="2"/>
  <c r="AJ661" i="2"/>
  <c r="AI661" i="2"/>
  <c r="AH661" i="2"/>
  <c r="AG661" i="2"/>
  <c r="AF661" i="2"/>
  <c r="AE661" i="2"/>
  <c r="AD661" i="2"/>
  <c r="AC661" i="2"/>
  <c r="AB661" i="2"/>
  <c r="AA661" i="2"/>
  <c r="Z661" i="2"/>
  <c r="Y661" i="2"/>
  <c r="X661" i="2"/>
  <c r="W661" i="2"/>
  <c r="V661" i="2"/>
  <c r="U661" i="2"/>
  <c r="T661" i="2"/>
  <c r="AJ660" i="2"/>
  <c r="AI660" i="2"/>
  <c r="AH660" i="2"/>
  <c r="AG660" i="2"/>
  <c r="AF660" i="2"/>
  <c r="AE660" i="2"/>
  <c r="AD660" i="2"/>
  <c r="AC660" i="2"/>
  <c r="AB660" i="2"/>
  <c r="AA660" i="2"/>
  <c r="Z660" i="2"/>
  <c r="Y660" i="2"/>
  <c r="X660" i="2"/>
  <c r="W660" i="2"/>
  <c r="V660" i="2"/>
  <c r="U660" i="2"/>
  <c r="T660" i="2"/>
  <c r="AJ659" i="2"/>
  <c r="AI659" i="2"/>
  <c r="AH659" i="2"/>
  <c r="AG659" i="2"/>
  <c r="AF659" i="2"/>
  <c r="AE659" i="2"/>
  <c r="AD659" i="2"/>
  <c r="AC659" i="2"/>
  <c r="AB659" i="2"/>
  <c r="AA659" i="2"/>
  <c r="Z659" i="2"/>
  <c r="Y659" i="2"/>
  <c r="X659" i="2"/>
  <c r="W659" i="2"/>
  <c r="V659" i="2"/>
  <c r="U659" i="2"/>
  <c r="T659" i="2"/>
  <c r="AJ658" i="2"/>
  <c r="AI658" i="2"/>
  <c r="AH658" i="2"/>
  <c r="AG658" i="2"/>
  <c r="AF658" i="2"/>
  <c r="AE658" i="2"/>
  <c r="AD658" i="2"/>
  <c r="AC658" i="2"/>
  <c r="AB658" i="2"/>
  <c r="AA658" i="2"/>
  <c r="Z658" i="2"/>
  <c r="Y658" i="2"/>
  <c r="X658" i="2"/>
  <c r="W658" i="2"/>
  <c r="V658" i="2"/>
  <c r="U658" i="2"/>
  <c r="T658" i="2"/>
  <c r="AJ657" i="2"/>
  <c r="AI657" i="2"/>
  <c r="AH657" i="2"/>
  <c r="AG657" i="2"/>
  <c r="AF657" i="2"/>
  <c r="AE657" i="2"/>
  <c r="AD657" i="2"/>
  <c r="AC657" i="2"/>
  <c r="AB657" i="2"/>
  <c r="AA657" i="2"/>
  <c r="Z657" i="2"/>
  <c r="Y657" i="2"/>
  <c r="X657" i="2"/>
  <c r="W657" i="2"/>
  <c r="V657" i="2"/>
  <c r="U657" i="2"/>
  <c r="T657" i="2"/>
  <c r="AJ656" i="2"/>
  <c r="AI656" i="2"/>
  <c r="AH656" i="2"/>
  <c r="AG656" i="2"/>
  <c r="AF656" i="2"/>
  <c r="AE656" i="2"/>
  <c r="AD656" i="2"/>
  <c r="AC656" i="2"/>
  <c r="AB656" i="2"/>
  <c r="AA656" i="2"/>
  <c r="Z656" i="2"/>
  <c r="Y656" i="2"/>
  <c r="X656" i="2"/>
  <c r="W656" i="2"/>
  <c r="V656" i="2"/>
  <c r="U656" i="2"/>
  <c r="T656" i="2"/>
  <c r="AJ655" i="2"/>
  <c r="AI655" i="2"/>
  <c r="AH655" i="2"/>
  <c r="AG655" i="2"/>
  <c r="AF655" i="2"/>
  <c r="AE655" i="2"/>
  <c r="AD655" i="2"/>
  <c r="AC655" i="2"/>
  <c r="AB655" i="2"/>
  <c r="AA655" i="2"/>
  <c r="Z655" i="2"/>
  <c r="Y655" i="2"/>
  <c r="X655" i="2"/>
  <c r="W655" i="2"/>
  <c r="V655" i="2"/>
  <c r="U655" i="2"/>
  <c r="T655" i="2"/>
  <c r="AJ654" i="2"/>
  <c r="AI654" i="2"/>
  <c r="AH654" i="2"/>
  <c r="AG654" i="2"/>
  <c r="AF654" i="2"/>
  <c r="AE654" i="2"/>
  <c r="AD654" i="2"/>
  <c r="AC654" i="2"/>
  <c r="AB654" i="2"/>
  <c r="AA654" i="2"/>
  <c r="Z654" i="2"/>
  <c r="Y654" i="2"/>
  <c r="X654" i="2"/>
  <c r="W654" i="2"/>
  <c r="V654" i="2"/>
  <c r="U654" i="2"/>
  <c r="T654" i="2"/>
  <c r="AJ653" i="2"/>
  <c r="AI653" i="2"/>
  <c r="AH653" i="2"/>
  <c r="AG653" i="2"/>
  <c r="AF653" i="2"/>
  <c r="AE653" i="2"/>
  <c r="AD653" i="2"/>
  <c r="AC653" i="2"/>
  <c r="AB653" i="2"/>
  <c r="AA653" i="2"/>
  <c r="Z653" i="2"/>
  <c r="Y653" i="2"/>
  <c r="X653" i="2"/>
  <c r="W653" i="2"/>
  <c r="V653" i="2"/>
  <c r="U653" i="2"/>
  <c r="T653" i="2"/>
  <c r="AJ652" i="2"/>
  <c r="AI652" i="2"/>
  <c r="AH652" i="2"/>
  <c r="AG652" i="2"/>
  <c r="AF652" i="2"/>
  <c r="AE652" i="2"/>
  <c r="AD652" i="2"/>
  <c r="AC652" i="2"/>
  <c r="AB652" i="2"/>
  <c r="AA652" i="2"/>
  <c r="Z652" i="2"/>
  <c r="Y652" i="2"/>
  <c r="X652" i="2"/>
  <c r="W652" i="2"/>
  <c r="V652" i="2"/>
  <c r="U652" i="2"/>
  <c r="T652" i="2"/>
  <c r="AJ651" i="2"/>
  <c r="AI651" i="2"/>
  <c r="AH651" i="2"/>
  <c r="AG651" i="2"/>
  <c r="AF651" i="2"/>
  <c r="AE651" i="2"/>
  <c r="AD651" i="2"/>
  <c r="AC651" i="2"/>
  <c r="AB651" i="2"/>
  <c r="AA651" i="2"/>
  <c r="Z651" i="2"/>
  <c r="Y651" i="2"/>
  <c r="X651" i="2"/>
  <c r="W651" i="2"/>
  <c r="V651" i="2"/>
  <c r="U651" i="2"/>
  <c r="T651" i="2"/>
  <c r="AJ650" i="2"/>
  <c r="AI650" i="2"/>
  <c r="AH650" i="2"/>
  <c r="AG650" i="2"/>
  <c r="AF650" i="2"/>
  <c r="AE650" i="2"/>
  <c r="AD650" i="2"/>
  <c r="AC650" i="2"/>
  <c r="AB650" i="2"/>
  <c r="AA650" i="2"/>
  <c r="Z650" i="2"/>
  <c r="Y650" i="2"/>
  <c r="X650" i="2"/>
  <c r="W650" i="2"/>
  <c r="V650" i="2"/>
  <c r="U650" i="2"/>
  <c r="T650" i="2"/>
  <c r="AJ649" i="2"/>
  <c r="AI649" i="2"/>
  <c r="AH649" i="2"/>
  <c r="AG649" i="2"/>
  <c r="AF649" i="2"/>
  <c r="AE649" i="2"/>
  <c r="AD649" i="2"/>
  <c r="AC649" i="2"/>
  <c r="AB649" i="2"/>
  <c r="AA649" i="2"/>
  <c r="Z649" i="2"/>
  <c r="Y649" i="2"/>
  <c r="X649" i="2"/>
  <c r="W649" i="2"/>
  <c r="V649" i="2"/>
  <c r="U649" i="2"/>
  <c r="T649" i="2"/>
  <c r="AJ648" i="2"/>
  <c r="AI648" i="2"/>
  <c r="AH648" i="2"/>
  <c r="AG648" i="2"/>
  <c r="AF648" i="2"/>
  <c r="AE648" i="2"/>
  <c r="AD648" i="2"/>
  <c r="AC648" i="2"/>
  <c r="AB648" i="2"/>
  <c r="AA648" i="2"/>
  <c r="Z648" i="2"/>
  <c r="Y648" i="2"/>
  <c r="X648" i="2"/>
  <c r="W648" i="2"/>
  <c r="V648" i="2"/>
  <c r="U648" i="2"/>
  <c r="T648" i="2"/>
  <c r="AJ647" i="2"/>
  <c r="AI647" i="2"/>
  <c r="AH647" i="2"/>
  <c r="AG647" i="2"/>
  <c r="AF647" i="2"/>
  <c r="AE647" i="2"/>
  <c r="AD647" i="2"/>
  <c r="AC647" i="2"/>
  <c r="AB647" i="2"/>
  <c r="AA647" i="2"/>
  <c r="Z647" i="2"/>
  <c r="Y647" i="2"/>
  <c r="X647" i="2"/>
  <c r="W647" i="2"/>
  <c r="V647" i="2"/>
  <c r="U647" i="2"/>
  <c r="T647" i="2"/>
  <c r="AJ646" i="2"/>
  <c r="AI646" i="2"/>
  <c r="AH646" i="2"/>
  <c r="AG646" i="2"/>
  <c r="AF646" i="2"/>
  <c r="AE646" i="2"/>
  <c r="AD646" i="2"/>
  <c r="AC646" i="2"/>
  <c r="AB646" i="2"/>
  <c r="AA646" i="2"/>
  <c r="Z646" i="2"/>
  <c r="Y646" i="2"/>
  <c r="X646" i="2"/>
  <c r="W646" i="2"/>
  <c r="V646" i="2"/>
  <c r="U646" i="2"/>
  <c r="T646" i="2"/>
  <c r="AJ645" i="2"/>
  <c r="AI645" i="2"/>
  <c r="AH645" i="2"/>
  <c r="AG645" i="2"/>
  <c r="AF645" i="2"/>
  <c r="AE645" i="2"/>
  <c r="AD645" i="2"/>
  <c r="AC645" i="2"/>
  <c r="AB645" i="2"/>
  <c r="AA645" i="2"/>
  <c r="Z645" i="2"/>
  <c r="Y645" i="2"/>
  <c r="X645" i="2"/>
  <c r="W645" i="2"/>
  <c r="V645" i="2"/>
  <c r="U645" i="2"/>
  <c r="T645" i="2"/>
  <c r="AJ644" i="2"/>
  <c r="AI644" i="2"/>
  <c r="AH644" i="2"/>
  <c r="AG644" i="2"/>
  <c r="AF644" i="2"/>
  <c r="AE644" i="2"/>
  <c r="AD644" i="2"/>
  <c r="AC644" i="2"/>
  <c r="AB644" i="2"/>
  <c r="AA644" i="2"/>
  <c r="Z644" i="2"/>
  <c r="Y644" i="2"/>
  <c r="X644" i="2"/>
  <c r="W644" i="2"/>
  <c r="V644" i="2"/>
  <c r="U644" i="2"/>
  <c r="T644" i="2"/>
  <c r="AJ643" i="2"/>
  <c r="AI643" i="2"/>
  <c r="AH643" i="2"/>
  <c r="AG643" i="2"/>
  <c r="AF643" i="2"/>
  <c r="AE643" i="2"/>
  <c r="AD643" i="2"/>
  <c r="AC643" i="2"/>
  <c r="AB643" i="2"/>
  <c r="AA643" i="2"/>
  <c r="Z643" i="2"/>
  <c r="Y643" i="2"/>
  <c r="X643" i="2"/>
  <c r="W643" i="2"/>
  <c r="V643" i="2"/>
  <c r="U643" i="2"/>
  <c r="T643" i="2"/>
  <c r="AJ642" i="2"/>
  <c r="AI642" i="2"/>
  <c r="AH642" i="2"/>
  <c r="AG642" i="2"/>
  <c r="AF642" i="2"/>
  <c r="AE642" i="2"/>
  <c r="AD642" i="2"/>
  <c r="AC642" i="2"/>
  <c r="AB642" i="2"/>
  <c r="AA642" i="2"/>
  <c r="Z642" i="2"/>
  <c r="Y642" i="2"/>
  <c r="X642" i="2"/>
  <c r="W642" i="2"/>
  <c r="V642" i="2"/>
  <c r="U642" i="2"/>
  <c r="T642" i="2"/>
  <c r="AJ641" i="2"/>
  <c r="AI641" i="2"/>
  <c r="AH641" i="2"/>
  <c r="AG641" i="2"/>
  <c r="AF641" i="2"/>
  <c r="AE641" i="2"/>
  <c r="AD641" i="2"/>
  <c r="AC641" i="2"/>
  <c r="AB641" i="2"/>
  <c r="AA641" i="2"/>
  <c r="Z641" i="2"/>
  <c r="Y641" i="2"/>
  <c r="X641" i="2"/>
  <c r="W641" i="2"/>
  <c r="V641" i="2"/>
  <c r="U641" i="2"/>
  <c r="T641" i="2"/>
  <c r="AJ640" i="2"/>
  <c r="AI640" i="2"/>
  <c r="AH640" i="2"/>
  <c r="AG640" i="2"/>
  <c r="AF640" i="2"/>
  <c r="AE640" i="2"/>
  <c r="AD640" i="2"/>
  <c r="AC640" i="2"/>
  <c r="AB640" i="2"/>
  <c r="AA640" i="2"/>
  <c r="Z640" i="2"/>
  <c r="Y640" i="2"/>
  <c r="X640" i="2"/>
  <c r="W640" i="2"/>
  <c r="V640" i="2"/>
  <c r="U640" i="2"/>
  <c r="T640" i="2"/>
  <c r="AJ639" i="2"/>
  <c r="AI639" i="2"/>
  <c r="AH639" i="2"/>
  <c r="AG639" i="2"/>
  <c r="AF639" i="2"/>
  <c r="AE639" i="2"/>
  <c r="AD639" i="2"/>
  <c r="AC639" i="2"/>
  <c r="AB639" i="2"/>
  <c r="AA639" i="2"/>
  <c r="Z639" i="2"/>
  <c r="Y639" i="2"/>
  <c r="X639" i="2"/>
  <c r="W639" i="2"/>
  <c r="V639" i="2"/>
  <c r="U639" i="2"/>
  <c r="T639" i="2"/>
  <c r="AJ638" i="2"/>
  <c r="AI638" i="2"/>
  <c r="AH638" i="2"/>
  <c r="AG638" i="2"/>
  <c r="AF638" i="2"/>
  <c r="AE638" i="2"/>
  <c r="AD638" i="2"/>
  <c r="AC638" i="2"/>
  <c r="AB638" i="2"/>
  <c r="AA638" i="2"/>
  <c r="Z638" i="2"/>
  <c r="Y638" i="2"/>
  <c r="X638" i="2"/>
  <c r="W638" i="2"/>
  <c r="V638" i="2"/>
  <c r="U638" i="2"/>
  <c r="T638" i="2"/>
  <c r="AJ637" i="2"/>
  <c r="AI637" i="2"/>
  <c r="AH637" i="2"/>
  <c r="AG637" i="2"/>
  <c r="AF637" i="2"/>
  <c r="AE637" i="2"/>
  <c r="AD637" i="2"/>
  <c r="AC637" i="2"/>
  <c r="AB637" i="2"/>
  <c r="AA637" i="2"/>
  <c r="Z637" i="2"/>
  <c r="Y637" i="2"/>
  <c r="X637" i="2"/>
  <c r="W637" i="2"/>
  <c r="V637" i="2"/>
  <c r="U637" i="2"/>
  <c r="T637" i="2"/>
  <c r="AJ636" i="2"/>
  <c r="AI636" i="2"/>
  <c r="AH636" i="2"/>
  <c r="AG636" i="2"/>
  <c r="AF636" i="2"/>
  <c r="AE636" i="2"/>
  <c r="AD636" i="2"/>
  <c r="AC636" i="2"/>
  <c r="AB636" i="2"/>
  <c r="AA636" i="2"/>
  <c r="Z636" i="2"/>
  <c r="Y636" i="2"/>
  <c r="X636" i="2"/>
  <c r="W636" i="2"/>
  <c r="V636" i="2"/>
  <c r="U636" i="2"/>
  <c r="T636" i="2"/>
  <c r="AJ635" i="2"/>
  <c r="AI635" i="2"/>
  <c r="AH635" i="2"/>
  <c r="AG635" i="2"/>
  <c r="AF635" i="2"/>
  <c r="AE635" i="2"/>
  <c r="AD635" i="2"/>
  <c r="AC635" i="2"/>
  <c r="AB635" i="2"/>
  <c r="AA635" i="2"/>
  <c r="Z635" i="2"/>
  <c r="Y635" i="2"/>
  <c r="X635" i="2"/>
  <c r="W635" i="2"/>
  <c r="V635" i="2"/>
  <c r="U635" i="2"/>
  <c r="T635" i="2"/>
  <c r="AJ634" i="2"/>
  <c r="AI634" i="2"/>
  <c r="AH634" i="2"/>
  <c r="AG634" i="2"/>
  <c r="AF634" i="2"/>
  <c r="AE634" i="2"/>
  <c r="AD634" i="2"/>
  <c r="AC634" i="2"/>
  <c r="AB634" i="2"/>
  <c r="AA634" i="2"/>
  <c r="Z634" i="2"/>
  <c r="Y634" i="2"/>
  <c r="X634" i="2"/>
  <c r="W634" i="2"/>
  <c r="V634" i="2"/>
  <c r="U634" i="2"/>
  <c r="T634" i="2"/>
  <c r="AJ633" i="2"/>
  <c r="AI633" i="2"/>
  <c r="AH633" i="2"/>
  <c r="AG633" i="2"/>
  <c r="AF633" i="2"/>
  <c r="AE633" i="2"/>
  <c r="AD633" i="2"/>
  <c r="AC633" i="2"/>
  <c r="AB633" i="2"/>
  <c r="AA633" i="2"/>
  <c r="Z633" i="2"/>
  <c r="Y633" i="2"/>
  <c r="X633" i="2"/>
  <c r="W633" i="2"/>
  <c r="V633" i="2"/>
  <c r="U633" i="2"/>
  <c r="T633" i="2"/>
  <c r="AJ632" i="2"/>
  <c r="AI632" i="2"/>
  <c r="AH632" i="2"/>
  <c r="AG632" i="2"/>
  <c r="AF632" i="2"/>
  <c r="AE632" i="2"/>
  <c r="AD632" i="2"/>
  <c r="AC632" i="2"/>
  <c r="AB632" i="2"/>
  <c r="AA632" i="2"/>
  <c r="Z632" i="2"/>
  <c r="Y632" i="2"/>
  <c r="X632" i="2"/>
  <c r="W632" i="2"/>
  <c r="V632" i="2"/>
  <c r="U632" i="2"/>
  <c r="T632" i="2"/>
  <c r="AJ631" i="2"/>
  <c r="AI631" i="2"/>
  <c r="AH631" i="2"/>
  <c r="AG631" i="2"/>
  <c r="AF631" i="2"/>
  <c r="AE631" i="2"/>
  <c r="AD631" i="2"/>
  <c r="AC631" i="2"/>
  <c r="AB631" i="2"/>
  <c r="AA631" i="2"/>
  <c r="Z631" i="2"/>
  <c r="Y631" i="2"/>
  <c r="X631" i="2"/>
  <c r="W631" i="2"/>
  <c r="V631" i="2"/>
  <c r="U631" i="2"/>
  <c r="T631" i="2"/>
  <c r="AJ630" i="2"/>
  <c r="AI630" i="2"/>
  <c r="AH630" i="2"/>
  <c r="AG630" i="2"/>
  <c r="AF630" i="2"/>
  <c r="AE630" i="2"/>
  <c r="AD630" i="2"/>
  <c r="AC630" i="2"/>
  <c r="AB630" i="2"/>
  <c r="AA630" i="2"/>
  <c r="Z630" i="2"/>
  <c r="Y630" i="2"/>
  <c r="X630" i="2"/>
  <c r="W630" i="2"/>
  <c r="V630" i="2"/>
  <c r="U630" i="2"/>
  <c r="T630" i="2"/>
  <c r="AJ629" i="2"/>
  <c r="AI629" i="2"/>
  <c r="AH629" i="2"/>
  <c r="AG629" i="2"/>
  <c r="AF629" i="2"/>
  <c r="AE629" i="2"/>
  <c r="AD629" i="2"/>
  <c r="AC629" i="2"/>
  <c r="AB629" i="2"/>
  <c r="AA629" i="2"/>
  <c r="Z629" i="2"/>
  <c r="Y629" i="2"/>
  <c r="X629" i="2"/>
  <c r="W629" i="2"/>
  <c r="V629" i="2"/>
  <c r="U629" i="2"/>
  <c r="T629" i="2"/>
  <c r="AJ628" i="2"/>
  <c r="AI628" i="2"/>
  <c r="AH628" i="2"/>
  <c r="AG628" i="2"/>
  <c r="AF628" i="2"/>
  <c r="AE628" i="2"/>
  <c r="AD628" i="2"/>
  <c r="AC628" i="2"/>
  <c r="AB628" i="2"/>
  <c r="AA628" i="2"/>
  <c r="Z628" i="2"/>
  <c r="Y628" i="2"/>
  <c r="X628" i="2"/>
  <c r="W628" i="2"/>
  <c r="V628" i="2"/>
  <c r="U628" i="2"/>
  <c r="T628" i="2"/>
  <c r="AJ627" i="2"/>
  <c r="AI627" i="2"/>
  <c r="AH627" i="2"/>
  <c r="AG627" i="2"/>
  <c r="AF627" i="2"/>
  <c r="AE627" i="2"/>
  <c r="AD627" i="2"/>
  <c r="AC627" i="2"/>
  <c r="AB627" i="2"/>
  <c r="AA627" i="2"/>
  <c r="Z627" i="2"/>
  <c r="Y627" i="2"/>
  <c r="X627" i="2"/>
  <c r="W627" i="2"/>
  <c r="V627" i="2"/>
  <c r="U627" i="2"/>
  <c r="T627" i="2"/>
  <c r="AJ626" i="2"/>
  <c r="AI626" i="2"/>
  <c r="AH626" i="2"/>
  <c r="AG626" i="2"/>
  <c r="AF626" i="2"/>
  <c r="AE626" i="2"/>
  <c r="AD626" i="2"/>
  <c r="AC626" i="2"/>
  <c r="AB626" i="2"/>
  <c r="AA626" i="2"/>
  <c r="Z626" i="2"/>
  <c r="Y626" i="2"/>
  <c r="X626" i="2"/>
  <c r="W626" i="2"/>
  <c r="V626" i="2"/>
  <c r="U626" i="2"/>
  <c r="T626" i="2"/>
  <c r="AJ625" i="2"/>
  <c r="AI625" i="2"/>
  <c r="AH625" i="2"/>
  <c r="AG625" i="2"/>
  <c r="AF625" i="2"/>
  <c r="AE625" i="2"/>
  <c r="AD625" i="2"/>
  <c r="AC625" i="2"/>
  <c r="AB625" i="2"/>
  <c r="AA625" i="2"/>
  <c r="Z625" i="2"/>
  <c r="Y625" i="2"/>
  <c r="X625" i="2"/>
  <c r="W625" i="2"/>
  <c r="V625" i="2"/>
  <c r="U625" i="2"/>
  <c r="T625" i="2"/>
  <c r="AJ624" i="2"/>
  <c r="AI624" i="2"/>
  <c r="AH624" i="2"/>
  <c r="AG624" i="2"/>
  <c r="AF624" i="2"/>
  <c r="AE624" i="2"/>
  <c r="AD624" i="2"/>
  <c r="AC624" i="2"/>
  <c r="AB624" i="2"/>
  <c r="AA624" i="2"/>
  <c r="Z624" i="2"/>
  <c r="Y624" i="2"/>
  <c r="X624" i="2"/>
  <c r="W624" i="2"/>
  <c r="V624" i="2"/>
  <c r="U624" i="2"/>
  <c r="T624" i="2"/>
  <c r="AJ623" i="2"/>
  <c r="AI623" i="2"/>
  <c r="AH623" i="2"/>
  <c r="AG623" i="2"/>
  <c r="AF623" i="2"/>
  <c r="AE623" i="2"/>
  <c r="AD623" i="2"/>
  <c r="AC623" i="2"/>
  <c r="AB623" i="2"/>
  <c r="AA623" i="2"/>
  <c r="Z623" i="2"/>
  <c r="Y623" i="2"/>
  <c r="X623" i="2"/>
  <c r="W623" i="2"/>
  <c r="V623" i="2"/>
  <c r="U623" i="2"/>
  <c r="T623" i="2"/>
  <c r="AJ622" i="2"/>
  <c r="AI622" i="2"/>
  <c r="AH622" i="2"/>
  <c r="AG622" i="2"/>
  <c r="AF622" i="2"/>
  <c r="AE622" i="2"/>
  <c r="AD622" i="2"/>
  <c r="AC622" i="2"/>
  <c r="AB622" i="2"/>
  <c r="AA622" i="2"/>
  <c r="Z622" i="2"/>
  <c r="Y622" i="2"/>
  <c r="X622" i="2"/>
  <c r="W622" i="2"/>
  <c r="V622" i="2"/>
  <c r="U622" i="2"/>
  <c r="T622" i="2"/>
  <c r="AJ621" i="2"/>
  <c r="AI621" i="2"/>
  <c r="AH621" i="2"/>
  <c r="AG621" i="2"/>
  <c r="AF621" i="2"/>
  <c r="AE621" i="2"/>
  <c r="AD621" i="2"/>
  <c r="AC621" i="2"/>
  <c r="AB621" i="2"/>
  <c r="AA621" i="2"/>
  <c r="Z621" i="2"/>
  <c r="Y621" i="2"/>
  <c r="X621" i="2"/>
  <c r="W621" i="2"/>
  <c r="V621" i="2"/>
  <c r="U621" i="2"/>
  <c r="T621" i="2"/>
  <c r="AJ620" i="2"/>
  <c r="AI620" i="2"/>
  <c r="AH620" i="2"/>
  <c r="AG620" i="2"/>
  <c r="AF620" i="2"/>
  <c r="AE620" i="2"/>
  <c r="AD620" i="2"/>
  <c r="AC620" i="2"/>
  <c r="AB620" i="2"/>
  <c r="AA620" i="2"/>
  <c r="Z620" i="2"/>
  <c r="Y620" i="2"/>
  <c r="X620" i="2"/>
  <c r="W620" i="2"/>
  <c r="V620" i="2"/>
  <c r="U620" i="2"/>
  <c r="T620" i="2"/>
  <c r="AJ619" i="2"/>
  <c r="AI619" i="2"/>
  <c r="AH619" i="2"/>
  <c r="AG619" i="2"/>
  <c r="AF619" i="2"/>
  <c r="AE619" i="2"/>
  <c r="AD619" i="2"/>
  <c r="AC619" i="2"/>
  <c r="AB619" i="2"/>
  <c r="AA619" i="2"/>
  <c r="Z619" i="2"/>
  <c r="Y619" i="2"/>
  <c r="X619" i="2"/>
  <c r="W619" i="2"/>
  <c r="V619" i="2"/>
  <c r="U619" i="2"/>
  <c r="T619" i="2"/>
  <c r="AJ618" i="2"/>
  <c r="AI618" i="2"/>
  <c r="AH618" i="2"/>
  <c r="AG618" i="2"/>
  <c r="AF618" i="2"/>
  <c r="AE618" i="2"/>
  <c r="AD618" i="2"/>
  <c r="AC618" i="2"/>
  <c r="AB618" i="2"/>
  <c r="AA618" i="2"/>
  <c r="Z618" i="2"/>
  <c r="Y618" i="2"/>
  <c r="X618" i="2"/>
  <c r="W618" i="2"/>
  <c r="V618" i="2"/>
  <c r="U618" i="2"/>
  <c r="T618" i="2"/>
  <c r="AJ617" i="2"/>
  <c r="AI617" i="2"/>
  <c r="AH617" i="2"/>
  <c r="AG617" i="2"/>
  <c r="AF617" i="2"/>
  <c r="AE617" i="2"/>
  <c r="AD617" i="2"/>
  <c r="AC617" i="2"/>
  <c r="AB617" i="2"/>
  <c r="AA617" i="2"/>
  <c r="Z617" i="2"/>
  <c r="Y617" i="2"/>
  <c r="X617" i="2"/>
  <c r="W617" i="2"/>
  <c r="V617" i="2"/>
  <c r="U617" i="2"/>
  <c r="T617" i="2"/>
  <c r="AJ616" i="2"/>
  <c r="AI616" i="2"/>
  <c r="AH616" i="2"/>
  <c r="AG616" i="2"/>
  <c r="AF616" i="2"/>
  <c r="AE616" i="2"/>
  <c r="AD616" i="2"/>
  <c r="AC616" i="2"/>
  <c r="AB616" i="2"/>
  <c r="AA616" i="2"/>
  <c r="Z616" i="2"/>
  <c r="Y616" i="2"/>
  <c r="X616" i="2"/>
  <c r="W616" i="2"/>
  <c r="V616" i="2"/>
  <c r="U616" i="2"/>
  <c r="T616" i="2"/>
  <c r="AJ615" i="2"/>
  <c r="AI615" i="2"/>
  <c r="AH615" i="2"/>
  <c r="AG615" i="2"/>
  <c r="AF615" i="2"/>
  <c r="AE615" i="2"/>
  <c r="AD615" i="2"/>
  <c r="AC615" i="2"/>
  <c r="AB615" i="2"/>
  <c r="AA615" i="2"/>
  <c r="Z615" i="2"/>
  <c r="Y615" i="2"/>
  <c r="X615" i="2"/>
  <c r="W615" i="2"/>
  <c r="V615" i="2"/>
  <c r="U615" i="2"/>
  <c r="T615" i="2"/>
  <c r="AJ614" i="2"/>
  <c r="AI614" i="2"/>
  <c r="AH614" i="2"/>
  <c r="AG614" i="2"/>
  <c r="AF614" i="2"/>
  <c r="AE614" i="2"/>
  <c r="AD614" i="2"/>
  <c r="AC614" i="2"/>
  <c r="AB614" i="2"/>
  <c r="AA614" i="2"/>
  <c r="Z614" i="2"/>
  <c r="Y614" i="2"/>
  <c r="X614" i="2"/>
  <c r="W614" i="2"/>
  <c r="V614" i="2"/>
  <c r="U614" i="2"/>
  <c r="T614" i="2"/>
  <c r="AJ613" i="2"/>
  <c r="AI613" i="2"/>
  <c r="AH613" i="2"/>
  <c r="AG613" i="2"/>
  <c r="AF613" i="2"/>
  <c r="AE613" i="2"/>
  <c r="AD613" i="2"/>
  <c r="AC613" i="2"/>
  <c r="AB613" i="2"/>
  <c r="AA613" i="2"/>
  <c r="Z613" i="2"/>
  <c r="Y613" i="2"/>
  <c r="X613" i="2"/>
  <c r="W613" i="2"/>
  <c r="V613" i="2"/>
  <c r="U613" i="2"/>
  <c r="T613" i="2"/>
  <c r="AJ612" i="2"/>
  <c r="AI612" i="2"/>
  <c r="AH612" i="2"/>
  <c r="AG612" i="2"/>
  <c r="AF612" i="2"/>
  <c r="AE612" i="2"/>
  <c r="AD612" i="2"/>
  <c r="AC612" i="2"/>
  <c r="AB612" i="2"/>
  <c r="AA612" i="2"/>
  <c r="Z612" i="2"/>
  <c r="Y612" i="2"/>
  <c r="X612" i="2"/>
  <c r="W612" i="2"/>
  <c r="V612" i="2"/>
  <c r="U612" i="2"/>
  <c r="T612" i="2"/>
  <c r="AJ611" i="2"/>
  <c r="AI611" i="2"/>
  <c r="AH611" i="2"/>
  <c r="AG611" i="2"/>
  <c r="AF611" i="2"/>
  <c r="AE611" i="2"/>
  <c r="AD611" i="2"/>
  <c r="AC611" i="2"/>
  <c r="AB611" i="2"/>
  <c r="AA611" i="2"/>
  <c r="Z611" i="2"/>
  <c r="Y611" i="2"/>
  <c r="X611" i="2"/>
  <c r="W611" i="2"/>
  <c r="V611" i="2"/>
  <c r="U611" i="2"/>
  <c r="T611" i="2"/>
  <c r="AJ610" i="2"/>
  <c r="AI610" i="2"/>
  <c r="AH610" i="2"/>
  <c r="AG610" i="2"/>
  <c r="AF610" i="2"/>
  <c r="AE610" i="2"/>
  <c r="AD610" i="2"/>
  <c r="AC610" i="2"/>
  <c r="AB610" i="2"/>
  <c r="AA610" i="2"/>
  <c r="Z610" i="2"/>
  <c r="Y610" i="2"/>
  <c r="X610" i="2"/>
  <c r="W610" i="2"/>
  <c r="V610" i="2"/>
  <c r="U610" i="2"/>
  <c r="T610" i="2"/>
  <c r="AJ609" i="2"/>
  <c r="AI609" i="2"/>
  <c r="AH609" i="2"/>
  <c r="AG609" i="2"/>
  <c r="AF609" i="2"/>
  <c r="AE609" i="2"/>
  <c r="AD609" i="2"/>
  <c r="AC609" i="2"/>
  <c r="AB609" i="2"/>
  <c r="AA609" i="2"/>
  <c r="Z609" i="2"/>
  <c r="Y609" i="2"/>
  <c r="X609" i="2"/>
  <c r="W609" i="2"/>
  <c r="V609" i="2"/>
  <c r="U609" i="2"/>
  <c r="T609" i="2"/>
  <c r="AJ608" i="2"/>
  <c r="AI608" i="2"/>
  <c r="AH608" i="2"/>
  <c r="AG608" i="2"/>
  <c r="AF608" i="2"/>
  <c r="AE608" i="2"/>
  <c r="AD608" i="2"/>
  <c r="AC608" i="2"/>
  <c r="AB608" i="2"/>
  <c r="AA608" i="2"/>
  <c r="Z608" i="2"/>
  <c r="Y608" i="2"/>
  <c r="X608" i="2"/>
  <c r="W608" i="2"/>
  <c r="V608" i="2"/>
  <c r="U608" i="2"/>
  <c r="T608" i="2"/>
  <c r="AJ607" i="2"/>
  <c r="AI607" i="2"/>
  <c r="AH607" i="2"/>
  <c r="AG607" i="2"/>
  <c r="AF607" i="2"/>
  <c r="AE607" i="2"/>
  <c r="AD607" i="2"/>
  <c r="AC607" i="2"/>
  <c r="AB607" i="2"/>
  <c r="AA607" i="2"/>
  <c r="Z607" i="2"/>
  <c r="Y607" i="2"/>
  <c r="X607" i="2"/>
  <c r="W607" i="2"/>
  <c r="V607" i="2"/>
  <c r="U607" i="2"/>
  <c r="T607" i="2"/>
  <c r="AJ606" i="2"/>
  <c r="AI606" i="2"/>
  <c r="AH606" i="2"/>
  <c r="AG606" i="2"/>
  <c r="AF606" i="2"/>
  <c r="AE606" i="2"/>
  <c r="AD606" i="2"/>
  <c r="AC606" i="2"/>
  <c r="AB606" i="2"/>
  <c r="AA606" i="2"/>
  <c r="Z606" i="2"/>
  <c r="Y606" i="2"/>
  <c r="X606" i="2"/>
  <c r="W606" i="2"/>
  <c r="V606" i="2"/>
  <c r="U606" i="2"/>
  <c r="T606" i="2"/>
  <c r="AJ605" i="2"/>
  <c r="AI605" i="2"/>
  <c r="AH605" i="2"/>
  <c r="AG605" i="2"/>
  <c r="AF605" i="2"/>
  <c r="AE605" i="2"/>
  <c r="AD605" i="2"/>
  <c r="AC605" i="2"/>
  <c r="AB605" i="2"/>
  <c r="AA605" i="2"/>
  <c r="Z605" i="2"/>
  <c r="Y605" i="2"/>
  <c r="X605" i="2"/>
  <c r="W605" i="2"/>
  <c r="V605" i="2"/>
  <c r="U605" i="2"/>
  <c r="T605" i="2"/>
  <c r="AJ604" i="2"/>
  <c r="AI604" i="2"/>
  <c r="AH604" i="2"/>
  <c r="AG604" i="2"/>
  <c r="AF604" i="2"/>
  <c r="AE604" i="2"/>
  <c r="AD604" i="2"/>
  <c r="AC604" i="2"/>
  <c r="AB604" i="2"/>
  <c r="AA604" i="2"/>
  <c r="Z604" i="2"/>
  <c r="Y604" i="2"/>
  <c r="X604" i="2"/>
  <c r="W604" i="2"/>
  <c r="V604" i="2"/>
  <c r="U604" i="2"/>
  <c r="T604" i="2"/>
  <c r="AJ603" i="2"/>
  <c r="AI603" i="2"/>
  <c r="AH603" i="2"/>
  <c r="AG603" i="2"/>
  <c r="AF603" i="2"/>
  <c r="AE603" i="2"/>
  <c r="AD603" i="2"/>
  <c r="AC603" i="2"/>
  <c r="AB603" i="2"/>
  <c r="AA603" i="2"/>
  <c r="Z603" i="2"/>
  <c r="Y603" i="2"/>
  <c r="X603" i="2"/>
  <c r="W603" i="2"/>
  <c r="V603" i="2"/>
  <c r="U603" i="2"/>
  <c r="T603" i="2"/>
  <c r="AJ602" i="2"/>
  <c r="AI602" i="2"/>
  <c r="AH602" i="2"/>
  <c r="AG602" i="2"/>
  <c r="AF602" i="2"/>
  <c r="AE602" i="2"/>
  <c r="AD602" i="2"/>
  <c r="AC602" i="2"/>
  <c r="AB602" i="2"/>
  <c r="AA602" i="2"/>
  <c r="Z602" i="2"/>
  <c r="Y602" i="2"/>
  <c r="X602" i="2"/>
  <c r="W602" i="2"/>
  <c r="V602" i="2"/>
  <c r="U602" i="2"/>
  <c r="T602" i="2"/>
  <c r="AJ601" i="2"/>
  <c r="AI601" i="2"/>
  <c r="AH601" i="2"/>
  <c r="AG601" i="2"/>
  <c r="AF601" i="2"/>
  <c r="AE601" i="2"/>
  <c r="AD601" i="2"/>
  <c r="AC601" i="2"/>
  <c r="AB601" i="2"/>
  <c r="AA601" i="2"/>
  <c r="Z601" i="2"/>
  <c r="Y601" i="2"/>
  <c r="X601" i="2"/>
  <c r="W601" i="2"/>
  <c r="V601" i="2"/>
  <c r="U601" i="2"/>
  <c r="T601" i="2"/>
  <c r="AJ600" i="2"/>
  <c r="AI600" i="2"/>
  <c r="AH600" i="2"/>
  <c r="AG600" i="2"/>
  <c r="AF600" i="2"/>
  <c r="AE600" i="2"/>
  <c r="AD600" i="2"/>
  <c r="AC600" i="2"/>
  <c r="AB600" i="2"/>
  <c r="AA600" i="2"/>
  <c r="Z600" i="2"/>
  <c r="Y600" i="2"/>
  <c r="X600" i="2"/>
  <c r="W600" i="2"/>
  <c r="V600" i="2"/>
  <c r="U600" i="2"/>
  <c r="T600" i="2"/>
  <c r="AJ599" i="2"/>
  <c r="AI599" i="2"/>
  <c r="AH599" i="2"/>
  <c r="AG599" i="2"/>
  <c r="AF599" i="2"/>
  <c r="AE599" i="2"/>
  <c r="AD599" i="2"/>
  <c r="AC599" i="2"/>
  <c r="AB599" i="2"/>
  <c r="AA599" i="2"/>
  <c r="Z599" i="2"/>
  <c r="Y599" i="2"/>
  <c r="X599" i="2"/>
  <c r="W599" i="2"/>
  <c r="V599" i="2"/>
  <c r="U599" i="2"/>
  <c r="T599" i="2"/>
  <c r="AJ598" i="2"/>
  <c r="AI598" i="2"/>
  <c r="AH598" i="2"/>
  <c r="AG598" i="2"/>
  <c r="AF598" i="2"/>
  <c r="AE598" i="2"/>
  <c r="AD598" i="2"/>
  <c r="AC598" i="2"/>
  <c r="AB598" i="2"/>
  <c r="AA598" i="2"/>
  <c r="Z598" i="2"/>
  <c r="Y598" i="2"/>
  <c r="X598" i="2"/>
  <c r="W598" i="2"/>
  <c r="V598" i="2"/>
  <c r="U598" i="2"/>
  <c r="T598" i="2"/>
  <c r="AJ597" i="2"/>
  <c r="AI597" i="2"/>
  <c r="AH597" i="2"/>
  <c r="AG597" i="2"/>
  <c r="AF597" i="2"/>
  <c r="AE597" i="2"/>
  <c r="AD597" i="2"/>
  <c r="AC597" i="2"/>
  <c r="AB597" i="2"/>
  <c r="AA597" i="2"/>
  <c r="Z597" i="2"/>
  <c r="Y597" i="2"/>
  <c r="X597" i="2"/>
  <c r="W597" i="2"/>
  <c r="V597" i="2"/>
  <c r="U597" i="2"/>
  <c r="T597" i="2"/>
  <c r="AJ596" i="2"/>
  <c r="AI596" i="2"/>
  <c r="AH596" i="2"/>
  <c r="AG596" i="2"/>
  <c r="AF596" i="2"/>
  <c r="AE596" i="2"/>
  <c r="AD596" i="2"/>
  <c r="AC596" i="2"/>
  <c r="AB596" i="2"/>
  <c r="AA596" i="2"/>
  <c r="Z596" i="2"/>
  <c r="Y596" i="2"/>
  <c r="X596" i="2"/>
  <c r="W596" i="2"/>
  <c r="V596" i="2"/>
  <c r="U596" i="2"/>
  <c r="T596" i="2"/>
  <c r="AJ595" i="2"/>
  <c r="AI595" i="2"/>
  <c r="AH595" i="2"/>
  <c r="AG595" i="2"/>
  <c r="AF595" i="2"/>
  <c r="AE595" i="2"/>
  <c r="AD595" i="2"/>
  <c r="AC595" i="2"/>
  <c r="AB595" i="2"/>
  <c r="AA595" i="2"/>
  <c r="Z595" i="2"/>
  <c r="Y595" i="2"/>
  <c r="X595" i="2"/>
  <c r="W595" i="2"/>
  <c r="V595" i="2"/>
  <c r="U595" i="2"/>
  <c r="T595" i="2"/>
  <c r="AJ594" i="2"/>
  <c r="AI594" i="2"/>
  <c r="AH594" i="2"/>
  <c r="AG594" i="2"/>
  <c r="AF594" i="2"/>
  <c r="AE594" i="2"/>
  <c r="AD594" i="2"/>
  <c r="AC594" i="2"/>
  <c r="AB594" i="2"/>
  <c r="AA594" i="2"/>
  <c r="Z594" i="2"/>
  <c r="Y594" i="2"/>
  <c r="X594" i="2"/>
  <c r="W594" i="2"/>
  <c r="V594" i="2"/>
  <c r="U594" i="2"/>
  <c r="T594" i="2"/>
  <c r="AJ593" i="2"/>
  <c r="AI593" i="2"/>
  <c r="AH593" i="2"/>
  <c r="AG593" i="2"/>
  <c r="AF593" i="2"/>
  <c r="AE593" i="2"/>
  <c r="AD593" i="2"/>
  <c r="AC593" i="2"/>
  <c r="AB593" i="2"/>
  <c r="AA593" i="2"/>
  <c r="Z593" i="2"/>
  <c r="Y593" i="2"/>
  <c r="X593" i="2"/>
  <c r="W593" i="2"/>
  <c r="V593" i="2"/>
  <c r="U593" i="2"/>
  <c r="T593" i="2"/>
  <c r="AJ592" i="2"/>
  <c r="AI592" i="2"/>
  <c r="AH592" i="2"/>
  <c r="AG592" i="2"/>
  <c r="AF592" i="2"/>
  <c r="AE592" i="2"/>
  <c r="AD592" i="2"/>
  <c r="AC592" i="2"/>
  <c r="AB592" i="2"/>
  <c r="AA592" i="2"/>
  <c r="Z592" i="2"/>
  <c r="Y592" i="2"/>
  <c r="X592" i="2"/>
  <c r="W592" i="2"/>
  <c r="V592" i="2"/>
  <c r="U592" i="2"/>
  <c r="T592" i="2"/>
  <c r="AJ591" i="2"/>
  <c r="AI591" i="2"/>
  <c r="AH591" i="2"/>
  <c r="AG591" i="2"/>
  <c r="AF591" i="2"/>
  <c r="AE591" i="2"/>
  <c r="AD591" i="2"/>
  <c r="AC591" i="2"/>
  <c r="AB591" i="2"/>
  <c r="AA591" i="2"/>
  <c r="Z591" i="2"/>
  <c r="Y591" i="2"/>
  <c r="X591" i="2"/>
  <c r="W591" i="2"/>
  <c r="V591" i="2"/>
  <c r="U591" i="2"/>
  <c r="T591" i="2"/>
  <c r="AJ590" i="2"/>
  <c r="AI590" i="2"/>
  <c r="AH590" i="2"/>
  <c r="AG590" i="2"/>
  <c r="AF590" i="2"/>
  <c r="AE590" i="2"/>
  <c r="AD590" i="2"/>
  <c r="AC590" i="2"/>
  <c r="AB590" i="2"/>
  <c r="AA590" i="2"/>
  <c r="Z590" i="2"/>
  <c r="Y590" i="2"/>
  <c r="X590" i="2"/>
  <c r="W590" i="2"/>
  <c r="V590" i="2"/>
  <c r="U590" i="2"/>
  <c r="T590" i="2"/>
  <c r="AJ589" i="2"/>
  <c r="AI589" i="2"/>
  <c r="AH589" i="2"/>
  <c r="AG589" i="2"/>
  <c r="AF589" i="2"/>
  <c r="AE589" i="2"/>
  <c r="AD589" i="2"/>
  <c r="AC589" i="2"/>
  <c r="AB589" i="2"/>
  <c r="AA589" i="2"/>
  <c r="Z589" i="2"/>
  <c r="Y589" i="2"/>
  <c r="X589" i="2"/>
  <c r="W589" i="2"/>
  <c r="V589" i="2"/>
  <c r="U589" i="2"/>
  <c r="T589" i="2"/>
  <c r="AJ588" i="2"/>
  <c r="AI588" i="2"/>
  <c r="AH588" i="2"/>
  <c r="AG588" i="2"/>
  <c r="AF588" i="2"/>
  <c r="AE588" i="2"/>
  <c r="AD588" i="2"/>
  <c r="AC588" i="2"/>
  <c r="AB588" i="2"/>
  <c r="AA588" i="2"/>
  <c r="Z588" i="2"/>
  <c r="Y588" i="2"/>
  <c r="X588" i="2"/>
  <c r="W588" i="2"/>
  <c r="V588" i="2"/>
  <c r="U588" i="2"/>
  <c r="T588" i="2"/>
  <c r="AJ587" i="2"/>
  <c r="AI587" i="2"/>
  <c r="AH587" i="2"/>
  <c r="AG587" i="2"/>
  <c r="AF587" i="2"/>
  <c r="AE587" i="2"/>
  <c r="AD587" i="2"/>
  <c r="AC587" i="2"/>
  <c r="AB587" i="2"/>
  <c r="AA587" i="2"/>
  <c r="Z587" i="2"/>
  <c r="Y587" i="2"/>
  <c r="X587" i="2"/>
  <c r="W587" i="2"/>
  <c r="V587" i="2"/>
  <c r="U587" i="2"/>
  <c r="T587" i="2"/>
  <c r="AJ586" i="2"/>
  <c r="AI586" i="2"/>
  <c r="AH586" i="2"/>
  <c r="AG586" i="2"/>
  <c r="AF586" i="2"/>
  <c r="AE586" i="2"/>
  <c r="AD586" i="2"/>
  <c r="AC586" i="2"/>
  <c r="AB586" i="2"/>
  <c r="AA586" i="2"/>
  <c r="Z586" i="2"/>
  <c r="Y586" i="2"/>
  <c r="X586" i="2"/>
  <c r="W586" i="2"/>
  <c r="V586" i="2"/>
  <c r="U586" i="2"/>
  <c r="T586" i="2"/>
  <c r="AJ585" i="2"/>
  <c r="AI585" i="2"/>
  <c r="AH585" i="2"/>
  <c r="AG585" i="2"/>
  <c r="AF585" i="2"/>
  <c r="AE585" i="2"/>
  <c r="AD585" i="2"/>
  <c r="AC585" i="2"/>
  <c r="AB585" i="2"/>
  <c r="AA585" i="2"/>
  <c r="Z585" i="2"/>
  <c r="Y585" i="2"/>
  <c r="X585" i="2"/>
  <c r="W585" i="2"/>
  <c r="V585" i="2"/>
  <c r="U585" i="2"/>
  <c r="T585" i="2"/>
  <c r="AJ584" i="2"/>
  <c r="AI584" i="2"/>
  <c r="AH584" i="2"/>
  <c r="AG584" i="2"/>
  <c r="AF584" i="2"/>
  <c r="AE584" i="2"/>
  <c r="AD584" i="2"/>
  <c r="AC584" i="2"/>
  <c r="AB584" i="2"/>
  <c r="AA584" i="2"/>
  <c r="Z584" i="2"/>
  <c r="Y584" i="2"/>
  <c r="X584" i="2"/>
  <c r="W584" i="2"/>
  <c r="V584" i="2"/>
  <c r="U584" i="2"/>
  <c r="T584" i="2"/>
  <c r="AJ583" i="2"/>
  <c r="AI583" i="2"/>
  <c r="AH583" i="2"/>
  <c r="AG583" i="2"/>
  <c r="AF583" i="2"/>
  <c r="AE583" i="2"/>
  <c r="AD583" i="2"/>
  <c r="AC583" i="2"/>
  <c r="AB583" i="2"/>
  <c r="AA583" i="2"/>
  <c r="Z583" i="2"/>
  <c r="Y583" i="2"/>
  <c r="X583" i="2"/>
  <c r="W583" i="2"/>
  <c r="V583" i="2"/>
  <c r="U583" i="2"/>
  <c r="T583" i="2"/>
  <c r="AJ582" i="2"/>
  <c r="AI582" i="2"/>
  <c r="AH582" i="2"/>
  <c r="AG582" i="2"/>
  <c r="AF582" i="2"/>
  <c r="AE582" i="2"/>
  <c r="AD582" i="2"/>
  <c r="AC582" i="2"/>
  <c r="AB582" i="2"/>
  <c r="AA582" i="2"/>
  <c r="Z582" i="2"/>
  <c r="Y582" i="2"/>
  <c r="X582" i="2"/>
  <c r="W582" i="2"/>
  <c r="V582" i="2"/>
  <c r="U582" i="2"/>
  <c r="T582" i="2"/>
  <c r="AJ581" i="2"/>
  <c r="AI581" i="2"/>
  <c r="AH581" i="2"/>
  <c r="AG581" i="2"/>
  <c r="AF581" i="2"/>
  <c r="AE581" i="2"/>
  <c r="AD581" i="2"/>
  <c r="AC581" i="2"/>
  <c r="AB581" i="2"/>
  <c r="AA581" i="2"/>
  <c r="Z581" i="2"/>
  <c r="Y581" i="2"/>
  <c r="X581" i="2"/>
  <c r="W581" i="2"/>
  <c r="V581" i="2"/>
  <c r="U581" i="2"/>
  <c r="T581" i="2"/>
  <c r="AJ580" i="2"/>
  <c r="AI580" i="2"/>
  <c r="AH580" i="2"/>
  <c r="AG580" i="2"/>
  <c r="AF580" i="2"/>
  <c r="AE580" i="2"/>
  <c r="AD580" i="2"/>
  <c r="AC580" i="2"/>
  <c r="AB580" i="2"/>
  <c r="AA580" i="2"/>
  <c r="Z580" i="2"/>
  <c r="Y580" i="2"/>
  <c r="X580" i="2"/>
  <c r="W580" i="2"/>
  <c r="V580" i="2"/>
  <c r="U580" i="2"/>
  <c r="T580" i="2"/>
  <c r="AJ579" i="2"/>
  <c r="AI579" i="2"/>
  <c r="AH579" i="2"/>
  <c r="AG579" i="2"/>
  <c r="AF579" i="2"/>
  <c r="AE579" i="2"/>
  <c r="AD579" i="2"/>
  <c r="AC579" i="2"/>
  <c r="AB579" i="2"/>
  <c r="AA579" i="2"/>
  <c r="Z579" i="2"/>
  <c r="Y579" i="2"/>
  <c r="X579" i="2"/>
  <c r="W579" i="2"/>
  <c r="V579" i="2"/>
  <c r="U579" i="2"/>
  <c r="T579" i="2"/>
  <c r="AJ578" i="2"/>
  <c r="AI578" i="2"/>
  <c r="AH578" i="2"/>
  <c r="AG578" i="2"/>
  <c r="AF578" i="2"/>
  <c r="AE578" i="2"/>
  <c r="AD578" i="2"/>
  <c r="AC578" i="2"/>
  <c r="AB578" i="2"/>
  <c r="AA578" i="2"/>
  <c r="Z578" i="2"/>
  <c r="Y578" i="2"/>
  <c r="X578" i="2"/>
  <c r="W578" i="2"/>
  <c r="V578" i="2"/>
  <c r="U578" i="2"/>
  <c r="T578" i="2"/>
  <c r="AJ577" i="2"/>
  <c r="AI577" i="2"/>
  <c r="AH577" i="2"/>
  <c r="AG577" i="2"/>
  <c r="AF577" i="2"/>
  <c r="AE577" i="2"/>
  <c r="AD577" i="2"/>
  <c r="AC577" i="2"/>
  <c r="AB577" i="2"/>
  <c r="AA577" i="2"/>
  <c r="Z577" i="2"/>
  <c r="Y577" i="2"/>
  <c r="X577" i="2"/>
  <c r="W577" i="2"/>
  <c r="V577" i="2"/>
  <c r="U577" i="2"/>
  <c r="T577" i="2"/>
  <c r="AJ576" i="2"/>
  <c r="AI576" i="2"/>
  <c r="AH576" i="2"/>
  <c r="AG576" i="2"/>
  <c r="AF576" i="2"/>
  <c r="AE576" i="2"/>
  <c r="AD576" i="2"/>
  <c r="AC576" i="2"/>
  <c r="AB576" i="2"/>
  <c r="AA576" i="2"/>
  <c r="Z576" i="2"/>
  <c r="Y576" i="2"/>
  <c r="X576" i="2"/>
  <c r="W576" i="2"/>
  <c r="V576" i="2"/>
  <c r="U576" i="2"/>
  <c r="T576" i="2"/>
  <c r="AJ575" i="2"/>
  <c r="AI575" i="2"/>
  <c r="AH575" i="2"/>
  <c r="AG575" i="2"/>
  <c r="AF575" i="2"/>
  <c r="AE575" i="2"/>
  <c r="AD575" i="2"/>
  <c r="AC575" i="2"/>
  <c r="AB575" i="2"/>
  <c r="AA575" i="2"/>
  <c r="Z575" i="2"/>
  <c r="Y575" i="2"/>
  <c r="X575" i="2"/>
  <c r="W575" i="2"/>
  <c r="V575" i="2"/>
  <c r="U575" i="2"/>
  <c r="T575" i="2"/>
  <c r="AJ574" i="2"/>
  <c r="AI574" i="2"/>
  <c r="AH574" i="2"/>
  <c r="AG574" i="2"/>
  <c r="AF574" i="2"/>
  <c r="AE574" i="2"/>
  <c r="AD574" i="2"/>
  <c r="AC574" i="2"/>
  <c r="AB574" i="2"/>
  <c r="AA574" i="2"/>
  <c r="Z574" i="2"/>
  <c r="Y574" i="2"/>
  <c r="X574" i="2"/>
  <c r="W574" i="2"/>
  <c r="V574" i="2"/>
  <c r="U574" i="2"/>
  <c r="T574" i="2"/>
  <c r="AJ573" i="2"/>
  <c r="AI573" i="2"/>
  <c r="AH573" i="2"/>
  <c r="AG573" i="2"/>
  <c r="AF573" i="2"/>
  <c r="AE573" i="2"/>
  <c r="AD573" i="2"/>
  <c r="AC573" i="2"/>
  <c r="AB573" i="2"/>
  <c r="AA573" i="2"/>
  <c r="Z573" i="2"/>
  <c r="Y573" i="2"/>
  <c r="X573" i="2"/>
  <c r="W573" i="2"/>
  <c r="V573" i="2"/>
  <c r="U573" i="2"/>
  <c r="T573" i="2"/>
  <c r="AJ572" i="2"/>
  <c r="AI572" i="2"/>
  <c r="AH572" i="2"/>
  <c r="AG572" i="2"/>
  <c r="AF572" i="2"/>
  <c r="AE572" i="2"/>
  <c r="AD572" i="2"/>
  <c r="AC572" i="2"/>
  <c r="AB572" i="2"/>
  <c r="AA572" i="2"/>
  <c r="Z572" i="2"/>
  <c r="Y572" i="2"/>
  <c r="X572" i="2"/>
  <c r="W572" i="2"/>
  <c r="V572" i="2"/>
  <c r="U572" i="2"/>
  <c r="T572" i="2"/>
  <c r="AJ571" i="2"/>
  <c r="AI571" i="2"/>
  <c r="AH571" i="2"/>
  <c r="AG571" i="2"/>
  <c r="AF571" i="2"/>
  <c r="AE571" i="2"/>
  <c r="AD571" i="2"/>
  <c r="AC571" i="2"/>
  <c r="AB571" i="2"/>
  <c r="AA571" i="2"/>
  <c r="Z571" i="2"/>
  <c r="Y571" i="2"/>
  <c r="X571" i="2"/>
  <c r="W571" i="2"/>
  <c r="V571" i="2"/>
  <c r="U571" i="2"/>
  <c r="T571" i="2"/>
  <c r="AJ570" i="2"/>
  <c r="AI570" i="2"/>
  <c r="AH570" i="2"/>
  <c r="AG570" i="2"/>
  <c r="AF570" i="2"/>
  <c r="AE570" i="2"/>
  <c r="AD570" i="2"/>
  <c r="AC570" i="2"/>
  <c r="AB570" i="2"/>
  <c r="AA570" i="2"/>
  <c r="Z570" i="2"/>
  <c r="Y570" i="2"/>
  <c r="X570" i="2"/>
  <c r="W570" i="2"/>
  <c r="V570" i="2"/>
  <c r="U570" i="2"/>
  <c r="T570" i="2"/>
  <c r="AJ569" i="2"/>
  <c r="AI569" i="2"/>
  <c r="AH569" i="2"/>
  <c r="AG569" i="2"/>
  <c r="AF569" i="2"/>
  <c r="AE569" i="2"/>
  <c r="AD569" i="2"/>
  <c r="AC569" i="2"/>
  <c r="AB569" i="2"/>
  <c r="AA569" i="2"/>
  <c r="Z569" i="2"/>
  <c r="Y569" i="2"/>
  <c r="X569" i="2"/>
  <c r="W569" i="2"/>
  <c r="V569" i="2"/>
  <c r="U569" i="2"/>
  <c r="T569" i="2"/>
  <c r="AJ568" i="2"/>
  <c r="AI568" i="2"/>
  <c r="AH568" i="2"/>
  <c r="AG568" i="2"/>
  <c r="AF568" i="2"/>
  <c r="AE568" i="2"/>
  <c r="AD568" i="2"/>
  <c r="AC568" i="2"/>
  <c r="AB568" i="2"/>
  <c r="AA568" i="2"/>
  <c r="Z568" i="2"/>
  <c r="Y568" i="2"/>
  <c r="X568" i="2"/>
  <c r="W568" i="2"/>
  <c r="V568" i="2"/>
  <c r="U568" i="2"/>
  <c r="T568" i="2"/>
  <c r="AJ567" i="2"/>
  <c r="AI567" i="2"/>
  <c r="AH567" i="2"/>
  <c r="AG567" i="2"/>
  <c r="AF567" i="2"/>
  <c r="AE567" i="2"/>
  <c r="AD567" i="2"/>
  <c r="AC567" i="2"/>
  <c r="AB567" i="2"/>
  <c r="AA567" i="2"/>
  <c r="Z567" i="2"/>
  <c r="Y567" i="2"/>
  <c r="X567" i="2"/>
  <c r="W567" i="2"/>
  <c r="V567" i="2"/>
  <c r="U567" i="2"/>
  <c r="T567" i="2"/>
  <c r="AJ566" i="2"/>
  <c r="AI566" i="2"/>
  <c r="AH566" i="2"/>
  <c r="AG566" i="2"/>
  <c r="AF566" i="2"/>
  <c r="AE566" i="2"/>
  <c r="AD566" i="2"/>
  <c r="AC566" i="2"/>
  <c r="AB566" i="2"/>
  <c r="AA566" i="2"/>
  <c r="Z566" i="2"/>
  <c r="Y566" i="2"/>
  <c r="X566" i="2"/>
  <c r="W566" i="2"/>
  <c r="V566" i="2"/>
  <c r="U566" i="2"/>
  <c r="T566" i="2"/>
  <c r="AJ565" i="2"/>
  <c r="AI565" i="2"/>
  <c r="AH565" i="2"/>
  <c r="AG565" i="2"/>
  <c r="AF565" i="2"/>
  <c r="AE565" i="2"/>
  <c r="AD565" i="2"/>
  <c r="AC565" i="2"/>
  <c r="AB565" i="2"/>
  <c r="AA565" i="2"/>
  <c r="Z565" i="2"/>
  <c r="Y565" i="2"/>
  <c r="X565" i="2"/>
  <c r="W565" i="2"/>
  <c r="V565" i="2"/>
  <c r="U565" i="2"/>
  <c r="T565" i="2"/>
  <c r="AJ564" i="2"/>
  <c r="AI564" i="2"/>
  <c r="AH564" i="2"/>
  <c r="AG564" i="2"/>
  <c r="AF564" i="2"/>
  <c r="AE564" i="2"/>
  <c r="AD564" i="2"/>
  <c r="AC564" i="2"/>
  <c r="AB564" i="2"/>
  <c r="AA564" i="2"/>
  <c r="Z564" i="2"/>
  <c r="Y564" i="2"/>
  <c r="X564" i="2"/>
  <c r="W564" i="2"/>
  <c r="V564" i="2"/>
  <c r="U564" i="2"/>
  <c r="T564" i="2"/>
  <c r="AJ563" i="2"/>
  <c r="AI563" i="2"/>
  <c r="AH563" i="2"/>
  <c r="AG563" i="2"/>
  <c r="AF563" i="2"/>
  <c r="AE563" i="2"/>
  <c r="AD563" i="2"/>
  <c r="AC563" i="2"/>
  <c r="AB563" i="2"/>
  <c r="AA563" i="2"/>
  <c r="Z563" i="2"/>
  <c r="Y563" i="2"/>
  <c r="X563" i="2"/>
  <c r="W563" i="2"/>
  <c r="V563" i="2"/>
  <c r="U563" i="2"/>
  <c r="T563" i="2"/>
  <c r="AJ562" i="2"/>
  <c r="AI562" i="2"/>
  <c r="AH562" i="2"/>
  <c r="AG562" i="2"/>
  <c r="AF562" i="2"/>
  <c r="AE562" i="2"/>
  <c r="AD562" i="2"/>
  <c r="AC562" i="2"/>
  <c r="AB562" i="2"/>
  <c r="AA562" i="2"/>
  <c r="Z562" i="2"/>
  <c r="Y562" i="2"/>
  <c r="X562" i="2"/>
  <c r="W562" i="2"/>
  <c r="V562" i="2"/>
  <c r="U562" i="2"/>
  <c r="T562" i="2"/>
  <c r="AJ561" i="2"/>
  <c r="AI561" i="2"/>
  <c r="AH561" i="2"/>
  <c r="AG561" i="2"/>
  <c r="AF561" i="2"/>
  <c r="AE561" i="2"/>
  <c r="AD561" i="2"/>
  <c r="AC561" i="2"/>
  <c r="AB561" i="2"/>
  <c r="AA561" i="2"/>
  <c r="Z561" i="2"/>
  <c r="Y561" i="2"/>
  <c r="X561" i="2"/>
  <c r="W561" i="2"/>
  <c r="V561" i="2"/>
  <c r="U561" i="2"/>
  <c r="T561" i="2"/>
  <c r="AJ560" i="2"/>
  <c r="AI560" i="2"/>
  <c r="AH560" i="2"/>
  <c r="AG560" i="2"/>
  <c r="AF560" i="2"/>
  <c r="AE560" i="2"/>
  <c r="AD560" i="2"/>
  <c r="AC560" i="2"/>
  <c r="AB560" i="2"/>
  <c r="AA560" i="2"/>
  <c r="Z560" i="2"/>
  <c r="Y560" i="2"/>
  <c r="X560" i="2"/>
  <c r="W560" i="2"/>
  <c r="V560" i="2"/>
  <c r="U560" i="2"/>
  <c r="T560" i="2"/>
  <c r="AJ559" i="2"/>
  <c r="AI559" i="2"/>
  <c r="AH559" i="2"/>
  <c r="AG559" i="2"/>
  <c r="AF559" i="2"/>
  <c r="AE559" i="2"/>
  <c r="AD559" i="2"/>
  <c r="AC559" i="2"/>
  <c r="AB559" i="2"/>
  <c r="AA559" i="2"/>
  <c r="Z559" i="2"/>
  <c r="Y559" i="2"/>
  <c r="X559" i="2"/>
  <c r="W559" i="2"/>
  <c r="V559" i="2"/>
  <c r="U559" i="2"/>
  <c r="T559" i="2"/>
  <c r="AJ558" i="2"/>
  <c r="AI558" i="2"/>
  <c r="AH558" i="2"/>
  <c r="AG558" i="2"/>
  <c r="AF558" i="2"/>
  <c r="AE558" i="2"/>
  <c r="AD558" i="2"/>
  <c r="AC558" i="2"/>
  <c r="AB558" i="2"/>
  <c r="AA558" i="2"/>
  <c r="Z558" i="2"/>
  <c r="Y558" i="2"/>
  <c r="X558" i="2"/>
  <c r="W558" i="2"/>
  <c r="V558" i="2"/>
  <c r="U558" i="2"/>
  <c r="T558" i="2"/>
  <c r="AJ557" i="2"/>
  <c r="AI557" i="2"/>
  <c r="AH557" i="2"/>
  <c r="AG557" i="2"/>
  <c r="AF557" i="2"/>
  <c r="AE557" i="2"/>
  <c r="AD557" i="2"/>
  <c r="AC557" i="2"/>
  <c r="AB557" i="2"/>
  <c r="AA557" i="2"/>
  <c r="Z557" i="2"/>
  <c r="Y557" i="2"/>
  <c r="X557" i="2"/>
  <c r="W557" i="2"/>
  <c r="V557" i="2"/>
  <c r="U557" i="2"/>
  <c r="T557" i="2"/>
  <c r="AJ556" i="2"/>
  <c r="AI556" i="2"/>
  <c r="AH556" i="2"/>
  <c r="AG556" i="2"/>
  <c r="AF556" i="2"/>
  <c r="AE556" i="2"/>
  <c r="AD556" i="2"/>
  <c r="AC556" i="2"/>
  <c r="AB556" i="2"/>
  <c r="AA556" i="2"/>
  <c r="Z556" i="2"/>
  <c r="Y556" i="2"/>
  <c r="X556" i="2"/>
  <c r="W556" i="2"/>
  <c r="V556" i="2"/>
  <c r="U556" i="2"/>
  <c r="T556" i="2"/>
  <c r="AJ555" i="2"/>
  <c r="AI555" i="2"/>
  <c r="AH555" i="2"/>
  <c r="AG555" i="2"/>
  <c r="AF555" i="2"/>
  <c r="AE555" i="2"/>
  <c r="AD555" i="2"/>
  <c r="AC555" i="2"/>
  <c r="AB555" i="2"/>
  <c r="AA555" i="2"/>
  <c r="Z555" i="2"/>
  <c r="Y555" i="2"/>
  <c r="X555" i="2"/>
  <c r="W555" i="2"/>
  <c r="V555" i="2"/>
  <c r="U555" i="2"/>
  <c r="T555" i="2"/>
  <c r="AJ554" i="2"/>
  <c r="AI554" i="2"/>
  <c r="AH554" i="2"/>
  <c r="AG554" i="2"/>
  <c r="AF554" i="2"/>
  <c r="AE554" i="2"/>
  <c r="AD554" i="2"/>
  <c r="AC554" i="2"/>
  <c r="AB554" i="2"/>
  <c r="AA554" i="2"/>
  <c r="Z554" i="2"/>
  <c r="Y554" i="2"/>
  <c r="X554" i="2"/>
  <c r="W554" i="2"/>
  <c r="V554" i="2"/>
  <c r="U554" i="2"/>
  <c r="T554" i="2"/>
  <c r="AJ553" i="2"/>
  <c r="AI553" i="2"/>
  <c r="AH553" i="2"/>
  <c r="AG553" i="2"/>
  <c r="AF553" i="2"/>
  <c r="AE553" i="2"/>
  <c r="AD553" i="2"/>
  <c r="AC553" i="2"/>
  <c r="AB553" i="2"/>
  <c r="AA553" i="2"/>
  <c r="Z553" i="2"/>
  <c r="Y553" i="2"/>
  <c r="X553" i="2"/>
  <c r="W553" i="2"/>
  <c r="V553" i="2"/>
  <c r="U553" i="2"/>
  <c r="T553" i="2"/>
  <c r="AJ552" i="2"/>
  <c r="AI552" i="2"/>
  <c r="AH552" i="2"/>
  <c r="AG552" i="2"/>
  <c r="AF552" i="2"/>
  <c r="AE552" i="2"/>
  <c r="AD552" i="2"/>
  <c r="AC552" i="2"/>
  <c r="AB552" i="2"/>
  <c r="AA552" i="2"/>
  <c r="Z552" i="2"/>
  <c r="Y552" i="2"/>
  <c r="X552" i="2"/>
  <c r="W552" i="2"/>
  <c r="V552" i="2"/>
  <c r="U552" i="2"/>
  <c r="T552" i="2"/>
  <c r="AJ551" i="2"/>
  <c r="AI551" i="2"/>
  <c r="AH551" i="2"/>
  <c r="AG551" i="2"/>
  <c r="AF551" i="2"/>
  <c r="AE551" i="2"/>
  <c r="AD551" i="2"/>
  <c r="AC551" i="2"/>
  <c r="AB551" i="2"/>
  <c r="AA551" i="2"/>
  <c r="Z551" i="2"/>
  <c r="Y551" i="2"/>
  <c r="X551" i="2"/>
  <c r="W551" i="2"/>
  <c r="V551" i="2"/>
  <c r="U551" i="2"/>
  <c r="T551" i="2"/>
  <c r="AJ550" i="2"/>
  <c r="AI550" i="2"/>
  <c r="AH550" i="2"/>
  <c r="AG550" i="2"/>
  <c r="AF550" i="2"/>
  <c r="AE550" i="2"/>
  <c r="AD550" i="2"/>
  <c r="AC550" i="2"/>
  <c r="AB550" i="2"/>
  <c r="AA550" i="2"/>
  <c r="Z550" i="2"/>
  <c r="Y550" i="2"/>
  <c r="X550" i="2"/>
  <c r="W550" i="2"/>
  <c r="V550" i="2"/>
  <c r="U550" i="2"/>
  <c r="T550" i="2"/>
  <c r="AJ549" i="2"/>
  <c r="AI549" i="2"/>
  <c r="AH549" i="2"/>
  <c r="AG549" i="2"/>
  <c r="AF549" i="2"/>
  <c r="AE549" i="2"/>
  <c r="AD549" i="2"/>
  <c r="AC549" i="2"/>
  <c r="AB549" i="2"/>
  <c r="AA549" i="2"/>
  <c r="Z549" i="2"/>
  <c r="Y549" i="2"/>
  <c r="X549" i="2"/>
  <c r="W549" i="2"/>
  <c r="V549" i="2"/>
  <c r="U549" i="2"/>
  <c r="T549" i="2"/>
  <c r="AJ548" i="2"/>
  <c r="AI548" i="2"/>
  <c r="AH548" i="2"/>
  <c r="AG548" i="2"/>
  <c r="AF548" i="2"/>
  <c r="AE548" i="2"/>
  <c r="AD548" i="2"/>
  <c r="AC548" i="2"/>
  <c r="AB548" i="2"/>
  <c r="AA548" i="2"/>
  <c r="Z548" i="2"/>
  <c r="Y548" i="2"/>
  <c r="X548" i="2"/>
  <c r="W548" i="2"/>
  <c r="V548" i="2"/>
  <c r="U548" i="2"/>
  <c r="T548" i="2"/>
  <c r="AJ547" i="2"/>
  <c r="AI547" i="2"/>
  <c r="AH547" i="2"/>
  <c r="AG547" i="2"/>
  <c r="AF547" i="2"/>
  <c r="AE547" i="2"/>
  <c r="AD547" i="2"/>
  <c r="AC547" i="2"/>
  <c r="AB547" i="2"/>
  <c r="AA547" i="2"/>
  <c r="Z547" i="2"/>
  <c r="Y547" i="2"/>
  <c r="X547" i="2"/>
  <c r="W547" i="2"/>
  <c r="V547" i="2"/>
  <c r="U547" i="2"/>
  <c r="T547" i="2"/>
  <c r="AJ546" i="2"/>
  <c r="AI546" i="2"/>
  <c r="AH546" i="2"/>
  <c r="AG546" i="2"/>
  <c r="AF546" i="2"/>
  <c r="AE546" i="2"/>
  <c r="AD546" i="2"/>
  <c r="AC546" i="2"/>
  <c r="AB546" i="2"/>
  <c r="AA546" i="2"/>
  <c r="Z546" i="2"/>
  <c r="Y546" i="2"/>
  <c r="X546" i="2"/>
  <c r="W546" i="2"/>
  <c r="V546" i="2"/>
  <c r="U546" i="2"/>
  <c r="T546" i="2"/>
  <c r="AJ545" i="2"/>
  <c r="AI545" i="2"/>
  <c r="AH545" i="2"/>
  <c r="AG545" i="2"/>
  <c r="AF545" i="2"/>
  <c r="AE545" i="2"/>
  <c r="AD545" i="2"/>
  <c r="AC545" i="2"/>
  <c r="AB545" i="2"/>
  <c r="AA545" i="2"/>
  <c r="Z545" i="2"/>
  <c r="Y545" i="2"/>
  <c r="X545" i="2"/>
  <c r="W545" i="2"/>
  <c r="V545" i="2"/>
  <c r="U545" i="2"/>
  <c r="T545" i="2"/>
  <c r="AJ544" i="2"/>
  <c r="AI544" i="2"/>
  <c r="AH544" i="2"/>
  <c r="AG544" i="2"/>
  <c r="AF544" i="2"/>
  <c r="AE544" i="2"/>
  <c r="AD544" i="2"/>
  <c r="AC544" i="2"/>
  <c r="AB544" i="2"/>
  <c r="AA544" i="2"/>
  <c r="Z544" i="2"/>
  <c r="Y544" i="2"/>
  <c r="X544" i="2"/>
  <c r="W544" i="2"/>
  <c r="V544" i="2"/>
  <c r="U544" i="2"/>
  <c r="T544" i="2"/>
  <c r="AJ543" i="2"/>
  <c r="AI543" i="2"/>
  <c r="AH543" i="2"/>
  <c r="AG543" i="2"/>
  <c r="AF543" i="2"/>
  <c r="AE543" i="2"/>
  <c r="AD543" i="2"/>
  <c r="AC543" i="2"/>
  <c r="AB543" i="2"/>
  <c r="AA543" i="2"/>
  <c r="Z543" i="2"/>
  <c r="Y543" i="2"/>
  <c r="X543" i="2"/>
  <c r="W543" i="2"/>
  <c r="V543" i="2"/>
  <c r="U543" i="2"/>
  <c r="T543" i="2"/>
  <c r="AJ542" i="2"/>
  <c r="AI542" i="2"/>
  <c r="AH542" i="2"/>
  <c r="AG542" i="2"/>
  <c r="AF542" i="2"/>
  <c r="AE542" i="2"/>
  <c r="AD542" i="2"/>
  <c r="AC542" i="2"/>
  <c r="AB542" i="2"/>
  <c r="AA542" i="2"/>
  <c r="Z542" i="2"/>
  <c r="Y542" i="2"/>
  <c r="X542" i="2"/>
  <c r="W542" i="2"/>
  <c r="V542" i="2"/>
  <c r="U542" i="2"/>
  <c r="T542" i="2"/>
  <c r="AJ541" i="2"/>
  <c r="AI541" i="2"/>
  <c r="AH541" i="2"/>
  <c r="AG541" i="2"/>
  <c r="AF541" i="2"/>
  <c r="AE541" i="2"/>
  <c r="AD541" i="2"/>
  <c r="AC541" i="2"/>
  <c r="AB541" i="2"/>
  <c r="AA541" i="2"/>
  <c r="Z541" i="2"/>
  <c r="Y541" i="2"/>
  <c r="X541" i="2"/>
  <c r="W541" i="2"/>
  <c r="V541" i="2"/>
  <c r="U541" i="2"/>
  <c r="T541" i="2"/>
  <c r="AJ540" i="2"/>
  <c r="AI540" i="2"/>
  <c r="AH540" i="2"/>
  <c r="AG540" i="2"/>
  <c r="AF540" i="2"/>
  <c r="AE540" i="2"/>
  <c r="AD540" i="2"/>
  <c r="AC540" i="2"/>
  <c r="AB540" i="2"/>
  <c r="AA540" i="2"/>
  <c r="Z540" i="2"/>
  <c r="Y540" i="2"/>
  <c r="X540" i="2"/>
  <c r="W540" i="2"/>
  <c r="V540" i="2"/>
  <c r="U540" i="2"/>
  <c r="T540" i="2"/>
  <c r="AJ539" i="2"/>
  <c r="AI539" i="2"/>
  <c r="AH539" i="2"/>
  <c r="AG539" i="2"/>
  <c r="AF539" i="2"/>
  <c r="AE539" i="2"/>
  <c r="AD539" i="2"/>
  <c r="AC539" i="2"/>
  <c r="AB539" i="2"/>
  <c r="AA539" i="2"/>
  <c r="Z539" i="2"/>
  <c r="Y539" i="2"/>
  <c r="X539" i="2"/>
  <c r="W539" i="2"/>
  <c r="V539" i="2"/>
  <c r="U539" i="2"/>
  <c r="T539" i="2"/>
  <c r="AJ538" i="2"/>
  <c r="AI538" i="2"/>
  <c r="AH538" i="2"/>
  <c r="AG538" i="2"/>
  <c r="AF538" i="2"/>
  <c r="AE538" i="2"/>
  <c r="AD538" i="2"/>
  <c r="AC538" i="2"/>
  <c r="AB538" i="2"/>
  <c r="AA538" i="2"/>
  <c r="Z538" i="2"/>
  <c r="Y538" i="2"/>
  <c r="X538" i="2"/>
  <c r="W538" i="2"/>
  <c r="V538" i="2"/>
  <c r="U538" i="2"/>
  <c r="T538" i="2"/>
  <c r="AJ537" i="2"/>
  <c r="AI537" i="2"/>
  <c r="AH537" i="2"/>
  <c r="AG537" i="2"/>
  <c r="AF537" i="2"/>
  <c r="AE537" i="2"/>
  <c r="AD537" i="2"/>
  <c r="AC537" i="2"/>
  <c r="AB537" i="2"/>
  <c r="AA537" i="2"/>
  <c r="Z537" i="2"/>
  <c r="Y537" i="2"/>
  <c r="X537" i="2"/>
  <c r="W537" i="2"/>
  <c r="V537" i="2"/>
  <c r="U537" i="2"/>
  <c r="T537" i="2"/>
  <c r="AJ536" i="2"/>
  <c r="AI536" i="2"/>
  <c r="AH536" i="2"/>
  <c r="AG536" i="2"/>
  <c r="AF536" i="2"/>
  <c r="AE536" i="2"/>
  <c r="AD536" i="2"/>
  <c r="AC536" i="2"/>
  <c r="AB536" i="2"/>
  <c r="AA536" i="2"/>
  <c r="Z536" i="2"/>
  <c r="Y536" i="2"/>
  <c r="X536" i="2"/>
  <c r="W536" i="2"/>
  <c r="V536" i="2"/>
  <c r="U536" i="2"/>
  <c r="T536" i="2"/>
  <c r="AJ535" i="2"/>
  <c r="AI535" i="2"/>
  <c r="AH535" i="2"/>
  <c r="AG535" i="2"/>
  <c r="AF535" i="2"/>
  <c r="AE535" i="2"/>
  <c r="AD535" i="2"/>
  <c r="AC535" i="2"/>
  <c r="AB535" i="2"/>
  <c r="AA535" i="2"/>
  <c r="Z535" i="2"/>
  <c r="Y535" i="2"/>
  <c r="X535" i="2"/>
  <c r="W535" i="2"/>
  <c r="V535" i="2"/>
  <c r="U535" i="2"/>
  <c r="T535" i="2"/>
  <c r="AJ534" i="2"/>
  <c r="AI534" i="2"/>
  <c r="AH534" i="2"/>
  <c r="AG534" i="2"/>
  <c r="AF534" i="2"/>
  <c r="AE534" i="2"/>
  <c r="AD534" i="2"/>
  <c r="AC534" i="2"/>
  <c r="AB534" i="2"/>
  <c r="AA534" i="2"/>
  <c r="Z534" i="2"/>
  <c r="Y534" i="2"/>
  <c r="X534" i="2"/>
  <c r="W534" i="2"/>
  <c r="V534" i="2"/>
  <c r="U534" i="2"/>
  <c r="T534" i="2"/>
  <c r="AJ533" i="2"/>
  <c r="AI533" i="2"/>
  <c r="AH533" i="2"/>
  <c r="AG533" i="2"/>
  <c r="AF533" i="2"/>
  <c r="AE533" i="2"/>
  <c r="AD533" i="2"/>
  <c r="AC533" i="2"/>
  <c r="AB533" i="2"/>
  <c r="AA533" i="2"/>
  <c r="Z533" i="2"/>
  <c r="Y533" i="2"/>
  <c r="X533" i="2"/>
  <c r="W533" i="2"/>
  <c r="V533" i="2"/>
  <c r="U533" i="2"/>
  <c r="T533" i="2"/>
  <c r="AJ532" i="2"/>
  <c r="AI532" i="2"/>
  <c r="AH532" i="2"/>
  <c r="AG532" i="2"/>
  <c r="AF532" i="2"/>
  <c r="AE532" i="2"/>
  <c r="AD532" i="2"/>
  <c r="AC532" i="2"/>
  <c r="AB532" i="2"/>
  <c r="AA532" i="2"/>
  <c r="Z532" i="2"/>
  <c r="Y532" i="2"/>
  <c r="X532" i="2"/>
  <c r="W532" i="2"/>
  <c r="V532" i="2"/>
  <c r="U532" i="2"/>
  <c r="T532" i="2"/>
  <c r="AJ531" i="2"/>
  <c r="AI531" i="2"/>
  <c r="AH531" i="2"/>
  <c r="AG531" i="2"/>
  <c r="AF531" i="2"/>
  <c r="AE531" i="2"/>
  <c r="AD531" i="2"/>
  <c r="AC531" i="2"/>
  <c r="AB531" i="2"/>
  <c r="AA531" i="2"/>
  <c r="Z531" i="2"/>
  <c r="Y531" i="2"/>
  <c r="X531" i="2"/>
  <c r="W531" i="2"/>
  <c r="V531" i="2"/>
  <c r="U531" i="2"/>
  <c r="T531" i="2"/>
  <c r="AJ530" i="2"/>
  <c r="AI530" i="2"/>
  <c r="AH530" i="2"/>
  <c r="AG530" i="2"/>
  <c r="AF530" i="2"/>
  <c r="AE530" i="2"/>
  <c r="AD530" i="2"/>
  <c r="AC530" i="2"/>
  <c r="AB530" i="2"/>
  <c r="AA530" i="2"/>
  <c r="Z530" i="2"/>
  <c r="Y530" i="2"/>
  <c r="X530" i="2"/>
  <c r="W530" i="2"/>
  <c r="V530" i="2"/>
  <c r="U530" i="2"/>
  <c r="T530" i="2"/>
  <c r="AJ529" i="2"/>
  <c r="AI529" i="2"/>
  <c r="AH529" i="2"/>
  <c r="AG529" i="2"/>
  <c r="AF529" i="2"/>
  <c r="AE529" i="2"/>
  <c r="AD529" i="2"/>
  <c r="AC529" i="2"/>
  <c r="AB529" i="2"/>
  <c r="AA529" i="2"/>
  <c r="Z529" i="2"/>
  <c r="Y529" i="2"/>
  <c r="X529" i="2"/>
  <c r="W529" i="2"/>
  <c r="V529" i="2"/>
  <c r="U529" i="2"/>
  <c r="T529" i="2"/>
  <c r="AJ528" i="2"/>
  <c r="AI528" i="2"/>
  <c r="AH528" i="2"/>
  <c r="AG528" i="2"/>
  <c r="AF528" i="2"/>
  <c r="AE528" i="2"/>
  <c r="AD528" i="2"/>
  <c r="AC528" i="2"/>
  <c r="AB528" i="2"/>
  <c r="AA528" i="2"/>
  <c r="Z528" i="2"/>
  <c r="Y528" i="2"/>
  <c r="X528" i="2"/>
  <c r="W528" i="2"/>
  <c r="V528" i="2"/>
  <c r="U528" i="2"/>
  <c r="T528" i="2"/>
  <c r="AJ527" i="2"/>
  <c r="AI527" i="2"/>
  <c r="AH527" i="2"/>
  <c r="AG527" i="2"/>
  <c r="AF527" i="2"/>
  <c r="AE527" i="2"/>
  <c r="AD527" i="2"/>
  <c r="AC527" i="2"/>
  <c r="AB527" i="2"/>
  <c r="AA527" i="2"/>
  <c r="Z527" i="2"/>
  <c r="Y527" i="2"/>
  <c r="X527" i="2"/>
  <c r="W527" i="2"/>
  <c r="V527" i="2"/>
  <c r="U527" i="2"/>
  <c r="T527" i="2"/>
  <c r="AJ526" i="2"/>
  <c r="AI526" i="2"/>
  <c r="AH526" i="2"/>
  <c r="AG526" i="2"/>
  <c r="AF526" i="2"/>
  <c r="AE526" i="2"/>
  <c r="AD526" i="2"/>
  <c r="AC526" i="2"/>
  <c r="AB526" i="2"/>
  <c r="AA526" i="2"/>
  <c r="Z526" i="2"/>
  <c r="Y526" i="2"/>
  <c r="X526" i="2"/>
  <c r="W526" i="2"/>
  <c r="V526" i="2"/>
  <c r="U526" i="2"/>
  <c r="T526" i="2"/>
  <c r="AJ525" i="2"/>
  <c r="AI525" i="2"/>
  <c r="AH525" i="2"/>
  <c r="AG525" i="2"/>
  <c r="AF525" i="2"/>
  <c r="AE525" i="2"/>
  <c r="AD525" i="2"/>
  <c r="AC525" i="2"/>
  <c r="AB525" i="2"/>
  <c r="AA525" i="2"/>
  <c r="Z525" i="2"/>
  <c r="Y525" i="2"/>
  <c r="X525" i="2"/>
  <c r="W525" i="2"/>
  <c r="V525" i="2"/>
  <c r="U525" i="2"/>
  <c r="T525" i="2"/>
  <c r="AJ524" i="2"/>
  <c r="AI524" i="2"/>
  <c r="AH524" i="2"/>
  <c r="AG524" i="2"/>
  <c r="AF524" i="2"/>
  <c r="AE524" i="2"/>
  <c r="AD524" i="2"/>
  <c r="AC524" i="2"/>
  <c r="AB524" i="2"/>
  <c r="AA524" i="2"/>
  <c r="Z524" i="2"/>
  <c r="Y524" i="2"/>
  <c r="X524" i="2"/>
  <c r="W524" i="2"/>
  <c r="V524" i="2"/>
  <c r="U524" i="2"/>
  <c r="T524" i="2"/>
  <c r="AJ523" i="2"/>
  <c r="AI523" i="2"/>
  <c r="AH523" i="2"/>
  <c r="AG523" i="2"/>
  <c r="AF523" i="2"/>
  <c r="AE523" i="2"/>
  <c r="AD523" i="2"/>
  <c r="AC523" i="2"/>
  <c r="AB523" i="2"/>
  <c r="AA523" i="2"/>
  <c r="Z523" i="2"/>
  <c r="Y523" i="2"/>
  <c r="X523" i="2"/>
  <c r="W523" i="2"/>
  <c r="V523" i="2"/>
  <c r="U523" i="2"/>
  <c r="T523" i="2"/>
  <c r="AJ522" i="2"/>
  <c r="AI522" i="2"/>
  <c r="AH522" i="2"/>
  <c r="AG522" i="2"/>
  <c r="AF522" i="2"/>
  <c r="AE522" i="2"/>
  <c r="AD522" i="2"/>
  <c r="AC522" i="2"/>
  <c r="AB522" i="2"/>
  <c r="AA522" i="2"/>
  <c r="Z522" i="2"/>
  <c r="Y522" i="2"/>
  <c r="X522" i="2"/>
  <c r="W522" i="2"/>
  <c r="V522" i="2"/>
  <c r="U522" i="2"/>
  <c r="T522" i="2"/>
  <c r="AJ521" i="2"/>
  <c r="AI521" i="2"/>
  <c r="AH521" i="2"/>
  <c r="AG521" i="2"/>
  <c r="AF521" i="2"/>
  <c r="AE521" i="2"/>
  <c r="AD521" i="2"/>
  <c r="AC521" i="2"/>
  <c r="AB521" i="2"/>
  <c r="AA521" i="2"/>
  <c r="Z521" i="2"/>
  <c r="Y521" i="2"/>
  <c r="X521" i="2"/>
  <c r="W521" i="2"/>
  <c r="V521" i="2"/>
  <c r="U521" i="2"/>
  <c r="T521" i="2"/>
  <c r="AJ520" i="2"/>
  <c r="AI520" i="2"/>
  <c r="AH520" i="2"/>
  <c r="AG520" i="2"/>
  <c r="AF520" i="2"/>
  <c r="AE520" i="2"/>
  <c r="AD520" i="2"/>
  <c r="AC520" i="2"/>
  <c r="AB520" i="2"/>
  <c r="AA520" i="2"/>
  <c r="Z520" i="2"/>
  <c r="Y520" i="2"/>
  <c r="X520" i="2"/>
  <c r="W520" i="2"/>
  <c r="V520" i="2"/>
  <c r="U520" i="2"/>
  <c r="T520" i="2"/>
  <c r="AJ519" i="2"/>
  <c r="AI519" i="2"/>
  <c r="AH519" i="2"/>
  <c r="AG519" i="2"/>
  <c r="AF519" i="2"/>
  <c r="AE519" i="2"/>
  <c r="AD519" i="2"/>
  <c r="AC519" i="2"/>
  <c r="AB519" i="2"/>
  <c r="AA519" i="2"/>
  <c r="Z519" i="2"/>
  <c r="Y519" i="2"/>
  <c r="X519" i="2"/>
  <c r="W519" i="2"/>
  <c r="V519" i="2"/>
  <c r="U519" i="2"/>
  <c r="T519" i="2"/>
  <c r="AJ518" i="2"/>
  <c r="AI518" i="2"/>
  <c r="AH518" i="2"/>
  <c r="AG518" i="2"/>
  <c r="AF518" i="2"/>
  <c r="AE518" i="2"/>
  <c r="AD518" i="2"/>
  <c r="AC518" i="2"/>
  <c r="AB518" i="2"/>
  <c r="AA518" i="2"/>
  <c r="Z518" i="2"/>
  <c r="Y518" i="2"/>
  <c r="X518" i="2"/>
  <c r="W518" i="2"/>
  <c r="V518" i="2"/>
  <c r="U518" i="2"/>
  <c r="T518" i="2"/>
  <c r="AJ517" i="2"/>
  <c r="AI517" i="2"/>
  <c r="AH517" i="2"/>
  <c r="AG517" i="2"/>
  <c r="AF517" i="2"/>
  <c r="AE517" i="2"/>
  <c r="AD517" i="2"/>
  <c r="AC517" i="2"/>
  <c r="AB517" i="2"/>
  <c r="AA517" i="2"/>
  <c r="Z517" i="2"/>
  <c r="Y517" i="2"/>
  <c r="X517" i="2"/>
  <c r="W517" i="2"/>
  <c r="V517" i="2"/>
  <c r="U517" i="2"/>
  <c r="T517" i="2"/>
  <c r="AJ516" i="2"/>
  <c r="AI516" i="2"/>
  <c r="AH516" i="2"/>
  <c r="AG516" i="2"/>
  <c r="AF516" i="2"/>
  <c r="AE516" i="2"/>
  <c r="AD516" i="2"/>
  <c r="AC516" i="2"/>
  <c r="AB516" i="2"/>
  <c r="AA516" i="2"/>
  <c r="Z516" i="2"/>
  <c r="Y516" i="2"/>
  <c r="X516" i="2"/>
  <c r="W516" i="2"/>
  <c r="V516" i="2"/>
  <c r="U516" i="2"/>
  <c r="T516" i="2"/>
  <c r="AJ515" i="2"/>
  <c r="AI515" i="2"/>
  <c r="AH515" i="2"/>
  <c r="AG515" i="2"/>
  <c r="AF515" i="2"/>
  <c r="AE515" i="2"/>
  <c r="AD515" i="2"/>
  <c r="AC515" i="2"/>
  <c r="AB515" i="2"/>
  <c r="AA515" i="2"/>
  <c r="Z515" i="2"/>
  <c r="Y515" i="2"/>
  <c r="X515" i="2"/>
  <c r="W515" i="2"/>
  <c r="V515" i="2"/>
  <c r="U515" i="2"/>
  <c r="T515" i="2"/>
  <c r="AJ514" i="2"/>
  <c r="AI514" i="2"/>
  <c r="AH514" i="2"/>
  <c r="AG514" i="2"/>
  <c r="AF514" i="2"/>
  <c r="AE514" i="2"/>
  <c r="AD514" i="2"/>
  <c r="AC514" i="2"/>
  <c r="AB514" i="2"/>
  <c r="AA514" i="2"/>
  <c r="Z514" i="2"/>
  <c r="Y514" i="2"/>
  <c r="X514" i="2"/>
  <c r="W514" i="2"/>
  <c r="V514" i="2"/>
  <c r="U514" i="2"/>
  <c r="T514" i="2"/>
  <c r="AJ513" i="2"/>
  <c r="AI513" i="2"/>
  <c r="AH513" i="2"/>
  <c r="AG513" i="2"/>
  <c r="AF513" i="2"/>
  <c r="AE513" i="2"/>
  <c r="AD513" i="2"/>
  <c r="AC513" i="2"/>
  <c r="AB513" i="2"/>
  <c r="AA513" i="2"/>
  <c r="Z513" i="2"/>
  <c r="Y513" i="2"/>
  <c r="X513" i="2"/>
  <c r="W513" i="2"/>
  <c r="V513" i="2"/>
  <c r="U513" i="2"/>
  <c r="T513" i="2"/>
  <c r="AJ512" i="2"/>
  <c r="AI512" i="2"/>
  <c r="AH512" i="2"/>
  <c r="AG512" i="2"/>
  <c r="AF512" i="2"/>
  <c r="AE512" i="2"/>
  <c r="AD512" i="2"/>
  <c r="AC512" i="2"/>
  <c r="AB512" i="2"/>
  <c r="AA512" i="2"/>
  <c r="Z512" i="2"/>
  <c r="Y512" i="2"/>
  <c r="X512" i="2"/>
  <c r="W512" i="2"/>
  <c r="V512" i="2"/>
  <c r="U512" i="2"/>
  <c r="T512" i="2"/>
  <c r="AJ511" i="2"/>
  <c r="AI511" i="2"/>
  <c r="AH511" i="2"/>
  <c r="AG511" i="2"/>
  <c r="AF511" i="2"/>
  <c r="AE511" i="2"/>
  <c r="AD511" i="2"/>
  <c r="AC511" i="2"/>
  <c r="AB511" i="2"/>
  <c r="AA511" i="2"/>
  <c r="Z511" i="2"/>
  <c r="Y511" i="2"/>
  <c r="X511" i="2"/>
  <c r="W511" i="2"/>
  <c r="V511" i="2"/>
  <c r="U511" i="2"/>
  <c r="T511" i="2"/>
  <c r="AJ510" i="2"/>
  <c r="AI510" i="2"/>
  <c r="AH510" i="2"/>
  <c r="AG510" i="2"/>
  <c r="AF510" i="2"/>
  <c r="AE510" i="2"/>
  <c r="AD510" i="2"/>
  <c r="AC510" i="2"/>
  <c r="AB510" i="2"/>
  <c r="AA510" i="2"/>
  <c r="Z510" i="2"/>
  <c r="Y510" i="2"/>
  <c r="X510" i="2"/>
  <c r="W510" i="2"/>
  <c r="V510" i="2"/>
  <c r="U510" i="2"/>
  <c r="T510" i="2"/>
  <c r="AJ509" i="2"/>
  <c r="AI509" i="2"/>
  <c r="AH509" i="2"/>
  <c r="AG509" i="2"/>
  <c r="AF509" i="2"/>
  <c r="AE509" i="2"/>
  <c r="AD509" i="2"/>
  <c r="AC509" i="2"/>
  <c r="AB509" i="2"/>
  <c r="AA509" i="2"/>
  <c r="Z509" i="2"/>
  <c r="Y509" i="2"/>
  <c r="X509" i="2"/>
  <c r="W509" i="2"/>
  <c r="V509" i="2"/>
  <c r="U509" i="2"/>
  <c r="T509" i="2"/>
  <c r="AJ508" i="2"/>
  <c r="AI508" i="2"/>
  <c r="AH508" i="2"/>
  <c r="AG508" i="2"/>
  <c r="AF508" i="2"/>
  <c r="AE508" i="2"/>
  <c r="AD508" i="2"/>
  <c r="AC508" i="2"/>
  <c r="AB508" i="2"/>
  <c r="AA508" i="2"/>
  <c r="Z508" i="2"/>
  <c r="Y508" i="2"/>
  <c r="X508" i="2"/>
  <c r="W508" i="2"/>
  <c r="V508" i="2"/>
  <c r="U508" i="2"/>
  <c r="T508" i="2"/>
  <c r="AJ507" i="2"/>
  <c r="AI507" i="2"/>
  <c r="AH507" i="2"/>
  <c r="AG507" i="2"/>
  <c r="AF507" i="2"/>
  <c r="AE507" i="2"/>
  <c r="AD507" i="2"/>
  <c r="AC507" i="2"/>
  <c r="AB507" i="2"/>
  <c r="AA507" i="2"/>
  <c r="Z507" i="2"/>
  <c r="Y507" i="2"/>
  <c r="X507" i="2"/>
  <c r="W507" i="2"/>
  <c r="V507" i="2"/>
  <c r="U507" i="2"/>
  <c r="T507" i="2"/>
  <c r="AJ506" i="2"/>
  <c r="AI506" i="2"/>
  <c r="AH506" i="2"/>
  <c r="AG506" i="2"/>
  <c r="AF506" i="2"/>
  <c r="AE506" i="2"/>
  <c r="AD506" i="2"/>
  <c r="AC506" i="2"/>
  <c r="AB506" i="2"/>
  <c r="AA506" i="2"/>
  <c r="Z506" i="2"/>
  <c r="Y506" i="2"/>
  <c r="X506" i="2"/>
  <c r="W506" i="2"/>
  <c r="V506" i="2"/>
  <c r="U506" i="2"/>
  <c r="T506" i="2"/>
  <c r="AJ505" i="2"/>
  <c r="AI505" i="2"/>
  <c r="AH505" i="2"/>
  <c r="AG505" i="2"/>
  <c r="AF505" i="2"/>
  <c r="AE505" i="2"/>
  <c r="AD505" i="2"/>
  <c r="AC505" i="2"/>
  <c r="AB505" i="2"/>
  <c r="AA505" i="2"/>
  <c r="Z505" i="2"/>
  <c r="Y505" i="2"/>
  <c r="X505" i="2"/>
  <c r="W505" i="2"/>
  <c r="V505" i="2"/>
  <c r="U505" i="2"/>
  <c r="T505" i="2"/>
  <c r="AJ504" i="2"/>
  <c r="AI504" i="2"/>
  <c r="AH504" i="2"/>
  <c r="AG504" i="2"/>
  <c r="AF504" i="2"/>
  <c r="AE504" i="2"/>
  <c r="AD504" i="2"/>
  <c r="AC504" i="2"/>
  <c r="AB504" i="2"/>
  <c r="AA504" i="2"/>
  <c r="Z504" i="2"/>
  <c r="Y504" i="2"/>
  <c r="X504" i="2"/>
  <c r="W504" i="2"/>
  <c r="V504" i="2"/>
  <c r="U504" i="2"/>
  <c r="T504" i="2"/>
  <c r="AJ503" i="2"/>
  <c r="AI503" i="2"/>
  <c r="AH503" i="2"/>
  <c r="AG503" i="2"/>
  <c r="AF503" i="2"/>
  <c r="AE503" i="2"/>
  <c r="AD503" i="2"/>
  <c r="AC503" i="2"/>
  <c r="AB503" i="2"/>
  <c r="AA503" i="2"/>
  <c r="Z503" i="2"/>
  <c r="Y503" i="2"/>
  <c r="X503" i="2"/>
  <c r="W503" i="2"/>
  <c r="V503" i="2"/>
  <c r="U503" i="2"/>
  <c r="T503" i="2"/>
  <c r="AJ502" i="2"/>
  <c r="AI502" i="2"/>
  <c r="AH502" i="2"/>
  <c r="AG502" i="2"/>
  <c r="AF502" i="2"/>
  <c r="AE502" i="2"/>
  <c r="AD502" i="2"/>
  <c r="AC502" i="2"/>
  <c r="AB502" i="2"/>
  <c r="AA502" i="2"/>
  <c r="Z502" i="2"/>
  <c r="Y502" i="2"/>
  <c r="X502" i="2"/>
  <c r="W502" i="2"/>
  <c r="V502" i="2"/>
  <c r="U502" i="2"/>
  <c r="T502" i="2"/>
  <c r="AJ501" i="2"/>
  <c r="AI501" i="2"/>
  <c r="AH501" i="2"/>
  <c r="AG501" i="2"/>
  <c r="AF501" i="2"/>
  <c r="AE501" i="2"/>
  <c r="AD501" i="2"/>
  <c r="AC501" i="2"/>
  <c r="AB501" i="2"/>
  <c r="AA501" i="2"/>
  <c r="Z501" i="2"/>
  <c r="Y501" i="2"/>
  <c r="X501" i="2"/>
  <c r="W501" i="2"/>
  <c r="V501" i="2"/>
  <c r="U501" i="2"/>
  <c r="T501" i="2"/>
  <c r="AJ500" i="2"/>
  <c r="AI500" i="2"/>
  <c r="AH500" i="2"/>
  <c r="AG500" i="2"/>
  <c r="AF500" i="2"/>
  <c r="AE500" i="2"/>
  <c r="AD500" i="2"/>
  <c r="AC500" i="2"/>
  <c r="AB500" i="2"/>
  <c r="AA500" i="2"/>
  <c r="Z500" i="2"/>
  <c r="Y500" i="2"/>
  <c r="X500" i="2"/>
  <c r="W500" i="2"/>
  <c r="V500" i="2"/>
  <c r="U500" i="2"/>
  <c r="T500" i="2"/>
  <c r="AJ499" i="2"/>
  <c r="AI499" i="2"/>
  <c r="AH499" i="2"/>
  <c r="AG499" i="2"/>
  <c r="AF499" i="2"/>
  <c r="AE499" i="2"/>
  <c r="AD499" i="2"/>
  <c r="AC499" i="2"/>
  <c r="AB499" i="2"/>
  <c r="AA499" i="2"/>
  <c r="Z499" i="2"/>
  <c r="Y499" i="2"/>
  <c r="X499" i="2"/>
  <c r="W499" i="2"/>
  <c r="V499" i="2"/>
  <c r="U499" i="2"/>
  <c r="T499" i="2"/>
  <c r="AJ498" i="2"/>
  <c r="AI498" i="2"/>
  <c r="AH498" i="2"/>
  <c r="AG498" i="2"/>
  <c r="AF498" i="2"/>
  <c r="AE498" i="2"/>
  <c r="AD498" i="2"/>
  <c r="AC498" i="2"/>
  <c r="AB498" i="2"/>
  <c r="AA498" i="2"/>
  <c r="Z498" i="2"/>
  <c r="Y498" i="2"/>
  <c r="X498" i="2"/>
  <c r="W498" i="2"/>
  <c r="V498" i="2"/>
  <c r="U498" i="2"/>
  <c r="T498" i="2"/>
  <c r="AJ497" i="2"/>
  <c r="AI497" i="2"/>
  <c r="AH497" i="2"/>
  <c r="AG497" i="2"/>
  <c r="AF497" i="2"/>
  <c r="AE497" i="2"/>
  <c r="AD497" i="2"/>
  <c r="AC497" i="2"/>
  <c r="AB497" i="2"/>
  <c r="AA497" i="2"/>
  <c r="Z497" i="2"/>
  <c r="Y497" i="2"/>
  <c r="X497" i="2"/>
  <c r="W497" i="2"/>
  <c r="V497" i="2"/>
  <c r="U497" i="2"/>
  <c r="T497" i="2"/>
  <c r="AJ496" i="2"/>
  <c r="AI496" i="2"/>
  <c r="AH496" i="2"/>
  <c r="AG496" i="2"/>
  <c r="AF496" i="2"/>
  <c r="AE496" i="2"/>
  <c r="AD496" i="2"/>
  <c r="AC496" i="2"/>
  <c r="AB496" i="2"/>
  <c r="AA496" i="2"/>
  <c r="Z496" i="2"/>
  <c r="Y496" i="2"/>
  <c r="X496" i="2"/>
  <c r="W496" i="2"/>
  <c r="V496" i="2"/>
  <c r="U496" i="2"/>
  <c r="T496" i="2"/>
  <c r="AJ495" i="2"/>
  <c r="AI495" i="2"/>
  <c r="AH495" i="2"/>
  <c r="AG495" i="2"/>
  <c r="AF495" i="2"/>
  <c r="AE495" i="2"/>
  <c r="AD495" i="2"/>
  <c r="AC495" i="2"/>
  <c r="AB495" i="2"/>
  <c r="AA495" i="2"/>
  <c r="Z495" i="2"/>
  <c r="Y495" i="2"/>
  <c r="X495" i="2"/>
  <c r="W495" i="2"/>
  <c r="V495" i="2"/>
  <c r="U495" i="2"/>
  <c r="T495" i="2"/>
  <c r="AJ494" i="2"/>
  <c r="AI494" i="2"/>
  <c r="AH494" i="2"/>
  <c r="AG494" i="2"/>
  <c r="AF494" i="2"/>
  <c r="AE494" i="2"/>
  <c r="AD494" i="2"/>
  <c r="AC494" i="2"/>
  <c r="AB494" i="2"/>
  <c r="AA494" i="2"/>
  <c r="Z494" i="2"/>
  <c r="Y494" i="2"/>
  <c r="X494" i="2"/>
  <c r="W494" i="2"/>
  <c r="V494" i="2"/>
  <c r="U494" i="2"/>
  <c r="T494" i="2"/>
  <c r="AJ493" i="2"/>
  <c r="AI493" i="2"/>
  <c r="AH493" i="2"/>
  <c r="AG493" i="2"/>
  <c r="AF493" i="2"/>
  <c r="AE493" i="2"/>
  <c r="AD493" i="2"/>
  <c r="AC493" i="2"/>
  <c r="AB493" i="2"/>
  <c r="AA493" i="2"/>
  <c r="Z493" i="2"/>
  <c r="Y493" i="2"/>
  <c r="X493" i="2"/>
  <c r="W493" i="2"/>
  <c r="V493" i="2"/>
  <c r="U493" i="2"/>
  <c r="T493" i="2"/>
  <c r="AJ492" i="2"/>
  <c r="AI492" i="2"/>
  <c r="AH492" i="2"/>
  <c r="AG492" i="2"/>
  <c r="AF492" i="2"/>
  <c r="AE492" i="2"/>
  <c r="AD492" i="2"/>
  <c r="AC492" i="2"/>
  <c r="AB492" i="2"/>
  <c r="AA492" i="2"/>
  <c r="Z492" i="2"/>
  <c r="Y492" i="2"/>
  <c r="X492" i="2"/>
  <c r="W492" i="2"/>
  <c r="V492" i="2"/>
  <c r="U492" i="2"/>
  <c r="T492" i="2"/>
  <c r="AJ491" i="2"/>
  <c r="AI491" i="2"/>
  <c r="AH491" i="2"/>
  <c r="AG491" i="2"/>
  <c r="AF491" i="2"/>
  <c r="AE491" i="2"/>
  <c r="AD491" i="2"/>
  <c r="AC491" i="2"/>
  <c r="AB491" i="2"/>
  <c r="AA491" i="2"/>
  <c r="Z491" i="2"/>
  <c r="Y491" i="2"/>
  <c r="X491" i="2"/>
  <c r="W491" i="2"/>
  <c r="V491" i="2"/>
  <c r="U491" i="2"/>
  <c r="T491" i="2"/>
  <c r="AJ490" i="2"/>
  <c r="AI490" i="2"/>
  <c r="AH490" i="2"/>
  <c r="AG490" i="2"/>
  <c r="AF490" i="2"/>
  <c r="AE490" i="2"/>
  <c r="AD490" i="2"/>
  <c r="AC490" i="2"/>
  <c r="AB490" i="2"/>
  <c r="AA490" i="2"/>
  <c r="Z490" i="2"/>
  <c r="Y490" i="2"/>
  <c r="X490" i="2"/>
  <c r="W490" i="2"/>
  <c r="V490" i="2"/>
  <c r="U490" i="2"/>
  <c r="T490" i="2"/>
  <c r="AJ489" i="2"/>
  <c r="AI489" i="2"/>
  <c r="AH489" i="2"/>
  <c r="AG489" i="2"/>
  <c r="AF489" i="2"/>
  <c r="AE489" i="2"/>
  <c r="AD489" i="2"/>
  <c r="AC489" i="2"/>
  <c r="AB489" i="2"/>
  <c r="AA489" i="2"/>
  <c r="Z489" i="2"/>
  <c r="Y489" i="2"/>
  <c r="X489" i="2"/>
  <c r="W489" i="2"/>
  <c r="V489" i="2"/>
  <c r="U489" i="2"/>
  <c r="T489" i="2"/>
  <c r="AJ488" i="2"/>
  <c r="AI488" i="2"/>
  <c r="AH488" i="2"/>
  <c r="AG488" i="2"/>
  <c r="AF488" i="2"/>
  <c r="AE488" i="2"/>
  <c r="AD488" i="2"/>
  <c r="AC488" i="2"/>
  <c r="AB488" i="2"/>
  <c r="AA488" i="2"/>
  <c r="Z488" i="2"/>
  <c r="Y488" i="2"/>
  <c r="X488" i="2"/>
  <c r="W488" i="2"/>
  <c r="V488" i="2"/>
  <c r="U488" i="2"/>
  <c r="T488" i="2"/>
  <c r="AJ487" i="2"/>
  <c r="AI487" i="2"/>
  <c r="AH487" i="2"/>
  <c r="AG487" i="2"/>
  <c r="AF487" i="2"/>
  <c r="AE487" i="2"/>
  <c r="AD487" i="2"/>
  <c r="AC487" i="2"/>
  <c r="AB487" i="2"/>
  <c r="AA487" i="2"/>
  <c r="Z487" i="2"/>
  <c r="Y487" i="2"/>
  <c r="X487" i="2"/>
  <c r="W487" i="2"/>
  <c r="V487" i="2"/>
  <c r="U487" i="2"/>
  <c r="T487" i="2"/>
  <c r="AJ486" i="2"/>
  <c r="AI486" i="2"/>
  <c r="AH486" i="2"/>
  <c r="AG486" i="2"/>
  <c r="AF486" i="2"/>
  <c r="AE486" i="2"/>
  <c r="AD486" i="2"/>
  <c r="AC486" i="2"/>
  <c r="AB486" i="2"/>
  <c r="AA486" i="2"/>
  <c r="Z486" i="2"/>
  <c r="Y486" i="2"/>
  <c r="X486" i="2"/>
  <c r="W486" i="2"/>
  <c r="V486" i="2"/>
  <c r="U486" i="2"/>
  <c r="T486" i="2"/>
  <c r="AJ485" i="2"/>
  <c r="AI485" i="2"/>
  <c r="AH485" i="2"/>
  <c r="AG485" i="2"/>
  <c r="AF485" i="2"/>
  <c r="AE485" i="2"/>
  <c r="AD485" i="2"/>
  <c r="AC485" i="2"/>
  <c r="AB485" i="2"/>
  <c r="AA485" i="2"/>
  <c r="Z485" i="2"/>
  <c r="Y485" i="2"/>
  <c r="X485" i="2"/>
  <c r="W485" i="2"/>
  <c r="V485" i="2"/>
  <c r="U485" i="2"/>
  <c r="T485" i="2"/>
  <c r="AJ484" i="2"/>
  <c r="AI484" i="2"/>
  <c r="AH484" i="2"/>
  <c r="AG484" i="2"/>
  <c r="AF484" i="2"/>
  <c r="AE484" i="2"/>
  <c r="AD484" i="2"/>
  <c r="AC484" i="2"/>
  <c r="AB484" i="2"/>
  <c r="AA484" i="2"/>
  <c r="Z484" i="2"/>
  <c r="Y484" i="2"/>
  <c r="X484" i="2"/>
  <c r="W484" i="2"/>
  <c r="V484" i="2"/>
  <c r="U484" i="2"/>
  <c r="T484" i="2"/>
  <c r="AJ483" i="2"/>
  <c r="AI483" i="2"/>
  <c r="AH483" i="2"/>
  <c r="AG483" i="2"/>
  <c r="AF483" i="2"/>
  <c r="AE483" i="2"/>
  <c r="AD483" i="2"/>
  <c r="AC483" i="2"/>
  <c r="AB483" i="2"/>
  <c r="AA483" i="2"/>
  <c r="Z483" i="2"/>
  <c r="Y483" i="2"/>
  <c r="X483" i="2"/>
  <c r="W483" i="2"/>
  <c r="V483" i="2"/>
  <c r="U483" i="2"/>
  <c r="T483" i="2"/>
  <c r="AJ482" i="2"/>
  <c r="AI482" i="2"/>
  <c r="AH482" i="2"/>
  <c r="AG482" i="2"/>
  <c r="AF482" i="2"/>
  <c r="AE482" i="2"/>
  <c r="AD482" i="2"/>
  <c r="AC482" i="2"/>
  <c r="AB482" i="2"/>
  <c r="AA482" i="2"/>
  <c r="Z482" i="2"/>
  <c r="Y482" i="2"/>
  <c r="X482" i="2"/>
  <c r="W482" i="2"/>
  <c r="V482" i="2"/>
  <c r="U482" i="2"/>
  <c r="T482" i="2"/>
  <c r="AJ481" i="2"/>
  <c r="AI481" i="2"/>
  <c r="AH481" i="2"/>
  <c r="AG481" i="2"/>
  <c r="AF481" i="2"/>
  <c r="AE481" i="2"/>
  <c r="AD481" i="2"/>
  <c r="AC481" i="2"/>
  <c r="AB481" i="2"/>
  <c r="AA481" i="2"/>
  <c r="Z481" i="2"/>
  <c r="Y481" i="2"/>
  <c r="X481" i="2"/>
  <c r="W481" i="2"/>
  <c r="V481" i="2"/>
  <c r="U481" i="2"/>
  <c r="T481" i="2"/>
  <c r="AJ480" i="2"/>
  <c r="AI480" i="2"/>
  <c r="AH480" i="2"/>
  <c r="AG480" i="2"/>
  <c r="AF480" i="2"/>
  <c r="AE480" i="2"/>
  <c r="AD480" i="2"/>
  <c r="AC480" i="2"/>
  <c r="AB480" i="2"/>
  <c r="AA480" i="2"/>
  <c r="Z480" i="2"/>
  <c r="Y480" i="2"/>
  <c r="X480" i="2"/>
  <c r="W480" i="2"/>
  <c r="V480" i="2"/>
  <c r="U480" i="2"/>
  <c r="T480" i="2"/>
  <c r="AJ479" i="2"/>
  <c r="AI479" i="2"/>
  <c r="AH479" i="2"/>
  <c r="AG479" i="2"/>
  <c r="AF479" i="2"/>
  <c r="AE479" i="2"/>
  <c r="AD479" i="2"/>
  <c r="AC479" i="2"/>
  <c r="AB479" i="2"/>
  <c r="AA479" i="2"/>
  <c r="Z479" i="2"/>
  <c r="Y479" i="2"/>
  <c r="X479" i="2"/>
  <c r="W479" i="2"/>
  <c r="V479" i="2"/>
  <c r="U479" i="2"/>
  <c r="T479" i="2"/>
  <c r="AJ478" i="2"/>
  <c r="AI478" i="2"/>
  <c r="AH478" i="2"/>
  <c r="AG478" i="2"/>
  <c r="AF478" i="2"/>
  <c r="AE478" i="2"/>
  <c r="AD478" i="2"/>
  <c r="AC478" i="2"/>
  <c r="AB478" i="2"/>
  <c r="AA478" i="2"/>
  <c r="Z478" i="2"/>
  <c r="Y478" i="2"/>
  <c r="X478" i="2"/>
  <c r="W478" i="2"/>
  <c r="V478" i="2"/>
  <c r="U478" i="2"/>
  <c r="T478" i="2"/>
  <c r="AJ477" i="2"/>
  <c r="AI477" i="2"/>
  <c r="AH477" i="2"/>
  <c r="AG477" i="2"/>
  <c r="AF477" i="2"/>
  <c r="AE477" i="2"/>
  <c r="AD477" i="2"/>
  <c r="AC477" i="2"/>
  <c r="AB477" i="2"/>
  <c r="AA477" i="2"/>
  <c r="Z477" i="2"/>
  <c r="Y477" i="2"/>
  <c r="X477" i="2"/>
  <c r="W477" i="2"/>
  <c r="V477" i="2"/>
  <c r="U477" i="2"/>
  <c r="T477" i="2"/>
  <c r="AJ476" i="2"/>
  <c r="AI476" i="2"/>
  <c r="AH476" i="2"/>
  <c r="AG476" i="2"/>
  <c r="AF476" i="2"/>
  <c r="AE476" i="2"/>
  <c r="AD476" i="2"/>
  <c r="AC476" i="2"/>
  <c r="AB476" i="2"/>
  <c r="AA476" i="2"/>
  <c r="Z476" i="2"/>
  <c r="Y476" i="2"/>
  <c r="X476" i="2"/>
  <c r="W476" i="2"/>
  <c r="V476" i="2"/>
  <c r="U476" i="2"/>
  <c r="T476" i="2"/>
  <c r="AJ475" i="2"/>
  <c r="AI475" i="2"/>
  <c r="AH475" i="2"/>
  <c r="AG475" i="2"/>
  <c r="AF475" i="2"/>
  <c r="AE475" i="2"/>
  <c r="AD475" i="2"/>
  <c r="AC475" i="2"/>
  <c r="AB475" i="2"/>
  <c r="AA475" i="2"/>
  <c r="Z475" i="2"/>
  <c r="Y475" i="2"/>
  <c r="X475" i="2"/>
  <c r="W475" i="2"/>
  <c r="V475" i="2"/>
  <c r="U475" i="2"/>
  <c r="T475" i="2"/>
  <c r="AJ474" i="2"/>
  <c r="AI474" i="2"/>
  <c r="AH474" i="2"/>
  <c r="AG474" i="2"/>
  <c r="AF474" i="2"/>
  <c r="AE474" i="2"/>
  <c r="AD474" i="2"/>
  <c r="AC474" i="2"/>
  <c r="AB474" i="2"/>
  <c r="AA474" i="2"/>
  <c r="Z474" i="2"/>
  <c r="Y474" i="2"/>
  <c r="X474" i="2"/>
  <c r="W474" i="2"/>
  <c r="V474" i="2"/>
  <c r="U474" i="2"/>
  <c r="T474" i="2"/>
  <c r="AJ473" i="2"/>
  <c r="AI473" i="2"/>
  <c r="AH473" i="2"/>
  <c r="AG473" i="2"/>
  <c r="AF473" i="2"/>
  <c r="AE473" i="2"/>
  <c r="AD473" i="2"/>
  <c r="AC473" i="2"/>
  <c r="AB473" i="2"/>
  <c r="AA473" i="2"/>
  <c r="Z473" i="2"/>
  <c r="Y473" i="2"/>
  <c r="X473" i="2"/>
  <c r="W473" i="2"/>
  <c r="V473" i="2"/>
  <c r="U473" i="2"/>
  <c r="T473" i="2"/>
  <c r="AJ472" i="2"/>
  <c r="AI472" i="2"/>
  <c r="AH472" i="2"/>
  <c r="AG472" i="2"/>
  <c r="AF472" i="2"/>
  <c r="AE472" i="2"/>
  <c r="AD472" i="2"/>
  <c r="AC472" i="2"/>
  <c r="AB472" i="2"/>
  <c r="AA472" i="2"/>
  <c r="Z472" i="2"/>
  <c r="Y472" i="2"/>
  <c r="X472" i="2"/>
  <c r="W472" i="2"/>
  <c r="V472" i="2"/>
  <c r="U472" i="2"/>
  <c r="T472" i="2"/>
  <c r="AJ471" i="2"/>
  <c r="AI471" i="2"/>
  <c r="AH471" i="2"/>
  <c r="AG471" i="2"/>
  <c r="AF471" i="2"/>
  <c r="AE471" i="2"/>
  <c r="AD471" i="2"/>
  <c r="AC471" i="2"/>
  <c r="AB471" i="2"/>
  <c r="AA471" i="2"/>
  <c r="Z471" i="2"/>
  <c r="Y471" i="2"/>
  <c r="X471" i="2"/>
  <c r="W471" i="2"/>
  <c r="V471" i="2"/>
  <c r="U471" i="2"/>
  <c r="T471" i="2"/>
  <c r="AJ470" i="2"/>
  <c r="AI470" i="2"/>
  <c r="AH470" i="2"/>
  <c r="AG470" i="2"/>
  <c r="AF470" i="2"/>
  <c r="AE470" i="2"/>
  <c r="AD470" i="2"/>
  <c r="AC470" i="2"/>
  <c r="AB470" i="2"/>
  <c r="AA470" i="2"/>
  <c r="Z470" i="2"/>
  <c r="Y470" i="2"/>
  <c r="X470" i="2"/>
  <c r="W470" i="2"/>
  <c r="V470" i="2"/>
  <c r="U470" i="2"/>
  <c r="T470" i="2"/>
  <c r="AJ469" i="2"/>
  <c r="AI469" i="2"/>
  <c r="AH469" i="2"/>
  <c r="AG469" i="2"/>
  <c r="AF469" i="2"/>
  <c r="AE469" i="2"/>
  <c r="AD469" i="2"/>
  <c r="AC469" i="2"/>
  <c r="AB469" i="2"/>
  <c r="AA469" i="2"/>
  <c r="Z469" i="2"/>
  <c r="Y469" i="2"/>
  <c r="X469" i="2"/>
  <c r="W469" i="2"/>
  <c r="V469" i="2"/>
  <c r="U469" i="2"/>
  <c r="T469" i="2"/>
  <c r="AJ468" i="2"/>
  <c r="AI468" i="2"/>
  <c r="AH468" i="2"/>
  <c r="AG468" i="2"/>
  <c r="AF468" i="2"/>
  <c r="AE468" i="2"/>
  <c r="AD468" i="2"/>
  <c r="AC468" i="2"/>
  <c r="AB468" i="2"/>
  <c r="AA468" i="2"/>
  <c r="Z468" i="2"/>
  <c r="Y468" i="2"/>
  <c r="X468" i="2"/>
  <c r="W468" i="2"/>
  <c r="V468" i="2"/>
  <c r="U468" i="2"/>
  <c r="T468" i="2"/>
  <c r="AJ467" i="2"/>
  <c r="AI467" i="2"/>
  <c r="AH467" i="2"/>
  <c r="AG467" i="2"/>
  <c r="AF467" i="2"/>
  <c r="AE467" i="2"/>
  <c r="AD467" i="2"/>
  <c r="AC467" i="2"/>
  <c r="AB467" i="2"/>
  <c r="AA467" i="2"/>
  <c r="Z467" i="2"/>
  <c r="Y467" i="2"/>
  <c r="X467" i="2"/>
  <c r="W467" i="2"/>
  <c r="V467" i="2"/>
  <c r="U467" i="2"/>
  <c r="T467" i="2"/>
  <c r="AJ466" i="2"/>
  <c r="AI466" i="2"/>
  <c r="AH466" i="2"/>
  <c r="AG466" i="2"/>
  <c r="AF466" i="2"/>
  <c r="AE466" i="2"/>
  <c r="AD466" i="2"/>
  <c r="AC466" i="2"/>
  <c r="AB466" i="2"/>
  <c r="AA466" i="2"/>
  <c r="Z466" i="2"/>
  <c r="Y466" i="2"/>
  <c r="X466" i="2"/>
  <c r="W466" i="2"/>
  <c r="V466" i="2"/>
  <c r="U466" i="2"/>
  <c r="T466" i="2"/>
  <c r="AJ465" i="2"/>
  <c r="AI465" i="2"/>
  <c r="AH465" i="2"/>
  <c r="AG465" i="2"/>
  <c r="AF465" i="2"/>
  <c r="AE465" i="2"/>
  <c r="AD465" i="2"/>
  <c r="AC465" i="2"/>
  <c r="AB465" i="2"/>
  <c r="AA465" i="2"/>
  <c r="Z465" i="2"/>
  <c r="Y465" i="2"/>
  <c r="X465" i="2"/>
  <c r="W465" i="2"/>
  <c r="V465" i="2"/>
  <c r="U465" i="2"/>
  <c r="T465" i="2"/>
  <c r="AJ464" i="2"/>
  <c r="AI464" i="2"/>
  <c r="AH464" i="2"/>
  <c r="AG464" i="2"/>
  <c r="AF464" i="2"/>
  <c r="AE464" i="2"/>
  <c r="AD464" i="2"/>
  <c r="AC464" i="2"/>
  <c r="AB464" i="2"/>
  <c r="AA464" i="2"/>
  <c r="Z464" i="2"/>
  <c r="Y464" i="2"/>
  <c r="X464" i="2"/>
  <c r="W464" i="2"/>
  <c r="V464" i="2"/>
  <c r="U464" i="2"/>
  <c r="T464" i="2"/>
  <c r="AJ463" i="2"/>
  <c r="AI463" i="2"/>
  <c r="AH463" i="2"/>
  <c r="AG463" i="2"/>
  <c r="AF463" i="2"/>
  <c r="AE463" i="2"/>
  <c r="AD463" i="2"/>
  <c r="AC463" i="2"/>
  <c r="AB463" i="2"/>
  <c r="AA463" i="2"/>
  <c r="Z463" i="2"/>
  <c r="Y463" i="2"/>
  <c r="X463" i="2"/>
  <c r="W463" i="2"/>
  <c r="V463" i="2"/>
  <c r="U463" i="2"/>
  <c r="T463" i="2"/>
  <c r="AJ462" i="2"/>
  <c r="AI462" i="2"/>
  <c r="AH462" i="2"/>
  <c r="AG462" i="2"/>
  <c r="AF462" i="2"/>
  <c r="AE462" i="2"/>
  <c r="AD462" i="2"/>
  <c r="AC462" i="2"/>
  <c r="AB462" i="2"/>
  <c r="AA462" i="2"/>
  <c r="Z462" i="2"/>
  <c r="Y462" i="2"/>
  <c r="X462" i="2"/>
  <c r="W462" i="2"/>
  <c r="V462" i="2"/>
  <c r="U462" i="2"/>
  <c r="T462" i="2"/>
  <c r="AJ461" i="2"/>
  <c r="AI461" i="2"/>
  <c r="AH461" i="2"/>
  <c r="AG461" i="2"/>
  <c r="AF461" i="2"/>
  <c r="AE461" i="2"/>
  <c r="AD461" i="2"/>
  <c r="AC461" i="2"/>
  <c r="AB461" i="2"/>
  <c r="AA461" i="2"/>
  <c r="Z461" i="2"/>
  <c r="Y461" i="2"/>
  <c r="X461" i="2"/>
  <c r="W461" i="2"/>
  <c r="V461" i="2"/>
  <c r="U461" i="2"/>
  <c r="T461" i="2"/>
  <c r="AJ460" i="2"/>
  <c r="AI460" i="2"/>
  <c r="AH460" i="2"/>
  <c r="AG460" i="2"/>
  <c r="AF460" i="2"/>
  <c r="AE460" i="2"/>
  <c r="AD460" i="2"/>
  <c r="AC460" i="2"/>
  <c r="AB460" i="2"/>
  <c r="AA460" i="2"/>
  <c r="Z460" i="2"/>
  <c r="Y460" i="2"/>
  <c r="X460" i="2"/>
  <c r="W460" i="2"/>
  <c r="V460" i="2"/>
  <c r="U460" i="2"/>
  <c r="T460" i="2"/>
  <c r="AJ459" i="2"/>
  <c r="AI459" i="2"/>
  <c r="AH459" i="2"/>
  <c r="AG459" i="2"/>
  <c r="AF459" i="2"/>
  <c r="AE459" i="2"/>
  <c r="AD459" i="2"/>
  <c r="AC459" i="2"/>
  <c r="AB459" i="2"/>
  <c r="AA459" i="2"/>
  <c r="Z459" i="2"/>
  <c r="Y459" i="2"/>
  <c r="X459" i="2"/>
  <c r="W459" i="2"/>
  <c r="V459" i="2"/>
  <c r="U459" i="2"/>
  <c r="T459" i="2"/>
  <c r="AJ458" i="2"/>
  <c r="AI458" i="2"/>
  <c r="AH458" i="2"/>
  <c r="AG458" i="2"/>
  <c r="AF458" i="2"/>
  <c r="AE458" i="2"/>
  <c r="AD458" i="2"/>
  <c r="AC458" i="2"/>
  <c r="AB458" i="2"/>
  <c r="AA458" i="2"/>
  <c r="Z458" i="2"/>
  <c r="Y458" i="2"/>
  <c r="X458" i="2"/>
  <c r="W458" i="2"/>
  <c r="V458" i="2"/>
  <c r="U458" i="2"/>
  <c r="T458" i="2"/>
  <c r="AJ457" i="2"/>
  <c r="AI457" i="2"/>
  <c r="AH457" i="2"/>
  <c r="AG457" i="2"/>
  <c r="AF457" i="2"/>
  <c r="AE457" i="2"/>
  <c r="AD457" i="2"/>
  <c r="AC457" i="2"/>
  <c r="AB457" i="2"/>
  <c r="AA457" i="2"/>
  <c r="Z457" i="2"/>
  <c r="Y457" i="2"/>
  <c r="X457" i="2"/>
  <c r="W457" i="2"/>
  <c r="V457" i="2"/>
  <c r="U457" i="2"/>
  <c r="T457" i="2"/>
  <c r="AJ456" i="2"/>
  <c r="AI456" i="2"/>
  <c r="AH456" i="2"/>
  <c r="AG456" i="2"/>
  <c r="AF456" i="2"/>
  <c r="AE456" i="2"/>
  <c r="AD456" i="2"/>
  <c r="AC456" i="2"/>
  <c r="AB456" i="2"/>
  <c r="AA456" i="2"/>
  <c r="Z456" i="2"/>
  <c r="Y456" i="2"/>
  <c r="X456" i="2"/>
  <c r="W456" i="2"/>
  <c r="V456" i="2"/>
  <c r="U456" i="2"/>
  <c r="T456" i="2"/>
  <c r="AJ455" i="2"/>
  <c r="AI455" i="2"/>
  <c r="AH455" i="2"/>
  <c r="AG455" i="2"/>
  <c r="AF455" i="2"/>
  <c r="AE455" i="2"/>
  <c r="AD455" i="2"/>
  <c r="AC455" i="2"/>
  <c r="AB455" i="2"/>
  <c r="AA455" i="2"/>
  <c r="Z455" i="2"/>
  <c r="Y455" i="2"/>
  <c r="X455" i="2"/>
  <c r="W455" i="2"/>
  <c r="V455" i="2"/>
  <c r="U455" i="2"/>
  <c r="T455" i="2"/>
  <c r="AJ454" i="2"/>
  <c r="AI454" i="2"/>
  <c r="AH454" i="2"/>
  <c r="AG454" i="2"/>
  <c r="AF454" i="2"/>
  <c r="AE454" i="2"/>
  <c r="AD454" i="2"/>
  <c r="AC454" i="2"/>
  <c r="AB454" i="2"/>
  <c r="AA454" i="2"/>
  <c r="Z454" i="2"/>
  <c r="Y454" i="2"/>
  <c r="X454" i="2"/>
  <c r="W454" i="2"/>
  <c r="V454" i="2"/>
  <c r="U454" i="2"/>
  <c r="T454" i="2"/>
  <c r="AJ453" i="2"/>
  <c r="AI453" i="2"/>
  <c r="AH453" i="2"/>
  <c r="AG453" i="2"/>
  <c r="AF453" i="2"/>
  <c r="AE453" i="2"/>
  <c r="AD453" i="2"/>
  <c r="AC453" i="2"/>
  <c r="AB453" i="2"/>
  <c r="AA453" i="2"/>
  <c r="Z453" i="2"/>
  <c r="Y453" i="2"/>
  <c r="X453" i="2"/>
  <c r="W453" i="2"/>
  <c r="V453" i="2"/>
  <c r="U453" i="2"/>
  <c r="T453" i="2"/>
  <c r="AJ452" i="2"/>
  <c r="AI452" i="2"/>
  <c r="AH452" i="2"/>
  <c r="AG452" i="2"/>
  <c r="AF452" i="2"/>
  <c r="AE452" i="2"/>
  <c r="AD452" i="2"/>
  <c r="AC452" i="2"/>
  <c r="AB452" i="2"/>
  <c r="AA452" i="2"/>
  <c r="Z452" i="2"/>
  <c r="Y452" i="2"/>
  <c r="X452" i="2"/>
  <c r="W452" i="2"/>
  <c r="V452" i="2"/>
  <c r="U452" i="2"/>
  <c r="T452" i="2"/>
  <c r="AJ451" i="2"/>
  <c r="AI451" i="2"/>
  <c r="AH451" i="2"/>
  <c r="AG451" i="2"/>
  <c r="AF451" i="2"/>
  <c r="AE451" i="2"/>
  <c r="AD451" i="2"/>
  <c r="AC451" i="2"/>
  <c r="AB451" i="2"/>
  <c r="AA451" i="2"/>
  <c r="Z451" i="2"/>
  <c r="Y451" i="2"/>
  <c r="X451" i="2"/>
  <c r="W451" i="2"/>
  <c r="V451" i="2"/>
  <c r="U451" i="2"/>
  <c r="T451" i="2"/>
  <c r="AJ450" i="2"/>
  <c r="AI450" i="2"/>
  <c r="AH450" i="2"/>
  <c r="AG450" i="2"/>
  <c r="AF450" i="2"/>
  <c r="AE450" i="2"/>
  <c r="AD450" i="2"/>
  <c r="AC450" i="2"/>
  <c r="AB450" i="2"/>
  <c r="AA450" i="2"/>
  <c r="Z450" i="2"/>
  <c r="Y450" i="2"/>
  <c r="X450" i="2"/>
  <c r="W450" i="2"/>
  <c r="V450" i="2"/>
  <c r="U450" i="2"/>
  <c r="T450" i="2"/>
  <c r="AJ449" i="2"/>
  <c r="AI449" i="2"/>
  <c r="AH449" i="2"/>
  <c r="AG449" i="2"/>
  <c r="AF449" i="2"/>
  <c r="AE449" i="2"/>
  <c r="AD449" i="2"/>
  <c r="AC449" i="2"/>
  <c r="AB449" i="2"/>
  <c r="AA449" i="2"/>
  <c r="Z449" i="2"/>
  <c r="Y449" i="2"/>
  <c r="X449" i="2"/>
  <c r="W449" i="2"/>
  <c r="V449" i="2"/>
  <c r="U449" i="2"/>
  <c r="T449" i="2"/>
  <c r="AJ448" i="2"/>
  <c r="AI448" i="2"/>
  <c r="AH448" i="2"/>
  <c r="AG448" i="2"/>
  <c r="AF448" i="2"/>
  <c r="AE448" i="2"/>
  <c r="AD448" i="2"/>
  <c r="AC448" i="2"/>
  <c r="AB448" i="2"/>
  <c r="AA448" i="2"/>
  <c r="Z448" i="2"/>
  <c r="Y448" i="2"/>
  <c r="X448" i="2"/>
  <c r="W448" i="2"/>
  <c r="V448" i="2"/>
  <c r="U448" i="2"/>
  <c r="T448" i="2"/>
  <c r="AJ447" i="2"/>
  <c r="AI447" i="2"/>
  <c r="AH447" i="2"/>
  <c r="AG447" i="2"/>
  <c r="AF447" i="2"/>
  <c r="AE447" i="2"/>
  <c r="AD447" i="2"/>
  <c r="AC447" i="2"/>
  <c r="AB447" i="2"/>
  <c r="AA447" i="2"/>
  <c r="Z447" i="2"/>
  <c r="Y447" i="2"/>
  <c r="X447" i="2"/>
  <c r="W447" i="2"/>
  <c r="V447" i="2"/>
  <c r="U447" i="2"/>
  <c r="T447" i="2"/>
  <c r="AJ446" i="2"/>
  <c r="AI446" i="2"/>
  <c r="AH446" i="2"/>
  <c r="AG446" i="2"/>
  <c r="AF446" i="2"/>
  <c r="AE446" i="2"/>
  <c r="AD446" i="2"/>
  <c r="AC446" i="2"/>
  <c r="AB446" i="2"/>
  <c r="AA446" i="2"/>
  <c r="Z446" i="2"/>
  <c r="Y446" i="2"/>
  <c r="X446" i="2"/>
  <c r="W446" i="2"/>
  <c r="V446" i="2"/>
  <c r="U446" i="2"/>
  <c r="T446" i="2"/>
  <c r="AJ445" i="2"/>
  <c r="AI445" i="2"/>
  <c r="AH445" i="2"/>
  <c r="AG445" i="2"/>
  <c r="AF445" i="2"/>
  <c r="AE445" i="2"/>
  <c r="AD445" i="2"/>
  <c r="AC445" i="2"/>
  <c r="AB445" i="2"/>
  <c r="AA445" i="2"/>
  <c r="Z445" i="2"/>
  <c r="Y445" i="2"/>
  <c r="X445" i="2"/>
  <c r="W445" i="2"/>
  <c r="V445" i="2"/>
  <c r="U445" i="2"/>
  <c r="T445" i="2"/>
  <c r="AJ444" i="2"/>
  <c r="AI444" i="2"/>
  <c r="AH444" i="2"/>
  <c r="AG444" i="2"/>
  <c r="AF444" i="2"/>
  <c r="AE444" i="2"/>
  <c r="AD444" i="2"/>
  <c r="AC444" i="2"/>
  <c r="AB444" i="2"/>
  <c r="AA444" i="2"/>
  <c r="Z444" i="2"/>
  <c r="Y444" i="2"/>
  <c r="X444" i="2"/>
  <c r="W444" i="2"/>
  <c r="V444" i="2"/>
  <c r="U444" i="2"/>
  <c r="T444" i="2"/>
  <c r="AJ443" i="2"/>
  <c r="AI443" i="2"/>
  <c r="AH443" i="2"/>
  <c r="AG443" i="2"/>
  <c r="AF443" i="2"/>
  <c r="AE443" i="2"/>
  <c r="AD443" i="2"/>
  <c r="AC443" i="2"/>
  <c r="AB443" i="2"/>
  <c r="AA443" i="2"/>
  <c r="Z443" i="2"/>
  <c r="Y443" i="2"/>
  <c r="X443" i="2"/>
  <c r="W443" i="2"/>
  <c r="V443" i="2"/>
  <c r="U443" i="2"/>
  <c r="T443" i="2"/>
  <c r="AJ442" i="2"/>
  <c r="AI442" i="2"/>
  <c r="AH442" i="2"/>
  <c r="AG442" i="2"/>
  <c r="AF442" i="2"/>
  <c r="AE442" i="2"/>
  <c r="AD442" i="2"/>
  <c r="AC442" i="2"/>
  <c r="AB442" i="2"/>
  <c r="AA442" i="2"/>
  <c r="Z442" i="2"/>
  <c r="Y442" i="2"/>
  <c r="X442" i="2"/>
  <c r="W442" i="2"/>
  <c r="V442" i="2"/>
  <c r="U442" i="2"/>
  <c r="T442" i="2"/>
  <c r="AJ441" i="2"/>
  <c r="AI441" i="2"/>
  <c r="AH441" i="2"/>
  <c r="AG441" i="2"/>
  <c r="AF441" i="2"/>
  <c r="AE441" i="2"/>
  <c r="AD441" i="2"/>
  <c r="AC441" i="2"/>
  <c r="AB441" i="2"/>
  <c r="AA441" i="2"/>
  <c r="Z441" i="2"/>
  <c r="Y441" i="2"/>
  <c r="X441" i="2"/>
  <c r="W441" i="2"/>
  <c r="V441" i="2"/>
  <c r="U441" i="2"/>
  <c r="T441" i="2"/>
  <c r="AJ440" i="2"/>
  <c r="AI440" i="2"/>
  <c r="AH440" i="2"/>
  <c r="AG440" i="2"/>
  <c r="AF440" i="2"/>
  <c r="AE440" i="2"/>
  <c r="AD440" i="2"/>
  <c r="AC440" i="2"/>
  <c r="AB440" i="2"/>
  <c r="AA440" i="2"/>
  <c r="Z440" i="2"/>
  <c r="Y440" i="2"/>
  <c r="X440" i="2"/>
  <c r="W440" i="2"/>
  <c r="V440" i="2"/>
  <c r="U440" i="2"/>
  <c r="T440" i="2"/>
  <c r="AJ439" i="2"/>
  <c r="AI439" i="2"/>
  <c r="AH439" i="2"/>
  <c r="AG439" i="2"/>
  <c r="AF439" i="2"/>
  <c r="AE439" i="2"/>
  <c r="AD439" i="2"/>
  <c r="AC439" i="2"/>
  <c r="AB439" i="2"/>
  <c r="AA439" i="2"/>
  <c r="Z439" i="2"/>
  <c r="Y439" i="2"/>
  <c r="X439" i="2"/>
  <c r="W439" i="2"/>
  <c r="V439" i="2"/>
  <c r="U439" i="2"/>
  <c r="T439" i="2"/>
  <c r="AJ438" i="2"/>
  <c r="AI438" i="2"/>
  <c r="AH438" i="2"/>
  <c r="AG438" i="2"/>
  <c r="AF438" i="2"/>
  <c r="AE438" i="2"/>
  <c r="AD438" i="2"/>
  <c r="AC438" i="2"/>
  <c r="AB438" i="2"/>
  <c r="AA438" i="2"/>
  <c r="Z438" i="2"/>
  <c r="Y438" i="2"/>
  <c r="X438" i="2"/>
  <c r="W438" i="2"/>
  <c r="V438" i="2"/>
  <c r="U438" i="2"/>
  <c r="T438" i="2"/>
  <c r="AJ437" i="2"/>
  <c r="AI437" i="2"/>
  <c r="AH437" i="2"/>
  <c r="AG437" i="2"/>
  <c r="AF437" i="2"/>
  <c r="AE437" i="2"/>
  <c r="AD437" i="2"/>
  <c r="AC437" i="2"/>
  <c r="AB437" i="2"/>
  <c r="AA437" i="2"/>
  <c r="Z437" i="2"/>
  <c r="Y437" i="2"/>
  <c r="X437" i="2"/>
  <c r="W437" i="2"/>
  <c r="V437" i="2"/>
  <c r="U437" i="2"/>
  <c r="T437" i="2"/>
  <c r="AJ436" i="2"/>
  <c r="AI436" i="2"/>
  <c r="AH436" i="2"/>
  <c r="AG436" i="2"/>
  <c r="AF436" i="2"/>
  <c r="AE436" i="2"/>
  <c r="AD436" i="2"/>
  <c r="AC436" i="2"/>
  <c r="AB436" i="2"/>
  <c r="AA436" i="2"/>
  <c r="Z436" i="2"/>
  <c r="Y436" i="2"/>
  <c r="X436" i="2"/>
  <c r="W436" i="2"/>
  <c r="V436" i="2"/>
  <c r="U436" i="2"/>
  <c r="T436" i="2"/>
  <c r="AJ435" i="2"/>
  <c r="AI435" i="2"/>
  <c r="AH435" i="2"/>
  <c r="AG435" i="2"/>
  <c r="AF435" i="2"/>
  <c r="AE435" i="2"/>
  <c r="AD435" i="2"/>
  <c r="AC435" i="2"/>
  <c r="AB435" i="2"/>
  <c r="AA435" i="2"/>
  <c r="Z435" i="2"/>
  <c r="Y435" i="2"/>
  <c r="X435" i="2"/>
  <c r="W435" i="2"/>
  <c r="V435" i="2"/>
  <c r="U435" i="2"/>
  <c r="T435" i="2"/>
  <c r="AJ434" i="2"/>
  <c r="AI434" i="2"/>
  <c r="AH434" i="2"/>
  <c r="AG434" i="2"/>
  <c r="AF434" i="2"/>
  <c r="AE434" i="2"/>
  <c r="AD434" i="2"/>
  <c r="AC434" i="2"/>
  <c r="AB434" i="2"/>
  <c r="AA434" i="2"/>
  <c r="Z434" i="2"/>
  <c r="Y434" i="2"/>
  <c r="X434" i="2"/>
  <c r="W434" i="2"/>
  <c r="V434" i="2"/>
  <c r="U434" i="2"/>
  <c r="T434" i="2"/>
  <c r="AJ433" i="2"/>
  <c r="AI433" i="2"/>
  <c r="AH433" i="2"/>
  <c r="AG433" i="2"/>
  <c r="AF433" i="2"/>
  <c r="AE433" i="2"/>
  <c r="AD433" i="2"/>
  <c r="AC433" i="2"/>
  <c r="AB433" i="2"/>
  <c r="AA433" i="2"/>
  <c r="Z433" i="2"/>
  <c r="Y433" i="2"/>
  <c r="X433" i="2"/>
  <c r="W433" i="2"/>
  <c r="V433" i="2"/>
  <c r="U433" i="2"/>
  <c r="T433" i="2"/>
  <c r="AJ432" i="2"/>
  <c r="AI432" i="2"/>
  <c r="AH432" i="2"/>
  <c r="AG432" i="2"/>
  <c r="AF432" i="2"/>
  <c r="AE432" i="2"/>
  <c r="AD432" i="2"/>
  <c r="AC432" i="2"/>
  <c r="AB432" i="2"/>
  <c r="AA432" i="2"/>
  <c r="Z432" i="2"/>
  <c r="Y432" i="2"/>
  <c r="X432" i="2"/>
  <c r="W432" i="2"/>
  <c r="V432" i="2"/>
  <c r="U432" i="2"/>
  <c r="T432" i="2"/>
  <c r="AJ431" i="2"/>
  <c r="AI431" i="2"/>
  <c r="AH431" i="2"/>
  <c r="AG431" i="2"/>
  <c r="AF431" i="2"/>
  <c r="AE431" i="2"/>
  <c r="AD431" i="2"/>
  <c r="AC431" i="2"/>
  <c r="AB431" i="2"/>
  <c r="AA431" i="2"/>
  <c r="Z431" i="2"/>
  <c r="Y431" i="2"/>
  <c r="X431" i="2"/>
  <c r="W431" i="2"/>
  <c r="V431" i="2"/>
  <c r="U431" i="2"/>
  <c r="T431" i="2"/>
  <c r="AJ430" i="2"/>
  <c r="AI430" i="2"/>
  <c r="AH430" i="2"/>
  <c r="AG430" i="2"/>
  <c r="AF430" i="2"/>
  <c r="AE430" i="2"/>
  <c r="AD430" i="2"/>
  <c r="AC430" i="2"/>
  <c r="AB430" i="2"/>
  <c r="AA430" i="2"/>
  <c r="Z430" i="2"/>
  <c r="Y430" i="2"/>
  <c r="X430" i="2"/>
  <c r="W430" i="2"/>
  <c r="V430" i="2"/>
  <c r="U430" i="2"/>
  <c r="T430" i="2"/>
  <c r="AJ429" i="2"/>
  <c r="AI429" i="2"/>
  <c r="AH429" i="2"/>
  <c r="AG429" i="2"/>
  <c r="AF429" i="2"/>
  <c r="AE429" i="2"/>
  <c r="AD429" i="2"/>
  <c r="AC429" i="2"/>
  <c r="AB429" i="2"/>
  <c r="AA429" i="2"/>
  <c r="Z429" i="2"/>
  <c r="Y429" i="2"/>
  <c r="X429" i="2"/>
  <c r="W429" i="2"/>
  <c r="V429" i="2"/>
  <c r="U429" i="2"/>
  <c r="T429" i="2"/>
  <c r="AJ428" i="2"/>
  <c r="AI428" i="2"/>
  <c r="AH428" i="2"/>
  <c r="AG428" i="2"/>
  <c r="AF428" i="2"/>
  <c r="AE428" i="2"/>
  <c r="AD428" i="2"/>
  <c r="AC428" i="2"/>
  <c r="AB428" i="2"/>
  <c r="AA428" i="2"/>
  <c r="Z428" i="2"/>
  <c r="Y428" i="2"/>
  <c r="X428" i="2"/>
  <c r="W428" i="2"/>
  <c r="V428" i="2"/>
  <c r="U428" i="2"/>
  <c r="T428" i="2"/>
  <c r="AJ427" i="2"/>
  <c r="AI427" i="2"/>
  <c r="AH427" i="2"/>
  <c r="AG427" i="2"/>
  <c r="AF427" i="2"/>
  <c r="AE427" i="2"/>
  <c r="AD427" i="2"/>
  <c r="AC427" i="2"/>
  <c r="AB427" i="2"/>
  <c r="AA427" i="2"/>
  <c r="Z427" i="2"/>
  <c r="Y427" i="2"/>
  <c r="X427" i="2"/>
  <c r="W427" i="2"/>
  <c r="V427" i="2"/>
  <c r="U427" i="2"/>
  <c r="T427" i="2"/>
  <c r="AJ426" i="2"/>
  <c r="AI426" i="2"/>
  <c r="AH426" i="2"/>
  <c r="AG426" i="2"/>
  <c r="AF426" i="2"/>
  <c r="AE426" i="2"/>
  <c r="AD426" i="2"/>
  <c r="AC426" i="2"/>
  <c r="AB426" i="2"/>
  <c r="AA426" i="2"/>
  <c r="Z426" i="2"/>
  <c r="Y426" i="2"/>
  <c r="X426" i="2"/>
  <c r="W426" i="2"/>
  <c r="V426" i="2"/>
  <c r="U426" i="2"/>
  <c r="T426" i="2"/>
  <c r="AJ425" i="2"/>
  <c r="AI425" i="2"/>
  <c r="AH425" i="2"/>
  <c r="AG425" i="2"/>
  <c r="AF425" i="2"/>
  <c r="AE425" i="2"/>
  <c r="AD425" i="2"/>
  <c r="AC425" i="2"/>
  <c r="AB425" i="2"/>
  <c r="AA425" i="2"/>
  <c r="Z425" i="2"/>
  <c r="Y425" i="2"/>
  <c r="X425" i="2"/>
  <c r="W425" i="2"/>
  <c r="V425" i="2"/>
  <c r="U425" i="2"/>
  <c r="T425" i="2"/>
  <c r="AJ424" i="2"/>
  <c r="AI424" i="2"/>
  <c r="AH424" i="2"/>
  <c r="AG424" i="2"/>
  <c r="AF424" i="2"/>
  <c r="AE424" i="2"/>
  <c r="AD424" i="2"/>
  <c r="AC424" i="2"/>
  <c r="AB424" i="2"/>
  <c r="AA424" i="2"/>
  <c r="Z424" i="2"/>
  <c r="Y424" i="2"/>
  <c r="X424" i="2"/>
  <c r="W424" i="2"/>
  <c r="V424" i="2"/>
  <c r="U424" i="2"/>
  <c r="T424" i="2"/>
  <c r="AJ423" i="2"/>
  <c r="AI423" i="2"/>
  <c r="AH423" i="2"/>
  <c r="AG423" i="2"/>
  <c r="AF423" i="2"/>
  <c r="AE423" i="2"/>
  <c r="AD423" i="2"/>
  <c r="AC423" i="2"/>
  <c r="AB423" i="2"/>
  <c r="AA423" i="2"/>
  <c r="Z423" i="2"/>
  <c r="Y423" i="2"/>
  <c r="X423" i="2"/>
  <c r="W423" i="2"/>
  <c r="V423" i="2"/>
  <c r="U423" i="2"/>
  <c r="T423" i="2"/>
  <c r="AJ422" i="2"/>
  <c r="AI422" i="2"/>
  <c r="AH422" i="2"/>
  <c r="AG422" i="2"/>
  <c r="AF422" i="2"/>
  <c r="AE422" i="2"/>
  <c r="AD422" i="2"/>
  <c r="AC422" i="2"/>
  <c r="AB422" i="2"/>
  <c r="AA422" i="2"/>
  <c r="Z422" i="2"/>
  <c r="Y422" i="2"/>
  <c r="X422" i="2"/>
  <c r="W422" i="2"/>
  <c r="V422" i="2"/>
  <c r="U422" i="2"/>
  <c r="T422" i="2"/>
  <c r="AJ421" i="2"/>
  <c r="AI421" i="2"/>
  <c r="AH421" i="2"/>
  <c r="AG421" i="2"/>
  <c r="AF421" i="2"/>
  <c r="AE421" i="2"/>
  <c r="AD421" i="2"/>
  <c r="AC421" i="2"/>
  <c r="AB421" i="2"/>
  <c r="AA421" i="2"/>
  <c r="Z421" i="2"/>
  <c r="Y421" i="2"/>
  <c r="X421" i="2"/>
  <c r="W421" i="2"/>
  <c r="V421" i="2"/>
  <c r="U421" i="2"/>
  <c r="T421" i="2"/>
  <c r="AJ420" i="2"/>
  <c r="AI420" i="2"/>
  <c r="AH420" i="2"/>
  <c r="AG420" i="2"/>
  <c r="AF420" i="2"/>
  <c r="AE420" i="2"/>
  <c r="AD420" i="2"/>
  <c r="AC420" i="2"/>
  <c r="AB420" i="2"/>
  <c r="AA420" i="2"/>
  <c r="Z420" i="2"/>
  <c r="Y420" i="2"/>
  <c r="X420" i="2"/>
  <c r="W420" i="2"/>
  <c r="V420" i="2"/>
  <c r="U420" i="2"/>
  <c r="T420" i="2"/>
  <c r="AJ419" i="2"/>
  <c r="AI419" i="2"/>
  <c r="AH419" i="2"/>
  <c r="AG419" i="2"/>
  <c r="AF419" i="2"/>
  <c r="AE419" i="2"/>
  <c r="AD419" i="2"/>
  <c r="AC419" i="2"/>
  <c r="AB419" i="2"/>
  <c r="AA419" i="2"/>
  <c r="Z419" i="2"/>
  <c r="Y419" i="2"/>
  <c r="X419" i="2"/>
  <c r="W419" i="2"/>
  <c r="V419" i="2"/>
  <c r="U419" i="2"/>
  <c r="T419" i="2"/>
  <c r="AJ418" i="2"/>
  <c r="AI418" i="2"/>
  <c r="AH418" i="2"/>
  <c r="AG418" i="2"/>
  <c r="AF418" i="2"/>
  <c r="AE418" i="2"/>
  <c r="AD418" i="2"/>
  <c r="AC418" i="2"/>
  <c r="AB418" i="2"/>
  <c r="AA418" i="2"/>
  <c r="Z418" i="2"/>
  <c r="Y418" i="2"/>
  <c r="X418" i="2"/>
  <c r="W418" i="2"/>
  <c r="V418" i="2"/>
  <c r="U418" i="2"/>
  <c r="T418" i="2"/>
  <c r="AJ417" i="2"/>
  <c r="AI417" i="2"/>
  <c r="AH417" i="2"/>
  <c r="AG417" i="2"/>
  <c r="AF417" i="2"/>
  <c r="AE417" i="2"/>
  <c r="AD417" i="2"/>
  <c r="AC417" i="2"/>
  <c r="AB417" i="2"/>
  <c r="AA417" i="2"/>
  <c r="Z417" i="2"/>
  <c r="Y417" i="2"/>
  <c r="X417" i="2"/>
  <c r="W417" i="2"/>
  <c r="V417" i="2"/>
  <c r="U417" i="2"/>
  <c r="T417" i="2"/>
  <c r="AJ416" i="2"/>
  <c r="AI416" i="2"/>
  <c r="AH416" i="2"/>
  <c r="AG416" i="2"/>
  <c r="AF416" i="2"/>
  <c r="AE416" i="2"/>
  <c r="AD416" i="2"/>
  <c r="AC416" i="2"/>
  <c r="AB416" i="2"/>
  <c r="AA416" i="2"/>
  <c r="Z416" i="2"/>
  <c r="Y416" i="2"/>
  <c r="X416" i="2"/>
  <c r="W416" i="2"/>
  <c r="V416" i="2"/>
  <c r="U416" i="2"/>
  <c r="T416" i="2"/>
  <c r="AJ415" i="2"/>
  <c r="AI415" i="2"/>
  <c r="AH415" i="2"/>
  <c r="AG415" i="2"/>
  <c r="AF415" i="2"/>
  <c r="AE415" i="2"/>
  <c r="AD415" i="2"/>
  <c r="AC415" i="2"/>
  <c r="AB415" i="2"/>
  <c r="AA415" i="2"/>
  <c r="Z415" i="2"/>
  <c r="Y415" i="2"/>
  <c r="X415" i="2"/>
  <c r="W415" i="2"/>
  <c r="V415" i="2"/>
  <c r="U415" i="2"/>
  <c r="T415" i="2"/>
  <c r="AJ414" i="2"/>
  <c r="AI414" i="2"/>
  <c r="AH414" i="2"/>
  <c r="AG414" i="2"/>
  <c r="AF414" i="2"/>
  <c r="AE414" i="2"/>
  <c r="AD414" i="2"/>
  <c r="AC414" i="2"/>
  <c r="AB414" i="2"/>
  <c r="AA414" i="2"/>
  <c r="Z414" i="2"/>
  <c r="Y414" i="2"/>
  <c r="X414" i="2"/>
  <c r="W414" i="2"/>
  <c r="V414" i="2"/>
  <c r="U414" i="2"/>
  <c r="T414" i="2"/>
  <c r="AJ413" i="2"/>
  <c r="AI413" i="2"/>
  <c r="AH413" i="2"/>
  <c r="AG413" i="2"/>
  <c r="AF413" i="2"/>
  <c r="AE413" i="2"/>
  <c r="AD413" i="2"/>
  <c r="AC413" i="2"/>
  <c r="AB413" i="2"/>
  <c r="AA413" i="2"/>
  <c r="Z413" i="2"/>
  <c r="Y413" i="2"/>
  <c r="X413" i="2"/>
  <c r="W413" i="2"/>
  <c r="V413" i="2"/>
  <c r="U413" i="2"/>
  <c r="T413" i="2"/>
  <c r="AJ412" i="2"/>
  <c r="AI412" i="2"/>
  <c r="AH412" i="2"/>
  <c r="AG412" i="2"/>
  <c r="AF412" i="2"/>
  <c r="AE412" i="2"/>
  <c r="AD412" i="2"/>
  <c r="AC412" i="2"/>
  <c r="AB412" i="2"/>
  <c r="AA412" i="2"/>
  <c r="Z412" i="2"/>
  <c r="Y412" i="2"/>
  <c r="X412" i="2"/>
  <c r="W412" i="2"/>
  <c r="V412" i="2"/>
  <c r="U412" i="2"/>
  <c r="T412" i="2"/>
  <c r="AJ411" i="2"/>
  <c r="AI411" i="2"/>
  <c r="AH411" i="2"/>
  <c r="AG411" i="2"/>
  <c r="AF411" i="2"/>
  <c r="AE411" i="2"/>
  <c r="AD411" i="2"/>
  <c r="AC411" i="2"/>
  <c r="AB411" i="2"/>
  <c r="AA411" i="2"/>
  <c r="Z411" i="2"/>
  <c r="Y411" i="2"/>
  <c r="X411" i="2"/>
  <c r="W411" i="2"/>
  <c r="V411" i="2"/>
  <c r="U411" i="2"/>
  <c r="T411" i="2"/>
  <c r="AJ410" i="2"/>
  <c r="AI410" i="2"/>
  <c r="AH410" i="2"/>
  <c r="AG410" i="2"/>
  <c r="AF410" i="2"/>
  <c r="AE410" i="2"/>
  <c r="AD410" i="2"/>
  <c r="AC410" i="2"/>
  <c r="AB410" i="2"/>
  <c r="AA410" i="2"/>
  <c r="Z410" i="2"/>
  <c r="Y410" i="2"/>
  <c r="X410" i="2"/>
  <c r="W410" i="2"/>
  <c r="V410" i="2"/>
  <c r="U410" i="2"/>
  <c r="T410" i="2"/>
  <c r="AJ409" i="2"/>
  <c r="AI409" i="2"/>
  <c r="AH409" i="2"/>
  <c r="AG409" i="2"/>
  <c r="AF409" i="2"/>
  <c r="AE409" i="2"/>
  <c r="AD409" i="2"/>
  <c r="AC409" i="2"/>
  <c r="AB409" i="2"/>
  <c r="AA409" i="2"/>
  <c r="Z409" i="2"/>
  <c r="Y409" i="2"/>
  <c r="X409" i="2"/>
  <c r="W409" i="2"/>
  <c r="V409" i="2"/>
  <c r="U409" i="2"/>
  <c r="T409" i="2"/>
  <c r="AJ408" i="2"/>
  <c r="AI408" i="2"/>
  <c r="AH408" i="2"/>
  <c r="AG408" i="2"/>
  <c r="AF408" i="2"/>
  <c r="AE408" i="2"/>
  <c r="AD408" i="2"/>
  <c r="AC408" i="2"/>
  <c r="AB408" i="2"/>
  <c r="AA408" i="2"/>
  <c r="Z408" i="2"/>
  <c r="Y408" i="2"/>
  <c r="X408" i="2"/>
  <c r="W408" i="2"/>
  <c r="V408" i="2"/>
  <c r="U408" i="2"/>
  <c r="T408" i="2"/>
  <c r="AJ407" i="2"/>
  <c r="AI407" i="2"/>
  <c r="AH407" i="2"/>
  <c r="AG407" i="2"/>
  <c r="AF407" i="2"/>
  <c r="AE407" i="2"/>
  <c r="AD407" i="2"/>
  <c r="AC407" i="2"/>
  <c r="AB407" i="2"/>
  <c r="AA407" i="2"/>
  <c r="Z407" i="2"/>
  <c r="Y407" i="2"/>
  <c r="X407" i="2"/>
  <c r="W407" i="2"/>
  <c r="V407" i="2"/>
  <c r="U407" i="2"/>
  <c r="T407" i="2"/>
  <c r="AJ406" i="2"/>
  <c r="AI406" i="2"/>
  <c r="AH406" i="2"/>
  <c r="AG406" i="2"/>
  <c r="AF406" i="2"/>
  <c r="AE406" i="2"/>
  <c r="AD406" i="2"/>
  <c r="AC406" i="2"/>
  <c r="AB406" i="2"/>
  <c r="AA406" i="2"/>
  <c r="Z406" i="2"/>
  <c r="Y406" i="2"/>
  <c r="X406" i="2"/>
  <c r="W406" i="2"/>
  <c r="V406" i="2"/>
  <c r="U406" i="2"/>
  <c r="T406" i="2"/>
  <c r="AJ405" i="2"/>
  <c r="AI405" i="2"/>
  <c r="AH405" i="2"/>
  <c r="AG405" i="2"/>
  <c r="AF405" i="2"/>
  <c r="AE405" i="2"/>
  <c r="AD405" i="2"/>
  <c r="AC405" i="2"/>
  <c r="AB405" i="2"/>
  <c r="AA405" i="2"/>
  <c r="Z405" i="2"/>
  <c r="Y405" i="2"/>
  <c r="X405" i="2"/>
  <c r="W405" i="2"/>
  <c r="V405" i="2"/>
  <c r="U405" i="2"/>
  <c r="T405" i="2"/>
  <c r="AJ404" i="2"/>
  <c r="AI404" i="2"/>
  <c r="AH404" i="2"/>
  <c r="AG404" i="2"/>
  <c r="AF404" i="2"/>
  <c r="AE404" i="2"/>
  <c r="AD404" i="2"/>
  <c r="AC404" i="2"/>
  <c r="AB404" i="2"/>
  <c r="AA404" i="2"/>
  <c r="Z404" i="2"/>
  <c r="Y404" i="2"/>
  <c r="X404" i="2"/>
  <c r="W404" i="2"/>
  <c r="V404" i="2"/>
  <c r="U404" i="2"/>
  <c r="T404" i="2"/>
  <c r="AJ403" i="2"/>
  <c r="AI403" i="2"/>
  <c r="AH403" i="2"/>
  <c r="AG403" i="2"/>
  <c r="AF403" i="2"/>
  <c r="AE403" i="2"/>
  <c r="AD403" i="2"/>
  <c r="AC403" i="2"/>
  <c r="AB403" i="2"/>
  <c r="AA403" i="2"/>
  <c r="Z403" i="2"/>
  <c r="Y403" i="2"/>
  <c r="X403" i="2"/>
  <c r="W403" i="2"/>
  <c r="V403" i="2"/>
  <c r="U403" i="2"/>
  <c r="T403" i="2"/>
  <c r="AJ402" i="2"/>
  <c r="AI402" i="2"/>
  <c r="AH402" i="2"/>
  <c r="AG402" i="2"/>
  <c r="AF402" i="2"/>
  <c r="AE402" i="2"/>
  <c r="AD402" i="2"/>
  <c r="AC402" i="2"/>
  <c r="AB402" i="2"/>
  <c r="AA402" i="2"/>
  <c r="Z402" i="2"/>
  <c r="Y402" i="2"/>
  <c r="X402" i="2"/>
  <c r="W402" i="2"/>
  <c r="V402" i="2"/>
  <c r="U402" i="2"/>
  <c r="T402" i="2"/>
  <c r="AJ401" i="2"/>
  <c r="AI401" i="2"/>
  <c r="AH401" i="2"/>
  <c r="AG401" i="2"/>
  <c r="AF401" i="2"/>
  <c r="AE401" i="2"/>
  <c r="AD401" i="2"/>
  <c r="AC401" i="2"/>
  <c r="AB401" i="2"/>
  <c r="AA401" i="2"/>
  <c r="Z401" i="2"/>
  <c r="Y401" i="2"/>
  <c r="X401" i="2"/>
  <c r="W401" i="2"/>
  <c r="V401" i="2"/>
  <c r="U401" i="2"/>
  <c r="T401" i="2"/>
  <c r="AJ400" i="2"/>
  <c r="AI400" i="2"/>
  <c r="AH400" i="2"/>
  <c r="AG400" i="2"/>
  <c r="AF400" i="2"/>
  <c r="AE400" i="2"/>
  <c r="AD400" i="2"/>
  <c r="AC400" i="2"/>
  <c r="AB400" i="2"/>
  <c r="AA400" i="2"/>
  <c r="Z400" i="2"/>
  <c r="Y400" i="2"/>
  <c r="X400" i="2"/>
  <c r="W400" i="2"/>
  <c r="V400" i="2"/>
  <c r="U400" i="2"/>
  <c r="T400" i="2"/>
  <c r="AJ399" i="2"/>
  <c r="AI399" i="2"/>
  <c r="AH399" i="2"/>
  <c r="AG399" i="2"/>
  <c r="AF399" i="2"/>
  <c r="AE399" i="2"/>
  <c r="AD399" i="2"/>
  <c r="AC399" i="2"/>
  <c r="AB399" i="2"/>
  <c r="AA399" i="2"/>
  <c r="Z399" i="2"/>
  <c r="Y399" i="2"/>
  <c r="X399" i="2"/>
  <c r="W399" i="2"/>
  <c r="V399" i="2"/>
  <c r="U399" i="2"/>
  <c r="T399" i="2"/>
  <c r="AJ398" i="2"/>
  <c r="AI398" i="2"/>
  <c r="AH398" i="2"/>
  <c r="AG398" i="2"/>
  <c r="AF398" i="2"/>
  <c r="AE398" i="2"/>
  <c r="AD398" i="2"/>
  <c r="AC398" i="2"/>
  <c r="AB398" i="2"/>
  <c r="AA398" i="2"/>
  <c r="Z398" i="2"/>
  <c r="Y398" i="2"/>
  <c r="X398" i="2"/>
  <c r="W398" i="2"/>
  <c r="V398" i="2"/>
  <c r="U398" i="2"/>
  <c r="T398" i="2"/>
  <c r="AJ397" i="2"/>
  <c r="AI397" i="2"/>
  <c r="AH397" i="2"/>
  <c r="AG397" i="2"/>
  <c r="AF397" i="2"/>
  <c r="AE397" i="2"/>
  <c r="AD397" i="2"/>
  <c r="AC397" i="2"/>
  <c r="AB397" i="2"/>
  <c r="AA397" i="2"/>
  <c r="Z397" i="2"/>
  <c r="Y397" i="2"/>
  <c r="X397" i="2"/>
  <c r="W397" i="2"/>
  <c r="V397" i="2"/>
  <c r="U397" i="2"/>
  <c r="T397" i="2"/>
  <c r="AJ396" i="2"/>
  <c r="AI396" i="2"/>
  <c r="AH396" i="2"/>
  <c r="AG396" i="2"/>
  <c r="AF396" i="2"/>
  <c r="AE396" i="2"/>
  <c r="AD396" i="2"/>
  <c r="AC396" i="2"/>
  <c r="AB396" i="2"/>
  <c r="AA396" i="2"/>
  <c r="Z396" i="2"/>
  <c r="Y396" i="2"/>
  <c r="X396" i="2"/>
  <c r="W396" i="2"/>
  <c r="V396" i="2"/>
  <c r="U396" i="2"/>
  <c r="T396" i="2"/>
  <c r="AJ395" i="2"/>
  <c r="AI395" i="2"/>
  <c r="AH395" i="2"/>
  <c r="AG395" i="2"/>
  <c r="AF395" i="2"/>
  <c r="AE395" i="2"/>
  <c r="AD395" i="2"/>
  <c r="AC395" i="2"/>
  <c r="AB395" i="2"/>
  <c r="AA395" i="2"/>
  <c r="Z395" i="2"/>
  <c r="Y395" i="2"/>
  <c r="X395" i="2"/>
  <c r="W395" i="2"/>
  <c r="V395" i="2"/>
  <c r="U395" i="2"/>
  <c r="T395" i="2"/>
  <c r="AJ394" i="2"/>
  <c r="AI394" i="2"/>
  <c r="AH394" i="2"/>
  <c r="AG394" i="2"/>
  <c r="AF394" i="2"/>
  <c r="AE394" i="2"/>
  <c r="AD394" i="2"/>
  <c r="AC394" i="2"/>
  <c r="AB394" i="2"/>
  <c r="AA394" i="2"/>
  <c r="Z394" i="2"/>
  <c r="Y394" i="2"/>
  <c r="X394" i="2"/>
  <c r="W394" i="2"/>
  <c r="V394" i="2"/>
  <c r="U394" i="2"/>
  <c r="T394" i="2"/>
  <c r="AJ393" i="2"/>
  <c r="AI393" i="2"/>
  <c r="AH393" i="2"/>
  <c r="AG393" i="2"/>
  <c r="AF393" i="2"/>
  <c r="AE393" i="2"/>
  <c r="AD393" i="2"/>
  <c r="AC393" i="2"/>
  <c r="AB393" i="2"/>
  <c r="AA393" i="2"/>
  <c r="Z393" i="2"/>
  <c r="Y393" i="2"/>
  <c r="X393" i="2"/>
  <c r="W393" i="2"/>
  <c r="V393" i="2"/>
  <c r="U393" i="2"/>
  <c r="T393" i="2"/>
  <c r="AJ392" i="2"/>
  <c r="AI392" i="2"/>
  <c r="AH392" i="2"/>
  <c r="AG392" i="2"/>
  <c r="AF392" i="2"/>
  <c r="AE392" i="2"/>
  <c r="AD392" i="2"/>
  <c r="AC392" i="2"/>
  <c r="AB392" i="2"/>
  <c r="AA392" i="2"/>
  <c r="Z392" i="2"/>
  <c r="Y392" i="2"/>
  <c r="X392" i="2"/>
  <c r="W392" i="2"/>
  <c r="V392" i="2"/>
  <c r="U392" i="2"/>
  <c r="T392" i="2"/>
  <c r="AJ391" i="2"/>
  <c r="AI391" i="2"/>
  <c r="AH391" i="2"/>
  <c r="AG391" i="2"/>
  <c r="AF391" i="2"/>
  <c r="AE391" i="2"/>
  <c r="AD391" i="2"/>
  <c r="AC391" i="2"/>
  <c r="AB391" i="2"/>
  <c r="AA391" i="2"/>
  <c r="Z391" i="2"/>
  <c r="Y391" i="2"/>
  <c r="X391" i="2"/>
  <c r="W391" i="2"/>
  <c r="V391" i="2"/>
  <c r="U391" i="2"/>
  <c r="T391" i="2"/>
  <c r="AJ390" i="2"/>
  <c r="AI390" i="2"/>
  <c r="AH390" i="2"/>
  <c r="AG390" i="2"/>
  <c r="AF390" i="2"/>
  <c r="AE390" i="2"/>
  <c r="AD390" i="2"/>
  <c r="AC390" i="2"/>
  <c r="AB390" i="2"/>
  <c r="AA390" i="2"/>
  <c r="Z390" i="2"/>
  <c r="Y390" i="2"/>
  <c r="X390" i="2"/>
  <c r="W390" i="2"/>
  <c r="V390" i="2"/>
  <c r="U390" i="2"/>
  <c r="T390" i="2"/>
  <c r="AJ389" i="2"/>
  <c r="AI389" i="2"/>
  <c r="AH389" i="2"/>
  <c r="AG389" i="2"/>
  <c r="AF389" i="2"/>
  <c r="AE389" i="2"/>
  <c r="AD389" i="2"/>
  <c r="AC389" i="2"/>
  <c r="AB389" i="2"/>
  <c r="AA389" i="2"/>
  <c r="Z389" i="2"/>
  <c r="Y389" i="2"/>
  <c r="X389" i="2"/>
  <c r="W389" i="2"/>
  <c r="V389" i="2"/>
  <c r="U389" i="2"/>
  <c r="T389" i="2"/>
  <c r="AJ388" i="2"/>
  <c r="AI388" i="2"/>
  <c r="AH388" i="2"/>
  <c r="AG388" i="2"/>
  <c r="AF388" i="2"/>
  <c r="AE388" i="2"/>
  <c r="AD388" i="2"/>
  <c r="AC388" i="2"/>
  <c r="AB388" i="2"/>
  <c r="AA388" i="2"/>
  <c r="Z388" i="2"/>
  <c r="Y388" i="2"/>
  <c r="X388" i="2"/>
  <c r="W388" i="2"/>
  <c r="V388" i="2"/>
  <c r="U388" i="2"/>
  <c r="T388" i="2"/>
  <c r="AJ387" i="2"/>
  <c r="AI387" i="2"/>
  <c r="AH387" i="2"/>
  <c r="AG387" i="2"/>
  <c r="AF387" i="2"/>
  <c r="AE387" i="2"/>
  <c r="AD387" i="2"/>
  <c r="AC387" i="2"/>
  <c r="AB387" i="2"/>
  <c r="AA387" i="2"/>
  <c r="Z387" i="2"/>
  <c r="Y387" i="2"/>
  <c r="X387" i="2"/>
  <c r="W387" i="2"/>
  <c r="V387" i="2"/>
  <c r="U387" i="2"/>
  <c r="T387" i="2"/>
  <c r="AJ386" i="2"/>
  <c r="AI386" i="2"/>
  <c r="AH386" i="2"/>
  <c r="AG386" i="2"/>
  <c r="AF386" i="2"/>
  <c r="AE386" i="2"/>
  <c r="AD386" i="2"/>
  <c r="AC386" i="2"/>
  <c r="AB386" i="2"/>
  <c r="AA386" i="2"/>
  <c r="Z386" i="2"/>
  <c r="Y386" i="2"/>
  <c r="X386" i="2"/>
  <c r="W386" i="2"/>
  <c r="V386" i="2"/>
  <c r="U386" i="2"/>
  <c r="T386" i="2"/>
  <c r="AJ385" i="2"/>
  <c r="AI385" i="2"/>
  <c r="AH385" i="2"/>
  <c r="AG385" i="2"/>
  <c r="AF385" i="2"/>
  <c r="AE385" i="2"/>
  <c r="AD385" i="2"/>
  <c r="AC385" i="2"/>
  <c r="AB385" i="2"/>
  <c r="AA385" i="2"/>
  <c r="Z385" i="2"/>
  <c r="Y385" i="2"/>
  <c r="X385" i="2"/>
  <c r="W385" i="2"/>
  <c r="V385" i="2"/>
  <c r="U385" i="2"/>
  <c r="T385" i="2"/>
  <c r="AJ384" i="2"/>
  <c r="AI384" i="2"/>
  <c r="AH384" i="2"/>
  <c r="AG384" i="2"/>
  <c r="AF384" i="2"/>
  <c r="AE384" i="2"/>
  <c r="AD384" i="2"/>
  <c r="AC384" i="2"/>
  <c r="AB384" i="2"/>
  <c r="AA384" i="2"/>
  <c r="Z384" i="2"/>
  <c r="Y384" i="2"/>
  <c r="X384" i="2"/>
  <c r="W384" i="2"/>
  <c r="V384" i="2"/>
  <c r="U384" i="2"/>
  <c r="T384" i="2"/>
  <c r="AJ383" i="2"/>
  <c r="AI383" i="2"/>
  <c r="AH383" i="2"/>
  <c r="AG383" i="2"/>
  <c r="AF383" i="2"/>
  <c r="AE383" i="2"/>
  <c r="AD383" i="2"/>
  <c r="AC383" i="2"/>
  <c r="AB383" i="2"/>
  <c r="AA383" i="2"/>
  <c r="Z383" i="2"/>
  <c r="Y383" i="2"/>
  <c r="X383" i="2"/>
  <c r="W383" i="2"/>
  <c r="V383" i="2"/>
  <c r="U383" i="2"/>
  <c r="T383" i="2"/>
  <c r="AJ382" i="2"/>
  <c r="AI382" i="2"/>
  <c r="AH382" i="2"/>
  <c r="AG382" i="2"/>
  <c r="AF382" i="2"/>
  <c r="AE382" i="2"/>
  <c r="AD382" i="2"/>
  <c r="AC382" i="2"/>
  <c r="AB382" i="2"/>
  <c r="AA382" i="2"/>
  <c r="Z382" i="2"/>
  <c r="Y382" i="2"/>
  <c r="X382" i="2"/>
  <c r="W382" i="2"/>
  <c r="V382" i="2"/>
  <c r="U382" i="2"/>
  <c r="T382" i="2"/>
  <c r="AJ381" i="2"/>
  <c r="AI381" i="2"/>
  <c r="AH381" i="2"/>
  <c r="AG381" i="2"/>
  <c r="AF381" i="2"/>
  <c r="AE381" i="2"/>
  <c r="AD381" i="2"/>
  <c r="AC381" i="2"/>
  <c r="AB381" i="2"/>
  <c r="AA381" i="2"/>
  <c r="Z381" i="2"/>
  <c r="Y381" i="2"/>
  <c r="X381" i="2"/>
  <c r="W381" i="2"/>
  <c r="V381" i="2"/>
  <c r="U381" i="2"/>
  <c r="T381" i="2"/>
  <c r="AJ380" i="2"/>
  <c r="AI380" i="2"/>
  <c r="AH380" i="2"/>
  <c r="AG380" i="2"/>
  <c r="AF380" i="2"/>
  <c r="AE380" i="2"/>
  <c r="AD380" i="2"/>
  <c r="AC380" i="2"/>
  <c r="AB380" i="2"/>
  <c r="AA380" i="2"/>
  <c r="Z380" i="2"/>
  <c r="Y380" i="2"/>
  <c r="X380" i="2"/>
  <c r="W380" i="2"/>
  <c r="V380" i="2"/>
  <c r="U380" i="2"/>
  <c r="T380" i="2"/>
  <c r="AJ379" i="2"/>
  <c r="AI379" i="2"/>
  <c r="AH379" i="2"/>
  <c r="AG379" i="2"/>
  <c r="AF379" i="2"/>
  <c r="AE379" i="2"/>
  <c r="AD379" i="2"/>
  <c r="AC379" i="2"/>
  <c r="AB379" i="2"/>
  <c r="AA379" i="2"/>
  <c r="Z379" i="2"/>
  <c r="Y379" i="2"/>
  <c r="X379" i="2"/>
  <c r="W379" i="2"/>
  <c r="V379" i="2"/>
  <c r="U379" i="2"/>
  <c r="T379" i="2"/>
  <c r="AJ378" i="2"/>
  <c r="AI378" i="2"/>
  <c r="AH378" i="2"/>
  <c r="AG378" i="2"/>
  <c r="AF378" i="2"/>
  <c r="AE378" i="2"/>
  <c r="AD378" i="2"/>
  <c r="AC378" i="2"/>
  <c r="AB378" i="2"/>
  <c r="AA378" i="2"/>
  <c r="Z378" i="2"/>
  <c r="Y378" i="2"/>
  <c r="X378" i="2"/>
  <c r="W378" i="2"/>
  <c r="V378" i="2"/>
  <c r="U378" i="2"/>
  <c r="T378" i="2"/>
  <c r="AJ377" i="2"/>
  <c r="AI377" i="2"/>
  <c r="AH377" i="2"/>
  <c r="AG377" i="2"/>
  <c r="AF377" i="2"/>
  <c r="AE377" i="2"/>
  <c r="AD377" i="2"/>
  <c r="AC377" i="2"/>
  <c r="AB377" i="2"/>
  <c r="AA377" i="2"/>
  <c r="Z377" i="2"/>
  <c r="Y377" i="2"/>
  <c r="X377" i="2"/>
  <c r="W377" i="2"/>
  <c r="V377" i="2"/>
  <c r="U377" i="2"/>
  <c r="T377" i="2"/>
  <c r="AJ376" i="2"/>
  <c r="AI376" i="2"/>
  <c r="AH376" i="2"/>
  <c r="AG376" i="2"/>
  <c r="AF376" i="2"/>
  <c r="AE376" i="2"/>
  <c r="AD376" i="2"/>
  <c r="AC376" i="2"/>
  <c r="AB376" i="2"/>
  <c r="AA376" i="2"/>
  <c r="Z376" i="2"/>
  <c r="Y376" i="2"/>
  <c r="X376" i="2"/>
  <c r="W376" i="2"/>
  <c r="V376" i="2"/>
  <c r="U376" i="2"/>
  <c r="T376" i="2"/>
  <c r="AJ375" i="2"/>
  <c r="AI375" i="2"/>
  <c r="AH375" i="2"/>
  <c r="AG375" i="2"/>
  <c r="AF375" i="2"/>
  <c r="AE375" i="2"/>
  <c r="AD375" i="2"/>
  <c r="AC375" i="2"/>
  <c r="AB375" i="2"/>
  <c r="AA375" i="2"/>
  <c r="Z375" i="2"/>
  <c r="Y375" i="2"/>
  <c r="X375" i="2"/>
  <c r="W375" i="2"/>
  <c r="V375" i="2"/>
  <c r="U375" i="2"/>
  <c r="T375" i="2"/>
  <c r="AJ374" i="2"/>
  <c r="AI374" i="2"/>
  <c r="AH374" i="2"/>
  <c r="AG374" i="2"/>
  <c r="AF374" i="2"/>
  <c r="AE374" i="2"/>
  <c r="AD374" i="2"/>
  <c r="AC374" i="2"/>
  <c r="AB374" i="2"/>
  <c r="AA374" i="2"/>
  <c r="Z374" i="2"/>
  <c r="Y374" i="2"/>
  <c r="X374" i="2"/>
  <c r="W374" i="2"/>
  <c r="V374" i="2"/>
  <c r="U374" i="2"/>
  <c r="T374" i="2"/>
  <c r="AJ373" i="2"/>
  <c r="AI373" i="2"/>
  <c r="AH373" i="2"/>
  <c r="AG373" i="2"/>
  <c r="AF373" i="2"/>
  <c r="AE373" i="2"/>
  <c r="AD373" i="2"/>
  <c r="AC373" i="2"/>
  <c r="AB373" i="2"/>
  <c r="AA373" i="2"/>
  <c r="Z373" i="2"/>
  <c r="Y373" i="2"/>
  <c r="X373" i="2"/>
  <c r="W373" i="2"/>
  <c r="V373" i="2"/>
  <c r="U373" i="2"/>
  <c r="T373" i="2"/>
  <c r="AJ372" i="2"/>
  <c r="AI372" i="2"/>
  <c r="AH372" i="2"/>
  <c r="AG372" i="2"/>
  <c r="AF372" i="2"/>
  <c r="AE372" i="2"/>
  <c r="AD372" i="2"/>
  <c r="AC372" i="2"/>
  <c r="AB372" i="2"/>
  <c r="AA372" i="2"/>
  <c r="Z372" i="2"/>
  <c r="Y372" i="2"/>
  <c r="X372" i="2"/>
  <c r="W372" i="2"/>
  <c r="V372" i="2"/>
  <c r="U372" i="2"/>
  <c r="T372" i="2"/>
  <c r="AJ371" i="2"/>
  <c r="AI371" i="2"/>
  <c r="AH371" i="2"/>
  <c r="AG371" i="2"/>
  <c r="AF371" i="2"/>
  <c r="AE371" i="2"/>
  <c r="AD371" i="2"/>
  <c r="AC371" i="2"/>
  <c r="AB371" i="2"/>
  <c r="AA371" i="2"/>
  <c r="Z371" i="2"/>
  <c r="Y371" i="2"/>
  <c r="X371" i="2"/>
  <c r="W371" i="2"/>
  <c r="V371" i="2"/>
  <c r="U371" i="2"/>
  <c r="T371" i="2"/>
  <c r="AJ370" i="2"/>
  <c r="AI370" i="2"/>
  <c r="AH370" i="2"/>
  <c r="AG370" i="2"/>
  <c r="AF370" i="2"/>
  <c r="AE370" i="2"/>
  <c r="AD370" i="2"/>
  <c r="AC370" i="2"/>
  <c r="AB370" i="2"/>
  <c r="AA370" i="2"/>
  <c r="Z370" i="2"/>
  <c r="Y370" i="2"/>
  <c r="X370" i="2"/>
  <c r="W370" i="2"/>
  <c r="V370" i="2"/>
  <c r="U370" i="2"/>
  <c r="T370" i="2"/>
  <c r="AJ369" i="2"/>
  <c r="AI369" i="2"/>
  <c r="AH369" i="2"/>
  <c r="AG369" i="2"/>
  <c r="AF369" i="2"/>
  <c r="AE369" i="2"/>
  <c r="AD369" i="2"/>
  <c r="AC369" i="2"/>
  <c r="AB369" i="2"/>
  <c r="AA369" i="2"/>
  <c r="Z369" i="2"/>
  <c r="Y369" i="2"/>
  <c r="X369" i="2"/>
  <c r="W369" i="2"/>
  <c r="V369" i="2"/>
  <c r="U369" i="2"/>
  <c r="T369" i="2"/>
  <c r="AJ368" i="2"/>
  <c r="AI368" i="2"/>
  <c r="AH368" i="2"/>
  <c r="AG368" i="2"/>
  <c r="AF368" i="2"/>
  <c r="AE368" i="2"/>
  <c r="AD368" i="2"/>
  <c r="AC368" i="2"/>
  <c r="AB368" i="2"/>
  <c r="AA368" i="2"/>
  <c r="Z368" i="2"/>
  <c r="Y368" i="2"/>
  <c r="X368" i="2"/>
  <c r="W368" i="2"/>
  <c r="V368" i="2"/>
  <c r="U368" i="2"/>
  <c r="T368" i="2"/>
  <c r="AJ367" i="2"/>
  <c r="AI367" i="2"/>
  <c r="AH367" i="2"/>
  <c r="AG367" i="2"/>
  <c r="AF367" i="2"/>
  <c r="AE367" i="2"/>
  <c r="AD367" i="2"/>
  <c r="AC367" i="2"/>
  <c r="AB367" i="2"/>
  <c r="AA367" i="2"/>
  <c r="Z367" i="2"/>
  <c r="Y367" i="2"/>
  <c r="X367" i="2"/>
  <c r="W367" i="2"/>
  <c r="V367" i="2"/>
  <c r="U367" i="2"/>
  <c r="T367" i="2"/>
  <c r="AJ366" i="2"/>
  <c r="AI366" i="2"/>
  <c r="AH366" i="2"/>
  <c r="AG366" i="2"/>
  <c r="AF366" i="2"/>
  <c r="AE366" i="2"/>
  <c r="AD366" i="2"/>
  <c r="AC366" i="2"/>
  <c r="AB366" i="2"/>
  <c r="AA366" i="2"/>
  <c r="Z366" i="2"/>
  <c r="Y366" i="2"/>
  <c r="X366" i="2"/>
  <c r="W366" i="2"/>
  <c r="V366" i="2"/>
  <c r="U366" i="2"/>
  <c r="T366" i="2"/>
  <c r="AJ365" i="2"/>
  <c r="AI365" i="2"/>
  <c r="AH365" i="2"/>
  <c r="AG365" i="2"/>
  <c r="AF365" i="2"/>
  <c r="AE365" i="2"/>
  <c r="AD365" i="2"/>
  <c r="AC365" i="2"/>
  <c r="AB365" i="2"/>
  <c r="AA365" i="2"/>
  <c r="Z365" i="2"/>
  <c r="Y365" i="2"/>
  <c r="X365" i="2"/>
  <c r="W365" i="2"/>
  <c r="V365" i="2"/>
  <c r="U365" i="2"/>
  <c r="T365" i="2"/>
  <c r="AJ364" i="2"/>
  <c r="AI364" i="2"/>
  <c r="AH364" i="2"/>
  <c r="AG364" i="2"/>
  <c r="AF364" i="2"/>
  <c r="AE364" i="2"/>
  <c r="AD364" i="2"/>
  <c r="AC364" i="2"/>
  <c r="AB364" i="2"/>
  <c r="AA364" i="2"/>
  <c r="Z364" i="2"/>
  <c r="Y364" i="2"/>
  <c r="X364" i="2"/>
  <c r="W364" i="2"/>
  <c r="V364" i="2"/>
  <c r="U364" i="2"/>
  <c r="T364" i="2"/>
  <c r="AJ363" i="2"/>
  <c r="AI363" i="2"/>
  <c r="AH363" i="2"/>
  <c r="AG363" i="2"/>
  <c r="AF363" i="2"/>
  <c r="AE363" i="2"/>
  <c r="AD363" i="2"/>
  <c r="AC363" i="2"/>
  <c r="AB363" i="2"/>
  <c r="AA363" i="2"/>
  <c r="Z363" i="2"/>
  <c r="Y363" i="2"/>
  <c r="X363" i="2"/>
  <c r="W363" i="2"/>
  <c r="V363" i="2"/>
  <c r="U363" i="2"/>
  <c r="T363" i="2"/>
  <c r="AJ362" i="2"/>
  <c r="AI362" i="2"/>
  <c r="AH362" i="2"/>
  <c r="AG362" i="2"/>
  <c r="AF362" i="2"/>
  <c r="AE362" i="2"/>
  <c r="AD362" i="2"/>
  <c r="AC362" i="2"/>
  <c r="AB362" i="2"/>
  <c r="AA362" i="2"/>
  <c r="Z362" i="2"/>
  <c r="Y362" i="2"/>
  <c r="X362" i="2"/>
  <c r="W362" i="2"/>
  <c r="V362" i="2"/>
  <c r="U362" i="2"/>
  <c r="T362" i="2"/>
  <c r="AJ361" i="2"/>
  <c r="AI361" i="2"/>
  <c r="AH361" i="2"/>
  <c r="AG361" i="2"/>
  <c r="AF361" i="2"/>
  <c r="AE361" i="2"/>
  <c r="AD361" i="2"/>
  <c r="AC361" i="2"/>
  <c r="AB361" i="2"/>
  <c r="AA361" i="2"/>
  <c r="Z361" i="2"/>
  <c r="Y361" i="2"/>
  <c r="X361" i="2"/>
  <c r="W361" i="2"/>
  <c r="V361" i="2"/>
  <c r="U361" i="2"/>
  <c r="T361" i="2"/>
  <c r="AJ360" i="2"/>
  <c r="AI360" i="2"/>
  <c r="AH360" i="2"/>
  <c r="AG360" i="2"/>
  <c r="AF360" i="2"/>
  <c r="AE360" i="2"/>
  <c r="AD360" i="2"/>
  <c r="AC360" i="2"/>
  <c r="AB360" i="2"/>
  <c r="AA360" i="2"/>
  <c r="Z360" i="2"/>
  <c r="Y360" i="2"/>
  <c r="X360" i="2"/>
  <c r="W360" i="2"/>
  <c r="V360" i="2"/>
  <c r="U360" i="2"/>
  <c r="T360" i="2"/>
  <c r="AJ359" i="2"/>
  <c r="AI359" i="2"/>
  <c r="AH359" i="2"/>
  <c r="AG359" i="2"/>
  <c r="AF359" i="2"/>
  <c r="AE359" i="2"/>
  <c r="AD359" i="2"/>
  <c r="AC359" i="2"/>
  <c r="AB359" i="2"/>
  <c r="AA359" i="2"/>
  <c r="Z359" i="2"/>
  <c r="Y359" i="2"/>
  <c r="X359" i="2"/>
  <c r="W359" i="2"/>
  <c r="V359" i="2"/>
  <c r="U359" i="2"/>
  <c r="T359" i="2"/>
  <c r="AJ358" i="2"/>
  <c r="AI358" i="2"/>
  <c r="AH358" i="2"/>
  <c r="AG358" i="2"/>
  <c r="AF358" i="2"/>
  <c r="AE358" i="2"/>
  <c r="AD358" i="2"/>
  <c r="AC358" i="2"/>
  <c r="AB358" i="2"/>
  <c r="AA358" i="2"/>
  <c r="Z358" i="2"/>
  <c r="Y358" i="2"/>
  <c r="X358" i="2"/>
  <c r="W358" i="2"/>
  <c r="V358" i="2"/>
  <c r="U358" i="2"/>
  <c r="T358" i="2"/>
  <c r="AJ357" i="2"/>
  <c r="AI357" i="2"/>
  <c r="AH357" i="2"/>
  <c r="AG357" i="2"/>
  <c r="AF357" i="2"/>
  <c r="AE357" i="2"/>
  <c r="AD357" i="2"/>
  <c r="AC357" i="2"/>
  <c r="AB357" i="2"/>
  <c r="AA357" i="2"/>
  <c r="Z357" i="2"/>
  <c r="Y357" i="2"/>
  <c r="X357" i="2"/>
  <c r="W357" i="2"/>
  <c r="V357" i="2"/>
  <c r="U357" i="2"/>
  <c r="T357" i="2"/>
  <c r="AJ356" i="2"/>
  <c r="AI356" i="2"/>
  <c r="AH356" i="2"/>
  <c r="AG356" i="2"/>
  <c r="AF356" i="2"/>
  <c r="AE356" i="2"/>
  <c r="AD356" i="2"/>
  <c r="AC356" i="2"/>
  <c r="AB356" i="2"/>
  <c r="AA356" i="2"/>
  <c r="Z356" i="2"/>
  <c r="Y356" i="2"/>
  <c r="X356" i="2"/>
  <c r="W356" i="2"/>
  <c r="V356" i="2"/>
  <c r="U356" i="2"/>
  <c r="T356" i="2"/>
  <c r="AJ355" i="2"/>
  <c r="AI355" i="2"/>
  <c r="AH355" i="2"/>
  <c r="AG355" i="2"/>
  <c r="AF355" i="2"/>
  <c r="AE355" i="2"/>
  <c r="AD355" i="2"/>
  <c r="AC355" i="2"/>
  <c r="AB355" i="2"/>
  <c r="AA355" i="2"/>
  <c r="Z355" i="2"/>
  <c r="Y355" i="2"/>
  <c r="X355" i="2"/>
  <c r="W355" i="2"/>
  <c r="V355" i="2"/>
  <c r="U355" i="2"/>
  <c r="T355" i="2"/>
  <c r="AJ354" i="2"/>
  <c r="AI354" i="2"/>
  <c r="AH354" i="2"/>
  <c r="AG354" i="2"/>
  <c r="AF354" i="2"/>
  <c r="AE354" i="2"/>
  <c r="AD354" i="2"/>
  <c r="AC354" i="2"/>
  <c r="AB354" i="2"/>
  <c r="AA354" i="2"/>
  <c r="Z354" i="2"/>
  <c r="Y354" i="2"/>
  <c r="X354" i="2"/>
  <c r="W354" i="2"/>
  <c r="V354" i="2"/>
  <c r="U354" i="2"/>
  <c r="T354" i="2"/>
  <c r="AJ353" i="2"/>
  <c r="AI353" i="2"/>
  <c r="AH353" i="2"/>
  <c r="AG353" i="2"/>
  <c r="AF353" i="2"/>
  <c r="AE353" i="2"/>
  <c r="AD353" i="2"/>
  <c r="AC353" i="2"/>
  <c r="AB353" i="2"/>
  <c r="AA353" i="2"/>
  <c r="Z353" i="2"/>
  <c r="Y353" i="2"/>
  <c r="X353" i="2"/>
  <c r="W353" i="2"/>
  <c r="V353" i="2"/>
  <c r="U353" i="2"/>
  <c r="T353" i="2"/>
  <c r="AJ352" i="2"/>
  <c r="AI352" i="2"/>
  <c r="AH352" i="2"/>
  <c r="AG352" i="2"/>
  <c r="AF352" i="2"/>
  <c r="AE352" i="2"/>
  <c r="AD352" i="2"/>
  <c r="AC352" i="2"/>
  <c r="AB352" i="2"/>
  <c r="AA352" i="2"/>
  <c r="Z352" i="2"/>
  <c r="Y352" i="2"/>
  <c r="X352" i="2"/>
  <c r="W352" i="2"/>
  <c r="V352" i="2"/>
  <c r="U352" i="2"/>
  <c r="T352" i="2"/>
  <c r="AJ351" i="2"/>
  <c r="AI351" i="2"/>
  <c r="AH351" i="2"/>
  <c r="AG351" i="2"/>
  <c r="AF351" i="2"/>
  <c r="AE351" i="2"/>
  <c r="AD351" i="2"/>
  <c r="AC351" i="2"/>
  <c r="AB351" i="2"/>
  <c r="AA351" i="2"/>
  <c r="Z351" i="2"/>
  <c r="Y351" i="2"/>
  <c r="X351" i="2"/>
  <c r="W351" i="2"/>
  <c r="V351" i="2"/>
  <c r="U351" i="2"/>
  <c r="T351" i="2"/>
  <c r="AJ350" i="2"/>
  <c r="AI350" i="2"/>
  <c r="AH350" i="2"/>
  <c r="AG350" i="2"/>
  <c r="AF350" i="2"/>
  <c r="AE350" i="2"/>
  <c r="AD350" i="2"/>
  <c r="AC350" i="2"/>
  <c r="AB350" i="2"/>
  <c r="AA350" i="2"/>
  <c r="Z350" i="2"/>
  <c r="Y350" i="2"/>
  <c r="X350" i="2"/>
  <c r="W350" i="2"/>
  <c r="V350" i="2"/>
  <c r="U350" i="2"/>
  <c r="T350" i="2"/>
  <c r="AJ349" i="2"/>
  <c r="AI349" i="2"/>
  <c r="AH349" i="2"/>
  <c r="AG349" i="2"/>
  <c r="AF349" i="2"/>
  <c r="AE349" i="2"/>
  <c r="AD349" i="2"/>
  <c r="AC349" i="2"/>
  <c r="AB349" i="2"/>
  <c r="AA349" i="2"/>
  <c r="Z349" i="2"/>
  <c r="Y349" i="2"/>
  <c r="X349" i="2"/>
  <c r="W349" i="2"/>
  <c r="V349" i="2"/>
  <c r="U349" i="2"/>
  <c r="T349" i="2"/>
  <c r="AJ348" i="2"/>
  <c r="AI348" i="2"/>
  <c r="AH348" i="2"/>
  <c r="AG348" i="2"/>
  <c r="AF348" i="2"/>
  <c r="AE348" i="2"/>
  <c r="AD348" i="2"/>
  <c r="AC348" i="2"/>
  <c r="AB348" i="2"/>
  <c r="AA348" i="2"/>
  <c r="Z348" i="2"/>
  <c r="Y348" i="2"/>
  <c r="X348" i="2"/>
  <c r="W348" i="2"/>
  <c r="V348" i="2"/>
  <c r="U348" i="2"/>
  <c r="T348" i="2"/>
  <c r="AJ347" i="2"/>
  <c r="AI347" i="2"/>
  <c r="AH347" i="2"/>
  <c r="AG347" i="2"/>
  <c r="AF347" i="2"/>
  <c r="AE347" i="2"/>
  <c r="AD347" i="2"/>
  <c r="AC347" i="2"/>
  <c r="AB347" i="2"/>
  <c r="AA347" i="2"/>
  <c r="Z347" i="2"/>
  <c r="Y347" i="2"/>
  <c r="X347" i="2"/>
  <c r="W347" i="2"/>
  <c r="V347" i="2"/>
  <c r="U347" i="2"/>
  <c r="T347" i="2"/>
  <c r="AJ346" i="2"/>
  <c r="AI346" i="2"/>
  <c r="AH346" i="2"/>
  <c r="AG346" i="2"/>
  <c r="AF346" i="2"/>
  <c r="AE346" i="2"/>
  <c r="AD346" i="2"/>
  <c r="AC346" i="2"/>
  <c r="AB346" i="2"/>
  <c r="AA346" i="2"/>
  <c r="Z346" i="2"/>
  <c r="Y346" i="2"/>
  <c r="X346" i="2"/>
  <c r="W346" i="2"/>
  <c r="V346" i="2"/>
  <c r="U346" i="2"/>
  <c r="T346" i="2"/>
  <c r="AJ345" i="2"/>
  <c r="AI345" i="2"/>
  <c r="AH345" i="2"/>
  <c r="AG345" i="2"/>
  <c r="AF345" i="2"/>
  <c r="AE345" i="2"/>
  <c r="AD345" i="2"/>
  <c r="AC345" i="2"/>
  <c r="AB345" i="2"/>
  <c r="AA345" i="2"/>
  <c r="Z345" i="2"/>
  <c r="Y345" i="2"/>
  <c r="X345" i="2"/>
  <c r="W345" i="2"/>
  <c r="V345" i="2"/>
  <c r="U345" i="2"/>
  <c r="T345" i="2"/>
  <c r="AJ344" i="2"/>
  <c r="AI344" i="2"/>
  <c r="AH344" i="2"/>
  <c r="AG344" i="2"/>
  <c r="AF344" i="2"/>
  <c r="AE344" i="2"/>
  <c r="AD344" i="2"/>
  <c r="AC344" i="2"/>
  <c r="AB344" i="2"/>
  <c r="AA344" i="2"/>
  <c r="Z344" i="2"/>
  <c r="Y344" i="2"/>
  <c r="X344" i="2"/>
  <c r="W344" i="2"/>
  <c r="V344" i="2"/>
  <c r="U344" i="2"/>
  <c r="T344" i="2"/>
  <c r="AJ343" i="2"/>
  <c r="AI343" i="2"/>
  <c r="AH343" i="2"/>
  <c r="AG343" i="2"/>
  <c r="AF343" i="2"/>
  <c r="AE343" i="2"/>
  <c r="AD343" i="2"/>
  <c r="AC343" i="2"/>
  <c r="AB343" i="2"/>
  <c r="AA343" i="2"/>
  <c r="Z343" i="2"/>
  <c r="Y343" i="2"/>
  <c r="X343" i="2"/>
  <c r="W343" i="2"/>
  <c r="V343" i="2"/>
  <c r="U343" i="2"/>
  <c r="T343" i="2"/>
  <c r="AJ342" i="2"/>
  <c r="AI342" i="2"/>
  <c r="AH342" i="2"/>
  <c r="AG342" i="2"/>
  <c r="AF342" i="2"/>
  <c r="AE342" i="2"/>
  <c r="AD342" i="2"/>
  <c r="AC342" i="2"/>
  <c r="AB342" i="2"/>
  <c r="AA342" i="2"/>
  <c r="Z342" i="2"/>
  <c r="Y342" i="2"/>
  <c r="X342" i="2"/>
  <c r="W342" i="2"/>
  <c r="V342" i="2"/>
  <c r="U342" i="2"/>
  <c r="T342" i="2"/>
  <c r="AJ341" i="2"/>
  <c r="AI341" i="2"/>
  <c r="AH341" i="2"/>
  <c r="AG341" i="2"/>
  <c r="AF341" i="2"/>
  <c r="AE341" i="2"/>
  <c r="AD341" i="2"/>
  <c r="AC341" i="2"/>
  <c r="AB341" i="2"/>
  <c r="AA341" i="2"/>
  <c r="Z341" i="2"/>
  <c r="Y341" i="2"/>
  <c r="X341" i="2"/>
  <c r="W341" i="2"/>
  <c r="V341" i="2"/>
  <c r="U341" i="2"/>
  <c r="T341" i="2"/>
  <c r="AJ340" i="2"/>
  <c r="AI340" i="2"/>
  <c r="AH340" i="2"/>
  <c r="AG340" i="2"/>
  <c r="AF340" i="2"/>
  <c r="AE340" i="2"/>
  <c r="AD340" i="2"/>
  <c r="AC340" i="2"/>
  <c r="AB340" i="2"/>
  <c r="AA340" i="2"/>
  <c r="Z340" i="2"/>
  <c r="Y340" i="2"/>
  <c r="X340" i="2"/>
  <c r="W340" i="2"/>
  <c r="V340" i="2"/>
  <c r="U340" i="2"/>
  <c r="T340" i="2"/>
  <c r="AJ339" i="2"/>
  <c r="AI339" i="2"/>
  <c r="AH339" i="2"/>
  <c r="AG339" i="2"/>
  <c r="AF339" i="2"/>
  <c r="AE339" i="2"/>
  <c r="AD339" i="2"/>
  <c r="AC339" i="2"/>
  <c r="AB339" i="2"/>
  <c r="AA339" i="2"/>
  <c r="Z339" i="2"/>
  <c r="Y339" i="2"/>
  <c r="X339" i="2"/>
  <c r="W339" i="2"/>
  <c r="V339" i="2"/>
  <c r="U339" i="2"/>
  <c r="T339" i="2"/>
  <c r="AJ338" i="2"/>
  <c r="AI338" i="2"/>
  <c r="AH338" i="2"/>
  <c r="AG338" i="2"/>
  <c r="AF338" i="2"/>
  <c r="AE338" i="2"/>
  <c r="AD338" i="2"/>
  <c r="AC338" i="2"/>
  <c r="AB338" i="2"/>
  <c r="AA338" i="2"/>
  <c r="Z338" i="2"/>
  <c r="Y338" i="2"/>
  <c r="X338" i="2"/>
  <c r="W338" i="2"/>
  <c r="V338" i="2"/>
  <c r="U338" i="2"/>
  <c r="T338" i="2"/>
  <c r="AJ337" i="2"/>
  <c r="AI337" i="2"/>
  <c r="AH337" i="2"/>
  <c r="AG337" i="2"/>
  <c r="AF337" i="2"/>
  <c r="AE337" i="2"/>
  <c r="AD337" i="2"/>
  <c r="AC337" i="2"/>
  <c r="AB337" i="2"/>
  <c r="AA337" i="2"/>
  <c r="Z337" i="2"/>
  <c r="Y337" i="2"/>
  <c r="X337" i="2"/>
  <c r="W337" i="2"/>
  <c r="V337" i="2"/>
  <c r="U337" i="2"/>
  <c r="T337" i="2"/>
  <c r="AJ336" i="2"/>
  <c r="AI336" i="2"/>
  <c r="AH336" i="2"/>
  <c r="AG336" i="2"/>
  <c r="AF336" i="2"/>
  <c r="AE336" i="2"/>
  <c r="AD336" i="2"/>
  <c r="AC336" i="2"/>
  <c r="AB336" i="2"/>
  <c r="AA336" i="2"/>
  <c r="Z336" i="2"/>
  <c r="Y336" i="2"/>
  <c r="X336" i="2"/>
  <c r="W336" i="2"/>
  <c r="V336" i="2"/>
  <c r="U336" i="2"/>
  <c r="T336" i="2"/>
  <c r="AJ335" i="2"/>
  <c r="AI335" i="2"/>
  <c r="AH335" i="2"/>
  <c r="AG335" i="2"/>
  <c r="AF335" i="2"/>
  <c r="AE335" i="2"/>
  <c r="AD335" i="2"/>
  <c r="AC335" i="2"/>
  <c r="AB335" i="2"/>
  <c r="AA335" i="2"/>
  <c r="Z335" i="2"/>
  <c r="Y335" i="2"/>
  <c r="X335" i="2"/>
  <c r="W335" i="2"/>
  <c r="V335" i="2"/>
  <c r="U335" i="2"/>
  <c r="T335" i="2"/>
  <c r="AJ334" i="2"/>
  <c r="AI334" i="2"/>
  <c r="AH334" i="2"/>
  <c r="AG334" i="2"/>
  <c r="AF334" i="2"/>
  <c r="AE334" i="2"/>
  <c r="AD334" i="2"/>
  <c r="AC334" i="2"/>
  <c r="AB334" i="2"/>
  <c r="AA334" i="2"/>
  <c r="Z334" i="2"/>
  <c r="Y334" i="2"/>
  <c r="X334" i="2"/>
  <c r="W334" i="2"/>
  <c r="V334" i="2"/>
  <c r="U334" i="2"/>
  <c r="T334" i="2"/>
  <c r="AJ333" i="2"/>
  <c r="AI333" i="2"/>
  <c r="AH333" i="2"/>
  <c r="AG333" i="2"/>
  <c r="AF333" i="2"/>
  <c r="AE333" i="2"/>
  <c r="AD333" i="2"/>
  <c r="AC333" i="2"/>
  <c r="AB333" i="2"/>
  <c r="AA333" i="2"/>
  <c r="Z333" i="2"/>
  <c r="Y333" i="2"/>
  <c r="X333" i="2"/>
  <c r="W333" i="2"/>
  <c r="V333" i="2"/>
  <c r="U333" i="2"/>
  <c r="T333" i="2"/>
  <c r="AJ332" i="2"/>
  <c r="AI332" i="2"/>
  <c r="AH332" i="2"/>
  <c r="AG332" i="2"/>
  <c r="AF332" i="2"/>
  <c r="AE332" i="2"/>
  <c r="AD332" i="2"/>
  <c r="AC332" i="2"/>
  <c r="AB332" i="2"/>
  <c r="AA332" i="2"/>
  <c r="Z332" i="2"/>
  <c r="Y332" i="2"/>
  <c r="X332" i="2"/>
  <c r="W332" i="2"/>
  <c r="V332" i="2"/>
  <c r="U332" i="2"/>
  <c r="T332" i="2"/>
  <c r="AJ331" i="2"/>
  <c r="AI331" i="2"/>
  <c r="AH331" i="2"/>
  <c r="AG331" i="2"/>
  <c r="AF331" i="2"/>
  <c r="AE331" i="2"/>
  <c r="AD331" i="2"/>
  <c r="AC331" i="2"/>
  <c r="AB331" i="2"/>
  <c r="AA331" i="2"/>
  <c r="Z331" i="2"/>
  <c r="Y331" i="2"/>
  <c r="X331" i="2"/>
  <c r="W331" i="2"/>
  <c r="V331" i="2"/>
  <c r="U331" i="2"/>
  <c r="T331" i="2"/>
  <c r="AJ330" i="2"/>
  <c r="AI330" i="2"/>
  <c r="AH330" i="2"/>
  <c r="AG330" i="2"/>
  <c r="AF330" i="2"/>
  <c r="AE330" i="2"/>
  <c r="AD330" i="2"/>
  <c r="AC330" i="2"/>
  <c r="AB330" i="2"/>
  <c r="AA330" i="2"/>
  <c r="Z330" i="2"/>
  <c r="Y330" i="2"/>
  <c r="X330" i="2"/>
  <c r="W330" i="2"/>
  <c r="V330" i="2"/>
  <c r="U330" i="2"/>
  <c r="T330" i="2"/>
  <c r="AJ329" i="2"/>
  <c r="AI329" i="2"/>
  <c r="AH329" i="2"/>
  <c r="AG329" i="2"/>
  <c r="AF329" i="2"/>
  <c r="AE329" i="2"/>
  <c r="AD329" i="2"/>
  <c r="AC329" i="2"/>
  <c r="AB329" i="2"/>
  <c r="AA329" i="2"/>
  <c r="Z329" i="2"/>
  <c r="Y329" i="2"/>
  <c r="X329" i="2"/>
  <c r="W329" i="2"/>
  <c r="V329" i="2"/>
  <c r="U329" i="2"/>
  <c r="T329" i="2"/>
  <c r="AJ328" i="2"/>
  <c r="AI328" i="2"/>
  <c r="AH328" i="2"/>
  <c r="AG328" i="2"/>
  <c r="AF328" i="2"/>
  <c r="AE328" i="2"/>
  <c r="AD328" i="2"/>
  <c r="AC328" i="2"/>
  <c r="AB328" i="2"/>
  <c r="AA328" i="2"/>
  <c r="Z328" i="2"/>
  <c r="Y328" i="2"/>
  <c r="X328" i="2"/>
  <c r="W328" i="2"/>
  <c r="V328" i="2"/>
  <c r="U328" i="2"/>
  <c r="T328" i="2"/>
  <c r="AJ327" i="2"/>
  <c r="AI327" i="2"/>
  <c r="AH327" i="2"/>
  <c r="AG327" i="2"/>
  <c r="AF327" i="2"/>
  <c r="AE327" i="2"/>
  <c r="AD327" i="2"/>
  <c r="AC327" i="2"/>
  <c r="AB327" i="2"/>
  <c r="AA327" i="2"/>
  <c r="Z327" i="2"/>
  <c r="Y327" i="2"/>
  <c r="X327" i="2"/>
  <c r="W327" i="2"/>
  <c r="V327" i="2"/>
  <c r="U327" i="2"/>
  <c r="T327" i="2"/>
  <c r="AJ326" i="2"/>
  <c r="AI326" i="2"/>
  <c r="AH326" i="2"/>
  <c r="AG326" i="2"/>
  <c r="AF326" i="2"/>
  <c r="AE326" i="2"/>
  <c r="AD326" i="2"/>
  <c r="AC326" i="2"/>
  <c r="AB326" i="2"/>
  <c r="AA326" i="2"/>
  <c r="Z326" i="2"/>
  <c r="Y326" i="2"/>
  <c r="X326" i="2"/>
  <c r="W326" i="2"/>
  <c r="V326" i="2"/>
  <c r="U326" i="2"/>
  <c r="T326" i="2"/>
  <c r="AJ325" i="2"/>
  <c r="AI325" i="2"/>
  <c r="AH325" i="2"/>
  <c r="AG325" i="2"/>
  <c r="AF325" i="2"/>
  <c r="AE325" i="2"/>
  <c r="AD325" i="2"/>
  <c r="AC325" i="2"/>
  <c r="AB325" i="2"/>
  <c r="AA325" i="2"/>
  <c r="Z325" i="2"/>
  <c r="Y325" i="2"/>
  <c r="X325" i="2"/>
  <c r="W325" i="2"/>
  <c r="V325" i="2"/>
  <c r="U325" i="2"/>
  <c r="T325" i="2"/>
  <c r="AJ324" i="2"/>
  <c r="AI324" i="2"/>
  <c r="AH324" i="2"/>
  <c r="AG324" i="2"/>
  <c r="AF324" i="2"/>
  <c r="AE324" i="2"/>
  <c r="AD324" i="2"/>
  <c r="AC324" i="2"/>
  <c r="AB324" i="2"/>
  <c r="AA324" i="2"/>
  <c r="Z324" i="2"/>
  <c r="Y324" i="2"/>
  <c r="X324" i="2"/>
  <c r="W324" i="2"/>
  <c r="V324" i="2"/>
  <c r="U324" i="2"/>
  <c r="T324" i="2"/>
  <c r="AJ323" i="2"/>
  <c r="AI323" i="2"/>
  <c r="AH323" i="2"/>
  <c r="AG323" i="2"/>
  <c r="AF323" i="2"/>
  <c r="AE323" i="2"/>
  <c r="AD323" i="2"/>
  <c r="AC323" i="2"/>
  <c r="AB323" i="2"/>
  <c r="AA323" i="2"/>
  <c r="Z323" i="2"/>
  <c r="Y323" i="2"/>
  <c r="X323" i="2"/>
  <c r="W323" i="2"/>
  <c r="V323" i="2"/>
  <c r="U323" i="2"/>
  <c r="T323" i="2"/>
  <c r="AJ322" i="2"/>
  <c r="AI322" i="2"/>
  <c r="AH322" i="2"/>
  <c r="AG322" i="2"/>
  <c r="AF322" i="2"/>
  <c r="AE322" i="2"/>
  <c r="AD322" i="2"/>
  <c r="AC322" i="2"/>
  <c r="AB322" i="2"/>
  <c r="AA322" i="2"/>
  <c r="Z322" i="2"/>
  <c r="Y322" i="2"/>
  <c r="X322" i="2"/>
  <c r="W322" i="2"/>
  <c r="V322" i="2"/>
  <c r="U322" i="2"/>
  <c r="T322" i="2"/>
  <c r="AJ321" i="2"/>
  <c r="AI321" i="2"/>
  <c r="AH321" i="2"/>
  <c r="AG321" i="2"/>
  <c r="AF321" i="2"/>
  <c r="AE321" i="2"/>
  <c r="AD321" i="2"/>
  <c r="AC321" i="2"/>
  <c r="AB321" i="2"/>
  <c r="AA321" i="2"/>
  <c r="Z321" i="2"/>
  <c r="Y321" i="2"/>
  <c r="X321" i="2"/>
  <c r="W321" i="2"/>
  <c r="V321" i="2"/>
  <c r="U321" i="2"/>
  <c r="T321" i="2"/>
  <c r="AJ320" i="2"/>
  <c r="AI320" i="2"/>
  <c r="AH320" i="2"/>
  <c r="AG320" i="2"/>
  <c r="AF320" i="2"/>
  <c r="AE320" i="2"/>
  <c r="AD320" i="2"/>
  <c r="AC320" i="2"/>
  <c r="AB320" i="2"/>
  <c r="AA320" i="2"/>
  <c r="Z320" i="2"/>
  <c r="Y320" i="2"/>
  <c r="X320" i="2"/>
  <c r="W320" i="2"/>
  <c r="V320" i="2"/>
  <c r="U320" i="2"/>
  <c r="T320" i="2"/>
  <c r="AJ319" i="2"/>
  <c r="AI319" i="2"/>
  <c r="AH319" i="2"/>
  <c r="AG319" i="2"/>
  <c r="AF319" i="2"/>
  <c r="AE319" i="2"/>
  <c r="AD319" i="2"/>
  <c r="AC319" i="2"/>
  <c r="AB319" i="2"/>
  <c r="AA319" i="2"/>
  <c r="Z319" i="2"/>
  <c r="Y319" i="2"/>
  <c r="X319" i="2"/>
  <c r="W319" i="2"/>
  <c r="V319" i="2"/>
  <c r="U319" i="2"/>
  <c r="T319" i="2"/>
  <c r="AJ318" i="2"/>
  <c r="AI318" i="2"/>
  <c r="AH318" i="2"/>
  <c r="AG318" i="2"/>
  <c r="AF318" i="2"/>
  <c r="AE318" i="2"/>
  <c r="AD318" i="2"/>
  <c r="AC318" i="2"/>
  <c r="AB318" i="2"/>
  <c r="AA318" i="2"/>
  <c r="Z318" i="2"/>
  <c r="Y318" i="2"/>
  <c r="X318" i="2"/>
  <c r="W318" i="2"/>
  <c r="V318" i="2"/>
  <c r="U318" i="2"/>
  <c r="T318" i="2"/>
  <c r="AJ317" i="2"/>
  <c r="AI317" i="2"/>
  <c r="AH317" i="2"/>
  <c r="AG317" i="2"/>
  <c r="AF317" i="2"/>
  <c r="AE317" i="2"/>
  <c r="AD317" i="2"/>
  <c r="AC317" i="2"/>
  <c r="AB317" i="2"/>
  <c r="AA317" i="2"/>
  <c r="Z317" i="2"/>
  <c r="Y317" i="2"/>
  <c r="X317" i="2"/>
  <c r="W317" i="2"/>
  <c r="V317" i="2"/>
  <c r="U317" i="2"/>
  <c r="T317" i="2"/>
  <c r="AJ316" i="2"/>
  <c r="AI316" i="2"/>
  <c r="AH316" i="2"/>
  <c r="AG316" i="2"/>
  <c r="AF316" i="2"/>
  <c r="AE316" i="2"/>
  <c r="AD316" i="2"/>
  <c r="AC316" i="2"/>
  <c r="AB316" i="2"/>
  <c r="AA316" i="2"/>
  <c r="Z316" i="2"/>
  <c r="Y316" i="2"/>
  <c r="X316" i="2"/>
  <c r="W316" i="2"/>
  <c r="V316" i="2"/>
  <c r="U316" i="2"/>
  <c r="T316" i="2"/>
  <c r="AJ315" i="2"/>
  <c r="AI315" i="2"/>
  <c r="AH315" i="2"/>
  <c r="AG315" i="2"/>
  <c r="AF315" i="2"/>
  <c r="AE315" i="2"/>
  <c r="AD315" i="2"/>
  <c r="AC315" i="2"/>
  <c r="AB315" i="2"/>
  <c r="AA315" i="2"/>
  <c r="Z315" i="2"/>
  <c r="Y315" i="2"/>
  <c r="X315" i="2"/>
  <c r="W315" i="2"/>
  <c r="V315" i="2"/>
  <c r="U315" i="2"/>
  <c r="T315" i="2"/>
  <c r="AJ314" i="2"/>
  <c r="AI314" i="2"/>
  <c r="AH314" i="2"/>
  <c r="AG314" i="2"/>
  <c r="AF314" i="2"/>
  <c r="AE314" i="2"/>
  <c r="AD314" i="2"/>
  <c r="AC314" i="2"/>
  <c r="AB314" i="2"/>
  <c r="AA314" i="2"/>
  <c r="Z314" i="2"/>
  <c r="Y314" i="2"/>
  <c r="X314" i="2"/>
  <c r="W314" i="2"/>
  <c r="V314" i="2"/>
  <c r="U314" i="2"/>
  <c r="T314" i="2"/>
  <c r="AJ313" i="2"/>
  <c r="AI313" i="2"/>
  <c r="AH313" i="2"/>
  <c r="AG313" i="2"/>
  <c r="AF313" i="2"/>
  <c r="AE313" i="2"/>
  <c r="AD313" i="2"/>
  <c r="AC313" i="2"/>
  <c r="AB313" i="2"/>
  <c r="AA313" i="2"/>
  <c r="Z313" i="2"/>
  <c r="Y313" i="2"/>
  <c r="X313" i="2"/>
  <c r="W313" i="2"/>
  <c r="V313" i="2"/>
  <c r="U313" i="2"/>
  <c r="T313" i="2"/>
  <c r="AJ312" i="2"/>
  <c r="AI312" i="2"/>
  <c r="AH312" i="2"/>
  <c r="AG312" i="2"/>
  <c r="AF312" i="2"/>
  <c r="AE312" i="2"/>
  <c r="AD312" i="2"/>
  <c r="AC312" i="2"/>
  <c r="AB312" i="2"/>
  <c r="AA312" i="2"/>
  <c r="Z312" i="2"/>
  <c r="Y312" i="2"/>
  <c r="X312" i="2"/>
  <c r="W312" i="2"/>
  <c r="V312" i="2"/>
  <c r="U312" i="2"/>
  <c r="T312" i="2"/>
  <c r="AJ311" i="2"/>
  <c r="AI311" i="2"/>
  <c r="AH311" i="2"/>
  <c r="AG311" i="2"/>
  <c r="AF311" i="2"/>
  <c r="AE311" i="2"/>
  <c r="AD311" i="2"/>
  <c r="AC311" i="2"/>
  <c r="AB311" i="2"/>
  <c r="AA311" i="2"/>
  <c r="Z311" i="2"/>
  <c r="Y311" i="2"/>
  <c r="X311" i="2"/>
  <c r="W311" i="2"/>
  <c r="V311" i="2"/>
  <c r="U311" i="2"/>
  <c r="T311" i="2"/>
  <c r="AJ310" i="2"/>
  <c r="AI310" i="2"/>
  <c r="AH310" i="2"/>
  <c r="AG310" i="2"/>
  <c r="AF310" i="2"/>
  <c r="AE310" i="2"/>
  <c r="AD310" i="2"/>
  <c r="AC310" i="2"/>
  <c r="AB310" i="2"/>
  <c r="AA310" i="2"/>
  <c r="Z310" i="2"/>
  <c r="Y310" i="2"/>
  <c r="X310" i="2"/>
  <c r="W310" i="2"/>
  <c r="V310" i="2"/>
  <c r="U310" i="2"/>
  <c r="T310" i="2"/>
  <c r="AJ309" i="2"/>
  <c r="AI309" i="2"/>
  <c r="AH309" i="2"/>
  <c r="AG309" i="2"/>
  <c r="AF309" i="2"/>
  <c r="AE309" i="2"/>
  <c r="AD309" i="2"/>
  <c r="AC309" i="2"/>
  <c r="AB309" i="2"/>
  <c r="AA309" i="2"/>
  <c r="Z309" i="2"/>
  <c r="Y309" i="2"/>
  <c r="X309" i="2"/>
  <c r="W309" i="2"/>
  <c r="V309" i="2"/>
  <c r="U309" i="2"/>
  <c r="T309" i="2"/>
  <c r="AJ308" i="2"/>
  <c r="AI308" i="2"/>
  <c r="AH308" i="2"/>
  <c r="AG308" i="2"/>
  <c r="AF308" i="2"/>
  <c r="AE308" i="2"/>
  <c r="AD308" i="2"/>
  <c r="AC308" i="2"/>
  <c r="AB308" i="2"/>
  <c r="AA308" i="2"/>
  <c r="Z308" i="2"/>
  <c r="Y308" i="2"/>
  <c r="X308" i="2"/>
  <c r="W308" i="2"/>
  <c r="V308" i="2"/>
  <c r="U308" i="2"/>
  <c r="T308" i="2"/>
  <c r="AJ307" i="2"/>
  <c r="AI307" i="2"/>
  <c r="AH307" i="2"/>
  <c r="AG307" i="2"/>
  <c r="AF307" i="2"/>
  <c r="AE307" i="2"/>
  <c r="AD307" i="2"/>
  <c r="AC307" i="2"/>
  <c r="AB307" i="2"/>
  <c r="AA307" i="2"/>
  <c r="Z307" i="2"/>
  <c r="Y307" i="2"/>
  <c r="X307" i="2"/>
  <c r="W307" i="2"/>
  <c r="V307" i="2"/>
  <c r="U307" i="2"/>
  <c r="T307" i="2"/>
  <c r="AJ306" i="2"/>
  <c r="AI306" i="2"/>
  <c r="AH306" i="2"/>
  <c r="AG306" i="2"/>
  <c r="AF306" i="2"/>
  <c r="AE306" i="2"/>
  <c r="AD306" i="2"/>
  <c r="AC306" i="2"/>
  <c r="AB306" i="2"/>
  <c r="AA306" i="2"/>
  <c r="Z306" i="2"/>
  <c r="Y306" i="2"/>
  <c r="X306" i="2"/>
  <c r="W306" i="2"/>
  <c r="V306" i="2"/>
  <c r="U306" i="2"/>
  <c r="T306" i="2"/>
  <c r="AJ305" i="2"/>
  <c r="AI305" i="2"/>
  <c r="AH305" i="2"/>
  <c r="AG305" i="2"/>
  <c r="AF305" i="2"/>
  <c r="AE305" i="2"/>
  <c r="AD305" i="2"/>
  <c r="AC305" i="2"/>
  <c r="AB305" i="2"/>
  <c r="AA305" i="2"/>
  <c r="Z305" i="2"/>
  <c r="Y305" i="2"/>
  <c r="X305" i="2"/>
  <c r="W305" i="2"/>
  <c r="V305" i="2"/>
  <c r="U305" i="2"/>
  <c r="T305" i="2"/>
  <c r="AJ304" i="2"/>
  <c r="AI304" i="2"/>
  <c r="AH304" i="2"/>
  <c r="AG304" i="2"/>
  <c r="AF304" i="2"/>
  <c r="AE304" i="2"/>
  <c r="AD304" i="2"/>
  <c r="AC304" i="2"/>
  <c r="AB304" i="2"/>
  <c r="AA304" i="2"/>
  <c r="Z304" i="2"/>
  <c r="Y304" i="2"/>
  <c r="X304" i="2"/>
  <c r="W304" i="2"/>
  <c r="V304" i="2"/>
  <c r="U304" i="2"/>
  <c r="T304" i="2"/>
  <c r="AJ303" i="2"/>
  <c r="AI303" i="2"/>
  <c r="AH303" i="2"/>
  <c r="AG303" i="2"/>
  <c r="AF303" i="2"/>
  <c r="AE303" i="2"/>
  <c r="AD303" i="2"/>
  <c r="AC303" i="2"/>
  <c r="AB303" i="2"/>
  <c r="AA303" i="2"/>
  <c r="Z303" i="2"/>
  <c r="Y303" i="2"/>
  <c r="X303" i="2"/>
  <c r="W303" i="2"/>
  <c r="V303" i="2"/>
  <c r="U303" i="2"/>
  <c r="T303" i="2"/>
  <c r="AJ302" i="2"/>
  <c r="AI302" i="2"/>
  <c r="AH302" i="2"/>
  <c r="AG302" i="2"/>
  <c r="AF302" i="2"/>
  <c r="AE302" i="2"/>
  <c r="AD302" i="2"/>
  <c r="AC302" i="2"/>
  <c r="AB302" i="2"/>
  <c r="AA302" i="2"/>
  <c r="Z302" i="2"/>
  <c r="Y302" i="2"/>
  <c r="X302" i="2"/>
  <c r="W302" i="2"/>
  <c r="V302" i="2"/>
  <c r="U302" i="2"/>
  <c r="T302" i="2"/>
  <c r="AJ301" i="2"/>
  <c r="AI301" i="2"/>
  <c r="AH301" i="2"/>
  <c r="AG301" i="2"/>
  <c r="AF301" i="2"/>
  <c r="AE301" i="2"/>
  <c r="AD301" i="2"/>
  <c r="AC301" i="2"/>
  <c r="AB301" i="2"/>
  <c r="AA301" i="2"/>
  <c r="Z301" i="2"/>
  <c r="Y301" i="2"/>
  <c r="X301" i="2"/>
  <c r="W301" i="2"/>
  <c r="V301" i="2"/>
  <c r="U301" i="2"/>
  <c r="T301" i="2"/>
  <c r="AJ300" i="2"/>
  <c r="AI300" i="2"/>
  <c r="AH300" i="2"/>
  <c r="AG300" i="2"/>
  <c r="AF300" i="2"/>
  <c r="AE300" i="2"/>
  <c r="AD300" i="2"/>
  <c r="AC300" i="2"/>
  <c r="AB300" i="2"/>
  <c r="AA300" i="2"/>
  <c r="Z300" i="2"/>
  <c r="Y300" i="2"/>
  <c r="X300" i="2"/>
  <c r="W300" i="2"/>
  <c r="V300" i="2"/>
  <c r="U300" i="2"/>
  <c r="T300" i="2"/>
  <c r="AJ299" i="2"/>
  <c r="AI299" i="2"/>
  <c r="AH299" i="2"/>
  <c r="AG299" i="2"/>
  <c r="AF299" i="2"/>
  <c r="AE299" i="2"/>
  <c r="AD299" i="2"/>
  <c r="AC299" i="2"/>
  <c r="AB299" i="2"/>
  <c r="AA299" i="2"/>
  <c r="Z299" i="2"/>
  <c r="Y299" i="2"/>
  <c r="X299" i="2"/>
  <c r="W299" i="2"/>
  <c r="V299" i="2"/>
  <c r="U299" i="2"/>
  <c r="T299" i="2"/>
  <c r="AJ298" i="2"/>
  <c r="AI298" i="2"/>
  <c r="AH298" i="2"/>
  <c r="AG298" i="2"/>
  <c r="AF298" i="2"/>
  <c r="AE298" i="2"/>
  <c r="AD298" i="2"/>
  <c r="AC298" i="2"/>
  <c r="AB298" i="2"/>
  <c r="AA298" i="2"/>
  <c r="Z298" i="2"/>
  <c r="Y298" i="2"/>
  <c r="X298" i="2"/>
  <c r="W298" i="2"/>
  <c r="V298" i="2"/>
  <c r="U298" i="2"/>
  <c r="T298" i="2"/>
  <c r="AJ297" i="2"/>
  <c r="AI297" i="2"/>
  <c r="AH297" i="2"/>
  <c r="AG297" i="2"/>
  <c r="AF297" i="2"/>
  <c r="AE297" i="2"/>
  <c r="AD297" i="2"/>
  <c r="AC297" i="2"/>
  <c r="AB297" i="2"/>
  <c r="AA297" i="2"/>
  <c r="Z297" i="2"/>
  <c r="Y297" i="2"/>
  <c r="X297" i="2"/>
  <c r="W297" i="2"/>
  <c r="V297" i="2"/>
  <c r="U297" i="2"/>
  <c r="T297" i="2"/>
  <c r="AJ296" i="2"/>
  <c r="AI296" i="2"/>
  <c r="AH296" i="2"/>
  <c r="AG296" i="2"/>
  <c r="AF296" i="2"/>
  <c r="AE296" i="2"/>
  <c r="AD296" i="2"/>
  <c r="AC296" i="2"/>
  <c r="AB296" i="2"/>
  <c r="AA296" i="2"/>
  <c r="Z296" i="2"/>
  <c r="Y296" i="2"/>
  <c r="X296" i="2"/>
  <c r="W296" i="2"/>
  <c r="V296" i="2"/>
  <c r="U296" i="2"/>
  <c r="T296" i="2"/>
  <c r="AJ295" i="2"/>
  <c r="AI295" i="2"/>
  <c r="AH295" i="2"/>
  <c r="AG295" i="2"/>
  <c r="AF295" i="2"/>
  <c r="AE295" i="2"/>
  <c r="AD295" i="2"/>
  <c r="AC295" i="2"/>
  <c r="AB295" i="2"/>
  <c r="AA295" i="2"/>
  <c r="Z295" i="2"/>
  <c r="Y295" i="2"/>
  <c r="X295" i="2"/>
  <c r="W295" i="2"/>
  <c r="V295" i="2"/>
  <c r="U295" i="2"/>
  <c r="T295" i="2"/>
  <c r="AJ294" i="2"/>
  <c r="AI294" i="2"/>
  <c r="AH294" i="2"/>
  <c r="AG294" i="2"/>
  <c r="AF294" i="2"/>
  <c r="AE294" i="2"/>
  <c r="AD294" i="2"/>
  <c r="AC294" i="2"/>
  <c r="AB294" i="2"/>
  <c r="AA294" i="2"/>
  <c r="Z294" i="2"/>
  <c r="Y294" i="2"/>
  <c r="X294" i="2"/>
  <c r="W294" i="2"/>
  <c r="V294" i="2"/>
  <c r="U294" i="2"/>
  <c r="T294" i="2"/>
  <c r="AJ293" i="2"/>
  <c r="AI293" i="2"/>
  <c r="AH293" i="2"/>
  <c r="AG293" i="2"/>
  <c r="AF293" i="2"/>
  <c r="AE293" i="2"/>
  <c r="AD293" i="2"/>
  <c r="AC293" i="2"/>
  <c r="AB293" i="2"/>
  <c r="AA293" i="2"/>
  <c r="Z293" i="2"/>
  <c r="Y293" i="2"/>
  <c r="X293" i="2"/>
  <c r="W293" i="2"/>
  <c r="V293" i="2"/>
  <c r="U293" i="2"/>
  <c r="T293" i="2"/>
  <c r="AJ292" i="2"/>
  <c r="AI292" i="2"/>
  <c r="AH292" i="2"/>
  <c r="AG292" i="2"/>
  <c r="AF292" i="2"/>
  <c r="AE292" i="2"/>
  <c r="AD292" i="2"/>
  <c r="AC292" i="2"/>
  <c r="AB292" i="2"/>
  <c r="AA292" i="2"/>
  <c r="Z292" i="2"/>
  <c r="Y292" i="2"/>
  <c r="X292" i="2"/>
  <c r="W292" i="2"/>
  <c r="V292" i="2"/>
  <c r="U292" i="2"/>
  <c r="T292" i="2"/>
  <c r="AJ291" i="2"/>
  <c r="AI291" i="2"/>
  <c r="AH291" i="2"/>
  <c r="AG291" i="2"/>
  <c r="AF291" i="2"/>
  <c r="AE291" i="2"/>
  <c r="AD291" i="2"/>
  <c r="AC291" i="2"/>
  <c r="AB291" i="2"/>
  <c r="AA291" i="2"/>
  <c r="Z291" i="2"/>
  <c r="Y291" i="2"/>
  <c r="X291" i="2"/>
  <c r="W291" i="2"/>
  <c r="V291" i="2"/>
  <c r="U291" i="2"/>
  <c r="T291" i="2"/>
  <c r="AJ290" i="2"/>
  <c r="AI290" i="2"/>
  <c r="AH290" i="2"/>
  <c r="AG290" i="2"/>
  <c r="AF290" i="2"/>
  <c r="AE290" i="2"/>
  <c r="AD290" i="2"/>
  <c r="AC290" i="2"/>
  <c r="AB290" i="2"/>
  <c r="AA290" i="2"/>
  <c r="Z290" i="2"/>
  <c r="Y290" i="2"/>
  <c r="X290" i="2"/>
  <c r="W290" i="2"/>
  <c r="V290" i="2"/>
  <c r="U290" i="2"/>
  <c r="T290" i="2"/>
  <c r="AJ289" i="2"/>
  <c r="AI289" i="2"/>
  <c r="AH289" i="2"/>
  <c r="AG289" i="2"/>
  <c r="AF289" i="2"/>
  <c r="AE289" i="2"/>
  <c r="AD289" i="2"/>
  <c r="AC289" i="2"/>
  <c r="AB289" i="2"/>
  <c r="AA289" i="2"/>
  <c r="Z289" i="2"/>
  <c r="Y289" i="2"/>
  <c r="X289" i="2"/>
  <c r="W289" i="2"/>
  <c r="V289" i="2"/>
  <c r="U289" i="2"/>
  <c r="T289" i="2"/>
  <c r="AJ288" i="2"/>
  <c r="AI288" i="2"/>
  <c r="AH288" i="2"/>
  <c r="AG288" i="2"/>
  <c r="AF288" i="2"/>
  <c r="AE288" i="2"/>
  <c r="AD288" i="2"/>
  <c r="AC288" i="2"/>
  <c r="AB288" i="2"/>
  <c r="AA288" i="2"/>
  <c r="Z288" i="2"/>
  <c r="Y288" i="2"/>
  <c r="X288" i="2"/>
  <c r="W288" i="2"/>
  <c r="V288" i="2"/>
  <c r="U288" i="2"/>
  <c r="T288" i="2"/>
  <c r="AJ287" i="2"/>
  <c r="AI287" i="2"/>
  <c r="AH287" i="2"/>
  <c r="AG287" i="2"/>
  <c r="AF287" i="2"/>
  <c r="AE287" i="2"/>
  <c r="AD287" i="2"/>
  <c r="AC287" i="2"/>
  <c r="AB287" i="2"/>
  <c r="AA287" i="2"/>
  <c r="Z287" i="2"/>
  <c r="Y287" i="2"/>
  <c r="X287" i="2"/>
  <c r="W287" i="2"/>
  <c r="V287" i="2"/>
  <c r="U287" i="2"/>
  <c r="T287" i="2"/>
  <c r="AJ286" i="2"/>
  <c r="AI286" i="2"/>
  <c r="AH286" i="2"/>
  <c r="AG286" i="2"/>
  <c r="AF286" i="2"/>
  <c r="AE286" i="2"/>
  <c r="AD286" i="2"/>
  <c r="AC286" i="2"/>
  <c r="AB286" i="2"/>
  <c r="AA286" i="2"/>
  <c r="Z286" i="2"/>
  <c r="Y286" i="2"/>
  <c r="X286" i="2"/>
  <c r="W286" i="2"/>
  <c r="V286" i="2"/>
  <c r="U286" i="2"/>
  <c r="T286" i="2"/>
  <c r="AJ285" i="2"/>
  <c r="AI285" i="2"/>
  <c r="AH285" i="2"/>
  <c r="AG285" i="2"/>
  <c r="AF285" i="2"/>
  <c r="AE285" i="2"/>
  <c r="AD285" i="2"/>
  <c r="AC285" i="2"/>
  <c r="AB285" i="2"/>
  <c r="AA285" i="2"/>
  <c r="Z285" i="2"/>
  <c r="Y285" i="2"/>
  <c r="X285" i="2"/>
  <c r="W285" i="2"/>
  <c r="V285" i="2"/>
  <c r="U285" i="2"/>
  <c r="T285" i="2"/>
  <c r="AJ284" i="2"/>
  <c r="AI284" i="2"/>
  <c r="AH284" i="2"/>
  <c r="AG284" i="2"/>
  <c r="AF284" i="2"/>
  <c r="AE284" i="2"/>
  <c r="AD284" i="2"/>
  <c r="AC284" i="2"/>
  <c r="AB284" i="2"/>
  <c r="AA284" i="2"/>
  <c r="Z284" i="2"/>
  <c r="Y284" i="2"/>
  <c r="X284" i="2"/>
  <c r="W284" i="2"/>
  <c r="V284" i="2"/>
  <c r="U284" i="2"/>
  <c r="T284" i="2"/>
  <c r="AJ283" i="2"/>
  <c r="AI283" i="2"/>
  <c r="AH283" i="2"/>
  <c r="AG283" i="2"/>
  <c r="AF283" i="2"/>
  <c r="AE283" i="2"/>
  <c r="AD283" i="2"/>
  <c r="AC283" i="2"/>
  <c r="AB283" i="2"/>
  <c r="AA283" i="2"/>
  <c r="Z283" i="2"/>
  <c r="Y283" i="2"/>
  <c r="X283" i="2"/>
  <c r="W283" i="2"/>
  <c r="V283" i="2"/>
  <c r="U283" i="2"/>
  <c r="T283" i="2"/>
  <c r="AJ282" i="2"/>
  <c r="AI282" i="2"/>
  <c r="AH282" i="2"/>
  <c r="AG282" i="2"/>
  <c r="AF282" i="2"/>
  <c r="AE282" i="2"/>
  <c r="AD282" i="2"/>
  <c r="AC282" i="2"/>
  <c r="AB282" i="2"/>
  <c r="AA282" i="2"/>
  <c r="Z282" i="2"/>
  <c r="Y282" i="2"/>
  <c r="X282" i="2"/>
  <c r="W282" i="2"/>
  <c r="V282" i="2"/>
  <c r="U282" i="2"/>
  <c r="T282" i="2"/>
  <c r="AJ281" i="2"/>
  <c r="AI281" i="2"/>
  <c r="AH281" i="2"/>
  <c r="AG281" i="2"/>
  <c r="AF281" i="2"/>
  <c r="AE281" i="2"/>
  <c r="AD281" i="2"/>
  <c r="AC281" i="2"/>
  <c r="AB281" i="2"/>
  <c r="AA281" i="2"/>
  <c r="Z281" i="2"/>
  <c r="Y281" i="2"/>
  <c r="X281" i="2"/>
  <c r="W281" i="2"/>
  <c r="V281" i="2"/>
  <c r="U281" i="2"/>
  <c r="T281" i="2"/>
  <c r="AJ280" i="2"/>
  <c r="AI280" i="2"/>
  <c r="AH280" i="2"/>
  <c r="AG280" i="2"/>
  <c r="AF280" i="2"/>
  <c r="AE280" i="2"/>
  <c r="AD280" i="2"/>
  <c r="AC280" i="2"/>
  <c r="AB280" i="2"/>
  <c r="AA280" i="2"/>
  <c r="Z280" i="2"/>
  <c r="Y280" i="2"/>
  <c r="X280" i="2"/>
  <c r="W280" i="2"/>
  <c r="V280" i="2"/>
  <c r="U280" i="2"/>
  <c r="T280" i="2"/>
  <c r="AJ279" i="2"/>
  <c r="AI279" i="2"/>
  <c r="AH279" i="2"/>
  <c r="AG279" i="2"/>
  <c r="AF279" i="2"/>
  <c r="AE279" i="2"/>
  <c r="AD279" i="2"/>
  <c r="AC279" i="2"/>
  <c r="AB279" i="2"/>
  <c r="AA279" i="2"/>
  <c r="Z279" i="2"/>
  <c r="Y279" i="2"/>
  <c r="X279" i="2"/>
  <c r="W279" i="2"/>
  <c r="V279" i="2"/>
  <c r="U279" i="2"/>
  <c r="T279" i="2"/>
  <c r="AJ278" i="2"/>
  <c r="AI278" i="2"/>
  <c r="AH278" i="2"/>
  <c r="AG278" i="2"/>
  <c r="AF278" i="2"/>
  <c r="AE278" i="2"/>
  <c r="AD278" i="2"/>
  <c r="AC278" i="2"/>
  <c r="AB278" i="2"/>
  <c r="AA278" i="2"/>
  <c r="Z278" i="2"/>
  <c r="Y278" i="2"/>
  <c r="X278" i="2"/>
  <c r="W278" i="2"/>
  <c r="V278" i="2"/>
  <c r="U278" i="2"/>
  <c r="T278" i="2"/>
  <c r="AJ277" i="2"/>
  <c r="AI277" i="2"/>
  <c r="AH277" i="2"/>
  <c r="AG277" i="2"/>
  <c r="AF277" i="2"/>
  <c r="AE277" i="2"/>
  <c r="AD277" i="2"/>
  <c r="AC277" i="2"/>
  <c r="AB277" i="2"/>
  <c r="AA277" i="2"/>
  <c r="Z277" i="2"/>
  <c r="Y277" i="2"/>
  <c r="X277" i="2"/>
  <c r="W277" i="2"/>
  <c r="V277" i="2"/>
  <c r="U277" i="2"/>
  <c r="T277" i="2"/>
  <c r="AJ276" i="2"/>
  <c r="AI276" i="2"/>
  <c r="AH276" i="2"/>
  <c r="AG276" i="2"/>
  <c r="AF276" i="2"/>
  <c r="AE276" i="2"/>
  <c r="AD276" i="2"/>
  <c r="AC276" i="2"/>
  <c r="AB276" i="2"/>
  <c r="AA276" i="2"/>
  <c r="Z276" i="2"/>
  <c r="Y276" i="2"/>
  <c r="X276" i="2"/>
  <c r="W276" i="2"/>
  <c r="V276" i="2"/>
  <c r="U276" i="2"/>
  <c r="T276" i="2"/>
  <c r="AJ275" i="2"/>
  <c r="AI275" i="2"/>
  <c r="AH275" i="2"/>
  <c r="AG275" i="2"/>
  <c r="AF275" i="2"/>
  <c r="AE275" i="2"/>
  <c r="AD275" i="2"/>
  <c r="AC275" i="2"/>
  <c r="AB275" i="2"/>
  <c r="AA275" i="2"/>
  <c r="Z275" i="2"/>
  <c r="Y275" i="2"/>
  <c r="X275" i="2"/>
  <c r="W275" i="2"/>
  <c r="V275" i="2"/>
  <c r="U275" i="2"/>
  <c r="T275" i="2"/>
  <c r="AJ274" i="2"/>
  <c r="AI274" i="2"/>
  <c r="AH274" i="2"/>
  <c r="AG274" i="2"/>
  <c r="AF274" i="2"/>
  <c r="AE274" i="2"/>
  <c r="AD274" i="2"/>
  <c r="AC274" i="2"/>
  <c r="AB274" i="2"/>
  <c r="AA274" i="2"/>
  <c r="Z274" i="2"/>
  <c r="Y274" i="2"/>
  <c r="X274" i="2"/>
  <c r="W274" i="2"/>
  <c r="V274" i="2"/>
  <c r="U274" i="2"/>
  <c r="T274" i="2"/>
  <c r="AJ273" i="2"/>
  <c r="AI273" i="2"/>
  <c r="AH273" i="2"/>
  <c r="AG273" i="2"/>
  <c r="AF273" i="2"/>
  <c r="AE273" i="2"/>
  <c r="AD273" i="2"/>
  <c r="AC273" i="2"/>
  <c r="AB273" i="2"/>
  <c r="AA273" i="2"/>
  <c r="Z273" i="2"/>
  <c r="Y273" i="2"/>
  <c r="X273" i="2"/>
  <c r="W273" i="2"/>
  <c r="V273" i="2"/>
  <c r="U273" i="2"/>
  <c r="T273" i="2"/>
  <c r="AJ272" i="2"/>
  <c r="AI272" i="2"/>
  <c r="AH272" i="2"/>
  <c r="AG272" i="2"/>
  <c r="AF272" i="2"/>
  <c r="AE272" i="2"/>
  <c r="AD272" i="2"/>
  <c r="AC272" i="2"/>
  <c r="AB272" i="2"/>
  <c r="AA272" i="2"/>
  <c r="Z272" i="2"/>
  <c r="Y272" i="2"/>
  <c r="X272" i="2"/>
  <c r="W272" i="2"/>
  <c r="V272" i="2"/>
  <c r="U272" i="2"/>
  <c r="T272" i="2"/>
  <c r="AJ271" i="2"/>
  <c r="AI271" i="2"/>
  <c r="AH271" i="2"/>
  <c r="AG271" i="2"/>
  <c r="AF271" i="2"/>
  <c r="AE271" i="2"/>
  <c r="AD271" i="2"/>
  <c r="AC271" i="2"/>
  <c r="AB271" i="2"/>
  <c r="AA271" i="2"/>
  <c r="Z271" i="2"/>
  <c r="Y271" i="2"/>
  <c r="X271" i="2"/>
  <c r="W271" i="2"/>
  <c r="V271" i="2"/>
  <c r="U271" i="2"/>
  <c r="T271" i="2"/>
  <c r="AJ270" i="2"/>
  <c r="AI270" i="2"/>
  <c r="AH270" i="2"/>
  <c r="AG270" i="2"/>
  <c r="AF270" i="2"/>
  <c r="AE270" i="2"/>
  <c r="AD270" i="2"/>
  <c r="AC270" i="2"/>
  <c r="AB270" i="2"/>
  <c r="AA270" i="2"/>
  <c r="Z270" i="2"/>
  <c r="Y270" i="2"/>
  <c r="X270" i="2"/>
  <c r="W270" i="2"/>
  <c r="V270" i="2"/>
  <c r="U270" i="2"/>
  <c r="T270" i="2"/>
  <c r="AJ269" i="2"/>
  <c r="AI269" i="2"/>
  <c r="AH269" i="2"/>
  <c r="AG269" i="2"/>
  <c r="AF269" i="2"/>
  <c r="AE269" i="2"/>
  <c r="AD269" i="2"/>
  <c r="AC269" i="2"/>
  <c r="AB269" i="2"/>
  <c r="AA269" i="2"/>
  <c r="Z269" i="2"/>
  <c r="Y269" i="2"/>
  <c r="X269" i="2"/>
  <c r="W269" i="2"/>
  <c r="V269" i="2"/>
  <c r="U269" i="2"/>
  <c r="T269" i="2"/>
  <c r="AJ268" i="2"/>
  <c r="AI268" i="2"/>
  <c r="AH268" i="2"/>
  <c r="AG268" i="2"/>
  <c r="AF268" i="2"/>
  <c r="AE268" i="2"/>
  <c r="AD268" i="2"/>
  <c r="AC268" i="2"/>
  <c r="AB268" i="2"/>
  <c r="AA268" i="2"/>
  <c r="Z268" i="2"/>
  <c r="Y268" i="2"/>
  <c r="X268" i="2"/>
  <c r="W268" i="2"/>
  <c r="V268" i="2"/>
  <c r="U268" i="2"/>
  <c r="T268" i="2"/>
  <c r="AJ267" i="2"/>
  <c r="AI267" i="2"/>
  <c r="AH267" i="2"/>
  <c r="AG267" i="2"/>
  <c r="AF267" i="2"/>
  <c r="AE267" i="2"/>
  <c r="AD267" i="2"/>
  <c r="AC267" i="2"/>
  <c r="AB267" i="2"/>
  <c r="AA267" i="2"/>
  <c r="Z267" i="2"/>
  <c r="Y267" i="2"/>
  <c r="X267" i="2"/>
  <c r="W267" i="2"/>
  <c r="V267" i="2"/>
  <c r="U267" i="2"/>
  <c r="T267" i="2"/>
  <c r="AJ266" i="2"/>
  <c r="AI266" i="2"/>
  <c r="AH266" i="2"/>
  <c r="AG266" i="2"/>
  <c r="AF266" i="2"/>
  <c r="AE266" i="2"/>
  <c r="AD266" i="2"/>
  <c r="AC266" i="2"/>
  <c r="AB266" i="2"/>
  <c r="AA266" i="2"/>
  <c r="Z266" i="2"/>
  <c r="Y266" i="2"/>
  <c r="X266" i="2"/>
  <c r="W266" i="2"/>
  <c r="V266" i="2"/>
  <c r="U266" i="2"/>
  <c r="T266" i="2"/>
  <c r="AJ265" i="2"/>
  <c r="AI265" i="2"/>
  <c r="AH265" i="2"/>
  <c r="AG265" i="2"/>
  <c r="AF265" i="2"/>
  <c r="AE265" i="2"/>
  <c r="AD265" i="2"/>
  <c r="AC265" i="2"/>
  <c r="AB265" i="2"/>
  <c r="AA265" i="2"/>
  <c r="Z265" i="2"/>
  <c r="Y265" i="2"/>
  <c r="X265" i="2"/>
  <c r="W265" i="2"/>
  <c r="V265" i="2"/>
  <c r="U265" i="2"/>
  <c r="T265" i="2"/>
  <c r="AJ264" i="2"/>
  <c r="AI264" i="2"/>
  <c r="AH264" i="2"/>
  <c r="AG264" i="2"/>
  <c r="AF264" i="2"/>
  <c r="AE264" i="2"/>
  <c r="AD264" i="2"/>
  <c r="AC264" i="2"/>
  <c r="AB264" i="2"/>
  <c r="AA264" i="2"/>
  <c r="Z264" i="2"/>
  <c r="Y264" i="2"/>
  <c r="X264" i="2"/>
  <c r="W264" i="2"/>
  <c r="V264" i="2"/>
  <c r="U264" i="2"/>
  <c r="T264" i="2"/>
  <c r="AJ263" i="2"/>
  <c r="AI263" i="2"/>
  <c r="AH263" i="2"/>
  <c r="AG263" i="2"/>
  <c r="AF263" i="2"/>
  <c r="AE263" i="2"/>
  <c r="AD263" i="2"/>
  <c r="AC263" i="2"/>
  <c r="AB263" i="2"/>
  <c r="AA263" i="2"/>
  <c r="Z263" i="2"/>
  <c r="Y263" i="2"/>
  <c r="X263" i="2"/>
  <c r="W263" i="2"/>
  <c r="V263" i="2"/>
  <c r="U263" i="2"/>
  <c r="T263" i="2"/>
  <c r="AJ262" i="2"/>
  <c r="AI262" i="2"/>
  <c r="AH262" i="2"/>
  <c r="AG262" i="2"/>
  <c r="AF262" i="2"/>
  <c r="AE262" i="2"/>
  <c r="AD262" i="2"/>
  <c r="AC262" i="2"/>
  <c r="AB262" i="2"/>
  <c r="AA262" i="2"/>
  <c r="Z262" i="2"/>
  <c r="Y262" i="2"/>
  <c r="X262" i="2"/>
  <c r="W262" i="2"/>
  <c r="V262" i="2"/>
  <c r="U262" i="2"/>
  <c r="T262" i="2"/>
  <c r="AJ261" i="2"/>
  <c r="AI261" i="2"/>
  <c r="AH261" i="2"/>
  <c r="AG261" i="2"/>
  <c r="AF261" i="2"/>
  <c r="AE261" i="2"/>
  <c r="AD261" i="2"/>
  <c r="AC261" i="2"/>
  <c r="AB261" i="2"/>
  <c r="AA261" i="2"/>
  <c r="Z261" i="2"/>
  <c r="Y261" i="2"/>
  <c r="X261" i="2"/>
  <c r="W261" i="2"/>
  <c r="V261" i="2"/>
  <c r="U261" i="2"/>
  <c r="T261" i="2"/>
  <c r="AJ260" i="2"/>
  <c r="AI260" i="2"/>
  <c r="AH260" i="2"/>
  <c r="AG260" i="2"/>
  <c r="AF260" i="2"/>
  <c r="AE260" i="2"/>
  <c r="AD260" i="2"/>
  <c r="AC260" i="2"/>
  <c r="AB260" i="2"/>
  <c r="AA260" i="2"/>
  <c r="Z260" i="2"/>
  <c r="Y260" i="2"/>
  <c r="X260" i="2"/>
  <c r="W260" i="2"/>
  <c r="V260" i="2"/>
  <c r="U260" i="2"/>
  <c r="T260" i="2"/>
  <c r="AJ259" i="2"/>
  <c r="AI259" i="2"/>
  <c r="AH259" i="2"/>
  <c r="AG259" i="2"/>
  <c r="AF259" i="2"/>
  <c r="AE259" i="2"/>
  <c r="AD259" i="2"/>
  <c r="AC259" i="2"/>
  <c r="AB259" i="2"/>
  <c r="AA259" i="2"/>
  <c r="Z259" i="2"/>
  <c r="Y259" i="2"/>
  <c r="X259" i="2"/>
  <c r="W259" i="2"/>
  <c r="V259" i="2"/>
  <c r="U259" i="2"/>
  <c r="T259" i="2"/>
  <c r="AJ258" i="2"/>
  <c r="AI258" i="2"/>
  <c r="AH258" i="2"/>
  <c r="AG258" i="2"/>
  <c r="AF258" i="2"/>
  <c r="AE258" i="2"/>
  <c r="AD258" i="2"/>
  <c r="AC258" i="2"/>
  <c r="AB258" i="2"/>
  <c r="AA258" i="2"/>
  <c r="Z258" i="2"/>
  <c r="Y258" i="2"/>
  <c r="X258" i="2"/>
  <c r="W258" i="2"/>
  <c r="V258" i="2"/>
  <c r="U258" i="2"/>
  <c r="T258" i="2"/>
  <c r="AJ257" i="2"/>
  <c r="AI257" i="2"/>
  <c r="AH257" i="2"/>
  <c r="AG257" i="2"/>
  <c r="AF257" i="2"/>
  <c r="AE257" i="2"/>
  <c r="AD257" i="2"/>
  <c r="AC257" i="2"/>
  <c r="AB257" i="2"/>
  <c r="AA257" i="2"/>
  <c r="Z257" i="2"/>
  <c r="Y257" i="2"/>
  <c r="X257" i="2"/>
  <c r="W257" i="2"/>
  <c r="V257" i="2"/>
  <c r="U257" i="2"/>
  <c r="T257" i="2"/>
  <c r="AJ256" i="2"/>
  <c r="AI256" i="2"/>
  <c r="AH256" i="2"/>
  <c r="AG256" i="2"/>
  <c r="AF256" i="2"/>
  <c r="AE256" i="2"/>
  <c r="AD256" i="2"/>
  <c r="AC256" i="2"/>
  <c r="AB256" i="2"/>
  <c r="AA256" i="2"/>
  <c r="Z256" i="2"/>
  <c r="Y256" i="2"/>
  <c r="X256" i="2"/>
  <c r="W256" i="2"/>
  <c r="V256" i="2"/>
  <c r="U256" i="2"/>
  <c r="T256" i="2"/>
  <c r="AJ255" i="2"/>
  <c r="AI255" i="2"/>
  <c r="AH255" i="2"/>
  <c r="AG255" i="2"/>
  <c r="AF255" i="2"/>
  <c r="AE255" i="2"/>
  <c r="AD255" i="2"/>
  <c r="AC255" i="2"/>
  <c r="AB255" i="2"/>
  <c r="AA255" i="2"/>
  <c r="Z255" i="2"/>
  <c r="Y255" i="2"/>
  <c r="X255" i="2"/>
  <c r="W255" i="2"/>
  <c r="V255" i="2"/>
  <c r="U255" i="2"/>
  <c r="T255" i="2"/>
  <c r="AJ254" i="2"/>
  <c r="AI254" i="2"/>
  <c r="AH254" i="2"/>
  <c r="AG254" i="2"/>
  <c r="AF254" i="2"/>
  <c r="AE254" i="2"/>
  <c r="AD254" i="2"/>
  <c r="AC254" i="2"/>
  <c r="AB254" i="2"/>
  <c r="AA254" i="2"/>
  <c r="Z254" i="2"/>
  <c r="Y254" i="2"/>
  <c r="X254" i="2"/>
  <c r="W254" i="2"/>
  <c r="V254" i="2"/>
  <c r="U254" i="2"/>
  <c r="T254" i="2"/>
  <c r="AJ253" i="2"/>
  <c r="AI253" i="2"/>
  <c r="AH253" i="2"/>
  <c r="AG253" i="2"/>
  <c r="AF253" i="2"/>
  <c r="AE253" i="2"/>
  <c r="AD253" i="2"/>
  <c r="AC253" i="2"/>
  <c r="AB253" i="2"/>
  <c r="AA253" i="2"/>
  <c r="Z253" i="2"/>
  <c r="Y253" i="2"/>
  <c r="X253" i="2"/>
  <c r="W253" i="2"/>
  <c r="V253" i="2"/>
  <c r="U253" i="2"/>
  <c r="T253" i="2"/>
  <c r="AJ252" i="2"/>
  <c r="AI252" i="2"/>
  <c r="AH252" i="2"/>
  <c r="AG252" i="2"/>
  <c r="AF252" i="2"/>
  <c r="AE252" i="2"/>
  <c r="AD252" i="2"/>
  <c r="AC252" i="2"/>
  <c r="AB252" i="2"/>
  <c r="AA252" i="2"/>
  <c r="Z252" i="2"/>
  <c r="Y252" i="2"/>
  <c r="X252" i="2"/>
  <c r="W252" i="2"/>
  <c r="V252" i="2"/>
  <c r="U252" i="2"/>
  <c r="T252" i="2"/>
  <c r="AJ251" i="2"/>
  <c r="AI251" i="2"/>
  <c r="AH251" i="2"/>
  <c r="AG251" i="2"/>
  <c r="AF251" i="2"/>
  <c r="AE251" i="2"/>
  <c r="AD251" i="2"/>
  <c r="AC251" i="2"/>
  <c r="AB251" i="2"/>
  <c r="AA251" i="2"/>
  <c r="Z251" i="2"/>
  <c r="Y251" i="2"/>
  <c r="X251" i="2"/>
  <c r="W251" i="2"/>
  <c r="V251" i="2"/>
  <c r="U251" i="2"/>
  <c r="T251" i="2"/>
  <c r="AJ250" i="2"/>
  <c r="AI250" i="2"/>
  <c r="AH250" i="2"/>
  <c r="AG250" i="2"/>
  <c r="AF250" i="2"/>
  <c r="AE250" i="2"/>
  <c r="AD250" i="2"/>
  <c r="AC250" i="2"/>
  <c r="AB250" i="2"/>
  <c r="AA250" i="2"/>
  <c r="Z250" i="2"/>
  <c r="Y250" i="2"/>
  <c r="X250" i="2"/>
  <c r="W250" i="2"/>
  <c r="V250" i="2"/>
  <c r="U250" i="2"/>
  <c r="T250" i="2"/>
  <c r="AJ249" i="2"/>
  <c r="AI249" i="2"/>
  <c r="AH249" i="2"/>
  <c r="AG249" i="2"/>
  <c r="AF249" i="2"/>
  <c r="AE249" i="2"/>
  <c r="AD249" i="2"/>
  <c r="AC249" i="2"/>
  <c r="AB249" i="2"/>
  <c r="AA249" i="2"/>
  <c r="Z249" i="2"/>
  <c r="Y249" i="2"/>
  <c r="X249" i="2"/>
  <c r="W249" i="2"/>
  <c r="V249" i="2"/>
  <c r="U249" i="2"/>
  <c r="T249" i="2"/>
  <c r="AJ248" i="2"/>
  <c r="AI248" i="2"/>
  <c r="AH248" i="2"/>
  <c r="AG248" i="2"/>
  <c r="AF248" i="2"/>
  <c r="AE248" i="2"/>
  <c r="AD248" i="2"/>
  <c r="AC248" i="2"/>
  <c r="AB248" i="2"/>
  <c r="AA248" i="2"/>
  <c r="Z248" i="2"/>
  <c r="Y248" i="2"/>
  <c r="X248" i="2"/>
  <c r="W248" i="2"/>
  <c r="V248" i="2"/>
  <c r="U248" i="2"/>
  <c r="T248" i="2"/>
  <c r="AJ247" i="2"/>
  <c r="AI247" i="2"/>
  <c r="AH247" i="2"/>
  <c r="AG247" i="2"/>
  <c r="AF247" i="2"/>
  <c r="AE247" i="2"/>
  <c r="AD247" i="2"/>
  <c r="AC247" i="2"/>
  <c r="AB247" i="2"/>
  <c r="AA247" i="2"/>
  <c r="Z247" i="2"/>
  <c r="Y247" i="2"/>
  <c r="X247" i="2"/>
  <c r="W247" i="2"/>
  <c r="V247" i="2"/>
  <c r="U247" i="2"/>
  <c r="T247" i="2"/>
  <c r="AJ246" i="2"/>
  <c r="AI246" i="2"/>
  <c r="AH246" i="2"/>
  <c r="AG246" i="2"/>
  <c r="AF246" i="2"/>
  <c r="AE246" i="2"/>
  <c r="AD246" i="2"/>
  <c r="AC246" i="2"/>
  <c r="AB246" i="2"/>
  <c r="AA246" i="2"/>
  <c r="Z246" i="2"/>
  <c r="Y246" i="2"/>
  <c r="X246" i="2"/>
  <c r="W246" i="2"/>
  <c r="V246" i="2"/>
  <c r="U246" i="2"/>
  <c r="T246" i="2"/>
  <c r="AJ245" i="2"/>
  <c r="AI245" i="2"/>
  <c r="AH245" i="2"/>
  <c r="AG245" i="2"/>
  <c r="AF245" i="2"/>
  <c r="AE245" i="2"/>
  <c r="AD245" i="2"/>
  <c r="AC245" i="2"/>
  <c r="AB245" i="2"/>
  <c r="AA245" i="2"/>
  <c r="Z245" i="2"/>
  <c r="Y245" i="2"/>
  <c r="X245" i="2"/>
  <c r="W245" i="2"/>
  <c r="V245" i="2"/>
  <c r="U245" i="2"/>
  <c r="T245" i="2"/>
  <c r="AJ244" i="2"/>
  <c r="AI244" i="2"/>
  <c r="AH244" i="2"/>
  <c r="AG244" i="2"/>
  <c r="AF244" i="2"/>
  <c r="AE244" i="2"/>
  <c r="AD244" i="2"/>
  <c r="AC244" i="2"/>
  <c r="AB244" i="2"/>
  <c r="AA244" i="2"/>
  <c r="Z244" i="2"/>
  <c r="Y244" i="2"/>
  <c r="X244" i="2"/>
  <c r="W244" i="2"/>
  <c r="V244" i="2"/>
  <c r="U244" i="2"/>
  <c r="T244" i="2"/>
  <c r="AJ243" i="2"/>
  <c r="AI243" i="2"/>
  <c r="AH243" i="2"/>
  <c r="AG243" i="2"/>
  <c r="AF243" i="2"/>
  <c r="AE243" i="2"/>
  <c r="AD243" i="2"/>
  <c r="AC243" i="2"/>
  <c r="AB243" i="2"/>
  <c r="AA243" i="2"/>
  <c r="Z243" i="2"/>
  <c r="Y243" i="2"/>
  <c r="X243" i="2"/>
  <c r="W243" i="2"/>
  <c r="V243" i="2"/>
  <c r="U243" i="2"/>
  <c r="T243" i="2"/>
  <c r="AJ242" i="2"/>
  <c r="AI242" i="2"/>
  <c r="AH242" i="2"/>
  <c r="AG242" i="2"/>
  <c r="AF242" i="2"/>
  <c r="AE242" i="2"/>
  <c r="AD242" i="2"/>
  <c r="AC242" i="2"/>
  <c r="AB242" i="2"/>
  <c r="AA242" i="2"/>
  <c r="Z242" i="2"/>
  <c r="Y242" i="2"/>
  <c r="X242" i="2"/>
  <c r="W242" i="2"/>
  <c r="V242" i="2"/>
  <c r="U242" i="2"/>
  <c r="T242" i="2"/>
  <c r="AJ241" i="2"/>
  <c r="AI241" i="2"/>
  <c r="AH241" i="2"/>
  <c r="AG241" i="2"/>
  <c r="AF241" i="2"/>
  <c r="AE241" i="2"/>
  <c r="AD241" i="2"/>
  <c r="AC241" i="2"/>
  <c r="AB241" i="2"/>
  <c r="AA241" i="2"/>
  <c r="Z241" i="2"/>
  <c r="Y241" i="2"/>
  <c r="X241" i="2"/>
  <c r="W241" i="2"/>
  <c r="V241" i="2"/>
  <c r="U241" i="2"/>
  <c r="T241" i="2"/>
  <c r="AJ240" i="2"/>
  <c r="AI240" i="2"/>
  <c r="AH240" i="2"/>
  <c r="AG240" i="2"/>
  <c r="AF240" i="2"/>
  <c r="AE240" i="2"/>
  <c r="AD240" i="2"/>
  <c r="AC240" i="2"/>
  <c r="AB240" i="2"/>
  <c r="AA240" i="2"/>
  <c r="Z240" i="2"/>
  <c r="Y240" i="2"/>
  <c r="X240" i="2"/>
  <c r="W240" i="2"/>
  <c r="V240" i="2"/>
  <c r="U240" i="2"/>
  <c r="T240" i="2"/>
  <c r="AJ239" i="2"/>
  <c r="AI239" i="2"/>
  <c r="AH239" i="2"/>
  <c r="AG239" i="2"/>
  <c r="AF239" i="2"/>
  <c r="AE239" i="2"/>
  <c r="AD239" i="2"/>
  <c r="AC239" i="2"/>
  <c r="AB239" i="2"/>
  <c r="AA239" i="2"/>
  <c r="Z239" i="2"/>
  <c r="Y239" i="2"/>
  <c r="X239" i="2"/>
  <c r="W239" i="2"/>
  <c r="V239" i="2"/>
  <c r="U239" i="2"/>
  <c r="T239" i="2"/>
  <c r="AJ238" i="2"/>
  <c r="AI238" i="2"/>
  <c r="AH238" i="2"/>
  <c r="AG238" i="2"/>
  <c r="AF238" i="2"/>
  <c r="AE238" i="2"/>
  <c r="AD238" i="2"/>
  <c r="AC238" i="2"/>
  <c r="AB238" i="2"/>
  <c r="AA238" i="2"/>
  <c r="Z238" i="2"/>
  <c r="Y238" i="2"/>
  <c r="X238" i="2"/>
  <c r="W238" i="2"/>
  <c r="V238" i="2"/>
  <c r="U238" i="2"/>
  <c r="T238" i="2"/>
  <c r="AJ237" i="2"/>
  <c r="AI237" i="2"/>
  <c r="AH237" i="2"/>
  <c r="AG237" i="2"/>
  <c r="AF237" i="2"/>
  <c r="AE237" i="2"/>
  <c r="AD237" i="2"/>
  <c r="AC237" i="2"/>
  <c r="AB237" i="2"/>
  <c r="AA237" i="2"/>
  <c r="Z237" i="2"/>
  <c r="Y237" i="2"/>
  <c r="X237" i="2"/>
  <c r="W237" i="2"/>
  <c r="V237" i="2"/>
  <c r="U237" i="2"/>
  <c r="T237" i="2"/>
  <c r="AJ236" i="2"/>
  <c r="AI236" i="2"/>
  <c r="AH236" i="2"/>
  <c r="AG236" i="2"/>
  <c r="AF236" i="2"/>
  <c r="AE236" i="2"/>
  <c r="AD236" i="2"/>
  <c r="AC236" i="2"/>
  <c r="AB236" i="2"/>
  <c r="AA236" i="2"/>
  <c r="Z236" i="2"/>
  <c r="Y236" i="2"/>
  <c r="X236" i="2"/>
  <c r="W236" i="2"/>
  <c r="V236" i="2"/>
  <c r="U236" i="2"/>
  <c r="T236" i="2"/>
  <c r="AJ235" i="2"/>
  <c r="AI235" i="2"/>
  <c r="AH235" i="2"/>
  <c r="AG235" i="2"/>
  <c r="AF235" i="2"/>
  <c r="AE235" i="2"/>
  <c r="AD235" i="2"/>
  <c r="AC235" i="2"/>
  <c r="AB235" i="2"/>
  <c r="AA235" i="2"/>
  <c r="Z235" i="2"/>
  <c r="Y235" i="2"/>
  <c r="X235" i="2"/>
  <c r="W235" i="2"/>
  <c r="V235" i="2"/>
  <c r="U235" i="2"/>
  <c r="T235" i="2"/>
  <c r="AJ234" i="2"/>
  <c r="AI234" i="2"/>
  <c r="AH234" i="2"/>
  <c r="AG234" i="2"/>
  <c r="AF234" i="2"/>
  <c r="AE234" i="2"/>
  <c r="AD234" i="2"/>
  <c r="AC234" i="2"/>
  <c r="AB234" i="2"/>
  <c r="AA234" i="2"/>
  <c r="Z234" i="2"/>
  <c r="Y234" i="2"/>
  <c r="X234" i="2"/>
  <c r="W234" i="2"/>
  <c r="V234" i="2"/>
  <c r="U234" i="2"/>
  <c r="T234" i="2"/>
  <c r="AJ233" i="2"/>
  <c r="AI233" i="2"/>
  <c r="AH233" i="2"/>
  <c r="AG233" i="2"/>
  <c r="AF233" i="2"/>
  <c r="AE233" i="2"/>
  <c r="AD233" i="2"/>
  <c r="AC233" i="2"/>
  <c r="AB233" i="2"/>
  <c r="AA233" i="2"/>
  <c r="Z233" i="2"/>
  <c r="Y233" i="2"/>
  <c r="X233" i="2"/>
  <c r="W233" i="2"/>
  <c r="V233" i="2"/>
  <c r="U233" i="2"/>
  <c r="T233" i="2"/>
  <c r="AJ232" i="2"/>
  <c r="AI232" i="2"/>
  <c r="AH232" i="2"/>
  <c r="AG232" i="2"/>
  <c r="AF232" i="2"/>
  <c r="AE232" i="2"/>
  <c r="AD232" i="2"/>
  <c r="AC232" i="2"/>
  <c r="AB232" i="2"/>
  <c r="AA232" i="2"/>
  <c r="Z232" i="2"/>
  <c r="Y232" i="2"/>
  <c r="X232" i="2"/>
  <c r="W232" i="2"/>
  <c r="V232" i="2"/>
  <c r="U232" i="2"/>
  <c r="T232" i="2"/>
  <c r="AJ231" i="2"/>
  <c r="AI231" i="2"/>
  <c r="AH231" i="2"/>
  <c r="AG231" i="2"/>
  <c r="AF231" i="2"/>
  <c r="AE231" i="2"/>
  <c r="AD231" i="2"/>
  <c r="AC231" i="2"/>
  <c r="AB231" i="2"/>
  <c r="AA231" i="2"/>
  <c r="Z231" i="2"/>
  <c r="Y231" i="2"/>
  <c r="X231" i="2"/>
  <c r="W231" i="2"/>
  <c r="V231" i="2"/>
  <c r="U231" i="2"/>
  <c r="T231" i="2"/>
  <c r="AJ230" i="2"/>
  <c r="AI230" i="2"/>
  <c r="AH230" i="2"/>
  <c r="AG230" i="2"/>
  <c r="AF230" i="2"/>
  <c r="AE230" i="2"/>
  <c r="AD230" i="2"/>
  <c r="AC230" i="2"/>
  <c r="AB230" i="2"/>
  <c r="AA230" i="2"/>
  <c r="Z230" i="2"/>
  <c r="Y230" i="2"/>
  <c r="X230" i="2"/>
  <c r="W230" i="2"/>
  <c r="V230" i="2"/>
  <c r="U230" i="2"/>
  <c r="T230" i="2"/>
  <c r="AJ229" i="2"/>
  <c r="AI229" i="2"/>
  <c r="AH229" i="2"/>
  <c r="AG229" i="2"/>
  <c r="AF229" i="2"/>
  <c r="AE229" i="2"/>
  <c r="AD229" i="2"/>
  <c r="AC229" i="2"/>
  <c r="AB229" i="2"/>
  <c r="AA229" i="2"/>
  <c r="Z229" i="2"/>
  <c r="Y229" i="2"/>
  <c r="X229" i="2"/>
  <c r="W229" i="2"/>
  <c r="V229" i="2"/>
  <c r="U229" i="2"/>
  <c r="T229" i="2"/>
  <c r="AJ228" i="2"/>
  <c r="AI228" i="2"/>
  <c r="AH228" i="2"/>
  <c r="AG228" i="2"/>
  <c r="AF228" i="2"/>
  <c r="AE228" i="2"/>
  <c r="AD228" i="2"/>
  <c r="AC228" i="2"/>
  <c r="AB228" i="2"/>
  <c r="AA228" i="2"/>
  <c r="Z228" i="2"/>
  <c r="Y228" i="2"/>
  <c r="X228" i="2"/>
  <c r="W228" i="2"/>
  <c r="V228" i="2"/>
  <c r="U228" i="2"/>
  <c r="T228" i="2"/>
  <c r="AJ227" i="2"/>
  <c r="AI227" i="2"/>
  <c r="AH227" i="2"/>
  <c r="AG227" i="2"/>
  <c r="AF227" i="2"/>
  <c r="AE227" i="2"/>
  <c r="AD227" i="2"/>
  <c r="AC227" i="2"/>
  <c r="AB227" i="2"/>
  <c r="AA227" i="2"/>
  <c r="Z227" i="2"/>
  <c r="Y227" i="2"/>
  <c r="X227" i="2"/>
  <c r="W227" i="2"/>
  <c r="V227" i="2"/>
  <c r="U227" i="2"/>
  <c r="T227" i="2"/>
  <c r="AJ226" i="2"/>
  <c r="AI226" i="2"/>
  <c r="AH226" i="2"/>
  <c r="AG226" i="2"/>
  <c r="AF226" i="2"/>
  <c r="AE226" i="2"/>
  <c r="AD226" i="2"/>
  <c r="AC226" i="2"/>
  <c r="AB226" i="2"/>
  <c r="AA226" i="2"/>
  <c r="Z226" i="2"/>
  <c r="Y226" i="2"/>
  <c r="X226" i="2"/>
  <c r="W226" i="2"/>
  <c r="V226" i="2"/>
  <c r="U226" i="2"/>
  <c r="T226" i="2"/>
  <c r="AJ225" i="2"/>
  <c r="AI225" i="2"/>
  <c r="AH225" i="2"/>
  <c r="AG225" i="2"/>
  <c r="AF225" i="2"/>
  <c r="AE225" i="2"/>
  <c r="AD225" i="2"/>
  <c r="AC225" i="2"/>
  <c r="AB225" i="2"/>
  <c r="AA225" i="2"/>
  <c r="Z225" i="2"/>
  <c r="Y225" i="2"/>
  <c r="X225" i="2"/>
  <c r="W225" i="2"/>
  <c r="V225" i="2"/>
  <c r="U225" i="2"/>
  <c r="T225" i="2"/>
  <c r="AJ224" i="2"/>
  <c r="AI224" i="2"/>
  <c r="AH224" i="2"/>
  <c r="AG224" i="2"/>
  <c r="AF224" i="2"/>
  <c r="AE224" i="2"/>
  <c r="AD224" i="2"/>
  <c r="AC224" i="2"/>
  <c r="AB224" i="2"/>
  <c r="AA224" i="2"/>
  <c r="Z224" i="2"/>
  <c r="Y224" i="2"/>
  <c r="X224" i="2"/>
  <c r="W224" i="2"/>
  <c r="V224" i="2"/>
  <c r="U224" i="2"/>
  <c r="T224" i="2"/>
  <c r="AJ223" i="2"/>
  <c r="AI223" i="2"/>
  <c r="AH223" i="2"/>
  <c r="AG223" i="2"/>
  <c r="AF223" i="2"/>
  <c r="AE223" i="2"/>
  <c r="AD223" i="2"/>
  <c r="AC223" i="2"/>
  <c r="AB223" i="2"/>
  <c r="AA223" i="2"/>
  <c r="Z223" i="2"/>
  <c r="Y223" i="2"/>
  <c r="X223" i="2"/>
  <c r="W223" i="2"/>
  <c r="V223" i="2"/>
  <c r="U223" i="2"/>
  <c r="T223" i="2"/>
  <c r="AJ222" i="2"/>
  <c r="AI222" i="2"/>
  <c r="AH222" i="2"/>
  <c r="AG222" i="2"/>
  <c r="AF222" i="2"/>
  <c r="AE222" i="2"/>
  <c r="AD222" i="2"/>
  <c r="AC222" i="2"/>
  <c r="AB222" i="2"/>
  <c r="AA222" i="2"/>
  <c r="Z222" i="2"/>
  <c r="Y222" i="2"/>
  <c r="X222" i="2"/>
  <c r="W222" i="2"/>
  <c r="V222" i="2"/>
  <c r="U222" i="2"/>
  <c r="T222" i="2"/>
  <c r="AJ221" i="2"/>
  <c r="AI221" i="2"/>
  <c r="AH221" i="2"/>
  <c r="AG221" i="2"/>
  <c r="AF221" i="2"/>
  <c r="AE221" i="2"/>
  <c r="AD221" i="2"/>
  <c r="AC221" i="2"/>
  <c r="AB221" i="2"/>
  <c r="AA221" i="2"/>
  <c r="Z221" i="2"/>
  <c r="Y221" i="2"/>
  <c r="X221" i="2"/>
  <c r="W221" i="2"/>
  <c r="V221" i="2"/>
  <c r="U221" i="2"/>
  <c r="T221" i="2"/>
  <c r="AJ220" i="2"/>
  <c r="AI220" i="2"/>
  <c r="AH220" i="2"/>
  <c r="AG220" i="2"/>
  <c r="AF220" i="2"/>
  <c r="AE220" i="2"/>
  <c r="AD220" i="2"/>
  <c r="AC220" i="2"/>
  <c r="AB220" i="2"/>
  <c r="AA220" i="2"/>
  <c r="Z220" i="2"/>
  <c r="Y220" i="2"/>
  <c r="X220" i="2"/>
  <c r="W220" i="2"/>
  <c r="V220" i="2"/>
  <c r="U220" i="2"/>
  <c r="T220" i="2"/>
  <c r="AJ219" i="2"/>
  <c r="AI219" i="2"/>
  <c r="AH219" i="2"/>
  <c r="AG219" i="2"/>
  <c r="AF219" i="2"/>
  <c r="AE219" i="2"/>
  <c r="AD219" i="2"/>
  <c r="AC219" i="2"/>
  <c r="AB219" i="2"/>
  <c r="AA219" i="2"/>
  <c r="Z219" i="2"/>
  <c r="Y219" i="2"/>
  <c r="X219" i="2"/>
  <c r="W219" i="2"/>
  <c r="V219" i="2"/>
  <c r="U219" i="2"/>
  <c r="T219" i="2"/>
  <c r="AJ218" i="2"/>
  <c r="AI218" i="2"/>
  <c r="AH218" i="2"/>
  <c r="AG218" i="2"/>
  <c r="AF218" i="2"/>
  <c r="AE218" i="2"/>
  <c r="AD218" i="2"/>
  <c r="AC218" i="2"/>
  <c r="AB218" i="2"/>
  <c r="AA218" i="2"/>
  <c r="Z218" i="2"/>
  <c r="Y218" i="2"/>
  <c r="X218" i="2"/>
  <c r="W218" i="2"/>
  <c r="V218" i="2"/>
  <c r="U218" i="2"/>
  <c r="T218" i="2"/>
  <c r="AJ217" i="2"/>
  <c r="AI217" i="2"/>
  <c r="AH217" i="2"/>
  <c r="AG217" i="2"/>
  <c r="AF217" i="2"/>
  <c r="AE217" i="2"/>
  <c r="AD217" i="2"/>
  <c r="AC217" i="2"/>
  <c r="AB217" i="2"/>
  <c r="AA217" i="2"/>
  <c r="Z217" i="2"/>
  <c r="Y217" i="2"/>
  <c r="X217" i="2"/>
  <c r="W217" i="2"/>
  <c r="V217" i="2"/>
  <c r="U217" i="2"/>
  <c r="T217" i="2"/>
  <c r="AJ216" i="2"/>
  <c r="AI216" i="2"/>
  <c r="AH216" i="2"/>
  <c r="AG216" i="2"/>
  <c r="AF216" i="2"/>
  <c r="AE216" i="2"/>
  <c r="AD216" i="2"/>
  <c r="AC216" i="2"/>
  <c r="AB216" i="2"/>
  <c r="AA216" i="2"/>
  <c r="Z216" i="2"/>
  <c r="Y216" i="2"/>
  <c r="X216" i="2"/>
  <c r="W216" i="2"/>
  <c r="V216" i="2"/>
  <c r="U216" i="2"/>
  <c r="T216" i="2"/>
  <c r="AJ215" i="2"/>
  <c r="AI215" i="2"/>
  <c r="AH215" i="2"/>
  <c r="AG215" i="2"/>
  <c r="AF215" i="2"/>
  <c r="AE215" i="2"/>
  <c r="AD215" i="2"/>
  <c r="AC215" i="2"/>
  <c r="AB215" i="2"/>
  <c r="AA215" i="2"/>
  <c r="Z215" i="2"/>
  <c r="Y215" i="2"/>
  <c r="X215" i="2"/>
  <c r="W215" i="2"/>
  <c r="V215" i="2"/>
  <c r="U215" i="2"/>
  <c r="T215" i="2"/>
  <c r="AJ214" i="2"/>
  <c r="AI214" i="2"/>
  <c r="AH214" i="2"/>
  <c r="AG214" i="2"/>
  <c r="AF214" i="2"/>
  <c r="AE214" i="2"/>
  <c r="AD214" i="2"/>
  <c r="AC214" i="2"/>
  <c r="AB214" i="2"/>
  <c r="AA214" i="2"/>
  <c r="Z214" i="2"/>
  <c r="Y214" i="2"/>
  <c r="X214" i="2"/>
  <c r="W214" i="2"/>
  <c r="V214" i="2"/>
  <c r="U214" i="2"/>
  <c r="T214" i="2"/>
  <c r="AJ213" i="2"/>
  <c r="AI213" i="2"/>
  <c r="AH213" i="2"/>
  <c r="AG213" i="2"/>
  <c r="AF213" i="2"/>
  <c r="AE213" i="2"/>
  <c r="AD213" i="2"/>
  <c r="AC213" i="2"/>
  <c r="AB213" i="2"/>
  <c r="AA213" i="2"/>
  <c r="Z213" i="2"/>
  <c r="Y213" i="2"/>
  <c r="X213" i="2"/>
  <c r="W213" i="2"/>
  <c r="V213" i="2"/>
  <c r="U213" i="2"/>
  <c r="T213" i="2"/>
  <c r="AJ212" i="2"/>
  <c r="AI212" i="2"/>
  <c r="AH212" i="2"/>
  <c r="AG212" i="2"/>
  <c r="AF212" i="2"/>
  <c r="AE212" i="2"/>
  <c r="AD212" i="2"/>
  <c r="AC212" i="2"/>
  <c r="AB212" i="2"/>
  <c r="AA212" i="2"/>
  <c r="Z212" i="2"/>
  <c r="Y212" i="2"/>
  <c r="X212" i="2"/>
  <c r="W212" i="2"/>
  <c r="V212" i="2"/>
  <c r="U212" i="2"/>
  <c r="T212" i="2"/>
  <c r="AJ211" i="2"/>
  <c r="AI211" i="2"/>
  <c r="AH211" i="2"/>
  <c r="AG211" i="2"/>
  <c r="AF211" i="2"/>
  <c r="AE211" i="2"/>
  <c r="AD211" i="2"/>
  <c r="AC211" i="2"/>
  <c r="AB211" i="2"/>
  <c r="AA211" i="2"/>
  <c r="Z211" i="2"/>
  <c r="Y211" i="2"/>
  <c r="X211" i="2"/>
  <c r="W211" i="2"/>
  <c r="V211" i="2"/>
  <c r="U211" i="2"/>
  <c r="T211" i="2"/>
  <c r="AJ210" i="2"/>
  <c r="AI210" i="2"/>
  <c r="AH210" i="2"/>
  <c r="AG210" i="2"/>
  <c r="AF210" i="2"/>
  <c r="AE210" i="2"/>
  <c r="AD210" i="2"/>
  <c r="AC210" i="2"/>
  <c r="AB210" i="2"/>
  <c r="AA210" i="2"/>
  <c r="Z210" i="2"/>
  <c r="Y210" i="2"/>
  <c r="X210" i="2"/>
  <c r="W210" i="2"/>
  <c r="V210" i="2"/>
  <c r="U210" i="2"/>
  <c r="T210" i="2"/>
  <c r="AJ209" i="2"/>
  <c r="AI209" i="2"/>
  <c r="AH209" i="2"/>
  <c r="AG209" i="2"/>
  <c r="AF209" i="2"/>
  <c r="AE209" i="2"/>
  <c r="AD209" i="2"/>
  <c r="AC209" i="2"/>
  <c r="AB209" i="2"/>
  <c r="AA209" i="2"/>
  <c r="Z209" i="2"/>
  <c r="Y209" i="2"/>
  <c r="X209" i="2"/>
  <c r="W209" i="2"/>
  <c r="V209" i="2"/>
  <c r="U209" i="2"/>
  <c r="T209" i="2"/>
  <c r="AJ208" i="2"/>
  <c r="AI208" i="2"/>
  <c r="AH208" i="2"/>
  <c r="AG208" i="2"/>
  <c r="AF208" i="2"/>
  <c r="AE208" i="2"/>
  <c r="AD208" i="2"/>
  <c r="AC208" i="2"/>
  <c r="AB208" i="2"/>
  <c r="AA208" i="2"/>
  <c r="Z208" i="2"/>
  <c r="Y208" i="2"/>
  <c r="X208" i="2"/>
  <c r="W208" i="2"/>
  <c r="V208" i="2"/>
  <c r="U208" i="2"/>
  <c r="T208" i="2"/>
  <c r="AJ207" i="2"/>
  <c r="AI207" i="2"/>
  <c r="AH207" i="2"/>
  <c r="AG207" i="2"/>
  <c r="AF207" i="2"/>
  <c r="AE207" i="2"/>
  <c r="AD207" i="2"/>
  <c r="AC207" i="2"/>
  <c r="AB207" i="2"/>
  <c r="AA207" i="2"/>
  <c r="Z207" i="2"/>
  <c r="Y207" i="2"/>
  <c r="X207" i="2"/>
  <c r="W207" i="2"/>
  <c r="V207" i="2"/>
  <c r="U207" i="2"/>
  <c r="T207" i="2"/>
  <c r="AJ206" i="2"/>
  <c r="AI206" i="2"/>
  <c r="AH206" i="2"/>
  <c r="AG206" i="2"/>
  <c r="AF206" i="2"/>
  <c r="AE206" i="2"/>
  <c r="AD206" i="2"/>
  <c r="AC206" i="2"/>
  <c r="AB206" i="2"/>
  <c r="AA206" i="2"/>
  <c r="Z206" i="2"/>
  <c r="Y206" i="2"/>
  <c r="X206" i="2"/>
  <c r="W206" i="2"/>
  <c r="V206" i="2"/>
  <c r="U206" i="2"/>
  <c r="T206" i="2"/>
  <c r="AJ205" i="2"/>
  <c r="AI205" i="2"/>
  <c r="AH205" i="2"/>
  <c r="AG205" i="2"/>
  <c r="AF205" i="2"/>
  <c r="AE205" i="2"/>
  <c r="AD205" i="2"/>
  <c r="AC205" i="2"/>
  <c r="AB205" i="2"/>
  <c r="AA205" i="2"/>
  <c r="Z205" i="2"/>
  <c r="Y205" i="2"/>
  <c r="X205" i="2"/>
  <c r="W205" i="2"/>
  <c r="V205" i="2"/>
  <c r="U205" i="2"/>
  <c r="T205" i="2"/>
  <c r="AJ204" i="2"/>
  <c r="AI204" i="2"/>
  <c r="AH204" i="2"/>
  <c r="AG204" i="2"/>
  <c r="AF204" i="2"/>
  <c r="AE204" i="2"/>
  <c r="AD204" i="2"/>
  <c r="AC204" i="2"/>
  <c r="AB204" i="2"/>
  <c r="AA204" i="2"/>
  <c r="Z204" i="2"/>
  <c r="Y204" i="2"/>
  <c r="X204" i="2"/>
  <c r="W204" i="2"/>
  <c r="V204" i="2"/>
  <c r="U204" i="2"/>
  <c r="T204" i="2"/>
  <c r="AJ203" i="2"/>
  <c r="AI203" i="2"/>
  <c r="AH203" i="2"/>
  <c r="AG203" i="2"/>
  <c r="AF203" i="2"/>
  <c r="AE203" i="2"/>
  <c r="AD203" i="2"/>
  <c r="AC203" i="2"/>
  <c r="AB203" i="2"/>
  <c r="AA203" i="2"/>
  <c r="Z203" i="2"/>
  <c r="Y203" i="2"/>
  <c r="X203" i="2"/>
  <c r="W203" i="2"/>
  <c r="V203" i="2"/>
  <c r="U203" i="2"/>
  <c r="T203" i="2"/>
  <c r="AJ202" i="2"/>
  <c r="AI202" i="2"/>
  <c r="AH202" i="2"/>
  <c r="AG202" i="2"/>
  <c r="AF202" i="2"/>
  <c r="AE202" i="2"/>
  <c r="AD202" i="2"/>
  <c r="AC202" i="2"/>
  <c r="AB202" i="2"/>
  <c r="AA202" i="2"/>
  <c r="Z202" i="2"/>
  <c r="Y202" i="2"/>
  <c r="X202" i="2"/>
  <c r="W202" i="2"/>
  <c r="V202" i="2"/>
  <c r="U202" i="2"/>
  <c r="T202" i="2"/>
  <c r="AJ201" i="2"/>
  <c r="AI201" i="2"/>
  <c r="AH201" i="2"/>
  <c r="AG201" i="2"/>
  <c r="AF201" i="2"/>
  <c r="AE201" i="2"/>
  <c r="AD201" i="2"/>
  <c r="AC201" i="2"/>
  <c r="AB201" i="2"/>
  <c r="AA201" i="2"/>
  <c r="Z201" i="2"/>
  <c r="Y201" i="2"/>
  <c r="X201" i="2"/>
  <c r="W201" i="2"/>
  <c r="V201" i="2"/>
  <c r="U201" i="2"/>
  <c r="T201" i="2"/>
  <c r="AJ200" i="2"/>
  <c r="AI200" i="2"/>
  <c r="AH200" i="2"/>
  <c r="AG200" i="2"/>
  <c r="AF200" i="2"/>
  <c r="AE200" i="2"/>
  <c r="AD200" i="2"/>
  <c r="AC200" i="2"/>
  <c r="AB200" i="2"/>
  <c r="AA200" i="2"/>
  <c r="Z200" i="2"/>
  <c r="Y200" i="2"/>
  <c r="X200" i="2"/>
  <c r="W200" i="2"/>
  <c r="V200" i="2"/>
  <c r="U200" i="2"/>
  <c r="T200" i="2"/>
  <c r="AJ199" i="2"/>
  <c r="AI199" i="2"/>
  <c r="AH199" i="2"/>
  <c r="AG199" i="2"/>
  <c r="AF199" i="2"/>
  <c r="AE199" i="2"/>
  <c r="AD199" i="2"/>
  <c r="AC199" i="2"/>
  <c r="AB199" i="2"/>
  <c r="AA199" i="2"/>
  <c r="Z199" i="2"/>
  <c r="Y199" i="2"/>
  <c r="X199" i="2"/>
  <c r="W199" i="2"/>
  <c r="V199" i="2"/>
  <c r="U199" i="2"/>
  <c r="T199" i="2"/>
  <c r="AJ198" i="2"/>
  <c r="AI198" i="2"/>
  <c r="AH198" i="2"/>
  <c r="AG198" i="2"/>
  <c r="AF198" i="2"/>
  <c r="AE198" i="2"/>
  <c r="AD198" i="2"/>
  <c r="AC198" i="2"/>
  <c r="AB198" i="2"/>
  <c r="AA198" i="2"/>
  <c r="Z198" i="2"/>
  <c r="Y198" i="2"/>
  <c r="X198" i="2"/>
  <c r="W198" i="2"/>
  <c r="V198" i="2"/>
  <c r="U198" i="2"/>
  <c r="T198" i="2"/>
  <c r="AJ197" i="2"/>
  <c r="AI197" i="2"/>
  <c r="AH197" i="2"/>
  <c r="AG197" i="2"/>
  <c r="AF197" i="2"/>
  <c r="AE197" i="2"/>
  <c r="AD197" i="2"/>
  <c r="AC197" i="2"/>
  <c r="AB197" i="2"/>
  <c r="AA197" i="2"/>
  <c r="Z197" i="2"/>
  <c r="Y197" i="2"/>
  <c r="X197" i="2"/>
  <c r="W197" i="2"/>
  <c r="V197" i="2"/>
  <c r="U197" i="2"/>
  <c r="T197" i="2"/>
  <c r="AJ196" i="2"/>
  <c r="AI196" i="2"/>
  <c r="AH196" i="2"/>
  <c r="AG196" i="2"/>
  <c r="AF196" i="2"/>
  <c r="AE196" i="2"/>
  <c r="AD196" i="2"/>
  <c r="AC196" i="2"/>
  <c r="AB196" i="2"/>
  <c r="AA196" i="2"/>
  <c r="Z196" i="2"/>
  <c r="Y196" i="2"/>
  <c r="X196" i="2"/>
  <c r="W196" i="2"/>
  <c r="V196" i="2"/>
  <c r="U196" i="2"/>
  <c r="T196" i="2"/>
  <c r="AJ195" i="2"/>
  <c r="AI195" i="2"/>
  <c r="AH195" i="2"/>
  <c r="AG195" i="2"/>
  <c r="AF195" i="2"/>
  <c r="AE195" i="2"/>
  <c r="AD195" i="2"/>
  <c r="AC195" i="2"/>
  <c r="AB195" i="2"/>
  <c r="AA195" i="2"/>
  <c r="Z195" i="2"/>
  <c r="Y195" i="2"/>
  <c r="X195" i="2"/>
  <c r="W195" i="2"/>
  <c r="V195" i="2"/>
  <c r="U195" i="2"/>
  <c r="T195" i="2"/>
  <c r="AJ194" i="2"/>
  <c r="AI194" i="2"/>
  <c r="AH194" i="2"/>
  <c r="AG194" i="2"/>
  <c r="AF194" i="2"/>
  <c r="AE194" i="2"/>
  <c r="AD194" i="2"/>
  <c r="AC194" i="2"/>
  <c r="AB194" i="2"/>
  <c r="AA194" i="2"/>
  <c r="Z194" i="2"/>
  <c r="Y194" i="2"/>
  <c r="X194" i="2"/>
  <c r="W194" i="2"/>
  <c r="V194" i="2"/>
  <c r="U194" i="2"/>
  <c r="T194" i="2"/>
  <c r="AJ193" i="2"/>
  <c r="AI193" i="2"/>
  <c r="AH193" i="2"/>
  <c r="AG193" i="2"/>
  <c r="AF193" i="2"/>
  <c r="AE193" i="2"/>
  <c r="AD193" i="2"/>
  <c r="AC193" i="2"/>
  <c r="AB193" i="2"/>
  <c r="AA193" i="2"/>
  <c r="Z193" i="2"/>
  <c r="Y193" i="2"/>
  <c r="X193" i="2"/>
  <c r="W193" i="2"/>
  <c r="V193" i="2"/>
  <c r="U193" i="2"/>
  <c r="T193" i="2"/>
  <c r="AJ192" i="2"/>
  <c r="AI192" i="2"/>
  <c r="AH192" i="2"/>
  <c r="AG192" i="2"/>
  <c r="AF192" i="2"/>
  <c r="AE192" i="2"/>
  <c r="AD192" i="2"/>
  <c r="AC192" i="2"/>
  <c r="AB192" i="2"/>
  <c r="AA192" i="2"/>
  <c r="Z192" i="2"/>
  <c r="Y192" i="2"/>
  <c r="X192" i="2"/>
  <c r="W192" i="2"/>
  <c r="V192" i="2"/>
  <c r="U192" i="2"/>
  <c r="T192" i="2"/>
  <c r="AJ191" i="2"/>
  <c r="AI191" i="2"/>
  <c r="AH191" i="2"/>
  <c r="AG191" i="2"/>
  <c r="AF191" i="2"/>
  <c r="AE191" i="2"/>
  <c r="AD191" i="2"/>
  <c r="AC191" i="2"/>
  <c r="AB191" i="2"/>
  <c r="AA191" i="2"/>
  <c r="Z191" i="2"/>
  <c r="Y191" i="2"/>
  <c r="X191" i="2"/>
  <c r="W191" i="2"/>
  <c r="V191" i="2"/>
  <c r="U191" i="2"/>
  <c r="T191" i="2"/>
  <c r="AJ190" i="2"/>
  <c r="AI190" i="2"/>
  <c r="AH190" i="2"/>
  <c r="AG190" i="2"/>
  <c r="AF190" i="2"/>
  <c r="AE190" i="2"/>
  <c r="AD190" i="2"/>
  <c r="AC190" i="2"/>
  <c r="AB190" i="2"/>
  <c r="AA190" i="2"/>
  <c r="Z190" i="2"/>
  <c r="Y190" i="2"/>
  <c r="X190" i="2"/>
  <c r="W190" i="2"/>
  <c r="V190" i="2"/>
  <c r="U190" i="2"/>
  <c r="T190" i="2"/>
  <c r="AJ189" i="2"/>
  <c r="AI189" i="2"/>
  <c r="AH189" i="2"/>
  <c r="AG189" i="2"/>
  <c r="AF189" i="2"/>
  <c r="AE189" i="2"/>
  <c r="AD189" i="2"/>
  <c r="AC189" i="2"/>
  <c r="AB189" i="2"/>
  <c r="AA189" i="2"/>
  <c r="Z189" i="2"/>
  <c r="Y189" i="2"/>
  <c r="X189" i="2"/>
  <c r="W189" i="2"/>
  <c r="V189" i="2"/>
  <c r="U189" i="2"/>
  <c r="T189" i="2"/>
  <c r="AJ188" i="2"/>
  <c r="AI188" i="2"/>
  <c r="AH188" i="2"/>
  <c r="AG188" i="2"/>
  <c r="AF188" i="2"/>
  <c r="AE188" i="2"/>
  <c r="AD188" i="2"/>
  <c r="AC188" i="2"/>
  <c r="AB188" i="2"/>
  <c r="AA188" i="2"/>
  <c r="Z188" i="2"/>
  <c r="Y188" i="2"/>
  <c r="X188" i="2"/>
  <c r="W188" i="2"/>
  <c r="V188" i="2"/>
  <c r="U188" i="2"/>
  <c r="T188" i="2"/>
  <c r="AJ187" i="2"/>
  <c r="AI187" i="2"/>
  <c r="AH187" i="2"/>
  <c r="AG187" i="2"/>
  <c r="AF187" i="2"/>
  <c r="AE187" i="2"/>
  <c r="AD187" i="2"/>
  <c r="AC187" i="2"/>
  <c r="AB187" i="2"/>
  <c r="AA187" i="2"/>
  <c r="Z187" i="2"/>
  <c r="Y187" i="2"/>
  <c r="X187" i="2"/>
  <c r="W187" i="2"/>
  <c r="V187" i="2"/>
  <c r="U187" i="2"/>
  <c r="T187" i="2"/>
  <c r="AJ186" i="2"/>
  <c r="AI186" i="2"/>
  <c r="AH186" i="2"/>
  <c r="AG186" i="2"/>
  <c r="AF186" i="2"/>
  <c r="AE186" i="2"/>
  <c r="AD186" i="2"/>
  <c r="AC186" i="2"/>
  <c r="AB186" i="2"/>
  <c r="AA186" i="2"/>
  <c r="Z186" i="2"/>
  <c r="Y186" i="2"/>
  <c r="X186" i="2"/>
  <c r="W186" i="2"/>
  <c r="V186" i="2"/>
  <c r="U186" i="2"/>
  <c r="T186" i="2"/>
  <c r="AJ185" i="2"/>
  <c r="AI185" i="2"/>
  <c r="AH185" i="2"/>
  <c r="AG185" i="2"/>
  <c r="AF185" i="2"/>
  <c r="AE185" i="2"/>
  <c r="AD185" i="2"/>
  <c r="AC185" i="2"/>
  <c r="AB185" i="2"/>
  <c r="AA185" i="2"/>
  <c r="Z185" i="2"/>
  <c r="Y185" i="2"/>
  <c r="X185" i="2"/>
  <c r="W185" i="2"/>
  <c r="V185" i="2"/>
  <c r="U185" i="2"/>
  <c r="T185" i="2"/>
  <c r="AJ184" i="2"/>
  <c r="AI184" i="2"/>
  <c r="AH184" i="2"/>
  <c r="AG184" i="2"/>
  <c r="AF184" i="2"/>
  <c r="AE184" i="2"/>
  <c r="AD184" i="2"/>
  <c r="AC184" i="2"/>
  <c r="AB184" i="2"/>
  <c r="AA184" i="2"/>
  <c r="Z184" i="2"/>
  <c r="Y184" i="2"/>
  <c r="X184" i="2"/>
  <c r="W184" i="2"/>
  <c r="V184" i="2"/>
  <c r="U184" i="2"/>
  <c r="T184" i="2"/>
  <c r="AJ183" i="2"/>
  <c r="AI183" i="2"/>
  <c r="AH183" i="2"/>
  <c r="AG183" i="2"/>
  <c r="AF183" i="2"/>
  <c r="AE183" i="2"/>
  <c r="AD183" i="2"/>
  <c r="AC183" i="2"/>
  <c r="AB183" i="2"/>
  <c r="AA183" i="2"/>
  <c r="Z183" i="2"/>
  <c r="Y183" i="2"/>
  <c r="X183" i="2"/>
  <c r="W183" i="2"/>
  <c r="V183" i="2"/>
  <c r="U183" i="2"/>
  <c r="T183" i="2"/>
  <c r="AJ182" i="2"/>
  <c r="AI182" i="2"/>
  <c r="AH182" i="2"/>
  <c r="AG182" i="2"/>
  <c r="AF182" i="2"/>
  <c r="AE182" i="2"/>
  <c r="AD182" i="2"/>
  <c r="AC182" i="2"/>
  <c r="AB182" i="2"/>
  <c r="AA182" i="2"/>
  <c r="Z182" i="2"/>
  <c r="Y182" i="2"/>
  <c r="X182" i="2"/>
  <c r="W182" i="2"/>
  <c r="V182" i="2"/>
  <c r="U182" i="2"/>
  <c r="T182" i="2"/>
  <c r="AJ181" i="2"/>
  <c r="AI181" i="2"/>
  <c r="AH181" i="2"/>
  <c r="AG181" i="2"/>
  <c r="AF181" i="2"/>
  <c r="AE181" i="2"/>
  <c r="AD181" i="2"/>
  <c r="AC181" i="2"/>
  <c r="AB181" i="2"/>
  <c r="AA181" i="2"/>
  <c r="Z181" i="2"/>
  <c r="Y181" i="2"/>
  <c r="X181" i="2"/>
  <c r="W181" i="2"/>
  <c r="V181" i="2"/>
  <c r="U181" i="2"/>
  <c r="T181" i="2"/>
  <c r="AJ180" i="2"/>
  <c r="AI180" i="2"/>
  <c r="AH180" i="2"/>
  <c r="AG180" i="2"/>
  <c r="AF180" i="2"/>
  <c r="AE180" i="2"/>
  <c r="AD180" i="2"/>
  <c r="AC180" i="2"/>
  <c r="AB180" i="2"/>
  <c r="AA180" i="2"/>
  <c r="Z180" i="2"/>
  <c r="Y180" i="2"/>
  <c r="X180" i="2"/>
  <c r="W180" i="2"/>
  <c r="V180" i="2"/>
  <c r="U180" i="2"/>
  <c r="T180" i="2"/>
  <c r="AJ179" i="2"/>
  <c r="AI179" i="2"/>
  <c r="AH179" i="2"/>
  <c r="AG179" i="2"/>
  <c r="AF179" i="2"/>
  <c r="AE179" i="2"/>
  <c r="AD179" i="2"/>
  <c r="AC179" i="2"/>
  <c r="AB179" i="2"/>
  <c r="AA179" i="2"/>
  <c r="Z179" i="2"/>
  <c r="Y179" i="2"/>
  <c r="X179" i="2"/>
  <c r="W179" i="2"/>
  <c r="V179" i="2"/>
  <c r="U179" i="2"/>
  <c r="T179" i="2"/>
  <c r="AJ178" i="2"/>
  <c r="AI178" i="2"/>
  <c r="AH178" i="2"/>
  <c r="AG178" i="2"/>
  <c r="AF178" i="2"/>
  <c r="AE178" i="2"/>
  <c r="AD178" i="2"/>
  <c r="AC178" i="2"/>
  <c r="AB178" i="2"/>
  <c r="AA178" i="2"/>
  <c r="Z178" i="2"/>
  <c r="Y178" i="2"/>
  <c r="X178" i="2"/>
  <c r="W178" i="2"/>
  <c r="V178" i="2"/>
  <c r="U178" i="2"/>
  <c r="T178" i="2"/>
  <c r="AJ177" i="2"/>
  <c r="AI177" i="2"/>
  <c r="AH177" i="2"/>
  <c r="AG177" i="2"/>
  <c r="AF177" i="2"/>
  <c r="AE177" i="2"/>
  <c r="AD177" i="2"/>
  <c r="AC177" i="2"/>
  <c r="AB177" i="2"/>
  <c r="AA177" i="2"/>
  <c r="Z177" i="2"/>
  <c r="Y177" i="2"/>
  <c r="X177" i="2"/>
  <c r="W177" i="2"/>
  <c r="V177" i="2"/>
  <c r="U177" i="2"/>
  <c r="T177" i="2"/>
  <c r="AJ176" i="2"/>
  <c r="AI176" i="2"/>
  <c r="AH176" i="2"/>
  <c r="AG176" i="2"/>
  <c r="AF176" i="2"/>
  <c r="AE176" i="2"/>
  <c r="AD176" i="2"/>
  <c r="AC176" i="2"/>
  <c r="AB176" i="2"/>
  <c r="AA176" i="2"/>
  <c r="Z176" i="2"/>
  <c r="Y176" i="2"/>
  <c r="X176" i="2"/>
  <c r="W176" i="2"/>
  <c r="V176" i="2"/>
  <c r="U176" i="2"/>
  <c r="T176" i="2"/>
  <c r="AJ175" i="2"/>
  <c r="AI175" i="2"/>
  <c r="AH175" i="2"/>
  <c r="AG175" i="2"/>
  <c r="AF175" i="2"/>
  <c r="AE175" i="2"/>
  <c r="AD175" i="2"/>
  <c r="AC175" i="2"/>
  <c r="AB175" i="2"/>
  <c r="AA175" i="2"/>
  <c r="Z175" i="2"/>
  <c r="Y175" i="2"/>
  <c r="X175" i="2"/>
  <c r="W175" i="2"/>
  <c r="V175" i="2"/>
  <c r="U175" i="2"/>
  <c r="T175" i="2"/>
  <c r="AJ174" i="2"/>
  <c r="AI174" i="2"/>
  <c r="AH174" i="2"/>
  <c r="AG174" i="2"/>
  <c r="AF174" i="2"/>
  <c r="AE174" i="2"/>
  <c r="AD174" i="2"/>
  <c r="AC174" i="2"/>
  <c r="AB174" i="2"/>
  <c r="AA174" i="2"/>
  <c r="Z174" i="2"/>
  <c r="Y174" i="2"/>
  <c r="X174" i="2"/>
  <c r="W174" i="2"/>
  <c r="V174" i="2"/>
  <c r="U174" i="2"/>
  <c r="T174" i="2"/>
  <c r="AJ173" i="2"/>
  <c r="AI173" i="2"/>
  <c r="AH173" i="2"/>
  <c r="AG173" i="2"/>
  <c r="AF173" i="2"/>
  <c r="AE173" i="2"/>
  <c r="AD173" i="2"/>
  <c r="AC173" i="2"/>
  <c r="AB173" i="2"/>
  <c r="AA173" i="2"/>
  <c r="Z173" i="2"/>
  <c r="Y173" i="2"/>
  <c r="X173" i="2"/>
  <c r="W173" i="2"/>
  <c r="V173" i="2"/>
  <c r="U173" i="2"/>
  <c r="T173" i="2"/>
  <c r="AJ172" i="2"/>
  <c r="AI172" i="2"/>
  <c r="AH172" i="2"/>
  <c r="AG172" i="2"/>
  <c r="AF172" i="2"/>
  <c r="AE172" i="2"/>
  <c r="AD172" i="2"/>
  <c r="AC172" i="2"/>
  <c r="AB172" i="2"/>
  <c r="AA172" i="2"/>
  <c r="Z172" i="2"/>
  <c r="Y172" i="2"/>
  <c r="X172" i="2"/>
  <c r="W172" i="2"/>
  <c r="V172" i="2"/>
  <c r="U172" i="2"/>
  <c r="T172" i="2"/>
  <c r="AJ171" i="2"/>
  <c r="AI171" i="2"/>
  <c r="AH171" i="2"/>
  <c r="AG171" i="2"/>
  <c r="AF171" i="2"/>
  <c r="AE171" i="2"/>
  <c r="AD171" i="2"/>
  <c r="AC171" i="2"/>
  <c r="AB171" i="2"/>
  <c r="AA171" i="2"/>
  <c r="Z171" i="2"/>
  <c r="Y171" i="2"/>
  <c r="X171" i="2"/>
  <c r="W171" i="2"/>
  <c r="V171" i="2"/>
  <c r="U171" i="2"/>
  <c r="T171" i="2"/>
  <c r="AJ170" i="2"/>
  <c r="AI170" i="2"/>
  <c r="AH170" i="2"/>
  <c r="AG170" i="2"/>
  <c r="AF170" i="2"/>
  <c r="AE170" i="2"/>
  <c r="AD170" i="2"/>
  <c r="AC170" i="2"/>
  <c r="AB170" i="2"/>
  <c r="AA170" i="2"/>
  <c r="Z170" i="2"/>
  <c r="Y170" i="2"/>
  <c r="X170" i="2"/>
  <c r="W170" i="2"/>
  <c r="V170" i="2"/>
  <c r="U170" i="2"/>
  <c r="T170" i="2"/>
  <c r="AJ169" i="2"/>
  <c r="AI169" i="2"/>
  <c r="AH169" i="2"/>
  <c r="AG169" i="2"/>
  <c r="AF169" i="2"/>
  <c r="AE169" i="2"/>
  <c r="AD169" i="2"/>
  <c r="AC169" i="2"/>
  <c r="AB169" i="2"/>
  <c r="AA169" i="2"/>
  <c r="Z169" i="2"/>
  <c r="Y169" i="2"/>
  <c r="X169" i="2"/>
  <c r="W169" i="2"/>
  <c r="V169" i="2"/>
  <c r="U169" i="2"/>
  <c r="T169" i="2"/>
  <c r="AJ168" i="2"/>
  <c r="AI168" i="2"/>
  <c r="AH168" i="2"/>
  <c r="AG168" i="2"/>
  <c r="AF168" i="2"/>
  <c r="AE168" i="2"/>
  <c r="AD168" i="2"/>
  <c r="AC168" i="2"/>
  <c r="AB168" i="2"/>
  <c r="AA168" i="2"/>
  <c r="Z168" i="2"/>
  <c r="Y168" i="2"/>
  <c r="X168" i="2"/>
  <c r="W168" i="2"/>
  <c r="V168" i="2"/>
  <c r="U168" i="2"/>
  <c r="T168" i="2"/>
  <c r="AJ167" i="2"/>
  <c r="AI167" i="2"/>
  <c r="AH167" i="2"/>
  <c r="AG167" i="2"/>
  <c r="AF167" i="2"/>
  <c r="AE167" i="2"/>
  <c r="AD167" i="2"/>
  <c r="AC167" i="2"/>
  <c r="AB167" i="2"/>
  <c r="AA167" i="2"/>
  <c r="Z167" i="2"/>
  <c r="Y167" i="2"/>
  <c r="X167" i="2"/>
  <c r="W167" i="2"/>
  <c r="V167" i="2"/>
  <c r="U167" i="2"/>
  <c r="T167" i="2"/>
  <c r="AJ166" i="2"/>
  <c r="AI166" i="2"/>
  <c r="AH166" i="2"/>
  <c r="AG166" i="2"/>
  <c r="AF166" i="2"/>
  <c r="AE166" i="2"/>
  <c r="AD166" i="2"/>
  <c r="AC166" i="2"/>
  <c r="AB166" i="2"/>
  <c r="AA166" i="2"/>
  <c r="Z166" i="2"/>
  <c r="Y166" i="2"/>
  <c r="X166" i="2"/>
  <c r="W166" i="2"/>
  <c r="V166" i="2"/>
  <c r="U166" i="2"/>
  <c r="T166" i="2"/>
  <c r="AJ165" i="2"/>
  <c r="AI165" i="2"/>
  <c r="AH165" i="2"/>
  <c r="AG165" i="2"/>
  <c r="AF165" i="2"/>
  <c r="AE165" i="2"/>
  <c r="AD165" i="2"/>
  <c r="AC165" i="2"/>
  <c r="AB165" i="2"/>
  <c r="AA165" i="2"/>
  <c r="Z165" i="2"/>
  <c r="Y165" i="2"/>
  <c r="X165" i="2"/>
  <c r="W165" i="2"/>
  <c r="V165" i="2"/>
  <c r="U165" i="2"/>
  <c r="T165" i="2"/>
  <c r="AJ164" i="2"/>
  <c r="AI164" i="2"/>
  <c r="AH164" i="2"/>
  <c r="AG164" i="2"/>
  <c r="AF164" i="2"/>
  <c r="AE164" i="2"/>
  <c r="AD164" i="2"/>
  <c r="AC164" i="2"/>
  <c r="AB164" i="2"/>
  <c r="AA164" i="2"/>
  <c r="Z164" i="2"/>
  <c r="Y164" i="2"/>
  <c r="X164" i="2"/>
  <c r="W164" i="2"/>
  <c r="V164" i="2"/>
  <c r="U164" i="2"/>
  <c r="T164" i="2"/>
  <c r="AJ163" i="2"/>
  <c r="AI163" i="2"/>
  <c r="AH163" i="2"/>
  <c r="AG163" i="2"/>
  <c r="AF163" i="2"/>
  <c r="AE163" i="2"/>
  <c r="AD163" i="2"/>
  <c r="AC163" i="2"/>
  <c r="AB163" i="2"/>
  <c r="AA163" i="2"/>
  <c r="Z163" i="2"/>
  <c r="Y163" i="2"/>
  <c r="X163" i="2"/>
  <c r="W163" i="2"/>
  <c r="V163" i="2"/>
  <c r="U163" i="2"/>
  <c r="T163" i="2"/>
  <c r="AJ162" i="2"/>
  <c r="AI162" i="2"/>
  <c r="AH162" i="2"/>
  <c r="AG162" i="2"/>
  <c r="AF162" i="2"/>
  <c r="AE162" i="2"/>
  <c r="AD162" i="2"/>
  <c r="AC162" i="2"/>
  <c r="AB162" i="2"/>
  <c r="AA162" i="2"/>
  <c r="Z162" i="2"/>
  <c r="Y162" i="2"/>
  <c r="X162" i="2"/>
  <c r="W162" i="2"/>
  <c r="V162" i="2"/>
  <c r="U162" i="2"/>
  <c r="T162" i="2"/>
  <c r="AJ161" i="2"/>
  <c r="AI161" i="2"/>
  <c r="AH161" i="2"/>
  <c r="AG161" i="2"/>
  <c r="AF161" i="2"/>
  <c r="AE161" i="2"/>
  <c r="AD161" i="2"/>
  <c r="AC161" i="2"/>
  <c r="AB161" i="2"/>
  <c r="AA161" i="2"/>
  <c r="Z161" i="2"/>
  <c r="Y161" i="2"/>
  <c r="X161" i="2"/>
  <c r="W161" i="2"/>
  <c r="V161" i="2"/>
  <c r="U161" i="2"/>
  <c r="T161" i="2"/>
  <c r="AJ160" i="2"/>
  <c r="AI160" i="2"/>
  <c r="AH160" i="2"/>
  <c r="AG160" i="2"/>
  <c r="AF160" i="2"/>
  <c r="AE160" i="2"/>
  <c r="AD160" i="2"/>
  <c r="AC160" i="2"/>
  <c r="AB160" i="2"/>
  <c r="AA160" i="2"/>
  <c r="Z160" i="2"/>
  <c r="Y160" i="2"/>
  <c r="X160" i="2"/>
  <c r="W160" i="2"/>
  <c r="V160" i="2"/>
  <c r="U160" i="2"/>
  <c r="T160" i="2"/>
  <c r="AJ159" i="2"/>
  <c r="AI159" i="2"/>
  <c r="AH159" i="2"/>
  <c r="AG159" i="2"/>
  <c r="AF159" i="2"/>
  <c r="AE159" i="2"/>
  <c r="AD159" i="2"/>
  <c r="AC159" i="2"/>
  <c r="AB159" i="2"/>
  <c r="AA159" i="2"/>
  <c r="Z159" i="2"/>
  <c r="Y159" i="2"/>
  <c r="X159" i="2"/>
  <c r="W159" i="2"/>
  <c r="V159" i="2"/>
  <c r="U159" i="2"/>
  <c r="T159" i="2"/>
  <c r="AJ158" i="2"/>
  <c r="AI158" i="2"/>
  <c r="AH158" i="2"/>
  <c r="AG158" i="2"/>
  <c r="AF158" i="2"/>
  <c r="AE158" i="2"/>
  <c r="AD158" i="2"/>
  <c r="AC158" i="2"/>
  <c r="AB158" i="2"/>
  <c r="AA158" i="2"/>
  <c r="Z158" i="2"/>
  <c r="Y158" i="2"/>
  <c r="X158" i="2"/>
  <c r="W158" i="2"/>
  <c r="V158" i="2"/>
  <c r="U158" i="2"/>
  <c r="T158" i="2"/>
  <c r="AJ157" i="2"/>
  <c r="AI157" i="2"/>
  <c r="AH157" i="2"/>
  <c r="AG157" i="2"/>
  <c r="AF157" i="2"/>
  <c r="AE157" i="2"/>
  <c r="AD157" i="2"/>
  <c r="AC157" i="2"/>
  <c r="AB157" i="2"/>
  <c r="AA157" i="2"/>
  <c r="Z157" i="2"/>
  <c r="Y157" i="2"/>
  <c r="X157" i="2"/>
  <c r="W157" i="2"/>
  <c r="V157" i="2"/>
  <c r="U157" i="2"/>
  <c r="T157" i="2"/>
  <c r="AJ156" i="2"/>
  <c r="AI156" i="2"/>
  <c r="AH156" i="2"/>
  <c r="AG156" i="2"/>
  <c r="AF156" i="2"/>
  <c r="AE156" i="2"/>
  <c r="AD156" i="2"/>
  <c r="AC156" i="2"/>
  <c r="AB156" i="2"/>
  <c r="AA156" i="2"/>
  <c r="Z156" i="2"/>
  <c r="Y156" i="2"/>
  <c r="X156" i="2"/>
  <c r="W156" i="2"/>
  <c r="V156" i="2"/>
  <c r="U156" i="2"/>
  <c r="T156" i="2"/>
  <c r="AJ155" i="2"/>
  <c r="AI155" i="2"/>
  <c r="AH155" i="2"/>
  <c r="AG155" i="2"/>
  <c r="AF155" i="2"/>
  <c r="AE155" i="2"/>
  <c r="AD155" i="2"/>
  <c r="AC155" i="2"/>
  <c r="AB155" i="2"/>
  <c r="AA155" i="2"/>
  <c r="Z155" i="2"/>
  <c r="Y155" i="2"/>
  <c r="X155" i="2"/>
  <c r="W155" i="2"/>
  <c r="V155" i="2"/>
  <c r="U155" i="2"/>
  <c r="T155" i="2"/>
  <c r="AJ154" i="2"/>
  <c r="AI154" i="2"/>
  <c r="AH154" i="2"/>
  <c r="AG154" i="2"/>
  <c r="AF154" i="2"/>
  <c r="AE154" i="2"/>
  <c r="AD154" i="2"/>
  <c r="AC154" i="2"/>
  <c r="AB154" i="2"/>
  <c r="AA154" i="2"/>
  <c r="Z154" i="2"/>
  <c r="Y154" i="2"/>
  <c r="X154" i="2"/>
  <c r="W154" i="2"/>
  <c r="V154" i="2"/>
  <c r="U154" i="2"/>
  <c r="T154" i="2"/>
  <c r="AJ153" i="2"/>
  <c r="AI153" i="2"/>
  <c r="AH153" i="2"/>
  <c r="AG153" i="2"/>
  <c r="AF153" i="2"/>
  <c r="AE153" i="2"/>
  <c r="AD153" i="2"/>
  <c r="AC153" i="2"/>
  <c r="AB153" i="2"/>
  <c r="AA153" i="2"/>
  <c r="Z153" i="2"/>
  <c r="Y153" i="2"/>
  <c r="X153" i="2"/>
  <c r="W153" i="2"/>
  <c r="V153" i="2"/>
  <c r="U153" i="2"/>
  <c r="T153" i="2"/>
  <c r="AJ152" i="2"/>
  <c r="AI152" i="2"/>
  <c r="AH152" i="2"/>
  <c r="AG152" i="2"/>
  <c r="AF152" i="2"/>
  <c r="AE152" i="2"/>
  <c r="AD152" i="2"/>
  <c r="AC152" i="2"/>
  <c r="AB152" i="2"/>
  <c r="AA152" i="2"/>
  <c r="Z152" i="2"/>
  <c r="Y152" i="2"/>
  <c r="X152" i="2"/>
  <c r="W152" i="2"/>
  <c r="V152" i="2"/>
  <c r="U152" i="2"/>
  <c r="T152" i="2"/>
  <c r="AJ151" i="2"/>
  <c r="AI151" i="2"/>
  <c r="AH151" i="2"/>
  <c r="AG151" i="2"/>
  <c r="AF151" i="2"/>
  <c r="AE151" i="2"/>
  <c r="AD151" i="2"/>
  <c r="AC151" i="2"/>
  <c r="AB151" i="2"/>
  <c r="AA151" i="2"/>
  <c r="Z151" i="2"/>
  <c r="Y151" i="2"/>
  <c r="X151" i="2"/>
  <c r="W151" i="2"/>
  <c r="V151" i="2"/>
  <c r="U151" i="2"/>
  <c r="T151" i="2"/>
  <c r="AJ150" i="2"/>
  <c r="AI150" i="2"/>
  <c r="AH150" i="2"/>
  <c r="AG150" i="2"/>
  <c r="AF150" i="2"/>
  <c r="AE150" i="2"/>
  <c r="AD150" i="2"/>
  <c r="AC150" i="2"/>
  <c r="AB150" i="2"/>
  <c r="AA150" i="2"/>
  <c r="Z150" i="2"/>
  <c r="Y150" i="2"/>
  <c r="X150" i="2"/>
  <c r="W150" i="2"/>
  <c r="V150" i="2"/>
  <c r="U150" i="2"/>
  <c r="T150" i="2"/>
  <c r="AJ149" i="2"/>
  <c r="AI149" i="2"/>
  <c r="AH149" i="2"/>
  <c r="AG149" i="2"/>
  <c r="AF149" i="2"/>
  <c r="AE149" i="2"/>
  <c r="AD149" i="2"/>
  <c r="AC149" i="2"/>
  <c r="AB149" i="2"/>
  <c r="AA149" i="2"/>
  <c r="Z149" i="2"/>
  <c r="Y149" i="2"/>
  <c r="X149" i="2"/>
  <c r="W149" i="2"/>
  <c r="V149" i="2"/>
  <c r="U149" i="2"/>
  <c r="T149" i="2"/>
  <c r="AJ148" i="2"/>
  <c r="AI148" i="2"/>
  <c r="AH148" i="2"/>
  <c r="AG148" i="2"/>
  <c r="AF148" i="2"/>
  <c r="AE148" i="2"/>
  <c r="AD148" i="2"/>
  <c r="AC148" i="2"/>
  <c r="AB148" i="2"/>
  <c r="AA148" i="2"/>
  <c r="Z148" i="2"/>
  <c r="Y148" i="2"/>
  <c r="X148" i="2"/>
  <c r="W148" i="2"/>
  <c r="V148" i="2"/>
  <c r="U148" i="2"/>
  <c r="T148" i="2"/>
  <c r="AJ147" i="2"/>
  <c r="AI147" i="2"/>
  <c r="AH147" i="2"/>
  <c r="AG147" i="2"/>
  <c r="AF147" i="2"/>
  <c r="AE147" i="2"/>
  <c r="AD147" i="2"/>
  <c r="AC147" i="2"/>
  <c r="AB147" i="2"/>
  <c r="AA147" i="2"/>
  <c r="Z147" i="2"/>
  <c r="Y147" i="2"/>
  <c r="X147" i="2"/>
  <c r="W147" i="2"/>
  <c r="V147" i="2"/>
  <c r="U147" i="2"/>
  <c r="T147" i="2"/>
  <c r="AJ146" i="2"/>
  <c r="AI146" i="2"/>
  <c r="AH146" i="2"/>
  <c r="AG146" i="2"/>
  <c r="AF146" i="2"/>
  <c r="AE146" i="2"/>
  <c r="AD146" i="2"/>
  <c r="AC146" i="2"/>
  <c r="AB146" i="2"/>
  <c r="AA146" i="2"/>
  <c r="Z146" i="2"/>
  <c r="Y146" i="2"/>
  <c r="X146" i="2"/>
  <c r="W146" i="2"/>
  <c r="V146" i="2"/>
  <c r="U146" i="2"/>
  <c r="T146" i="2"/>
  <c r="AJ145" i="2"/>
  <c r="AI145" i="2"/>
  <c r="AH145" i="2"/>
  <c r="AG145" i="2"/>
  <c r="AF145" i="2"/>
  <c r="AE145" i="2"/>
  <c r="AD145" i="2"/>
  <c r="AC145" i="2"/>
  <c r="AB145" i="2"/>
  <c r="AA145" i="2"/>
  <c r="Z145" i="2"/>
  <c r="Y145" i="2"/>
  <c r="X145" i="2"/>
  <c r="W145" i="2"/>
  <c r="V145" i="2"/>
  <c r="U145" i="2"/>
  <c r="T145" i="2"/>
  <c r="AJ144" i="2"/>
  <c r="AI144" i="2"/>
  <c r="AH144" i="2"/>
  <c r="AG144" i="2"/>
  <c r="AF144" i="2"/>
  <c r="AE144" i="2"/>
  <c r="AD144" i="2"/>
  <c r="AC144" i="2"/>
  <c r="AB144" i="2"/>
  <c r="AA144" i="2"/>
  <c r="Z144" i="2"/>
  <c r="Y144" i="2"/>
  <c r="X144" i="2"/>
  <c r="W144" i="2"/>
  <c r="V144" i="2"/>
  <c r="U144" i="2"/>
  <c r="T144" i="2"/>
  <c r="AJ143" i="2"/>
  <c r="AI143" i="2"/>
  <c r="AH143" i="2"/>
  <c r="AG143" i="2"/>
  <c r="AF143" i="2"/>
  <c r="AE143" i="2"/>
  <c r="AD143" i="2"/>
  <c r="AC143" i="2"/>
  <c r="AB143" i="2"/>
  <c r="AA143" i="2"/>
  <c r="Z143" i="2"/>
  <c r="Y143" i="2"/>
  <c r="X143" i="2"/>
  <c r="W143" i="2"/>
  <c r="V143" i="2"/>
  <c r="U143" i="2"/>
  <c r="T143" i="2"/>
  <c r="AJ142" i="2"/>
  <c r="AI142" i="2"/>
  <c r="AH142" i="2"/>
  <c r="AG142" i="2"/>
  <c r="AF142" i="2"/>
  <c r="AE142" i="2"/>
  <c r="AD142" i="2"/>
  <c r="AC142" i="2"/>
  <c r="AB142" i="2"/>
  <c r="AA142" i="2"/>
  <c r="Z142" i="2"/>
  <c r="Y142" i="2"/>
  <c r="X142" i="2"/>
  <c r="W142" i="2"/>
  <c r="V142" i="2"/>
  <c r="U142" i="2"/>
  <c r="T142" i="2"/>
  <c r="AJ141" i="2"/>
  <c r="AI141" i="2"/>
  <c r="AH141" i="2"/>
  <c r="AG141" i="2"/>
  <c r="AF141" i="2"/>
  <c r="AE141" i="2"/>
  <c r="AD141" i="2"/>
  <c r="AC141" i="2"/>
  <c r="AB141" i="2"/>
  <c r="AA141" i="2"/>
  <c r="Z141" i="2"/>
  <c r="Y141" i="2"/>
  <c r="X141" i="2"/>
  <c r="W141" i="2"/>
  <c r="V141" i="2"/>
  <c r="U141" i="2"/>
  <c r="T141" i="2"/>
  <c r="AJ140" i="2"/>
  <c r="AI140" i="2"/>
  <c r="AH140" i="2"/>
  <c r="AG140" i="2"/>
  <c r="AF140" i="2"/>
  <c r="AE140" i="2"/>
  <c r="AD140" i="2"/>
  <c r="AC140" i="2"/>
  <c r="AB140" i="2"/>
  <c r="AA140" i="2"/>
  <c r="Z140" i="2"/>
  <c r="Y140" i="2"/>
  <c r="X140" i="2"/>
  <c r="W140" i="2"/>
  <c r="V140" i="2"/>
  <c r="U140" i="2"/>
  <c r="T140" i="2"/>
  <c r="AJ139" i="2"/>
  <c r="AI139" i="2"/>
  <c r="AH139" i="2"/>
  <c r="AG139" i="2"/>
  <c r="AF139" i="2"/>
  <c r="AE139" i="2"/>
  <c r="AD139" i="2"/>
  <c r="AC139" i="2"/>
  <c r="AB139" i="2"/>
  <c r="AA139" i="2"/>
  <c r="Z139" i="2"/>
  <c r="Y139" i="2"/>
  <c r="X139" i="2"/>
  <c r="W139" i="2"/>
  <c r="V139" i="2"/>
  <c r="U139" i="2"/>
  <c r="T139" i="2"/>
  <c r="AJ138" i="2"/>
  <c r="AI138" i="2"/>
  <c r="AH138" i="2"/>
  <c r="AG138" i="2"/>
  <c r="AF138" i="2"/>
  <c r="AE138" i="2"/>
  <c r="AD138" i="2"/>
  <c r="AC138" i="2"/>
  <c r="AB138" i="2"/>
  <c r="AA138" i="2"/>
  <c r="Z138" i="2"/>
  <c r="Y138" i="2"/>
  <c r="X138" i="2"/>
  <c r="W138" i="2"/>
  <c r="V138" i="2"/>
  <c r="U138" i="2"/>
  <c r="T138" i="2"/>
  <c r="AJ137" i="2"/>
  <c r="AI137" i="2"/>
  <c r="AH137" i="2"/>
  <c r="AG137" i="2"/>
  <c r="AF137" i="2"/>
  <c r="AE137" i="2"/>
  <c r="AD137" i="2"/>
  <c r="AC137" i="2"/>
  <c r="AB137" i="2"/>
  <c r="AA137" i="2"/>
  <c r="Z137" i="2"/>
  <c r="Y137" i="2"/>
  <c r="X137" i="2"/>
  <c r="W137" i="2"/>
  <c r="V137" i="2"/>
  <c r="U137" i="2"/>
  <c r="T137" i="2"/>
  <c r="AJ136" i="2"/>
  <c r="AI136" i="2"/>
  <c r="AH136" i="2"/>
  <c r="AG136" i="2"/>
  <c r="AF136" i="2"/>
  <c r="AE136" i="2"/>
  <c r="AD136" i="2"/>
  <c r="AC136" i="2"/>
  <c r="AB136" i="2"/>
  <c r="AA136" i="2"/>
  <c r="Z136" i="2"/>
  <c r="Y136" i="2"/>
  <c r="X136" i="2"/>
  <c r="W136" i="2"/>
  <c r="V136" i="2"/>
  <c r="U136" i="2"/>
  <c r="T136" i="2"/>
  <c r="AJ135" i="2"/>
  <c r="AI135" i="2"/>
  <c r="AH135" i="2"/>
  <c r="AG135" i="2"/>
  <c r="AF135" i="2"/>
  <c r="AE135" i="2"/>
  <c r="AD135" i="2"/>
  <c r="AC135" i="2"/>
  <c r="AB135" i="2"/>
  <c r="AA135" i="2"/>
  <c r="Z135" i="2"/>
  <c r="Y135" i="2"/>
  <c r="X135" i="2"/>
  <c r="W135" i="2"/>
  <c r="V135" i="2"/>
  <c r="U135" i="2"/>
  <c r="T135" i="2"/>
  <c r="AJ134" i="2"/>
  <c r="AI134" i="2"/>
  <c r="AH134" i="2"/>
  <c r="AG134" i="2"/>
  <c r="AF134" i="2"/>
  <c r="AE134" i="2"/>
  <c r="AD134" i="2"/>
  <c r="AC134" i="2"/>
  <c r="AB134" i="2"/>
  <c r="AA134" i="2"/>
  <c r="Z134" i="2"/>
  <c r="Y134" i="2"/>
  <c r="X134" i="2"/>
  <c r="W134" i="2"/>
  <c r="V134" i="2"/>
  <c r="U134" i="2"/>
  <c r="T134" i="2"/>
  <c r="AJ133" i="2"/>
  <c r="AI133" i="2"/>
  <c r="AH133" i="2"/>
  <c r="AG133" i="2"/>
  <c r="AF133" i="2"/>
  <c r="AE133" i="2"/>
  <c r="AD133" i="2"/>
  <c r="AC133" i="2"/>
  <c r="AB133" i="2"/>
  <c r="AA133" i="2"/>
  <c r="Z133" i="2"/>
  <c r="Y133" i="2"/>
  <c r="X133" i="2"/>
  <c r="W133" i="2"/>
  <c r="V133" i="2"/>
  <c r="U133" i="2"/>
  <c r="T133" i="2"/>
  <c r="AJ132" i="2"/>
  <c r="AI132" i="2"/>
  <c r="AH132" i="2"/>
  <c r="AG132" i="2"/>
  <c r="AF132" i="2"/>
  <c r="AE132" i="2"/>
  <c r="AD132" i="2"/>
  <c r="AC132" i="2"/>
  <c r="AB132" i="2"/>
  <c r="AA132" i="2"/>
  <c r="Z132" i="2"/>
  <c r="Y132" i="2"/>
  <c r="X132" i="2"/>
  <c r="W132" i="2"/>
  <c r="V132" i="2"/>
  <c r="U132" i="2"/>
  <c r="T132" i="2"/>
  <c r="AJ131" i="2"/>
  <c r="AI131" i="2"/>
  <c r="AH131" i="2"/>
  <c r="AG131" i="2"/>
  <c r="AF131" i="2"/>
  <c r="AE131" i="2"/>
  <c r="AD131" i="2"/>
  <c r="AC131" i="2"/>
  <c r="AB131" i="2"/>
  <c r="AA131" i="2"/>
  <c r="Z131" i="2"/>
  <c r="Y131" i="2"/>
  <c r="X131" i="2"/>
  <c r="W131" i="2"/>
  <c r="V131" i="2"/>
  <c r="U131" i="2"/>
  <c r="T131" i="2"/>
  <c r="AJ130" i="2"/>
  <c r="AI130" i="2"/>
  <c r="AH130" i="2"/>
  <c r="AG130" i="2"/>
  <c r="AF130" i="2"/>
  <c r="AE130" i="2"/>
  <c r="AD130" i="2"/>
  <c r="AC130" i="2"/>
  <c r="AB130" i="2"/>
  <c r="AA130" i="2"/>
  <c r="Z130" i="2"/>
  <c r="Y130" i="2"/>
  <c r="X130" i="2"/>
  <c r="W130" i="2"/>
  <c r="V130" i="2"/>
  <c r="U130" i="2"/>
  <c r="T130" i="2"/>
  <c r="AJ129" i="2"/>
  <c r="AI129" i="2"/>
  <c r="AH129" i="2"/>
  <c r="AG129" i="2"/>
  <c r="AF129" i="2"/>
  <c r="AE129" i="2"/>
  <c r="AD129" i="2"/>
  <c r="AC129" i="2"/>
  <c r="AB129" i="2"/>
  <c r="AA129" i="2"/>
  <c r="Z129" i="2"/>
  <c r="Y129" i="2"/>
  <c r="X129" i="2"/>
  <c r="W129" i="2"/>
  <c r="V129" i="2"/>
  <c r="U129" i="2"/>
  <c r="T129" i="2"/>
  <c r="AJ128" i="2"/>
  <c r="AI128" i="2"/>
  <c r="AH128" i="2"/>
  <c r="AG128" i="2"/>
  <c r="AF128" i="2"/>
  <c r="AE128" i="2"/>
  <c r="AD128" i="2"/>
  <c r="AC128" i="2"/>
  <c r="AB128" i="2"/>
  <c r="AA128" i="2"/>
  <c r="Z128" i="2"/>
  <c r="Y128" i="2"/>
  <c r="X128" i="2"/>
  <c r="W128" i="2"/>
  <c r="V128" i="2"/>
  <c r="U128" i="2"/>
  <c r="T128" i="2"/>
  <c r="AJ127" i="2"/>
  <c r="AI127" i="2"/>
  <c r="AH127" i="2"/>
  <c r="AG127" i="2"/>
  <c r="AF127" i="2"/>
  <c r="AE127" i="2"/>
  <c r="AD127" i="2"/>
  <c r="AC127" i="2"/>
  <c r="AB127" i="2"/>
  <c r="AA127" i="2"/>
  <c r="Z127" i="2"/>
  <c r="Y127" i="2"/>
  <c r="X127" i="2"/>
  <c r="W127" i="2"/>
  <c r="V127" i="2"/>
  <c r="U127" i="2"/>
  <c r="T127" i="2"/>
  <c r="AJ126" i="2"/>
  <c r="AI126" i="2"/>
  <c r="AH126" i="2"/>
  <c r="AG126" i="2"/>
  <c r="AF126" i="2"/>
  <c r="AE126" i="2"/>
  <c r="AD126" i="2"/>
  <c r="AC126" i="2"/>
  <c r="AB126" i="2"/>
  <c r="AA126" i="2"/>
  <c r="Z126" i="2"/>
  <c r="Y126" i="2"/>
  <c r="X126" i="2"/>
  <c r="W126" i="2"/>
  <c r="V126" i="2"/>
  <c r="U126" i="2"/>
  <c r="T126" i="2"/>
  <c r="AJ125" i="2"/>
  <c r="AI125" i="2"/>
  <c r="AH125" i="2"/>
  <c r="AG125" i="2"/>
  <c r="AF125" i="2"/>
  <c r="AE125" i="2"/>
  <c r="AD125" i="2"/>
  <c r="AC125" i="2"/>
  <c r="AB125" i="2"/>
  <c r="AA125" i="2"/>
  <c r="Z125" i="2"/>
  <c r="Y125" i="2"/>
  <c r="X125" i="2"/>
  <c r="W125" i="2"/>
  <c r="V125" i="2"/>
  <c r="U125" i="2"/>
  <c r="T125" i="2"/>
  <c r="AJ124" i="2"/>
  <c r="AI124" i="2"/>
  <c r="AH124" i="2"/>
  <c r="AG124" i="2"/>
  <c r="AF124" i="2"/>
  <c r="AE124" i="2"/>
  <c r="AD124" i="2"/>
  <c r="AC124" i="2"/>
  <c r="AB124" i="2"/>
  <c r="AA124" i="2"/>
  <c r="Z124" i="2"/>
  <c r="Y124" i="2"/>
  <c r="X124" i="2"/>
  <c r="W124" i="2"/>
  <c r="V124" i="2"/>
  <c r="U124" i="2"/>
  <c r="T124" i="2"/>
  <c r="AJ123" i="2"/>
  <c r="AI123" i="2"/>
  <c r="AH123" i="2"/>
  <c r="AG123" i="2"/>
  <c r="AF123" i="2"/>
  <c r="AE123" i="2"/>
  <c r="AD123" i="2"/>
  <c r="AC123" i="2"/>
  <c r="AB123" i="2"/>
  <c r="AA123" i="2"/>
  <c r="Z123" i="2"/>
  <c r="Y123" i="2"/>
  <c r="X123" i="2"/>
  <c r="W123" i="2"/>
  <c r="V123" i="2"/>
  <c r="U123" i="2"/>
  <c r="T123" i="2"/>
  <c r="AJ122" i="2"/>
  <c r="AI122" i="2"/>
  <c r="AH122" i="2"/>
  <c r="AG122" i="2"/>
  <c r="AF122" i="2"/>
  <c r="AE122" i="2"/>
  <c r="AD122" i="2"/>
  <c r="AC122" i="2"/>
  <c r="AB122" i="2"/>
  <c r="AA122" i="2"/>
  <c r="Z122" i="2"/>
  <c r="Y122" i="2"/>
  <c r="X122" i="2"/>
  <c r="W122" i="2"/>
  <c r="V122" i="2"/>
  <c r="U122" i="2"/>
  <c r="T122" i="2"/>
  <c r="AJ121" i="2"/>
  <c r="AI121" i="2"/>
  <c r="AH121" i="2"/>
  <c r="AG121" i="2"/>
  <c r="AF121" i="2"/>
  <c r="AE121" i="2"/>
  <c r="AD121" i="2"/>
  <c r="AC121" i="2"/>
  <c r="AB121" i="2"/>
  <c r="AA121" i="2"/>
  <c r="Z121" i="2"/>
  <c r="Y121" i="2"/>
  <c r="X121" i="2"/>
  <c r="W121" i="2"/>
  <c r="V121" i="2"/>
  <c r="U121" i="2"/>
  <c r="T121" i="2"/>
  <c r="AJ120" i="2"/>
  <c r="AI120" i="2"/>
  <c r="AH120" i="2"/>
  <c r="AG120" i="2"/>
  <c r="AF120" i="2"/>
  <c r="AE120" i="2"/>
  <c r="AD120" i="2"/>
  <c r="AC120" i="2"/>
  <c r="AB120" i="2"/>
  <c r="AA120" i="2"/>
  <c r="Z120" i="2"/>
  <c r="Y120" i="2"/>
  <c r="X120" i="2"/>
  <c r="W120" i="2"/>
  <c r="V120" i="2"/>
  <c r="U120" i="2"/>
  <c r="T120" i="2"/>
  <c r="AJ119" i="2"/>
  <c r="AI119" i="2"/>
  <c r="AH119" i="2"/>
  <c r="AG119" i="2"/>
  <c r="AF119" i="2"/>
  <c r="AE119" i="2"/>
  <c r="AD119" i="2"/>
  <c r="AC119" i="2"/>
  <c r="AB119" i="2"/>
  <c r="AA119" i="2"/>
  <c r="Z119" i="2"/>
  <c r="Y119" i="2"/>
  <c r="X119" i="2"/>
  <c r="W119" i="2"/>
  <c r="V119" i="2"/>
  <c r="U119" i="2"/>
  <c r="T119" i="2"/>
  <c r="AJ118" i="2"/>
  <c r="AI118" i="2"/>
  <c r="AH118" i="2"/>
  <c r="AG118" i="2"/>
  <c r="AF118" i="2"/>
  <c r="AE118" i="2"/>
  <c r="AD118" i="2"/>
  <c r="AC118" i="2"/>
  <c r="AB118" i="2"/>
  <c r="AA118" i="2"/>
  <c r="Z118" i="2"/>
  <c r="Y118" i="2"/>
  <c r="X118" i="2"/>
  <c r="W118" i="2"/>
  <c r="V118" i="2"/>
  <c r="U118" i="2"/>
  <c r="T118" i="2"/>
  <c r="AJ117" i="2"/>
  <c r="AI117" i="2"/>
  <c r="AH117" i="2"/>
  <c r="AG117" i="2"/>
  <c r="AF117" i="2"/>
  <c r="AE117" i="2"/>
  <c r="AD117" i="2"/>
  <c r="AC117" i="2"/>
  <c r="AB117" i="2"/>
  <c r="AA117" i="2"/>
  <c r="Z117" i="2"/>
  <c r="Y117" i="2"/>
  <c r="X117" i="2"/>
  <c r="W117" i="2"/>
  <c r="V117" i="2"/>
  <c r="U117" i="2"/>
  <c r="T117" i="2"/>
  <c r="AJ116" i="2"/>
  <c r="AI116" i="2"/>
  <c r="AH116" i="2"/>
  <c r="AG116" i="2"/>
  <c r="AF116" i="2"/>
  <c r="AE116" i="2"/>
  <c r="AD116" i="2"/>
  <c r="AC116" i="2"/>
  <c r="AB116" i="2"/>
  <c r="AA116" i="2"/>
  <c r="Z116" i="2"/>
  <c r="Y116" i="2"/>
  <c r="X116" i="2"/>
  <c r="W116" i="2"/>
  <c r="V116" i="2"/>
  <c r="U116" i="2"/>
  <c r="T116" i="2"/>
  <c r="AJ115" i="2"/>
  <c r="AI115" i="2"/>
  <c r="AH115" i="2"/>
  <c r="AG115" i="2"/>
  <c r="AF115" i="2"/>
  <c r="AE115" i="2"/>
  <c r="AD115" i="2"/>
  <c r="AC115" i="2"/>
  <c r="AB115" i="2"/>
  <c r="AA115" i="2"/>
  <c r="Z115" i="2"/>
  <c r="Y115" i="2"/>
  <c r="X115" i="2"/>
  <c r="W115" i="2"/>
  <c r="V115" i="2"/>
  <c r="U115" i="2"/>
  <c r="T115" i="2"/>
  <c r="AJ114" i="2"/>
  <c r="AI114" i="2"/>
  <c r="AH114" i="2"/>
  <c r="AG114" i="2"/>
  <c r="AF114" i="2"/>
  <c r="AE114" i="2"/>
  <c r="AD114" i="2"/>
  <c r="AC114" i="2"/>
  <c r="AB114" i="2"/>
  <c r="AA114" i="2"/>
  <c r="Z114" i="2"/>
  <c r="Y114" i="2"/>
  <c r="X114" i="2"/>
  <c r="W114" i="2"/>
  <c r="V114" i="2"/>
  <c r="U114" i="2"/>
  <c r="T114" i="2"/>
  <c r="AJ113" i="2"/>
  <c r="AI113" i="2"/>
  <c r="AH113" i="2"/>
  <c r="AG113" i="2"/>
  <c r="AF113" i="2"/>
  <c r="AE113" i="2"/>
  <c r="AD113" i="2"/>
  <c r="AC113" i="2"/>
  <c r="AB113" i="2"/>
  <c r="AA113" i="2"/>
  <c r="Z113" i="2"/>
  <c r="Y113" i="2"/>
  <c r="X113" i="2"/>
  <c r="W113" i="2"/>
  <c r="V113" i="2"/>
  <c r="U113" i="2"/>
  <c r="T113" i="2"/>
  <c r="AJ112" i="2"/>
  <c r="AI112" i="2"/>
  <c r="AH112" i="2"/>
  <c r="AG112" i="2"/>
  <c r="AF112" i="2"/>
  <c r="AE112" i="2"/>
  <c r="AD112" i="2"/>
  <c r="AC112" i="2"/>
  <c r="AB112" i="2"/>
  <c r="AA112" i="2"/>
  <c r="Z112" i="2"/>
  <c r="Y112" i="2"/>
  <c r="X112" i="2"/>
  <c r="W112" i="2"/>
  <c r="V112" i="2"/>
  <c r="U112" i="2"/>
  <c r="T112" i="2"/>
  <c r="AJ111" i="2"/>
  <c r="AI111" i="2"/>
  <c r="AH111" i="2"/>
  <c r="AG111" i="2"/>
  <c r="AF111" i="2"/>
  <c r="AE111" i="2"/>
  <c r="AD111" i="2"/>
  <c r="AC111" i="2"/>
  <c r="AB111" i="2"/>
  <c r="AA111" i="2"/>
  <c r="Z111" i="2"/>
  <c r="Y111" i="2"/>
  <c r="X111" i="2"/>
  <c r="W111" i="2"/>
  <c r="V111" i="2"/>
  <c r="U111" i="2"/>
  <c r="T111" i="2"/>
  <c r="AJ110" i="2"/>
  <c r="AI110" i="2"/>
  <c r="AH110" i="2"/>
  <c r="AG110" i="2"/>
  <c r="AF110" i="2"/>
  <c r="AE110" i="2"/>
  <c r="AD110" i="2"/>
  <c r="AC110" i="2"/>
  <c r="AB110" i="2"/>
  <c r="AA110" i="2"/>
  <c r="Z110" i="2"/>
  <c r="Y110" i="2"/>
  <c r="X110" i="2"/>
  <c r="W110" i="2"/>
  <c r="V110" i="2"/>
  <c r="U110" i="2"/>
  <c r="T110" i="2"/>
  <c r="AJ109" i="2"/>
  <c r="AI109" i="2"/>
  <c r="AH109" i="2"/>
  <c r="AG109" i="2"/>
  <c r="AF109" i="2"/>
  <c r="AE109" i="2"/>
  <c r="AD109" i="2"/>
  <c r="AC109" i="2"/>
  <c r="AB109" i="2"/>
  <c r="AA109" i="2"/>
  <c r="Z109" i="2"/>
  <c r="Y109" i="2"/>
  <c r="X109" i="2"/>
  <c r="W109" i="2"/>
  <c r="V109" i="2"/>
  <c r="U109" i="2"/>
  <c r="T109" i="2"/>
  <c r="AJ108" i="2"/>
  <c r="AI108" i="2"/>
  <c r="AH108" i="2"/>
  <c r="AG108" i="2"/>
  <c r="AF108" i="2"/>
  <c r="AE108" i="2"/>
  <c r="AD108" i="2"/>
  <c r="AC108" i="2"/>
  <c r="AB108" i="2"/>
  <c r="AA108" i="2"/>
  <c r="Z108" i="2"/>
  <c r="Y108" i="2"/>
  <c r="X108" i="2"/>
  <c r="W108" i="2"/>
  <c r="V108" i="2"/>
  <c r="U108" i="2"/>
  <c r="T108" i="2"/>
  <c r="AJ107" i="2"/>
  <c r="AI107" i="2"/>
  <c r="AH107" i="2"/>
  <c r="AG107" i="2"/>
  <c r="AF107" i="2"/>
  <c r="AE107" i="2"/>
  <c r="AD107" i="2"/>
  <c r="AC107" i="2"/>
  <c r="AB107" i="2"/>
  <c r="AA107" i="2"/>
  <c r="Z107" i="2"/>
  <c r="Y107" i="2"/>
  <c r="X107" i="2"/>
  <c r="W107" i="2"/>
  <c r="V107" i="2"/>
  <c r="U107" i="2"/>
  <c r="T107" i="2"/>
  <c r="AJ106" i="2"/>
  <c r="AI106" i="2"/>
  <c r="AH106" i="2"/>
  <c r="AG106" i="2"/>
  <c r="AF106" i="2"/>
  <c r="AE106" i="2"/>
  <c r="AD106" i="2"/>
  <c r="AC106" i="2"/>
  <c r="AB106" i="2"/>
  <c r="AA106" i="2"/>
  <c r="Z106" i="2"/>
  <c r="Y106" i="2"/>
  <c r="X106" i="2"/>
  <c r="W106" i="2"/>
  <c r="V106" i="2"/>
  <c r="U106" i="2"/>
  <c r="T106" i="2"/>
  <c r="AJ105" i="2"/>
  <c r="AI105" i="2"/>
  <c r="AH105" i="2"/>
  <c r="AG105" i="2"/>
  <c r="AF105" i="2"/>
  <c r="AE105" i="2"/>
  <c r="AD105" i="2"/>
  <c r="AC105" i="2"/>
  <c r="AB105" i="2"/>
  <c r="AA105" i="2"/>
  <c r="Z105" i="2"/>
  <c r="Y105" i="2"/>
  <c r="X105" i="2"/>
  <c r="W105" i="2"/>
  <c r="V105" i="2"/>
  <c r="U105" i="2"/>
  <c r="T105" i="2"/>
  <c r="AJ104" i="2"/>
  <c r="AI104" i="2"/>
  <c r="AH104" i="2"/>
  <c r="AG104" i="2"/>
  <c r="AF104" i="2"/>
  <c r="AE104" i="2"/>
  <c r="AD104" i="2"/>
  <c r="AC104" i="2"/>
  <c r="AB104" i="2"/>
  <c r="AA104" i="2"/>
  <c r="Z104" i="2"/>
  <c r="Y104" i="2"/>
  <c r="X104" i="2"/>
  <c r="W104" i="2"/>
  <c r="V104" i="2"/>
  <c r="U104" i="2"/>
  <c r="T104" i="2"/>
  <c r="AJ103" i="2"/>
  <c r="AI103" i="2"/>
  <c r="AH103" i="2"/>
  <c r="AG103" i="2"/>
  <c r="AF103" i="2"/>
  <c r="AE103" i="2"/>
  <c r="AD103" i="2"/>
  <c r="AC103" i="2"/>
  <c r="AB103" i="2"/>
  <c r="AA103" i="2"/>
  <c r="Z103" i="2"/>
  <c r="Y103" i="2"/>
  <c r="X103" i="2"/>
  <c r="W103" i="2"/>
  <c r="V103" i="2"/>
  <c r="U103" i="2"/>
  <c r="T103" i="2"/>
  <c r="AJ102" i="2"/>
  <c r="AI102" i="2"/>
  <c r="AH102" i="2"/>
  <c r="AG102" i="2"/>
  <c r="AF102" i="2"/>
  <c r="AE102" i="2"/>
  <c r="AD102" i="2"/>
  <c r="AC102" i="2"/>
  <c r="AB102" i="2"/>
  <c r="AA102" i="2"/>
  <c r="Z102" i="2"/>
  <c r="Y102" i="2"/>
  <c r="X102" i="2"/>
  <c r="W102" i="2"/>
  <c r="V102" i="2"/>
  <c r="U102" i="2"/>
  <c r="T102" i="2"/>
  <c r="AJ101" i="2"/>
  <c r="AI101" i="2"/>
  <c r="AH101" i="2"/>
  <c r="AG101" i="2"/>
  <c r="AF101" i="2"/>
  <c r="AE101" i="2"/>
  <c r="AD101" i="2"/>
  <c r="AC101" i="2"/>
  <c r="AB101" i="2"/>
  <c r="AA101" i="2"/>
  <c r="Z101" i="2"/>
  <c r="Y101" i="2"/>
  <c r="X101" i="2"/>
  <c r="W101" i="2"/>
  <c r="V101" i="2"/>
  <c r="U101" i="2"/>
  <c r="T101" i="2"/>
  <c r="AJ100" i="2"/>
  <c r="AI100" i="2"/>
  <c r="AH100" i="2"/>
  <c r="AG100" i="2"/>
  <c r="AF100" i="2"/>
  <c r="AE100" i="2"/>
  <c r="AD100" i="2"/>
  <c r="AC100" i="2"/>
  <c r="AB100" i="2"/>
  <c r="AA100" i="2"/>
  <c r="Z100" i="2"/>
  <c r="Y100" i="2"/>
  <c r="X100" i="2"/>
  <c r="W100" i="2"/>
  <c r="V100" i="2"/>
  <c r="U100" i="2"/>
  <c r="T100" i="2"/>
  <c r="AJ99" i="2"/>
  <c r="AI99" i="2"/>
  <c r="AH99" i="2"/>
  <c r="AG99" i="2"/>
  <c r="AF99" i="2"/>
  <c r="AE99" i="2"/>
  <c r="AD99" i="2"/>
  <c r="AC99" i="2"/>
  <c r="AB99" i="2"/>
  <c r="AA99" i="2"/>
  <c r="Z99" i="2"/>
  <c r="Y99" i="2"/>
  <c r="X99" i="2"/>
  <c r="W99" i="2"/>
  <c r="V99" i="2"/>
  <c r="U99" i="2"/>
  <c r="T99" i="2"/>
  <c r="AJ98" i="2"/>
  <c r="AI98" i="2"/>
  <c r="AH98" i="2"/>
  <c r="AG98" i="2"/>
  <c r="AF98" i="2"/>
  <c r="AE98" i="2"/>
  <c r="AD98" i="2"/>
  <c r="AC98" i="2"/>
  <c r="AB98" i="2"/>
  <c r="AA98" i="2"/>
  <c r="Z98" i="2"/>
  <c r="Y98" i="2"/>
  <c r="X98" i="2"/>
  <c r="W98" i="2"/>
  <c r="V98" i="2"/>
  <c r="U98" i="2"/>
  <c r="T98" i="2"/>
  <c r="AJ97" i="2"/>
  <c r="AI97" i="2"/>
  <c r="AH97" i="2"/>
  <c r="AG97" i="2"/>
  <c r="AF97" i="2"/>
  <c r="AE97" i="2"/>
  <c r="AD97" i="2"/>
  <c r="AC97" i="2"/>
  <c r="AB97" i="2"/>
  <c r="AA97" i="2"/>
  <c r="Z97" i="2"/>
  <c r="Y97" i="2"/>
  <c r="X97" i="2"/>
  <c r="W97" i="2"/>
  <c r="V97" i="2"/>
  <c r="U97" i="2"/>
  <c r="T97" i="2"/>
  <c r="AJ96" i="2"/>
  <c r="AI96" i="2"/>
  <c r="AH96" i="2"/>
  <c r="AG96" i="2"/>
  <c r="AF96" i="2"/>
  <c r="AE96" i="2"/>
  <c r="AD96" i="2"/>
  <c r="AC96" i="2"/>
  <c r="AB96" i="2"/>
  <c r="AA96" i="2"/>
  <c r="Z96" i="2"/>
  <c r="Y96" i="2"/>
  <c r="X96" i="2"/>
  <c r="W96" i="2"/>
  <c r="V96" i="2"/>
  <c r="U96" i="2"/>
  <c r="T96" i="2"/>
  <c r="AJ95" i="2"/>
  <c r="AI95" i="2"/>
  <c r="AH95" i="2"/>
  <c r="AG95" i="2"/>
  <c r="AF95" i="2"/>
  <c r="AE95" i="2"/>
  <c r="AD95" i="2"/>
  <c r="AC95" i="2"/>
  <c r="AB95" i="2"/>
  <c r="AA95" i="2"/>
  <c r="Z95" i="2"/>
  <c r="Y95" i="2"/>
  <c r="X95" i="2"/>
  <c r="W95" i="2"/>
  <c r="V95" i="2"/>
  <c r="U95" i="2"/>
  <c r="T95" i="2"/>
  <c r="AJ94" i="2"/>
  <c r="AI94" i="2"/>
  <c r="AH94" i="2"/>
  <c r="AG94" i="2"/>
  <c r="AF94" i="2"/>
  <c r="AE94" i="2"/>
  <c r="AD94" i="2"/>
  <c r="AC94" i="2"/>
  <c r="AB94" i="2"/>
  <c r="AA94" i="2"/>
  <c r="Z94" i="2"/>
  <c r="Y94" i="2"/>
  <c r="X94" i="2"/>
  <c r="W94" i="2"/>
  <c r="V94" i="2"/>
  <c r="U94" i="2"/>
  <c r="T94" i="2"/>
  <c r="AJ93" i="2"/>
  <c r="AI93" i="2"/>
  <c r="AH93" i="2"/>
  <c r="AG93" i="2"/>
  <c r="AF93" i="2"/>
  <c r="AE93" i="2"/>
  <c r="AD93" i="2"/>
  <c r="AC93" i="2"/>
  <c r="AB93" i="2"/>
  <c r="AA93" i="2"/>
  <c r="Z93" i="2"/>
  <c r="Y93" i="2"/>
  <c r="X93" i="2"/>
  <c r="W93" i="2"/>
  <c r="V93" i="2"/>
  <c r="U93" i="2"/>
  <c r="T93" i="2"/>
  <c r="AJ92" i="2"/>
  <c r="AI92" i="2"/>
  <c r="AH92" i="2"/>
  <c r="AG92" i="2"/>
  <c r="AF92" i="2"/>
  <c r="AE92" i="2"/>
  <c r="AD92" i="2"/>
  <c r="AC92" i="2"/>
  <c r="AB92" i="2"/>
  <c r="AA92" i="2"/>
  <c r="Z92" i="2"/>
  <c r="Y92" i="2"/>
  <c r="X92" i="2"/>
  <c r="W92" i="2"/>
  <c r="V92" i="2"/>
  <c r="U92" i="2"/>
  <c r="T92" i="2"/>
  <c r="AJ91" i="2"/>
  <c r="AI91" i="2"/>
  <c r="AH91" i="2"/>
  <c r="AG91" i="2"/>
  <c r="AF91" i="2"/>
  <c r="AE91" i="2"/>
  <c r="AD91" i="2"/>
  <c r="AC91" i="2"/>
  <c r="AB91" i="2"/>
  <c r="AA91" i="2"/>
  <c r="Z91" i="2"/>
  <c r="Y91" i="2"/>
  <c r="X91" i="2"/>
  <c r="W91" i="2"/>
  <c r="V91" i="2"/>
  <c r="U91" i="2"/>
  <c r="T91" i="2"/>
  <c r="AJ90" i="2"/>
  <c r="AI90" i="2"/>
  <c r="AH90" i="2"/>
  <c r="AG90" i="2"/>
  <c r="AF90" i="2"/>
  <c r="AE90" i="2"/>
  <c r="AD90" i="2"/>
  <c r="AC90" i="2"/>
  <c r="AB90" i="2"/>
  <c r="AA90" i="2"/>
  <c r="Z90" i="2"/>
  <c r="Y90" i="2"/>
  <c r="X90" i="2"/>
  <c r="W90" i="2"/>
  <c r="V90" i="2"/>
  <c r="U90" i="2"/>
  <c r="T90" i="2"/>
  <c r="AJ89" i="2"/>
  <c r="AI89" i="2"/>
  <c r="AH89" i="2"/>
  <c r="AG89" i="2"/>
  <c r="AF89" i="2"/>
  <c r="AE89" i="2"/>
  <c r="AD89" i="2"/>
  <c r="AC89" i="2"/>
  <c r="AB89" i="2"/>
  <c r="AA89" i="2"/>
  <c r="Z89" i="2"/>
  <c r="Y89" i="2"/>
  <c r="X89" i="2"/>
  <c r="W89" i="2"/>
  <c r="V89" i="2"/>
  <c r="U89" i="2"/>
  <c r="T89" i="2"/>
  <c r="AJ88" i="2"/>
  <c r="AI88" i="2"/>
  <c r="AH88" i="2"/>
  <c r="AG88" i="2"/>
  <c r="AF88" i="2"/>
  <c r="AE88" i="2"/>
  <c r="AD88" i="2"/>
  <c r="AC88" i="2"/>
  <c r="AB88" i="2"/>
  <c r="AA88" i="2"/>
  <c r="Z88" i="2"/>
  <c r="Y88" i="2"/>
  <c r="X88" i="2"/>
  <c r="W88" i="2"/>
  <c r="V88" i="2"/>
  <c r="U88" i="2"/>
  <c r="T88" i="2"/>
  <c r="AJ87" i="2"/>
  <c r="AI87" i="2"/>
  <c r="AH87" i="2"/>
  <c r="AG87" i="2"/>
  <c r="AF87" i="2"/>
  <c r="AE87" i="2"/>
  <c r="AD87" i="2"/>
  <c r="AC87" i="2"/>
  <c r="AB87" i="2"/>
  <c r="AA87" i="2"/>
  <c r="Z87" i="2"/>
  <c r="Y87" i="2"/>
  <c r="X87" i="2"/>
  <c r="W87" i="2"/>
  <c r="V87" i="2"/>
  <c r="U87" i="2"/>
  <c r="T87" i="2"/>
  <c r="AJ86" i="2"/>
  <c r="AI86" i="2"/>
  <c r="AH86" i="2"/>
  <c r="AG86" i="2"/>
  <c r="AF86" i="2"/>
  <c r="AE86" i="2"/>
  <c r="AD86" i="2"/>
  <c r="AC86" i="2"/>
  <c r="AB86" i="2"/>
  <c r="AA86" i="2"/>
  <c r="Z86" i="2"/>
  <c r="Y86" i="2"/>
  <c r="X86" i="2"/>
  <c r="W86" i="2"/>
  <c r="V86" i="2"/>
  <c r="U86" i="2"/>
  <c r="T86" i="2"/>
  <c r="AJ85" i="2"/>
  <c r="AI85" i="2"/>
  <c r="AH85" i="2"/>
  <c r="AG85" i="2"/>
  <c r="AF85" i="2"/>
  <c r="AE85" i="2"/>
  <c r="AD85" i="2"/>
  <c r="AC85" i="2"/>
  <c r="AB85" i="2"/>
  <c r="AA85" i="2"/>
  <c r="Z85" i="2"/>
  <c r="Y85" i="2"/>
  <c r="X85" i="2"/>
  <c r="W85" i="2"/>
  <c r="V85" i="2"/>
  <c r="U85" i="2"/>
  <c r="T85" i="2"/>
  <c r="AJ84" i="2"/>
  <c r="AI84" i="2"/>
  <c r="AH84" i="2"/>
  <c r="AG84" i="2"/>
  <c r="AF84" i="2"/>
  <c r="AE84" i="2"/>
  <c r="AD84" i="2"/>
  <c r="AC84" i="2"/>
  <c r="AB84" i="2"/>
  <c r="AA84" i="2"/>
  <c r="Z84" i="2"/>
  <c r="Y84" i="2"/>
  <c r="X84" i="2"/>
  <c r="W84" i="2"/>
  <c r="V84" i="2"/>
  <c r="U84" i="2"/>
  <c r="T84" i="2"/>
  <c r="AJ83" i="2"/>
  <c r="AI83" i="2"/>
  <c r="AH83" i="2"/>
  <c r="AG83" i="2"/>
  <c r="AF83" i="2"/>
  <c r="AE83" i="2"/>
  <c r="AD83" i="2"/>
  <c r="AC83" i="2"/>
  <c r="AB83" i="2"/>
  <c r="AA83" i="2"/>
  <c r="Z83" i="2"/>
  <c r="Y83" i="2"/>
  <c r="X83" i="2"/>
  <c r="W83" i="2"/>
  <c r="V83" i="2"/>
  <c r="U83" i="2"/>
  <c r="T83" i="2"/>
  <c r="AJ82" i="2"/>
  <c r="AI82" i="2"/>
  <c r="AH82" i="2"/>
  <c r="AG82" i="2"/>
  <c r="AF82" i="2"/>
  <c r="AE82" i="2"/>
  <c r="AD82" i="2"/>
  <c r="AC82" i="2"/>
  <c r="AB82" i="2"/>
  <c r="AA82" i="2"/>
  <c r="Z82" i="2"/>
  <c r="Y82" i="2"/>
  <c r="X82" i="2"/>
  <c r="W82" i="2"/>
  <c r="V82" i="2"/>
  <c r="U82" i="2"/>
  <c r="T82" i="2"/>
  <c r="AJ81" i="2"/>
  <c r="AI81" i="2"/>
  <c r="AH81" i="2"/>
  <c r="AG81" i="2"/>
  <c r="AF81" i="2"/>
  <c r="AE81" i="2"/>
  <c r="AD81" i="2"/>
  <c r="AC81" i="2"/>
  <c r="AB81" i="2"/>
  <c r="AA81" i="2"/>
  <c r="Z81" i="2"/>
  <c r="Y81" i="2"/>
  <c r="X81" i="2"/>
  <c r="W81" i="2"/>
  <c r="V81" i="2"/>
  <c r="U81" i="2"/>
  <c r="T81" i="2"/>
  <c r="AJ80" i="2"/>
  <c r="AI80" i="2"/>
  <c r="AH80" i="2"/>
  <c r="AG80" i="2"/>
  <c r="AF80" i="2"/>
  <c r="AE80" i="2"/>
  <c r="AD80" i="2"/>
  <c r="AC80" i="2"/>
  <c r="AB80" i="2"/>
  <c r="AA80" i="2"/>
  <c r="Z80" i="2"/>
  <c r="Y80" i="2"/>
  <c r="X80" i="2"/>
  <c r="W80" i="2"/>
  <c r="V80" i="2"/>
  <c r="U80" i="2"/>
  <c r="T80" i="2"/>
  <c r="AJ79" i="2"/>
  <c r="AI79" i="2"/>
  <c r="AH79" i="2"/>
  <c r="AG79" i="2"/>
  <c r="AF79" i="2"/>
  <c r="AE79" i="2"/>
  <c r="AD79" i="2"/>
  <c r="AC79" i="2"/>
  <c r="AB79" i="2"/>
  <c r="AA79" i="2"/>
  <c r="Z79" i="2"/>
  <c r="Y79" i="2"/>
  <c r="X79" i="2"/>
  <c r="W79" i="2"/>
  <c r="V79" i="2"/>
  <c r="U79" i="2"/>
  <c r="T79" i="2"/>
  <c r="AJ78" i="2"/>
  <c r="AI78" i="2"/>
  <c r="AH78" i="2"/>
  <c r="AG78" i="2"/>
  <c r="AF78" i="2"/>
  <c r="AE78" i="2"/>
  <c r="AD78" i="2"/>
  <c r="AC78" i="2"/>
  <c r="AB78" i="2"/>
  <c r="AA78" i="2"/>
  <c r="Z78" i="2"/>
  <c r="Y78" i="2"/>
  <c r="X78" i="2"/>
  <c r="W78" i="2"/>
  <c r="V78" i="2"/>
  <c r="U78" i="2"/>
  <c r="T78" i="2"/>
  <c r="AJ77" i="2"/>
  <c r="AI77" i="2"/>
  <c r="AH77" i="2"/>
  <c r="AG77" i="2"/>
  <c r="AF77" i="2"/>
  <c r="AE77" i="2"/>
  <c r="AD77" i="2"/>
  <c r="AC77" i="2"/>
  <c r="AB77" i="2"/>
  <c r="AA77" i="2"/>
  <c r="Z77" i="2"/>
  <c r="Y77" i="2"/>
  <c r="X77" i="2"/>
  <c r="W77" i="2"/>
  <c r="V77" i="2"/>
  <c r="U77" i="2"/>
  <c r="T77" i="2"/>
  <c r="AJ76" i="2"/>
  <c r="AI76" i="2"/>
  <c r="AH76" i="2"/>
  <c r="AG76" i="2"/>
  <c r="AF76" i="2"/>
  <c r="AE76" i="2"/>
  <c r="AD76" i="2"/>
  <c r="AC76" i="2"/>
  <c r="AB76" i="2"/>
  <c r="AA76" i="2"/>
  <c r="Z76" i="2"/>
  <c r="Y76" i="2"/>
  <c r="X76" i="2"/>
  <c r="W76" i="2"/>
  <c r="V76" i="2"/>
  <c r="U76" i="2"/>
  <c r="T76" i="2"/>
  <c r="AJ75" i="2"/>
  <c r="AI75" i="2"/>
  <c r="AH75" i="2"/>
  <c r="AG75" i="2"/>
  <c r="AF75" i="2"/>
  <c r="AE75" i="2"/>
  <c r="AD75" i="2"/>
  <c r="AC75" i="2"/>
  <c r="AB75" i="2"/>
  <c r="AA75" i="2"/>
  <c r="Z75" i="2"/>
  <c r="Y75" i="2"/>
  <c r="X75" i="2"/>
  <c r="W75" i="2"/>
  <c r="V75" i="2"/>
  <c r="U75" i="2"/>
  <c r="T75" i="2"/>
  <c r="AJ74" i="2"/>
  <c r="AI74" i="2"/>
  <c r="AH74" i="2"/>
  <c r="AG74" i="2"/>
  <c r="AF74" i="2"/>
  <c r="AE74" i="2"/>
  <c r="AD74" i="2"/>
  <c r="AC74" i="2"/>
  <c r="AB74" i="2"/>
  <c r="AA74" i="2"/>
  <c r="Z74" i="2"/>
  <c r="Y74" i="2"/>
  <c r="X74" i="2"/>
  <c r="W74" i="2"/>
  <c r="V74" i="2"/>
  <c r="U74" i="2"/>
  <c r="T74" i="2"/>
  <c r="AJ73" i="2"/>
  <c r="AI73" i="2"/>
  <c r="AH73" i="2"/>
  <c r="AG73" i="2"/>
  <c r="AF73" i="2"/>
  <c r="AE73" i="2"/>
  <c r="AD73" i="2"/>
  <c r="AC73" i="2"/>
  <c r="AB73" i="2"/>
  <c r="AA73" i="2"/>
  <c r="Z73" i="2"/>
  <c r="Y73" i="2"/>
  <c r="X73" i="2"/>
  <c r="W73" i="2"/>
  <c r="V73" i="2"/>
  <c r="U73" i="2"/>
  <c r="T73" i="2"/>
  <c r="AJ72" i="2"/>
  <c r="AI72" i="2"/>
  <c r="AH72" i="2"/>
  <c r="AG72" i="2"/>
  <c r="AF72" i="2"/>
  <c r="AE72" i="2"/>
  <c r="AD72" i="2"/>
  <c r="AC72" i="2"/>
  <c r="AB72" i="2"/>
  <c r="AA72" i="2"/>
  <c r="Z72" i="2"/>
  <c r="Y72" i="2"/>
  <c r="X72" i="2"/>
  <c r="W72" i="2"/>
  <c r="V72" i="2"/>
  <c r="U72" i="2"/>
  <c r="T72" i="2"/>
  <c r="AJ71" i="2"/>
  <c r="AI71" i="2"/>
  <c r="AH71" i="2"/>
  <c r="AG71" i="2"/>
  <c r="AF71" i="2"/>
  <c r="AE71" i="2"/>
  <c r="AD71" i="2"/>
  <c r="AC71" i="2"/>
  <c r="AB71" i="2"/>
  <c r="AA71" i="2"/>
  <c r="Z71" i="2"/>
  <c r="Y71" i="2"/>
  <c r="X71" i="2"/>
  <c r="W71" i="2"/>
  <c r="V71" i="2"/>
  <c r="U71" i="2"/>
  <c r="T71" i="2"/>
  <c r="AJ70" i="2"/>
  <c r="AI70" i="2"/>
  <c r="AH70" i="2"/>
  <c r="AG70" i="2"/>
  <c r="AF70" i="2"/>
  <c r="AE70" i="2"/>
  <c r="AD70" i="2"/>
  <c r="AC70" i="2"/>
  <c r="AB70" i="2"/>
  <c r="AA70" i="2"/>
  <c r="Z70" i="2"/>
  <c r="Y70" i="2"/>
  <c r="X70" i="2"/>
  <c r="W70" i="2"/>
  <c r="V70" i="2"/>
  <c r="U70" i="2"/>
  <c r="T70" i="2"/>
  <c r="AJ69" i="2"/>
  <c r="AI69" i="2"/>
  <c r="AH69" i="2"/>
  <c r="AG69" i="2"/>
  <c r="AF69" i="2"/>
  <c r="AE69" i="2"/>
  <c r="AD69" i="2"/>
  <c r="AC69" i="2"/>
  <c r="AB69" i="2"/>
  <c r="AA69" i="2"/>
  <c r="Z69" i="2"/>
  <c r="Y69" i="2"/>
  <c r="X69" i="2"/>
  <c r="W69" i="2"/>
  <c r="V69" i="2"/>
  <c r="U69" i="2"/>
  <c r="T69" i="2"/>
  <c r="AJ68" i="2"/>
  <c r="AI68" i="2"/>
  <c r="AH68" i="2"/>
  <c r="AG68" i="2"/>
  <c r="AF68" i="2"/>
  <c r="AE68" i="2"/>
  <c r="AD68" i="2"/>
  <c r="AC68" i="2"/>
  <c r="AB68" i="2"/>
  <c r="AA68" i="2"/>
  <c r="Z68" i="2"/>
  <c r="Y68" i="2"/>
  <c r="X68" i="2"/>
  <c r="W68" i="2"/>
  <c r="V68" i="2"/>
  <c r="U68" i="2"/>
  <c r="T68" i="2"/>
  <c r="AJ67" i="2"/>
  <c r="AI67" i="2"/>
  <c r="AH67" i="2"/>
  <c r="AG67" i="2"/>
  <c r="AF67" i="2"/>
  <c r="AE67" i="2"/>
  <c r="AD67" i="2"/>
  <c r="AC67" i="2"/>
  <c r="AB67" i="2"/>
  <c r="AA67" i="2"/>
  <c r="Z67" i="2"/>
  <c r="Y67" i="2"/>
  <c r="X67" i="2"/>
  <c r="W67" i="2"/>
  <c r="V67" i="2"/>
  <c r="U67" i="2"/>
  <c r="T67" i="2"/>
  <c r="AJ66" i="2"/>
  <c r="AI66" i="2"/>
  <c r="AH66" i="2"/>
  <c r="AG66" i="2"/>
  <c r="AF66" i="2"/>
  <c r="AE66" i="2"/>
  <c r="AD66" i="2"/>
  <c r="AC66" i="2"/>
  <c r="AB66" i="2"/>
  <c r="AA66" i="2"/>
  <c r="Z66" i="2"/>
  <c r="Y66" i="2"/>
  <c r="X66" i="2"/>
  <c r="W66" i="2"/>
  <c r="V66" i="2"/>
  <c r="U66" i="2"/>
  <c r="T66" i="2"/>
  <c r="AJ65" i="2"/>
  <c r="AI65" i="2"/>
  <c r="AH65" i="2"/>
  <c r="AG65" i="2"/>
  <c r="AF65" i="2"/>
  <c r="AE65" i="2"/>
  <c r="AD65" i="2"/>
  <c r="AC65" i="2"/>
  <c r="AB65" i="2"/>
  <c r="AA65" i="2"/>
  <c r="Z65" i="2"/>
  <c r="Y65" i="2"/>
  <c r="X65" i="2"/>
  <c r="W65" i="2"/>
  <c r="V65" i="2"/>
  <c r="U65" i="2"/>
  <c r="T65" i="2"/>
  <c r="AJ64" i="2"/>
  <c r="AI64" i="2"/>
  <c r="AH64" i="2"/>
  <c r="AG64" i="2"/>
  <c r="AF64" i="2"/>
  <c r="AE64" i="2"/>
  <c r="AD64" i="2"/>
  <c r="AC64" i="2"/>
  <c r="AB64" i="2"/>
  <c r="AA64" i="2"/>
  <c r="Z64" i="2"/>
  <c r="Y64" i="2"/>
  <c r="X64" i="2"/>
  <c r="W64" i="2"/>
  <c r="V64" i="2"/>
  <c r="U64" i="2"/>
  <c r="T64" i="2"/>
  <c r="AJ63" i="2"/>
  <c r="AI63" i="2"/>
  <c r="AH63" i="2"/>
  <c r="AG63" i="2"/>
  <c r="AF63" i="2"/>
  <c r="AE63" i="2"/>
  <c r="AD63" i="2"/>
  <c r="AC63" i="2"/>
  <c r="AB63" i="2"/>
  <c r="AA63" i="2"/>
  <c r="Z63" i="2"/>
  <c r="Y63" i="2"/>
  <c r="X63" i="2"/>
  <c r="W63" i="2"/>
  <c r="V63" i="2"/>
  <c r="U63" i="2"/>
  <c r="T63" i="2"/>
  <c r="AJ62" i="2"/>
  <c r="AI62" i="2"/>
  <c r="AH62" i="2"/>
  <c r="AG62" i="2"/>
  <c r="AF62" i="2"/>
  <c r="AE62" i="2"/>
  <c r="AD62" i="2"/>
  <c r="AC62" i="2"/>
  <c r="AB62" i="2"/>
  <c r="AA62" i="2"/>
  <c r="Z62" i="2"/>
  <c r="Y62" i="2"/>
  <c r="X62" i="2"/>
  <c r="W62" i="2"/>
  <c r="V62" i="2"/>
  <c r="U62" i="2"/>
  <c r="T62" i="2"/>
  <c r="AJ61" i="2"/>
  <c r="AI61" i="2"/>
  <c r="AH61" i="2"/>
  <c r="AG61" i="2"/>
  <c r="AF61" i="2"/>
  <c r="AE61" i="2"/>
  <c r="AD61" i="2"/>
  <c r="AC61" i="2"/>
  <c r="AB61" i="2"/>
  <c r="AA61" i="2"/>
  <c r="Z61" i="2"/>
  <c r="Y61" i="2"/>
  <c r="X61" i="2"/>
  <c r="W61" i="2"/>
  <c r="V61" i="2"/>
  <c r="U61" i="2"/>
  <c r="T61" i="2"/>
  <c r="AJ60" i="2"/>
  <c r="AI60" i="2"/>
  <c r="AH60" i="2"/>
  <c r="AG60" i="2"/>
  <c r="AF60" i="2"/>
  <c r="AE60" i="2"/>
  <c r="AD60" i="2"/>
  <c r="AC60" i="2"/>
  <c r="AB60" i="2"/>
  <c r="AA60" i="2"/>
  <c r="Z60" i="2"/>
  <c r="Y60" i="2"/>
  <c r="X60" i="2"/>
  <c r="W60" i="2"/>
  <c r="V60" i="2"/>
  <c r="U60" i="2"/>
  <c r="T60" i="2"/>
  <c r="AJ59" i="2"/>
  <c r="AI59" i="2"/>
  <c r="AH59" i="2"/>
  <c r="AG59" i="2"/>
  <c r="AF59" i="2"/>
  <c r="AE59" i="2"/>
  <c r="AD59" i="2"/>
  <c r="AC59" i="2"/>
  <c r="AB59" i="2"/>
  <c r="AA59" i="2"/>
  <c r="Z59" i="2"/>
  <c r="Y59" i="2"/>
  <c r="X59" i="2"/>
  <c r="W59" i="2"/>
  <c r="V59" i="2"/>
  <c r="U59" i="2"/>
  <c r="T59" i="2"/>
  <c r="AJ58" i="2"/>
  <c r="AI58" i="2"/>
  <c r="AH58" i="2"/>
  <c r="AG58" i="2"/>
  <c r="AF58" i="2"/>
  <c r="AE58" i="2"/>
  <c r="AD58" i="2"/>
  <c r="AC58" i="2"/>
  <c r="AB58" i="2"/>
  <c r="AA58" i="2"/>
  <c r="Z58" i="2"/>
  <c r="Y58" i="2"/>
  <c r="X58" i="2"/>
  <c r="W58" i="2"/>
  <c r="V58" i="2"/>
  <c r="U58" i="2"/>
  <c r="T58" i="2"/>
  <c r="AJ57" i="2"/>
  <c r="AI57" i="2"/>
  <c r="AH57" i="2"/>
  <c r="AG57" i="2"/>
  <c r="AF57" i="2"/>
  <c r="AE57" i="2"/>
  <c r="AD57" i="2"/>
  <c r="AC57" i="2"/>
  <c r="AB57" i="2"/>
  <c r="AA57" i="2"/>
  <c r="Z57" i="2"/>
  <c r="Y57" i="2"/>
  <c r="X57" i="2"/>
  <c r="W57" i="2"/>
  <c r="V57" i="2"/>
  <c r="U57" i="2"/>
  <c r="T57" i="2"/>
  <c r="AJ56" i="2"/>
  <c r="AI56" i="2"/>
  <c r="AH56" i="2"/>
  <c r="AG56" i="2"/>
  <c r="AF56" i="2"/>
  <c r="AE56" i="2"/>
  <c r="AD56" i="2"/>
  <c r="AC56" i="2"/>
  <c r="AB56" i="2"/>
  <c r="AA56" i="2"/>
  <c r="Z56" i="2"/>
  <c r="Y56" i="2"/>
  <c r="X56" i="2"/>
  <c r="W56" i="2"/>
  <c r="V56" i="2"/>
  <c r="U56" i="2"/>
  <c r="T56" i="2"/>
  <c r="AJ55" i="2"/>
  <c r="AI55" i="2"/>
  <c r="AH55" i="2"/>
  <c r="AG55" i="2"/>
  <c r="AF55" i="2"/>
  <c r="AE55" i="2"/>
  <c r="AD55" i="2"/>
  <c r="AC55" i="2"/>
  <c r="AB55" i="2"/>
  <c r="AA55" i="2"/>
  <c r="Z55" i="2"/>
  <c r="Y55" i="2"/>
  <c r="X55" i="2"/>
  <c r="W55" i="2"/>
  <c r="V55" i="2"/>
  <c r="U55" i="2"/>
  <c r="T55" i="2"/>
  <c r="AJ54" i="2"/>
  <c r="AI54" i="2"/>
  <c r="AH54" i="2"/>
  <c r="AG54" i="2"/>
  <c r="AF54" i="2"/>
  <c r="AE54" i="2"/>
  <c r="AD54" i="2"/>
  <c r="AC54" i="2"/>
  <c r="AB54" i="2"/>
  <c r="AA54" i="2"/>
  <c r="Z54" i="2"/>
  <c r="Y54" i="2"/>
  <c r="X54" i="2"/>
  <c r="W54" i="2"/>
  <c r="V54" i="2"/>
  <c r="U54" i="2"/>
  <c r="T54" i="2"/>
  <c r="AJ53" i="2"/>
  <c r="AI53" i="2"/>
  <c r="AH53" i="2"/>
  <c r="AG53" i="2"/>
  <c r="AF53" i="2"/>
  <c r="AE53" i="2"/>
  <c r="AD53" i="2"/>
  <c r="AC53" i="2"/>
  <c r="AB53" i="2"/>
  <c r="AA53" i="2"/>
  <c r="Z53" i="2"/>
  <c r="Y53" i="2"/>
  <c r="X53" i="2"/>
  <c r="W53" i="2"/>
  <c r="V53" i="2"/>
  <c r="U53" i="2"/>
  <c r="T53" i="2"/>
  <c r="AJ52" i="2"/>
  <c r="AI52" i="2"/>
  <c r="AH52" i="2"/>
  <c r="AG52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AJ51" i="2"/>
  <c r="AI51" i="2"/>
  <c r="AH51" i="2"/>
  <c r="AG51" i="2"/>
  <c r="AF51" i="2"/>
  <c r="AE51" i="2"/>
  <c r="AD51" i="2"/>
  <c r="AC51" i="2"/>
  <c r="AB51" i="2"/>
  <c r="AA51" i="2"/>
  <c r="Z51" i="2"/>
  <c r="Y51" i="2"/>
  <c r="X51" i="2"/>
  <c r="W51" i="2"/>
  <c r="V51" i="2"/>
  <c r="U51" i="2"/>
  <c r="T51" i="2"/>
  <c r="AJ50" i="2"/>
  <c r="AI50" i="2"/>
  <c r="AH50" i="2"/>
  <c r="AG50" i="2"/>
  <c r="AF50" i="2"/>
  <c r="AE50" i="2"/>
  <c r="AD50" i="2"/>
  <c r="AC50" i="2"/>
  <c r="AB50" i="2"/>
  <c r="AA50" i="2"/>
  <c r="Z50" i="2"/>
  <c r="Y50" i="2"/>
  <c r="X50" i="2"/>
  <c r="W50" i="2"/>
  <c r="V50" i="2"/>
  <c r="U50" i="2"/>
  <c r="T50" i="2"/>
  <c r="AJ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AJ48" i="2"/>
  <c r="AI48" i="2"/>
  <c r="AH48" i="2"/>
  <c r="AG48" i="2"/>
  <c r="AF48" i="2"/>
  <c r="AE48" i="2"/>
  <c r="AD48" i="2"/>
  <c r="AC48" i="2"/>
  <c r="AB48" i="2"/>
  <c r="AA48" i="2"/>
  <c r="Z48" i="2"/>
  <c r="Y48" i="2"/>
  <c r="X48" i="2"/>
  <c r="W48" i="2"/>
  <c r="V48" i="2"/>
  <c r="U48" i="2"/>
  <c r="T48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AJ46" i="2"/>
  <c r="AI46" i="2"/>
  <c r="AH46" i="2"/>
  <c r="AG46" i="2"/>
  <c r="AF46" i="2"/>
  <c r="AE46" i="2"/>
  <c r="AD46" i="2"/>
  <c r="AC46" i="2"/>
  <c r="AB46" i="2"/>
  <c r="AA46" i="2"/>
  <c r="Z46" i="2"/>
  <c r="Y46" i="2"/>
  <c r="X46" i="2"/>
  <c r="W46" i="2"/>
  <c r="V46" i="2"/>
  <c r="U46" i="2"/>
  <c r="T46" i="2"/>
  <c r="AJ45" i="2"/>
  <c r="AI45" i="2"/>
  <c r="AH45" i="2"/>
  <c r="AG45" i="2"/>
  <c r="AF45" i="2"/>
  <c r="AE45" i="2"/>
  <c r="AD45" i="2"/>
  <c r="AC45" i="2"/>
  <c r="AB45" i="2"/>
  <c r="AA45" i="2"/>
  <c r="Z45" i="2"/>
  <c r="Y45" i="2"/>
  <c r="X45" i="2"/>
  <c r="W45" i="2"/>
  <c r="V45" i="2"/>
  <c r="U45" i="2"/>
  <c r="T45" i="2"/>
  <c r="AJ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AJ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AJ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AJ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AJ34" i="2"/>
  <c r="AI34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AJ33" i="2"/>
  <c r="AI33" i="2"/>
  <c r="AH33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AJ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W32" i="2"/>
  <c r="V32" i="2"/>
  <c r="U32" i="2"/>
  <c r="T32" i="2"/>
  <c r="AJ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AJ28" i="2"/>
  <c r="AI28" i="2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AJ27" i="2"/>
  <c r="AI27" i="2"/>
  <c r="AH27" i="2"/>
  <c r="AG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AJ26" i="2"/>
  <c r="AI26" i="2"/>
  <c r="AH26" i="2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AJ25" i="2"/>
  <c r="AI25" i="2"/>
  <c r="AH25" i="2"/>
  <c r="AG25" i="2"/>
  <c r="AF25" i="2"/>
  <c r="AE25" i="2"/>
  <c r="AD25" i="2"/>
  <c r="AC25" i="2"/>
  <c r="AB25" i="2"/>
  <c r="AA25" i="2"/>
  <c r="Z25" i="2"/>
  <c r="Y25" i="2"/>
  <c r="X25" i="2"/>
  <c r="W25" i="2"/>
  <c r="V25" i="2"/>
  <c r="U25" i="2"/>
  <c r="T25" i="2"/>
  <c r="AJ24" i="2"/>
  <c r="AI24" i="2"/>
  <c r="AH24" i="2"/>
  <c r="AG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AJ16" i="2"/>
  <c r="AI16" i="2"/>
  <c r="AH16" i="2"/>
  <c r="AG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AJ15" i="2"/>
  <c r="AI15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AJ12" i="2"/>
  <c r="AI12" i="2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AJ11" i="2"/>
  <c r="AI11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AJ9" i="2"/>
  <c r="AI9" i="2"/>
  <c r="AH9" i="2"/>
  <c r="AG9" i="2"/>
  <c r="AF9" i="2"/>
  <c r="AE9" i="2"/>
  <c r="AD9" i="2"/>
  <c r="AC9" i="2"/>
  <c r="AB9" i="2"/>
  <c r="AA9" i="2"/>
  <c r="Z9" i="2"/>
  <c r="Y9" i="2"/>
  <c r="X9" i="2"/>
  <c r="W9" i="2"/>
  <c r="V9" i="2"/>
  <c r="U9" i="2"/>
  <c r="T9" i="2"/>
  <c r="AJ8" i="2"/>
  <c r="AI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AJ7" i="2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AJ6" i="2"/>
  <c r="AI6" i="2"/>
  <c r="AH6" i="2"/>
  <c r="AG6" i="2"/>
  <c r="AF6" i="2"/>
  <c r="AE6" i="2"/>
  <c r="AD6" i="2"/>
  <c r="AC6" i="2"/>
  <c r="AB6" i="2"/>
  <c r="AA6" i="2"/>
  <c r="Z6" i="2"/>
  <c r="Y6" i="2"/>
  <c r="X6" i="2"/>
  <c r="W6" i="2"/>
  <c r="V6" i="2"/>
  <c r="U6" i="2"/>
  <c r="T6" i="2"/>
  <c r="AJ5" i="2"/>
  <c r="AI5" i="2"/>
  <c r="AH5" i="2"/>
  <c r="AG5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S6" i="2" s="1"/>
  <c r="S7" i="2" s="1"/>
  <c r="S8" i="2" s="1"/>
  <c r="S9" i="2" s="1"/>
  <c r="S10" i="2" s="1"/>
  <c r="S11" i="2" s="1"/>
  <c r="S12" i="2" s="1"/>
  <c r="S13" i="2" s="1"/>
  <c r="S14" i="2" s="1"/>
  <c r="S15" i="2" s="1"/>
  <c r="S16" i="2" s="1"/>
  <c r="S17" i="2" s="1"/>
  <c r="S18" i="2" s="1"/>
  <c r="S19" i="2" s="1"/>
  <c r="S20" i="2" s="1"/>
  <c r="S21" i="2" s="1"/>
  <c r="S22" i="2" s="1"/>
  <c r="S23" i="2" s="1"/>
  <c r="S24" i="2" s="1"/>
  <c r="S25" i="2" s="1"/>
  <c r="S26" i="2" s="1"/>
  <c r="S27" i="2" s="1"/>
  <c r="S28" i="2" s="1"/>
  <c r="S29" i="2" s="1"/>
  <c r="S30" i="2" s="1"/>
  <c r="S31" i="2" s="1"/>
  <c r="S32" i="2" s="1"/>
  <c r="S33" i="2" s="1"/>
  <c r="S34" i="2" s="1"/>
  <c r="S35" i="2" s="1"/>
  <c r="S36" i="2" s="1"/>
  <c r="S37" i="2" s="1"/>
  <c r="S38" i="2" s="1"/>
  <c r="S39" i="2" s="1"/>
  <c r="S40" i="2" s="1"/>
  <c r="S41" i="2" s="1"/>
  <c r="S42" i="2" s="1"/>
  <c r="S43" i="2" s="1"/>
  <c r="S44" i="2" s="1"/>
  <c r="S45" i="2" s="1"/>
  <c r="S46" i="2" s="1"/>
  <c r="S47" i="2" s="1"/>
  <c r="S48" i="2" s="1"/>
  <c r="S49" i="2" s="1"/>
  <c r="S50" i="2" s="1"/>
  <c r="S51" i="2" s="1"/>
  <c r="S52" i="2" s="1"/>
  <c r="S53" i="2" s="1"/>
  <c r="S54" i="2" s="1"/>
  <c r="S55" i="2" s="1"/>
  <c r="S56" i="2" s="1"/>
  <c r="S57" i="2" s="1"/>
  <c r="S58" i="2" s="1"/>
  <c r="S59" i="2" s="1"/>
  <c r="S60" i="2" s="1"/>
  <c r="S61" i="2" s="1"/>
  <c r="S62" i="2" s="1"/>
  <c r="S63" i="2" s="1"/>
  <c r="S64" i="2" s="1"/>
  <c r="S65" i="2" s="1"/>
  <c r="S66" i="2" s="1"/>
  <c r="S67" i="2" s="1"/>
  <c r="S68" i="2" s="1"/>
  <c r="S69" i="2" s="1"/>
  <c r="S70" i="2" s="1"/>
  <c r="S71" i="2" s="1"/>
  <c r="S72" i="2" s="1"/>
  <c r="S73" i="2" s="1"/>
  <c r="S74" i="2" s="1"/>
  <c r="S75" i="2" s="1"/>
  <c r="S76" i="2" s="1"/>
  <c r="S77" i="2" s="1"/>
  <c r="S78" i="2" s="1"/>
  <c r="S79" i="2" s="1"/>
  <c r="S80" i="2" s="1"/>
  <c r="S81" i="2" s="1"/>
  <c r="S82" i="2" s="1"/>
  <c r="S83" i="2" s="1"/>
  <c r="S84" i="2" s="1"/>
  <c r="S85" i="2" s="1"/>
  <c r="S86" i="2" s="1"/>
  <c r="S87" i="2" s="1"/>
  <c r="S88" i="2" s="1"/>
  <c r="S89" i="2" s="1"/>
  <c r="S90" i="2" s="1"/>
  <c r="S91" i="2" s="1"/>
  <c r="S92" i="2" s="1"/>
  <c r="S93" i="2" s="1"/>
  <c r="S94" i="2" s="1"/>
  <c r="S95" i="2" s="1"/>
  <c r="S96" i="2" s="1"/>
  <c r="S97" i="2" s="1"/>
  <c r="S98" i="2" s="1"/>
  <c r="S99" i="2" s="1"/>
  <c r="S100" i="2" s="1"/>
  <c r="S101" i="2" s="1"/>
  <c r="S102" i="2" s="1"/>
  <c r="S103" i="2" s="1"/>
  <c r="S104" i="2" s="1"/>
  <c r="S105" i="2" s="1"/>
  <c r="S106" i="2" s="1"/>
  <c r="S107" i="2" s="1"/>
  <c r="S108" i="2" s="1"/>
  <c r="S109" i="2" s="1"/>
  <c r="S110" i="2" s="1"/>
  <c r="S111" i="2" s="1"/>
  <c r="S112" i="2" s="1"/>
  <c r="S113" i="2" s="1"/>
  <c r="S114" i="2" s="1"/>
  <c r="S115" i="2" s="1"/>
  <c r="S116" i="2" s="1"/>
  <c r="S117" i="2" s="1"/>
  <c r="S118" i="2" s="1"/>
  <c r="S119" i="2" s="1"/>
  <c r="S120" i="2" s="1"/>
  <c r="S121" i="2" s="1"/>
  <c r="S122" i="2" s="1"/>
  <c r="S123" i="2" s="1"/>
  <c r="S124" i="2" s="1"/>
  <c r="S125" i="2" s="1"/>
  <c r="S126" i="2" s="1"/>
  <c r="S127" i="2" s="1"/>
  <c r="S128" i="2" s="1"/>
  <c r="S129" i="2" s="1"/>
  <c r="S130" i="2" s="1"/>
  <c r="S131" i="2" s="1"/>
  <c r="S132" i="2" s="1"/>
  <c r="S133" i="2" s="1"/>
  <c r="S134" i="2" s="1"/>
  <c r="S135" i="2" s="1"/>
  <c r="S136" i="2" s="1"/>
  <c r="S137" i="2" s="1"/>
  <c r="S138" i="2" s="1"/>
  <c r="S139" i="2" s="1"/>
  <c r="S140" i="2" s="1"/>
  <c r="S141" i="2" s="1"/>
  <c r="S142" i="2" s="1"/>
  <c r="S143" i="2" s="1"/>
  <c r="S144" i="2" s="1"/>
  <c r="S145" i="2" s="1"/>
  <c r="S146" i="2" s="1"/>
  <c r="S147" i="2" s="1"/>
  <c r="S148" i="2" s="1"/>
  <c r="S149" i="2" s="1"/>
  <c r="S150" i="2" s="1"/>
  <c r="S151" i="2" s="1"/>
  <c r="S152" i="2" s="1"/>
  <c r="S153" i="2" s="1"/>
  <c r="S154" i="2" s="1"/>
  <c r="S155" i="2" s="1"/>
  <c r="S156" i="2" s="1"/>
  <c r="S157" i="2" s="1"/>
  <c r="S158" i="2" s="1"/>
  <c r="S159" i="2" s="1"/>
  <c r="S160" i="2" s="1"/>
  <c r="S161" i="2" s="1"/>
  <c r="S162" i="2" s="1"/>
  <c r="S163" i="2" s="1"/>
  <c r="S164" i="2" s="1"/>
  <c r="S165" i="2" s="1"/>
  <c r="S166" i="2" s="1"/>
  <c r="S167" i="2" s="1"/>
  <c r="S168" i="2" s="1"/>
  <c r="S169" i="2" s="1"/>
  <c r="S170" i="2" s="1"/>
  <c r="S171" i="2" s="1"/>
  <c r="S172" i="2" s="1"/>
  <c r="S173" i="2" s="1"/>
  <c r="S174" i="2" s="1"/>
  <c r="S175" i="2" s="1"/>
  <c r="S176" i="2" s="1"/>
  <c r="S177" i="2" s="1"/>
  <c r="S178" i="2" s="1"/>
  <c r="S179" i="2" s="1"/>
  <c r="S180" i="2" s="1"/>
  <c r="S181" i="2" s="1"/>
  <c r="S182" i="2" s="1"/>
  <c r="S183" i="2" s="1"/>
  <c r="S184" i="2" s="1"/>
  <c r="S185" i="2" s="1"/>
  <c r="S186" i="2" s="1"/>
  <c r="S187" i="2" s="1"/>
  <c r="S188" i="2" s="1"/>
  <c r="S189" i="2" s="1"/>
  <c r="S190" i="2" s="1"/>
  <c r="S191" i="2" s="1"/>
  <c r="S192" i="2" s="1"/>
  <c r="S193" i="2" s="1"/>
  <c r="S194" i="2" s="1"/>
  <c r="S195" i="2" s="1"/>
  <c r="S196" i="2" s="1"/>
  <c r="S197" i="2" s="1"/>
  <c r="S198" i="2" s="1"/>
  <c r="S199" i="2" s="1"/>
  <c r="S200" i="2" s="1"/>
  <c r="S201" i="2" s="1"/>
  <c r="S202" i="2" s="1"/>
  <c r="S203" i="2" s="1"/>
  <c r="S204" i="2" s="1"/>
  <c r="S205" i="2" s="1"/>
  <c r="S206" i="2" s="1"/>
  <c r="S207" i="2" s="1"/>
  <c r="S208" i="2" s="1"/>
  <c r="S209" i="2" s="1"/>
  <c r="S210" i="2" s="1"/>
  <c r="S211" i="2" s="1"/>
  <c r="S212" i="2" s="1"/>
  <c r="S213" i="2" s="1"/>
  <c r="S214" i="2" s="1"/>
  <c r="S215" i="2" s="1"/>
  <c r="S216" i="2" s="1"/>
  <c r="S217" i="2" s="1"/>
  <c r="S218" i="2" s="1"/>
  <c r="S219" i="2" s="1"/>
  <c r="S220" i="2" s="1"/>
  <c r="S221" i="2" s="1"/>
  <c r="S222" i="2" s="1"/>
  <c r="S223" i="2" s="1"/>
  <c r="S224" i="2" s="1"/>
  <c r="S225" i="2" s="1"/>
  <c r="S226" i="2" s="1"/>
  <c r="S227" i="2" s="1"/>
  <c r="S228" i="2" s="1"/>
  <c r="S229" i="2" s="1"/>
  <c r="S230" i="2" s="1"/>
  <c r="S231" i="2" s="1"/>
  <c r="S232" i="2" s="1"/>
  <c r="S233" i="2" s="1"/>
  <c r="S234" i="2" s="1"/>
  <c r="S235" i="2" s="1"/>
  <c r="S236" i="2" s="1"/>
  <c r="S237" i="2" s="1"/>
  <c r="S238" i="2" s="1"/>
  <c r="S239" i="2" s="1"/>
  <c r="S240" i="2" s="1"/>
  <c r="S241" i="2" s="1"/>
  <c r="S242" i="2" s="1"/>
  <c r="S243" i="2" s="1"/>
  <c r="S244" i="2" s="1"/>
  <c r="S245" i="2" s="1"/>
  <c r="S246" i="2" s="1"/>
  <c r="S247" i="2" s="1"/>
  <c r="S248" i="2" s="1"/>
  <c r="S249" i="2" s="1"/>
  <c r="S250" i="2" s="1"/>
  <c r="S251" i="2" s="1"/>
  <c r="S252" i="2" s="1"/>
  <c r="S253" i="2" s="1"/>
  <c r="S254" i="2" s="1"/>
  <c r="S255" i="2" s="1"/>
  <c r="S256" i="2" s="1"/>
  <c r="S257" i="2" s="1"/>
  <c r="S258" i="2" s="1"/>
  <c r="S259" i="2" s="1"/>
  <c r="S260" i="2" s="1"/>
  <c r="S261" i="2" s="1"/>
  <c r="S262" i="2" s="1"/>
  <c r="S263" i="2" s="1"/>
  <c r="S264" i="2" s="1"/>
  <c r="S265" i="2" s="1"/>
  <c r="S266" i="2" s="1"/>
  <c r="S267" i="2" s="1"/>
  <c r="S268" i="2" s="1"/>
  <c r="S269" i="2" s="1"/>
  <c r="S270" i="2" s="1"/>
  <c r="S271" i="2" s="1"/>
  <c r="S272" i="2" s="1"/>
  <c r="S273" i="2" s="1"/>
  <c r="S274" i="2" s="1"/>
  <c r="S275" i="2" s="1"/>
  <c r="S276" i="2" s="1"/>
  <c r="S277" i="2" s="1"/>
  <c r="S278" i="2" s="1"/>
  <c r="S279" i="2" s="1"/>
  <c r="S280" i="2" s="1"/>
  <c r="S281" i="2" s="1"/>
  <c r="S282" i="2" s="1"/>
  <c r="S283" i="2" s="1"/>
  <c r="S284" i="2" s="1"/>
  <c r="S285" i="2" s="1"/>
  <c r="S286" i="2" s="1"/>
  <c r="S287" i="2" s="1"/>
  <c r="S288" i="2" s="1"/>
  <c r="S289" i="2" s="1"/>
  <c r="S290" i="2" s="1"/>
  <c r="S291" i="2" s="1"/>
  <c r="S292" i="2" s="1"/>
  <c r="S293" i="2" s="1"/>
  <c r="S294" i="2" s="1"/>
  <c r="S295" i="2" s="1"/>
  <c r="S296" i="2" s="1"/>
  <c r="S297" i="2" s="1"/>
  <c r="S298" i="2" s="1"/>
  <c r="S299" i="2" s="1"/>
  <c r="S300" i="2" s="1"/>
  <c r="S301" i="2" s="1"/>
  <c r="S302" i="2" s="1"/>
  <c r="S303" i="2" s="1"/>
  <c r="S304" i="2" s="1"/>
  <c r="S305" i="2" s="1"/>
  <c r="S306" i="2" s="1"/>
  <c r="S307" i="2" s="1"/>
  <c r="S308" i="2" s="1"/>
  <c r="S309" i="2" s="1"/>
  <c r="S310" i="2" s="1"/>
  <c r="S311" i="2" s="1"/>
  <c r="S312" i="2" s="1"/>
  <c r="S313" i="2" s="1"/>
  <c r="S314" i="2" s="1"/>
  <c r="S315" i="2" s="1"/>
  <c r="S316" i="2" s="1"/>
  <c r="S317" i="2" s="1"/>
  <c r="S318" i="2" s="1"/>
  <c r="S319" i="2" s="1"/>
  <c r="S320" i="2" s="1"/>
  <c r="S321" i="2" s="1"/>
  <c r="S322" i="2" s="1"/>
  <c r="S323" i="2" s="1"/>
  <c r="S324" i="2" s="1"/>
  <c r="S325" i="2" s="1"/>
  <c r="S326" i="2" s="1"/>
  <c r="S327" i="2" s="1"/>
  <c r="S328" i="2" s="1"/>
  <c r="S329" i="2" s="1"/>
  <c r="S330" i="2" s="1"/>
  <c r="S331" i="2" s="1"/>
  <c r="S332" i="2" s="1"/>
  <c r="S333" i="2" s="1"/>
  <c r="S334" i="2" s="1"/>
  <c r="S335" i="2" s="1"/>
  <c r="S336" i="2" s="1"/>
  <c r="S337" i="2" s="1"/>
  <c r="S338" i="2" s="1"/>
  <c r="S339" i="2" s="1"/>
  <c r="S340" i="2" s="1"/>
  <c r="S341" i="2" s="1"/>
  <c r="S342" i="2" s="1"/>
  <c r="S343" i="2" s="1"/>
  <c r="S344" i="2" s="1"/>
  <c r="S345" i="2" s="1"/>
  <c r="S346" i="2" s="1"/>
  <c r="S347" i="2" s="1"/>
  <c r="S348" i="2" s="1"/>
  <c r="S349" i="2" s="1"/>
  <c r="S350" i="2" s="1"/>
  <c r="S351" i="2" s="1"/>
  <c r="S352" i="2" s="1"/>
  <c r="S353" i="2" s="1"/>
  <c r="S354" i="2" s="1"/>
  <c r="S355" i="2" s="1"/>
  <c r="S356" i="2" s="1"/>
  <c r="S357" i="2" s="1"/>
  <c r="S358" i="2" s="1"/>
  <c r="S359" i="2" s="1"/>
  <c r="S360" i="2" s="1"/>
  <c r="S361" i="2" s="1"/>
  <c r="S362" i="2" s="1"/>
  <c r="S363" i="2" s="1"/>
  <c r="S364" i="2" s="1"/>
  <c r="S365" i="2" s="1"/>
  <c r="S366" i="2" s="1"/>
  <c r="S367" i="2" s="1"/>
  <c r="S368" i="2" s="1"/>
  <c r="S369" i="2" s="1"/>
  <c r="S370" i="2" s="1"/>
  <c r="S371" i="2" s="1"/>
  <c r="S372" i="2" s="1"/>
  <c r="S373" i="2" s="1"/>
  <c r="S374" i="2" s="1"/>
  <c r="S375" i="2" s="1"/>
  <c r="S376" i="2" s="1"/>
  <c r="S377" i="2" s="1"/>
  <c r="S378" i="2" s="1"/>
  <c r="S379" i="2" s="1"/>
  <c r="S380" i="2" s="1"/>
  <c r="S381" i="2" s="1"/>
  <c r="S382" i="2" s="1"/>
  <c r="S383" i="2" s="1"/>
  <c r="S384" i="2" s="1"/>
  <c r="S385" i="2" s="1"/>
  <c r="S386" i="2" s="1"/>
  <c r="S387" i="2" s="1"/>
  <c r="S388" i="2" s="1"/>
  <c r="S389" i="2" s="1"/>
  <c r="S390" i="2" s="1"/>
  <c r="S391" i="2" s="1"/>
  <c r="S392" i="2" s="1"/>
  <c r="S393" i="2" s="1"/>
  <c r="S394" i="2" s="1"/>
  <c r="S395" i="2" s="1"/>
  <c r="S396" i="2" s="1"/>
  <c r="S397" i="2" s="1"/>
  <c r="S398" i="2" s="1"/>
  <c r="S399" i="2" s="1"/>
  <c r="S400" i="2" s="1"/>
  <c r="S401" i="2" s="1"/>
  <c r="S402" i="2" s="1"/>
  <c r="S403" i="2" s="1"/>
  <c r="S404" i="2" s="1"/>
  <c r="S405" i="2" s="1"/>
  <c r="S406" i="2" s="1"/>
  <c r="S407" i="2" s="1"/>
  <c r="S408" i="2" s="1"/>
  <c r="S409" i="2" s="1"/>
  <c r="S410" i="2" s="1"/>
  <c r="S411" i="2" s="1"/>
  <c r="S412" i="2" s="1"/>
  <c r="S413" i="2" s="1"/>
  <c r="S414" i="2" s="1"/>
  <c r="S415" i="2" s="1"/>
  <c r="S416" i="2" s="1"/>
  <c r="S417" i="2" s="1"/>
  <c r="S418" i="2" s="1"/>
  <c r="S419" i="2" s="1"/>
  <c r="S420" i="2" s="1"/>
  <c r="S421" i="2" s="1"/>
  <c r="S422" i="2" s="1"/>
  <c r="S423" i="2" s="1"/>
  <c r="S424" i="2" s="1"/>
  <c r="S425" i="2" s="1"/>
  <c r="S426" i="2" s="1"/>
  <c r="S427" i="2" s="1"/>
  <c r="S428" i="2" s="1"/>
  <c r="S429" i="2" s="1"/>
  <c r="S430" i="2" s="1"/>
  <c r="S431" i="2" s="1"/>
  <c r="S432" i="2" s="1"/>
  <c r="S433" i="2" s="1"/>
  <c r="S434" i="2" s="1"/>
  <c r="S435" i="2" s="1"/>
  <c r="S436" i="2" s="1"/>
  <c r="S437" i="2" s="1"/>
  <c r="S438" i="2" s="1"/>
  <c r="S439" i="2" s="1"/>
  <c r="S440" i="2" s="1"/>
  <c r="S441" i="2" s="1"/>
  <c r="S442" i="2" s="1"/>
  <c r="S443" i="2" s="1"/>
  <c r="S444" i="2" s="1"/>
  <c r="S445" i="2" s="1"/>
  <c r="S446" i="2" s="1"/>
  <c r="S447" i="2" s="1"/>
  <c r="S448" i="2" s="1"/>
  <c r="S449" i="2" s="1"/>
  <c r="S450" i="2" s="1"/>
  <c r="S451" i="2" s="1"/>
  <c r="S452" i="2" s="1"/>
  <c r="S453" i="2" s="1"/>
  <c r="S454" i="2" s="1"/>
  <c r="S455" i="2" s="1"/>
  <c r="S456" i="2" s="1"/>
  <c r="S457" i="2" s="1"/>
  <c r="S458" i="2" s="1"/>
  <c r="S459" i="2" s="1"/>
  <c r="S460" i="2" s="1"/>
  <c r="S461" i="2" s="1"/>
  <c r="S462" i="2" s="1"/>
  <c r="S463" i="2" s="1"/>
  <c r="S464" i="2" s="1"/>
  <c r="S465" i="2" s="1"/>
  <c r="S466" i="2" s="1"/>
  <c r="S467" i="2" s="1"/>
  <c r="S468" i="2" s="1"/>
  <c r="S469" i="2" s="1"/>
  <c r="S470" i="2" s="1"/>
  <c r="S471" i="2" s="1"/>
  <c r="S472" i="2" s="1"/>
  <c r="S473" i="2" s="1"/>
  <c r="S474" i="2" s="1"/>
  <c r="S475" i="2" s="1"/>
  <c r="S476" i="2" s="1"/>
  <c r="S477" i="2" s="1"/>
  <c r="S478" i="2" s="1"/>
  <c r="S479" i="2" s="1"/>
  <c r="S480" i="2" s="1"/>
  <c r="S481" i="2" s="1"/>
  <c r="S482" i="2" s="1"/>
  <c r="S483" i="2" s="1"/>
  <c r="S484" i="2" s="1"/>
  <c r="S485" i="2" s="1"/>
  <c r="S486" i="2" s="1"/>
  <c r="S487" i="2" s="1"/>
  <c r="S488" i="2" s="1"/>
  <c r="S489" i="2" s="1"/>
  <c r="S490" i="2" s="1"/>
  <c r="S491" i="2" s="1"/>
  <c r="S492" i="2" s="1"/>
  <c r="S493" i="2" s="1"/>
  <c r="S494" i="2" s="1"/>
  <c r="S495" i="2" s="1"/>
  <c r="S496" i="2" s="1"/>
  <c r="S497" i="2" s="1"/>
  <c r="S498" i="2" s="1"/>
  <c r="S499" i="2" s="1"/>
  <c r="S500" i="2" s="1"/>
  <c r="S501" i="2" s="1"/>
  <c r="S502" i="2" s="1"/>
  <c r="S503" i="2" s="1"/>
  <c r="S504" i="2" s="1"/>
  <c r="S505" i="2" s="1"/>
  <c r="S506" i="2" s="1"/>
  <c r="S507" i="2" s="1"/>
  <c r="S508" i="2" s="1"/>
  <c r="S509" i="2" s="1"/>
  <c r="S510" i="2" s="1"/>
  <c r="S511" i="2" s="1"/>
  <c r="S512" i="2" s="1"/>
  <c r="S513" i="2" s="1"/>
  <c r="S514" i="2" s="1"/>
  <c r="S515" i="2" s="1"/>
  <c r="S516" i="2" s="1"/>
  <c r="S517" i="2" s="1"/>
  <c r="S518" i="2" s="1"/>
  <c r="S519" i="2" s="1"/>
  <c r="S520" i="2" s="1"/>
  <c r="S521" i="2" s="1"/>
  <c r="S522" i="2" s="1"/>
  <c r="S523" i="2" s="1"/>
  <c r="S524" i="2" s="1"/>
  <c r="S525" i="2" s="1"/>
  <c r="S526" i="2" s="1"/>
  <c r="S527" i="2" s="1"/>
  <c r="S528" i="2" s="1"/>
  <c r="S529" i="2" s="1"/>
  <c r="S530" i="2" s="1"/>
  <c r="S531" i="2" s="1"/>
  <c r="S532" i="2" s="1"/>
  <c r="S533" i="2" s="1"/>
  <c r="S534" i="2" s="1"/>
  <c r="S535" i="2" s="1"/>
  <c r="S536" i="2" s="1"/>
  <c r="S537" i="2" s="1"/>
  <c r="S538" i="2" s="1"/>
  <c r="S539" i="2" s="1"/>
  <c r="S540" i="2" s="1"/>
  <c r="S541" i="2" s="1"/>
  <c r="S542" i="2" s="1"/>
  <c r="S543" i="2" s="1"/>
  <c r="S544" i="2" s="1"/>
  <c r="S545" i="2" s="1"/>
  <c r="S546" i="2" s="1"/>
  <c r="S547" i="2" s="1"/>
  <c r="S548" i="2" s="1"/>
  <c r="S549" i="2" s="1"/>
  <c r="S550" i="2" s="1"/>
  <c r="S551" i="2" s="1"/>
  <c r="S552" i="2" s="1"/>
  <c r="S553" i="2" s="1"/>
  <c r="S554" i="2" s="1"/>
  <c r="S555" i="2" s="1"/>
  <c r="S556" i="2" s="1"/>
  <c r="S557" i="2" s="1"/>
  <c r="S558" i="2" s="1"/>
  <c r="S559" i="2" s="1"/>
  <c r="S560" i="2" s="1"/>
  <c r="S561" i="2" s="1"/>
  <c r="S562" i="2" s="1"/>
  <c r="S563" i="2" s="1"/>
  <c r="S564" i="2" s="1"/>
  <c r="S565" i="2" s="1"/>
  <c r="S566" i="2" s="1"/>
  <c r="S567" i="2" s="1"/>
  <c r="S568" i="2" s="1"/>
  <c r="S569" i="2" s="1"/>
  <c r="S570" i="2" s="1"/>
  <c r="S571" i="2" s="1"/>
  <c r="S572" i="2" s="1"/>
  <c r="S573" i="2" s="1"/>
  <c r="S574" i="2" s="1"/>
  <c r="S575" i="2" s="1"/>
  <c r="S576" i="2" s="1"/>
  <c r="S577" i="2" s="1"/>
  <c r="S578" i="2" s="1"/>
  <c r="S579" i="2" s="1"/>
  <c r="S580" i="2" s="1"/>
  <c r="S581" i="2" s="1"/>
  <c r="S582" i="2" s="1"/>
  <c r="S583" i="2" s="1"/>
  <c r="S584" i="2" s="1"/>
  <c r="S585" i="2" s="1"/>
  <c r="S586" i="2" s="1"/>
  <c r="S587" i="2" s="1"/>
  <c r="S588" i="2" s="1"/>
  <c r="S589" i="2" s="1"/>
  <c r="S590" i="2" s="1"/>
  <c r="S591" i="2" s="1"/>
  <c r="S592" i="2" s="1"/>
  <c r="S593" i="2" s="1"/>
  <c r="S594" i="2" s="1"/>
  <c r="S595" i="2" s="1"/>
  <c r="S596" i="2" s="1"/>
  <c r="S597" i="2" s="1"/>
  <c r="S598" i="2" s="1"/>
  <c r="S599" i="2" s="1"/>
  <c r="S600" i="2" s="1"/>
  <c r="S601" i="2" s="1"/>
  <c r="S602" i="2" s="1"/>
  <c r="S603" i="2" s="1"/>
  <c r="S604" i="2" s="1"/>
  <c r="S605" i="2" s="1"/>
  <c r="S606" i="2" s="1"/>
  <c r="S607" i="2" s="1"/>
  <c r="S608" i="2" s="1"/>
  <c r="S609" i="2" s="1"/>
  <c r="S610" i="2" s="1"/>
  <c r="S611" i="2" s="1"/>
  <c r="S612" i="2" s="1"/>
  <c r="S613" i="2" s="1"/>
  <c r="S614" i="2" s="1"/>
  <c r="S615" i="2" s="1"/>
  <c r="S616" i="2" s="1"/>
  <c r="S617" i="2" s="1"/>
  <c r="S618" i="2" s="1"/>
  <c r="S619" i="2" s="1"/>
  <c r="S620" i="2" s="1"/>
  <c r="S621" i="2" s="1"/>
  <c r="S622" i="2" s="1"/>
  <c r="S623" i="2" s="1"/>
  <c r="S624" i="2" s="1"/>
  <c r="S625" i="2" s="1"/>
  <c r="S626" i="2" s="1"/>
  <c r="S627" i="2" s="1"/>
  <c r="S628" i="2" s="1"/>
  <c r="S629" i="2" s="1"/>
  <c r="S630" i="2" s="1"/>
  <c r="S631" i="2" s="1"/>
  <c r="S632" i="2" s="1"/>
  <c r="S633" i="2" s="1"/>
  <c r="S634" i="2" s="1"/>
  <c r="S635" i="2" s="1"/>
  <c r="S636" i="2" s="1"/>
  <c r="S637" i="2" s="1"/>
  <c r="S638" i="2" s="1"/>
  <c r="S639" i="2" s="1"/>
  <c r="S640" i="2" s="1"/>
  <c r="S641" i="2" s="1"/>
  <c r="S642" i="2" s="1"/>
  <c r="S643" i="2" s="1"/>
  <c r="S644" i="2" s="1"/>
  <c r="S645" i="2" s="1"/>
  <c r="S646" i="2" s="1"/>
  <c r="S647" i="2" s="1"/>
  <c r="S648" i="2" s="1"/>
  <c r="S649" i="2" s="1"/>
  <c r="S650" i="2" s="1"/>
  <c r="S651" i="2" s="1"/>
  <c r="S652" i="2" s="1"/>
  <c r="S653" i="2" s="1"/>
  <c r="S654" i="2" s="1"/>
  <c r="S655" i="2" s="1"/>
  <c r="S656" i="2" s="1"/>
  <c r="S657" i="2" s="1"/>
  <c r="S658" i="2" s="1"/>
  <c r="S659" i="2" s="1"/>
  <c r="S660" i="2" s="1"/>
  <c r="S661" i="2" s="1"/>
  <c r="S662" i="2" s="1"/>
  <c r="S663" i="2" s="1"/>
  <c r="S664" i="2" s="1"/>
  <c r="S665" i="2" s="1"/>
  <c r="S666" i="2" s="1"/>
  <c r="S667" i="2" s="1"/>
  <c r="S668" i="2" s="1"/>
  <c r="S669" i="2" s="1"/>
  <c r="S670" i="2" s="1"/>
  <c r="S671" i="2" s="1"/>
  <c r="S672" i="2" s="1"/>
  <c r="S673" i="2" s="1"/>
  <c r="S674" i="2" s="1"/>
  <c r="S675" i="2" s="1"/>
  <c r="S676" i="2" s="1"/>
  <c r="S677" i="2" s="1"/>
  <c r="S678" i="2" s="1"/>
  <c r="S679" i="2" s="1"/>
  <c r="S680" i="2" s="1"/>
  <c r="S681" i="2" s="1"/>
  <c r="S682" i="2" s="1"/>
  <c r="S683" i="2" s="1"/>
  <c r="S684" i="2" s="1"/>
  <c r="S685" i="2" s="1"/>
  <c r="S686" i="2" s="1"/>
  <c r="S687" i="2" s="1"/>
  <c r="S688" i="2" s="1"/>
  <c r="S689" i="2" s="1"/>
  <c r="S690" i="2" s="1"/>
  <c r="S691" i="2" s="1"/>
  <c r="S692" i="2" s="1"/>
  <c r="S693" i="2" s="1"/>
  <c r="S694" i="2" s="1"/>
  <c r="S695" i="2" s="1"/>
  <c r="S696" i="2" s="1"/>
  <c r="S697" i="2" s="1"/>
  <c r="S698" i="2" s="1"/>
  <c r="S699" i="2" s="1"/>
  <c r="S700" i="2" s="1"/>
  <c r="S701" i="2" s="1"/>
  <c r="S702" i="2" s="1"/>
  <c r="S703" i="2" s="1"/>
  <c r="S704" i="2" s="1"/>
  <c r="S705" i="2" s="1"/>
  <c r="S706" i="2" s="1"/>
  <c r="S707" i="2" s="1"/>
  <c r="S708" i="2" s="1"/>
  <c r="S709" i="2" s="1"/>
  <c r="S710" i="2" s="1"/>
  <c r="S711" i="2" s="1"/>
  <c r="S712" i="2" s="1"/>
  <c r="S713" i="2" s="1"/>
  <c r="S714" i="2" s="1"/>
  <c r="S715" i="2" s="1"/>
  <c r="S716" i="2" s="1"/>
  <c r="S717" i="2" s="1"/>
  <c r="S718" i="2" s="1"/>
  <c r="S719" i="2" s="1"/>
  <c r="S720" i="2" s="1"/>
  <c r="S721" i="2" s="1"/>
  <c r="S722" i="2" s="1"/>
  <c r="S723" i="2" s="1"/>
  <c r="S724" i="2" s="1"/>
  <c r="S725" i="2" s="1"/>
  <c r="S726" i="2" s="1"/>
  <c r="S727" i="2" s="1"/>
  <c r="S728" i="2" s="1"/>
  <c r="S729" i="2" s="1"/>
  <c r="S730" i="2" s="1"/>
  <c r="S731" i="2" s="1"/>
  <c r="S732" i="2" s="1"/>
  <c r="S733" i="2" s="1"/>
  <c r="S734" i="2" s="1"/>
  <c r="S735" i="2" s="1"/>
  <c r="S736" i="2" s="1"/>
  <c r="S737" i="2" s="1"/>
  <c r="S738" i="2" s="1"/>
  <c r="S739" i="2" s="1"/>
  <c r="S740" i="2" s="1"/>
  <c r="S741" i="2" s="1"/>
  <c r="S742" i="2" s="1"/>
  <c r="S743" i="2" s="1"/>
  <c r="S744" i="2" s="1"/>
  <c r="S745" i="2" s="1"/>
  <c r="S746" i="2" s="1"/>
  <c r="S747" i="2" s="1"/>
  <c r="S748" i="2" s="1"/>
  <c r="S749" i="2" s="1"/>
  <c r="S750" i="2" s="1"/>
  <c r="S751" i="2" s="1"/>
  <c r="S752" i="2" s="1"/>
  <c r="S753" i="2" s="1"/>
  <c r="S754" i="2" s="1"/>
  <c r="S755" i="2" s="1"/>
  <c r="S756" i="2" s="1"/>
  <c r="S757" i="2" s="1"/>
  <c r="S758" i="2" s="1"/>
  <c r="S759" i="2" s="1"/>
  <c r="S760" i="2" s="1"/>
  <c r="S761" i="2" s="1"/>
  <c r="S762" i="2" s="1"/>
  <c r="S763" i="2" s="1"/>
  <c r="S764" i="2" s="1"/>
  <c r="S765" i="2" s="1"/>
  <c r="S766" i="2" s="1"/>
  <c r="S767" i="2" s="1"/>
  <c r="S768" i="2" s="1"/>
  <c r="S769" i="2" s="1"/>
  <c r="S770" i="2" s="1"/>
  <c r="S771" i="2" s="1"/>
  <c r="S772" i="2" s="1"/>
  <c r="S773" i="2" s="1"/>
  <c r="S774" i="2" s="1"/>
  <c r="S775" i="2" s="1"/>
  <c r="S776" i="2" s="1"/>
  <c r="S777" i="2" s="1"/>
  <c r="S778" i="2" s="1"/>
  <c r="S779" i="2" s="1"/>
  <c r="S780" i="2" s="1"/>
  <c r="S781" i="2" s="1"/>
  <c r="S782" i="2" s="1"/>
  <c r="S783" i="2" s="1"/>
  <c r="S784" i="2" s="1"/>
  <c r="S785" i="2" s="1"/>
  <c r="S786" i="2" s="1"/>
  <c r="S787" i="2" s="1"/>
  <c r="S788" i="2" s="1"/>
  <c r="S789" i="2" s="1"/>
  <c r="S790" i="2" s="1"/>
  <c r="S791" i="2" s="1"/>
  <c r="S792" i="2" s="1"/>
  <c r="S793" i="2" s="1"/>
  <c r="S794" i="2" s="1"/>
  <c r="S795" i="2" s="1"/>
  <c r="S796" i="2" s="1"/>
  <c r="S797" i="2" s="1"/>
  <c r="S798" i="2" s="1"/>
  <c r="S799" i="2" s="1"/>
  <c r="S800" i="2" s="1"/>
  <c r="S801" i="2" s="1"/>
  <c r="S802" i="2" s="1"/>
  <c r="S803" i="2" s="1"/>
  <c r="S804" i="2" s="1"/>
  <c r="S805" i="2" s="1"/>
  <c r="S806" i="2" s="1"/>
  <c r="S807" i="2" s="1"/>
  <c r="S808" i="2" s="1"/>
  <c r="S809" i="2" s="1"/>
  <c r="S810" i="2" s="1"/>
  <c r="S811" i="2" s="1"/>
  <c r="S812" i="2" s="1"/>
  <c r="S813" i="2" s="1"/>
  <c r="S814" i="2" s="1"/>
  <c r="S815" i="2" s="1"/>
  <c r="S816" i="2" s="1"/>
  <c r="S817" i="2" s="1"/>
  <c r="S818" i="2" s="1"/>
  <c r="S819" i="2" s="1"/>
  <c r="S820" i="2" s="1"/>
  <c r="S821" i="2" s="1"/>
  <c r="S822" i="2" s="1"/>
  <c r="S823" i="2" s="1"/>
  <c r="S824" i="2" s="1"/>
  <c r="S825" i="2" s="1"/>
  <c r="S826" i="2" s="1"/>
  <c r="S827" i="2" s="1"/>
  <c r="S828" i="2" s="1"/>
  <c r="S829" i="2" s="1"/>
  <c r="S830" i="2" s="1"/>
  <c r="S831" i="2" s="1"/>
  <c r="S832" i="2" s="1"/>
  <c r="S833" i="2" s="1"/>
  <c r="S834" i="2" s="1"/>
  <c r="S835" i="2" s="1"/>
  <c r="S836" i="2" s="1"/>
  <c r="S837" i="2" s="1"/>
  <c r="S838" i="2" s="1"/>
  <c r="S839" i="2" s="1"/>
  <c r="S840" i="2" s="1"/>
  <c r="S841" i="2" s="1"/>
  <c r="S842" i="2" s="1"/>
  <c r="S843" i="2" s="1"/>
  <c r="S844" i="2" s="1"/>
  <c r="S845" i="2" s="1"/>
  <c r="S846" i="2" s="1"/>
  <c r="S847" i="2" s="1"/>
  <c r="S848" i="2" s="1"/>
  <c r="S849" i="2" s="1"/>
  <c r="S850" i="2" s="1"/>
  <c r="S851" i="2" s="1"/>
  <c r="S852" i="2" s="1"/>
  <c r="S853" i="2" s="1"/>
  <c r="S854" i="2" s="1"/>
  <c r="S855" i="2" s="1"/>
  <c r="S856" i="2" s="1"/>
  <c r="S857" i="2" s="1"/>
  <c r="S858" i="2" s="1"/>
  <c r="S859" i="2" s="1"/>
  <c r="S860" i="2" s="1"/>
  <c r="S861" i="2" s="1"/>
  <c r="S862" i="2" s="1"/>
  <c r="S863" i="2" s="1"/>
  <c r="S864" i="2" s="1"/>
  <c r="S865" i="2" s="1"/>
  <c r="S866" i="2" s="1"/>
  <c r="S867" i="2" s="1"/>
  <c r="S868" i="2" s="1"/>
  <c r="S869" i="2" s="1"/>
  <c r="S870" i="2" s="1"/>
  <c r="S871" i="2" s="1"/>
  <c r="S872" i="2" s="1"/>
  <c r="S873" i="2" s="1"/>
  <c r="S874" i="2" s="1"/>
  <c r="S875" i="2" s="1"/>
  <c r="S876" i="2" s="1"/>
  <c r="S877" i="2" s="1"/>
  <c r="S878" i="2" s="1"/>
  <c r="S879" i="2" s="1"/>
  <c r="S880" i="2" s="1"/>
  <c r="S881" i="2" s="1"/>
  <c r="S882" i="2" s="1"/>
  <c r="S883" i="2" s="1"/>
  <c r="S884" i="2" s="1"/>
  <c r="S885" i="2" s="1"/>
  <c r="S886" i="2" s="1"/>
  <c r="S887" i="2" s="1"/>
  <c r="S888" i="2" s="1"/>
  <c r="S889" i="2" s="1"/>
  <c r="S890" i="2" s="1"/>
  <c r="S891" i="2" s="1"/>
  <c r="S892" i="2" s="1"/>
  <c r="S893" i="2" s="1"/>
  <c r="S894" i="2" s="1"/>
  <c r="S895" i="2" s="1"/>
  <c r="S896" i="2" s="1"/>
  <c r="S897" i="2" s="1"/>
  <c r="S898" i="2" s="1"/>
  <c r="S899" i="2" s="1"/>
  <c r="S900" i="2" s="1"/>
  <c r="S901" i="2" s="1"/>
  <c r="S902" i="2" s="1"/>
  <c r="S903" i="2" s="1"/>
  <c r="S904" i="2" s="1"/>
  <c r="S905" i="2" s="1"/>
  <c r="S906" i="2" s="1"/>
  <c r="S907" i="2" s="1"/>
  <c r="S908" i="2" s="1"/>
  <c r="S909" i="2" s="1"/>
  <c r="S910" i="2" s="1"/>
  <c r="S911" i="2" s="1"/>
  <c r="S912" i="2" s="1"/>
  <c r="S913" i="2" s="1"/>
  <c r="S914" i="2" s="1"/>
  <c r="S915" i="2" s="1"/>
  <c r="S916" i="2" s="1"/>
  <c r="S917" i="2" s="1"/>
  <c r="S918" i="2" s="1"/>
  <c r="S919" i="2" s="1"/>
  <c r="S920" i="2" s="1"/>
  <c r="S921" i="2" s="1"/>
  <c r="S922" i="2" s="1"/>
  <c r="S923" i="2" s="1"/>
  <c r="S924" i="2" s="1"/>
  <c r="S925" i="2" s="1"/>
  <c r="S926" i="2" s="1"/>
  <c r="S927" i="2" s="1"/>
  <c r="S928" i="2" s="1"/>
  <c r="S929" i="2" s="1"/>
  <c r="S930" i="2" s="1"/>
  <c r="S931" i="2" s="1"/>
  <c r="S932" i="2" s="1"/>
  <c r="S933" i="2" s="1"/>
  <c r="S934" i="2" s="1"/>
  <c r="S935" i="2" s="1"/>
  <c r="S936" i="2" s="1"/>
  <c r="S937" i="2" s="1"/>
  <c r="S938" i="2" s="1"/>
  <c r="S939" i="2" s="1"/>
  <c r="S940" i="2" s="1"/>
  <c r="S941" i="2" s="1"/>
  <c r="S942" i="2" s="1"/>
  <c r="S943" i="2" s="1"/>
  <c r="S944" i="2" s="1"/>
  <c r="S945" i="2" s="1"/>
  <c r="S946" i="2" s="1"/>
  <c r="S947" i="2" s="1"/>
  <c r="S948" i="2" s="1"/>
  <c r="S949" i="2" s="1"/>
  <c r="S950" i="2" s="1"/>
  <c r="S951" i="2" s="1"/>
  <c r="S952" i="2" s="1"/>
  <c r="S953" i="2" s="1"/>
  <c r="S954" i="2" s="1"/>
  <c r="S955" i="2" s="1"/>
  <c r="S956" i="2" s="1"/>
  <c r="S957" i="2" s="1"/>
  <c r="S958" i="2" s="1"/>
  <c r="S959" i="2" s="1"/>
  <c r="S960" i="2" s="1"/>
  <c r="S961" i="2" s="1"/>
  <c r="S962" i="2" s="1"/>
  <c r="S963" i="2" s="1"/>
  <c r="S964" i="2" s="1"/>
  <c r="S965" i="2" s="1"/>
  <c r="S966" i="2" s="1"/>
  <c r="S967" i="2" s="1"/>
  <c r="S968" i="2" s="1"/>
  <c r="S969" i="2" s="1"/>
  <c r="S970" i="2" s="1"/>
  <c r="S971" i="2" s="1"/>
  <c r="S972" i="2" s="1"/>
  <c r="S973" i="2" s="1"/>
  <c r="S974" i="2" s="1"/>
  <c r="S975" i="2" s="1"/>
  <c r="S976" i="2" s="1"/>
  <c r="S977" i="2" s="1"/>
  <c r="S978" i="2" s="1"/>
  <c r="S979" i="2" s="1"/>
  <c r="S980" i="2" s="1"/>
  <c r="S981" i="2" s="1"/>
  <c r="S982" i="2" s="1"/>
  <c r="S983" i="2" s="1"/>
  <c r="S984" i="2" s="1"/>
  <c r="S985" i="2" s="1"/>
  <c r="S986" i="2" s="1"/>
  <c r="S987" i="2" s="1"/>
  <c r="S988" i="2" s="1"/>
  <c r="S989" i="2" s="1"/>
  <c r="S990" i="2" s="1"/>
  <c r="S991" i="2" s="1"/>
  <c r="S992" i="2" s="1"/>
  <c r="S993" i="2" s="1"/>
  <c r="S994" i="2" s="1"/>
  <c r="S995" i="2" s="1"/>
  <c r="S996" i="2" s="1"/>
  <c r="S997" i="2" s="1"/>
  <c r="S998" i="2" s="1"/>
  <c r="S999" i="2" s="1"/>
  <c r="S1000" i="2" s="1"/>
  <c r="S1001" i="2" s="1"/>
  <c r="S1002" i="2" s="1"/>
  <c r="S1003" i="2" s="1"/>
  <c r="S1004" i="2" s="1"/>
  <c r="S1005" i="2" s="1"/>
  <c r="S1006" i="2" s="1"/>
  <c r="S1007" i="2" s="1"/>
  <c r="S1008" i="2" s="1"/>
  <c r="S1009" i="2" s="1"/>
  <c r="S1010" i="2" s="1"/>
  <c r="S1011" i="2" s="1"/>
  <c r="S1012" i="2" s="1"/>
  <c r="S1013" i="2" s="1"/>
  <c r="S1014" i="2" s="1"/>
  <c r="S1015" i="2" s="1"/>
  <c r="S1016" i="2" s="1"/>
  <c r="S1017" i="2" s="1"/>
  <c r="S1018" i="2" s="1"/>
  <c r="S1019" i="2" s="1"/>
  <c r="S1020" i="2" s="1"/>
  <c r="S1021" i="2" s="1"/>
  <c r="S1022" i="2" s="1"/>
  <c r="S1023" i="2" s="1"/>
  <c r="S1024" i="2" s="1"/>
  <c r="S1025" i="2" s="1"/>
  <c r="S1026" i="2" s="1"/>
  <c r="S1027" i="2" s="1"/>
  <c r="S1028" i="2" s="1"/>
  <c r="S1029" i="2" s="1"/>
  <c r="S1030" i="2" s="1"/>
  <c r="S1031" i="2" s="1"/>
  <c r="S1032" i="2" s="1"/>
  <c r="S1033" i="2" s="1"/>
  <c r="S1034" i="2" s="1"/>
  <c r="S1035" i="2" s="1"/>
  <c r="S1036" i="2" s="1"/>
  <c r="S1037" i="2" s="1"/>
  <c r="S1038" i="2" s="1"/>
  <c r="S1039" i="2" s="1"/>
  <c r="S1040" i="2" s="1"/>
  <c r="S1041" i="2" s="1"/>
  <c r="S1042" i="2" s="1"/>
  <c r="S1043" i="2" s="1"/>
  <c r="S1044" i="2" s="1"/>
  <c r="S1045" i="2" s="1"/>
  <c r="S1046" i="2" s="1"/>
  <c r="S1047" i="2" s="1"/>
  <c r="S1048" i="2" s="1"/>
  <c r="S1049" i="2" s="1"/>
  <c r="S1050" i="2" s="1"/>
  <c r="S1051" i="2" s="1"/>
  <c r="S1052" i="2" s="1"/>
  <c r="S1053" i="2" s="1"/>
  <c r="S1054" i="2" s="1"/>
  <c r="S1055" i="2" s="1"/>
  <c r="S1056" i="2" s="1"/>
  <c r="S1057" i="2" s="1"/>
  <c r="S1058" i="2" s="1"/>
  <c r="S1059" i="2" s="1"/>
  <c r="S1060" i="2" s="1"/>
  <c r="S1061" i="2" s="1"/>
  <c r="S1062" i="2" s="1"/>
  <c r="S1063" i="2" s="1"/>
  <c r="S1064" i="2" s="1"/>
  <c r="S1065" i="2" s="1"/>
  <c r="S1066" i="2" s="1"/>
  <c r="S1067" i="2" s="1"/>
  <c r="S1068" i="2" s="1"/>
  <c r="S1069" i="2" s="1"/>
  <c r="S1070" i="2" s="1"/>
  <c r="S1071" i="2" s="1"/>
  <c r="S1072" i="2" s="1"/>
  <c r="S1073" i="2" s="1"/>
  <c r="S1074" i="2" s="1"/>
  <c r="S1075" i="2" s="1"/>
  <c r="S1076" i="2" s="1"/>
  <c r="S1077" i="2" s="1"/>
  <c r="S1078" i="2" s="1"/>
  <c r="S1079" i="2" s="1"/>
  <c r="S1080" i="2" s="1"/>
  <c r="S1081" i="2" s="1"/>
  <c r="S1082" i="2" s="1"/>
  <c r="S1083" i="2" s="1"/>
  <c r="S1084" i="2" s="1"/>
  <c r="S1085" i="2" s="1"/>
  <c r="S1086" i="2" s="1"/>
  <c r="S1087" i="2" s="1"/>
  <c r="S1088" i="2" s="1"/>
  <c r="S1089" i="2" s="1"/>
  <c r="S1090" i="2" s="1"/>
  <c r="S1091" i="2" s="1"/>
  <c r="S1092" i="2" s="1"/>
  <c r="S1093" i="2" s="1"/>
  <c r="S1094" i="2" s="1"/>
  <c r="S1095" i="2" s="1"/>
  <c r="S1096" i="2" s="1"/>
  <c r="S1097" i="2" s="1"/>
  <c r="S1098" i="2" s="1"/>
  <c r="S1099" i="2" s="1"/>
  <c r="S1100" i="2" s="1"/>
  <c r="S1101" i="2" s="1"/>
  <c r="S1102" i="2" s="1"/>
  <c r="S1103" i="2" s="1"/>
  <c r="S1104" i="2" s="1"/>
  <c r="S1105" i="2" s="1"/>
  <c r="S1106" i="2" s="1"/>
  <c r="S1107" i="2" s="1"/>
  <c r="S1108" i="2" s="1"/>
  <c r="S1109" i="2" s="1"/>
  <c r="S1110" i="2" s="1"/>
  <c r="S1111" i="2" s="1"/>
  <c r="S1112" i="2" s="1"/>
  <c r="S1113" i="2" s="1"/>
  <c r="S1114" i="2" s="1"/>
  <c r="S1115" i="2" s="1"/>
  <c r="S1116" i="2" s="1"/>
  <c r="S1117" i="2" s="1"/>
  <c r="S1118" i="2" s="1"/>
  <c r="S1119" i="2" s="1"/>
  <c r="S1120" i="2" s="1"/>
  <c r="S1121" i="2" s="1"/>
  <c r="S1122" i="2" s="1"/>
  <c r="S1123" i="2" s="1"/>
  <c r="S1124" i="2" s="1"/>
  <c r="S1125" i="2" s="1"/>
  <c r="S1126" i="2" s="1"/>
  <c r="S1127" i="2" s="1"/>
  <c r="S1128" i="2" s="1"/>
  <c r="S1129" i="2" s="1"/>
  <c r="S1130" i="2" s="1"/>
  <c r="S1131" i="2" s="1"/>
  <c r="S1132" i="2" s="1"/>
  <c r="S1133" i="2" s="1"/>
  <c r="S1134" i="2" s="1"/>
  <c r="S1135" i="2" s="1"/>
  <c r="S1136" i="2" s="1"/>
  <c r="S1137" i="2" s="1"/>
  <c r="S1138" i="2" s="1"/>
  <c r="S1139" i="2" s="1"/>
  <c r="S1140" i="2" s="1"/>
  <c r="S1141" i="2" s="1"/>
  <c r="S1142" i="2" s="1"/>
  <c r="S1143" i="2" s="1"/>
  <c r="S1144" i="2" s="1"/>
  <c r="S1145" i="2" s="1"/>
  <c r="S1146" i="2" s="1"/>
  <c r="S1147" i="2" s="1"/>
  <c r="S1148" i="2" s="1"/>
  <c r="S1149" i="2" s="1"/>
  <c r="S1150" i="2" s="1"/>
  <c r="S1151" i="2" s="1"/>
  <c r="S1152" i="2" s="1"/>
  <c r="S1153" i="2" s="1"/>
  <c r="S1154" i="2" s="1"/>
  <c r="S1155" i="2" s="1"/>
  <c r="S1156" i="2" s="1"/>
  <c r="S1157" i="2" s="1"/>
  <c r="S1158" i="2" s="1"/>
  <c r="S1159" i="2" s="1"/>
  <c r="S1160" i="2" s="1"/>
  <c r="S1161" i="2" s="1"/>
  <c r="S1162" i="2" s="1"/>
  <c r="S1163" i="2" s="1"/>
  <c r="S1164" i="2" s="1"/>
  <c r="S1165" i="2" s="1"/>
  <c r="S1166" i="2" s="1"/>
  <c r="S1167" i="2" s="1"/>
  <c r="S1168" i="2" s="1"/>
  <c r="S1169" i="2" s="1"/>
  <c r="S1170" i="2" s="1"/>
  <c r="S1171" i="2" s="1"/>
  <c r="S1172" i="2" s="1"/>
  <c r="S1173" i="2" s="1"/>
  <c r="S1174" i="2" s="1"/>
  <c r="S1175" i="2" s="1"/>
  <c r="S1176" i="2" s="1"/>
  <c r="S1177" i="2" s="1"/>
  <c r="S1178" i="2" s="1"/>
  <c r="S1179" i="2" s="1"/>
  <c r="S1180" i="2" s="1"/>
  <c r="S1181" i="2" s="1"/>
  <c r="S1182" i="2" s="1"/>
  <c r="S1183" i="2" s="1"/>
  <c r="S1184" i="2" s="1"/>
  <c r="S1185" i="2" s="1"/>
  <c r="S1186" i="2" s="1"/>
  <c r="S1187" i="2" s="1"/>
  <c r="S1188" i="2" s="1"/>
  <c r="S1189" i="2" s="1"/>
  <c r="S1190" i="2" s="1"/>
  <c r="S1191" i="2" s="1"/>
  <c r="S1192" i="2" s="1"/>
  <c r="S1193" i="2" s="1"/>
  <c r="S1194" i="2" s="1"/>
  <c r="S1195" i="2" s="1"/>
  <c r="S1196" i="2" s="1"/>
  <c r="S1197" i="2" s="1"/>
  <c r="S1198" i="2" s="1"/>
  <c r="S1199" i="2" s="1"/>
  <c r="S1200" i="2" s="1"/>
  <c r="S1201" i="2" s="1"/>
  <c r="S1202" i="2" s="1"/>
  <c r="S1203" i="2" s="1"/>
  <c r="S1204" i="2" s="1"/>
  <c r="A5" i="2" l="1" a="1"/>
  <c r="A5" i="2" s="1"/>
  <c r="B5" i="2" a="1"/>
  <c r="B5" i="2" s="1"/>
  <c r="C5" i="2" a="1"/>
  <c r="C5" i="2" s="1"/>
  <c r="D5" i="2" a="1"/>
  <c r="D5" i="2" s="1"/>
  <c r="E5" i="2" a="1"/>
  <c r="E5" i="2" s="1"/>
  <c r="F5" i="2" a="1"/>
  <c r="F5" i="2" s="1"/>
  <c r="G5" i="2" a="1"/>
  <c r="G5" i="2" s="1"/>
  <c r="H5" i="2" a="1"/>
  <c r="H5" i="2" s="1"/>
  <c r="I5" i="2" a="1"/>
  <c r="I5" i="2" s="1"/>
  <c r="J5" i="2" a="1"/>
  <c r="J5" i="2" s="1"/>
  <c r="K5" i="2" a="1"/>
  <c r="K5" i="2" s="1"/>
  <c r="L5" i="2" a="1"/>
  <c r="L5" i="2" s="1"/>
  <c r="M5" i="2" a="1"/>
  <c r="M5" i="2" s="1"/>
  <c r="N5" i="2" a="1"/>
  <c r="N5" i="2" s="1"/>
  <c r="O5" i="2" a="1"/>
  <c r="O5" i="2" s="1"/>
  <c r="P5" i="2" a="1"/>
  <c r="P5" i="2" s="1"/>
  <c r="Q5" i="2" a="1"/>
  <c r="Q5" i="2" s="1"/>
  <c r="A6" i="2" a="1"/>
  <c r="A6" i="2" s="1"/>
  <c r="B6" i="2"/>
  <c r="C6" i="2" a="1"/>
  <c r="C6" i="2" s="1"/>
  <c r="D6" i="2" a="1"/>
  <c r="D6" i="2" s="1"/>
  <c r="E6" i="2" a="1"/>
  <c r="E6" i="2" s="1"/>
  <c r="F6" i="2" a="1"/>
  <c r="F6" i="2" s="1"/>
  <c r="G6" i="2" a="1"/>
  <c r="G6" i="2" s="1"/>
  <c r="H6" i="2" a="1"/>
  <c r="H6" i="2" s="1"/>
  <c r="I6" i="2" a="1"/>
  <c r="I6" i="2" s="1"/>
  <c r="J6" i="2" a="1"/>
  <c r="J6" i="2" s="1"/>
  <c r="K6" i="2" a="1"/>
  <c r="K6" i="2" s="1"/>
  <c r="L6" i="2" a="1"/>
  <c r="L6" i="2" s="1"/>
  <c r="M6" i="2" a="1"/>
  <c r="M6" i="2" s="1"/>
  <c r="N6" i="2" a="1"/>
  <c r="N6" i="2" s="1"/>
  <c r="O6" i="2" a="1"/>
  <c r="O6" i="2" s="1"/>
  <c r="P6" i="2" a="1"/>
  <c r="P6" i="2" s="1"/>
  <c r="Q6" i="2" a="1"/>
  <c r="Q6" i="2" s="1"/>
  <c r="A7" i="2" a="1"/>
  <c r="A7" i="2" s="1"/>
  <c r="B7" i="2"/>
  <c r="C7" i="2" a="1"/>
  <c r="C7" i="2" s="1"/>
  <c r="D7" i="2" a="1"/>
  <c r="D7" i="2" s="1"/>
  <c r="E7" i="2" a="1"/>
  <c r="E7" i="2" s="1"/>
  <c r="F7" i="2" a="1"/>
  <c r="F7" i="2" s="1"/>
  <c r="G7" i="2" a="1"/>
  <c r="G7" i="2" s="1"/>
  <c r="H7" i="2" a="1"/>
  <c r="H7" i="2" s="1"/>
  <c r="I7" i="2" a="1"/>
  <c r="I7" i="2" s="1"/>
  <c r="J7" i="2" a="1"/>
  <c r="J7" i="2" s="1"/>
  <c r="K7" i="2" a="1"/>
  <c r="K7" i="2" s="1"/>
  <c r="L7" i="2" a="1"/>
  <c r="L7" i="2" s="1"/>
  <c r="M7" i="2" a="1"/>
  <c r="M7" i="2" s="1"/>
  <c r="N7" i="2" a="1"/>
  <c r="N7" i="2" s="1"/>
  <c r="O7" i="2" a="1"/>
  <c r="O7" i="2" s="1"/>
  <c r="P7" i="2" a="1"/>
  <c r="P7" i="2" s="1"/>
  <c r="Q7" i="2" a="1"/>
  <c r="Q7" i="2" s="1"/>
  <c r="A8" i="2" a="1"/>
  <c r="A8" i="2" s="1"/>
  <c r="B8" i="2"/>
  <c r="C8" i="2" a="1"/>
  <c r="C8" i="2" s="1"/>
  <c r="D8" i="2" a="1"/>
  <c r="D8" i="2" s="1"/>
  <c r="E8" i="2" a="1"/>
  <c r="E8" i="2" s="1"/>
  <c r="F8" i="2" a="1"/>
  <c r="F8" i="2" s="1"/>
  <c r="G8" i="2" a="1"/>
  <c r="G8" i="2" s="1"/>
  <c r="H8" i="2" a="1"/>
  <c r="H8" i="2" s="1"/>
  <c r="I8" i="2" a="1"/>
  <c r="I8" i="2" s="1"/>
  <c r="J8" i="2" a="1"/>
  <c r="J8" i="2" s="1"/>
  <c r="K8" i="2" a="1"/>
  <c r="K8" i="2" s="1"/>
  <c r="L8" i="2" a="1"/>
  <c r="L8" i="2" s="1"/>
  <c r="M8" i="2" a="1"/>
  <c r="M8" i="2" s="1"/>
  <c r="N8" i="2" a="1"/>
  <c r="N8" i="2" s="1"/>
  <c r="O8" i="2" a="1"/>
  <c r="O8" i="2" s="1"/>
  <c r="P8" i="2" a="1"/>
  <c r="P8" i="2" s="1"/>
  <c r="Q8" i="2" a="1"/>
  <c r="Q8" i="2" s="1"/>
  <c r="A9" i="2" a="1"/>
  <c r="A9" i="2" s="1"/>
  <c r="B9" i="2"/>
  <c r="C9" i="2" a="1"/>
  <c r="C9" i="2" s="1"/>
  <c r="D9" i="2" a="1"/>
  <c r="D9" i="2" s="1"/>
  <c r="E9" i="2" a="1"/>
  <c r="E9" i="2" s="1"/>
  <c r="F9" i="2" a="1"/>
  <c r="F9" i="2" s="1"/>
  <c r="G9" i="2" a="1"/>
  <c r="G9" i="2" s="1"/>
  <c r="H9" i="2" a="1"/>
  <c r="H9" i="2" s="1"/>
  <c r="I9" i="2" a="1"/>
  <c r="I9" i="2" s="1"/>
  <c r="J9" i="2" a="1"/>
  <c r="J9" i="2" s="1"/>
  <c r="K9" i="2" a="1"/>
  <c r="K9" i="2" s="1"/>
  <c r="L9" i="2" a="1"/>
  <c r="L9" i="2" s="1"/>
  <c r="M9" i="2" a="1"/>
  <c r="M9" i="2" s="1"/>
  <c r="N9" i="2" a="1"/>
  <c r="N9" i="2" s="1"/>
  <c r="O9" i="2" a="1"/>
  <c r="O9" i="2" s="1"/>
  <c r="P9" i="2" a="1"/>
  <c r="P9" i="2" s="1"/>
  <c r="Q9" i="2" a="1"/>
  <c r="Q9" i="2" s="1"/>
  <c r="A10" i="2" a="1"/>
  <c r="A10" i="2" s="1"/>
  <c r="B10" i="2" a="1"/>
  <c r="B10" i="2" s="1"/>
  <c r="C10" i="2" a="1"/>
  <c r="C10" i="2" s="1"/>
  <c r="D10" i="2" a="1"/>
  <c r="D10" i="2" s="1"/>
  <c r="E10" i="2" a="1"/>
  <c r="E10" i="2" s="1"/>
  <c r="F10" i="2" a="1"/>
  <c r="F10" i="2" s="1"/>
  <c r="G10" i="2" a="1"/>
  <c r="G10" i="2" s="1"/>
  <c r="H10" i="2" a="1"/>
  <c r="H10" i="2" s="1"/>
  <c r="I10" i="2" a="1"/>
  <c r="I10" i="2" s="1"/>
  <c r="J10" i="2" a="1"/>
  <c r="J10" i="2" s="1"/>
  <c r="K10" i="2" a="1"/>
  <c r="K10" i="2" s="1"/>
  <c r="L10" i="2" a="1"/>
  <c r="L10" i="2" s="1"/>
  <c r="M10" i="2" a="1"/>
  <c r="M10" i="2" s="1"/>
  <c r="N10" i="2" a="1"/>
  <c r="N10" i="2" s="1"/>
  <c r="O10" i="2" a="1"/>
  <c r="O10" i="2" s="1"/>
  <c r="P10" i="2" a="1"/>
  <c r="P10" i="2" s="1"/>
  <c r="Q10" i="2" a="1"/>
  <c r="Q10" i="2" s="1"/>
  <c r="A11" i="2" a="1"/>
  <c r="A11" i="2" s="1"/>
  <c r="B11" i="2" a="1"/>
  <c r="B11" i="2" s="1"/>
  <c r="C11" i="2" a="1"/>
  <c r="C11" i="2" s="1"/>
  <c r="D11" i="2" a="1"/>
  <c r="D11" i="2" s="1"/>
  <c r="E11" i="2" a="1"/>
  <c r="E11" i="2" s="1"/>
  <c r="F11" i="2" a="1"/>
  <c r="F11" i="2" s="1"/>
  <c r="G11" i="2" a="1"/>
  <c r="G11" i="2" s="1"/>
  <c r="H11" i="2" a="1"/>
  <c r="H11" i="2" s="1"/>
  <c r="I11" i="2" a="1"/>
  <c r="I11" i="2" s="1"/>
  <c r="J11" i="2" a="1"/>
  <c r="J11" i="2" s="1"/>
  <c r="K11" i="2" a="1"/>
  <c r="K11" i="2" s="1"/>
  <c r="L11" i="2" a="1"/>
  <c r="L11" i="2" s="1"/>
  <c r="M11" i="2" a="1"/>
  <c r="M11" i="2" s="1"/>
  <c r="N11" i="2" a="1"/>
  <c r="N11" i="2" s="1"/>
  <c r="O11" i="2" a="1"/>
  <c r="O11" i="2" s="1"/>
  <c r="P11" i="2" a="1"/>
  <c r="P11" i="2" s="1"/>
  <c r="Q11" i="2" a="1"/>
  <c r="Q11" i="2" s="1"/>
  <c r="A12" i="2" a="1"/>
  <c r="A12" i="2" s="1"/>
  <c r="B12" i="2" a="1"/>
  <c r="B12" i="2" s="1"/>
  <c r="C12" i="2" a="1"/>
  <c r="C12" i="2" s="1"/>
  <c r="D12" i="2" a="1"/>
  <c r="D12" i="2" s="1"/>
  <c r="E12" i="2" a="1"/>
  <c r="E12" i="2" s="1"/>
  <c r="F12" i="2" a="1"/>
  <c r="F12" i="2" s="1"/>
  <c r="G12" i="2" a="1"/>
  <c r="G12" i="2" s="1"/>
  <c r="H12" i="2" a="1"/>
  <c r="H12" i="2" s="1"/>
  <c r="I12" i="2" a="1"/>
  <c r="I12" i="2" s="1"/>
  <c r="J12" i="2" a="1"/>
  <c r="J12" i="2" s="1"/>
  <c r="K12" i="2" a="1"/>
  <c r="K12" i="2" s="1"/>
  <c r="L12" i="2" a="1"/>
  <c r="L12" i="2" s="1"/>
  <c r="M12" i="2" a="1"/>
  <c r="M12" i="2" s="1"/>
  <c r="N12" i="2" a="1"/>
  <c r="N12" i="2" s="1"/>
  <c r="O12" i="2" a="1"/>
  <c r="O12" i="2" s="1"/>
  <c r="P12" i="2" a="1"/>
  <c r="P12" i="2" s="1"/>
  <c r="Q12" i="2" a="1"/>
  <c r="Q12" i="2" s="1"/>
  <c r="A13" i="2" a="1"/>
  <c r="A13" i="2" s="1"/>
  <c r="B13" i="2" a="1"/>
  <c r="B13" i="2" s="1"/>
  <c r="C13" i="2" a="1"/>
  <c r="C13" i="2" s="1"/>
  <c r="D13" i="2" a="1"/>
  <c r="D13" i="2" s="1"/>
  <c r="E13" i="2" a="1"/>
  <c r="E13" i="2" s="1"/>
  <c r="F13" i="2" a="1"/>
  <c r="F13" i="2" s="1"/>
  <c r="G13" i="2" a="1"/>
  <c r="G13" i="2" s="1"/>
  <c r="H13" i="2" a="1"/>
  <c r="H13" i="2" s="1"/>
  <c r="I13" i="2" a="1"/>
  <c r="I13" i="2" s="1"/>
  <c r="J13" i="2" a="1"/>
  <c r="J13" i="2" s="1"/>
  <c r="K13" i="2" a="1"/>
  <c r="K13" i="2" s="1"/>
  <c r="L13" i="2" a="1"/>
  <c r="L13" i="2" s="1"/>
  <c r="M13" i="2" a="1"/>
  <c r="M13" i="2" s="1"/>
  <c r="N13" i="2" a="1"/>
  <c r="N13" i="2" s="1"/>
  <c r="O13" i="2" a="1"/>
  <c r="O13" i="2" s="1"/>
  <c r="P13" i="2" a="1"/>
  <c r="P13" i="2" s="1"/>
  <c r="Q13" i="2" a="1"/>
  <c r="Q13" i="2" s="1"/>
  <c r="A14" i="2" a="1"/>
  <c r="A14" i="2" s="1"/>
  <c r="B14" i="2" a="1"/>
  <c r="B14" i="2" s="1"/>
  <c r="C14" i="2" a="1"/>
  <c r="C14" i="2" s="1"/>
  <c r="D14" i="2" a="1"/>
  <c r="D14" i="2" s="1"/>
  <c r="E14" i="2" a="1"/>
  <c r="E14" i="2" s="1"/>
  <c r="F14" i="2" a="1"/>
  <c r="F14" i="2" s="1"/>
  <c r="G14" i="2" a="1"/>
  <c r="G14" i="2" s="1"/>
  <c r="H14" i="2" a="1"/>
  <c r="H14" i="2" s="1"/>
  <c r="I14" i="2" a="1"/>
  <c r="I14" i="2" s="1"/>
  <c r="J14" i="2" a="1"/>
  <c r="J14" i="2" s="1"/>
  <c r="K14" i="2" a="1"/>
  <c r="K14" i="2" s="1"/>
  <c r="L14" i="2" a="1"/>
  <c r="L14" i="2" s="1"/>
  <c r="M14" i="2" a="1"/>
  <c r="M14" i="2" s="1"/>
  <c r="N14" i="2" a="1"/>
  <c r="N14" i="2" s="1"/>
  <c r="O14" i="2" a="1"/>
  <c r="O14" i="2" s="1"/>
  <c r="P14" i="2" a="1"/>
  <c r="P14" i="2" s="1"/>
  <c r="Q14" i="2" a="1"/>
  <c r="Q14" i="2" s="1"/>
  <c r="A15" i="2" a="1"/>
  <c r="A15" i="2" s="1"/>
  <c r="B15" i="2" a="1"/>
  <c r="B15" i="2" s="1"/>
  <c r="C15" i="2" a="1"/>
  <c r="C15" i="2" s="1"/>
  <c r="D15" i="2" a="1"/>
  <c r="D15" i="2" s="1"/>
  <c r="E15" i="2" a="1"/>
  <c r="E15" i="2" s="1"/>
  <c r="F15" i="2" a="1"/>
  <c r="F15" i="2" s="1"/>
  <c r="G15" i="2" a="1"/>
  <c r="G15" i="2" s="1"/>
  <c r="H15" i="2" a="1"/>
  <c r="H15" i="2" s="1"/>
  <c r="I15" i="2" a="1"/>
  <c r="I15" i="2" s="1"/>
  <c r="J15" i="2" a="1"/>
  <c r="J15" i="2" s="1"/>
  <c r="K15" i="2" a="1"/>
  <c r="K15" i="2" s="1"/>
  <c r="L15" i="2" a="1"/>
  <c r="L15" i="2" s="1"/>
  <c r="M15" i="2" a="1"/>
  <c r="M15" i="2" s="1"/>
  <c r="N15" i="2" a="1"/>
  <c r="N15" i="2" s="1"/>
  <c r="O15" i="2" a="1"/>
  <c r="O15" i="2" s="1"/>
  <c r="P15" i="2" a="1"/>
  <c r="P15" i="2" s="1"/>
  <c r="Q15" i="2" a="1"/>
  <c r="Q15" i="2" s="1"/>
  <c r="A16" i="2" a="1"/>
  <c r="A16" i="2" s="1"/>
  <c r="B16" i="2" a="1"/>
  <c r="B16" i="2" s="1"/>
  <c r="C16" i="2" a="1"/>
  <c r="C16" i="2" s="1"/>
  <c r="D16" i="2" a="1"/>
  <c r="D16" i="2" s="1"/>
  <c r="E16" i="2" a="1"/>
  <c r="E16" i="2" s="1"/>
  <c r="F16" i="2" a="1"/>
  <c r="F16" i="2" s="1"/>
  <c r="G16" i="2" a="1"/>
  <c r="G16" i="2" s="1"/>
  <c r="H16" i="2" a="1"/>
  <c r="H16" i="2" s="1"/>
  <c r="I16" i="2" a="1"/>
  <c r="I16" i="2" s="1"/>
  <c r="J16" i="2" a="1"/>
  <c r="J16" i="2" s="1"/>
  <c r="K16" i="2" a="1"/>
  <c r="K16" i="2" s="1"/>
  <c r="L16" i="2" a="1"/>
  <c r="L16" i="2" s="1"/>
  <c r="M16" i="2" a="1"/>
  <c r="M16" i="2" s="1"/>
  <c r="N16" i="2" a="1"/>
  <c r="N16" i="2" s="1"/>
  <c r="O16" i="2" a="1"/>
  <c r="O16" i="2" s="1"/>
  <c r="P16" i="2" a="1"/>
  <c r="P16" i="2" s="1"/>
  <c r="Q16" i="2" a="1"/>
  <c r="Q16" i="2" s="1"/>
  <c r="A17" i="2" a="1"/>
  <c r="A17" i="2" s="1"/>
  <c r="B17" i="2" a="1"/>
  <c r="B17" i="2" s="1"/>
  <c r="C17" i="2" a="1"/>
  <c r="C17" i="2" s="1"/>
  <c r="D17" i="2" a="1"/>
  <c r="D17" i="2" s="1"/>
  <c r="E17" i="2" a="1"/>
  <c r="E17" i="2" s="1"/>
  <c r="F17" i="2" a="1"/>
  <c r="F17" i="2" s="1"/>
  <c r="G17" i="2" a="1"/>
  <c r="G17" i="2" s="1"/>
  <c r="H17" i="2" a="1"/>
  <c r="H17" i="2" s="1"/>
  <c r="I17" i="2" a="1"/>
  <c r="I17" i="2" s="1"/>
  <c r="J17" i="2" a="1"/>
  <c r="J17" i="2" s="1"/>
  <c r="K17" i="2" a="1"/>
  <c r="K17" i="2" s="1"/>
  <c r="L17" i="2" a="1"/>
  <c r="L17" i="2" s="1"/>
  <c r="M17" i="2" a="1"/>
  <c r="M17" i="2" s="1"/>
  <c r="N17" i="2" a="1"/>
  <c r="N17" i="2" s="1"/>
  <c r="O17" i="2" a="1"/>
  <c r="O17" i="2" s="1"/>
  <c r="P17" i="2" a="1"/>
  <c r="P17" i="2" s="1"/>
  <c r="Q17" i="2" a="1"/>
  <c r="Q17" i="2" s="1"/>
  <c r="A18" i="2" a="1"/>
  <c r="A18" i="2" s="1"/>
  <c r="B18" i="2" a="1"/>
  <c r="B18" i="2" s="1"/>
  <c r="C18" i="2" a="1"/>
  <c r="C18" i="2" s="1"/>
  <c r="D18" i="2" a="1"/>
  <c r="D18" i="2" s="1"/>
  <c r="E18" i="2" a="1"/>
  <c r="E18" i="2" s="1"/>
  <c r="F18" i="2" a="1"/>
  <c r="F18" i="2" s="1"/>
  <c r="G18" i="2" a="1"/>
  <c r="G18" i="2" s="1"/>
  <c r="H18" i="2" a="1"/>
  <c r="H18" i="2" s="1"/>
  <c r="I18" i="2" a="1"/>
  <c r="I18" i="2" s="1"/>
  <c r="J18" i="2" a="1"/>
  <c r="J18" i="2" s="1"/>
  <c r="K18" i="2" a="1"/>
  <c r="K18" i="2" s="1"/>
  <c r="L18" i="2" a="1"/>
  <c r="L18" i="2" s="1"/>
  <c r="M18" i="2" a="1"/>
  <c r="M18" i="2" s="1"/>
  <c r="N18" i="2" a="1"/>
  <c r="N18" i="2" s="1"/>
  <c r="O18" i="2" a="1"/>
  <c r="O18" i="2" s="1"/>
  <c r="P18" i="2" a="1"/>
  <c r="P18" i="2" s="1"/>
  <c r="Q18" i="2" a="1"/>
  <c r="Q18" i="2" s="1"/>
  <c r="A19" i="2" a="1"/>
  <c r="A19" i="2" s="1"/>
  <c r="B19" i="2" a="1"/>
  <c r="B19" i="2" s="1"/>
  <c r="C19" i="2" a="1"/>
  <c r="C19" i="2" s="1"/>
  <c r="D19" i="2" a="1"/>
  <c r="D19" i="2" s="1"/>
  <c r="E19" i="2" a="1"/>
  <c r="E19" i="2" s="1"/>
  <c r="F19" i="2" a="1"/>
  <c r="F19" i="2" s="1"/>
  <c r="G19" i="2" a="1"/>
  <c r="G19" i="2" s="1"/>
  <c r="H19" i="2" a="1"/>
  <c r="H19" i="2" s="1"/>
  <c r="I19" i="2" a="1"/>
  <c r="I19" i="2" s="1"/>
  <c r="J19" i="2" a="1"/>
  <c r="J19" i="2" s="1"/>
  <c r="K19" i="2" a="1"/>
  <c r="K19" i="2" s="1"/>
  <c r="L19" i="2" a="1"/>
  <c r="L19" i="2" s="1"/>
  <c r="M19" i="2" a="1"/>
  <c r="M19" i="2" s="1"/>
  <c r="N19" i="2" a="1"/>
  <c r="N19" i="2" s="1"/>
  <c r="O19" i="2" a="1"/>
  <c r="O19" i="2" s="1"/>
  <c r="P19" i="2" a="1"/>
  <c r="P19" i="2" s="1"/>
  <c r="Q19" i="2" a="1"/>
  <c r="Q19" i="2" s="1"/>
  <c r="A20" i="2" a="1"/>
  <c r="A20" i="2" s="1"/>
  <c r="B20" i="2" a="1"/>
  <c r="B20" i="2" s="1"/>
  <c r="C20" i="2" a="1"/>
  <c r="C20" i="2" s="1"/>
  <c r="D20" i="2" a="1"/>
  <c r="D20" i="2" s="1"/>
  <c r="E20" i="2" a="1"/>
  <c r="E20" i="2" s="1"/>
  <c r="F20" i="2" a="1"/>
  <c r="F20" i="2" s="1"/>
  <c r="G20" i="2" a="1"/>
  <c r="G20" i="2" s="1"/>
  <c r="H20" i="2" a="1"/>
  <c r="H20" i="2" s="1"/>
  <c r="I20" i="2" a="1"/>
  <c r="I20" i="2" s="1"/>
  <c r="J20" i="2" a="1"/>
  <c r="J20" i="2" s="1"/>
  <c r="K20" i="2" a="1"/>
  <c r="K20" i="2" s="1"/>
  <c r="L20" i="2" a="1"/>
  <c r="L20" i="2" s="1"/>
  <c r="M20" i="2" a="1"/>
  <c r="M20" i="2" s="1"/>
  <c r="N20" i="2" a="1"/>
  <c r="N20" i="2" s="1"/>
  <c r="O20" i="2" a="1"/>
  <c r="O20" i="2" s="1"/>
  <c r="P20" i="2" a="1"/>
  <c r="P20" i="2" s="1"/>
  <c r="Q20" i="2" a="1"/>
  <c r="Q20" i="2" s="1"/>
  <c r="A21" i="2" a="1"/>
  <c r="A21" i="2" s="1"/>
  <c r="B21" i="2" a="1"/>
  <c r="B21" i="2" s="1"/>
  <c r="C21" i="2" a="1"/>
  <c r="C21" i="2" s="1"/>
  <c r="D21" i="2" a="1"/>
  <c r="D21" i="2" s="1"/>
  <c r="E21" i="2" a="1"/>
  <c r="E21" i="2" s="1"/>
  <c r="F21" i="2" a="1"/>
  <c r="F21" i="2" s="1"/>
  <c r="G21" i="2" a="1"/>
  <c r="G21" i="2" s="1"/>
  <c r="H21" i="2" a="1"/>
  <c r="H21" i="2" s="1"/>
  <c r="I21" i="2" a="1"/>
  <c r="I21" i="2" s="1"/>
  <c r="J21" i="2" a="1"/>
  <c r="J21" i="2" s="1"/>
  <c r="K21" i="2" a="1"/>
  <c r="K21" i="2" s="1"/>
  <c r="L21" i="2" a="1"/>
  <c r="L21" i="2" s="1"/>
  <c r="M21" i="2" a="1"/>
  <c r="M21" i="2" s="1"/>
  <c r="N21" i="2" a="1"/>
  <c r="N21" i="2" s="1"/>
  <c r="O21" i="2" a="1"/>
  <c r="O21" i="2" s="1"/>
  <c r="P21" i="2" a="1"/>
  <c r="P21" i="2" s="1"/>
  <c r="Q21" i="2" a="1"/>
  <c r="Q21" i="2" s="1"/>
  <c r="A22" i="2" a="1"/>
  <c r="A22" i="2" s="1"/>
  <c r="B22" i="2" a="1"/>
  <c r="B22" i="2" s="1"/>
  <c r="C22" i="2" a="1"/>
  <c r="C22" i="2" s="1"/>
  <c r="D22" i="2" a="1"/>
  <c r="D22" i="2" s="1"/>
  <c r="E22" i="2" a="1"/>
  <c r="E22" i="2" s="1"/>
  <c r="F22" i="2" a="1"/>
  <c r="F22" i="2" s="1"/>
  <c r="G22" i="2" a="1"/>
  <c r="G22" i="2" s="1"/>
  <c r="H22" i="2" a="1"/>
  <c r="H22" i="2" s="1"/>
  <c r="I22" i="2" a="1"/>
  <c r="I22" i="2" s="1"/>
  <c r="J22" i="2" a="1"/>
  <c r="J22" i="2" s="1"/>
  <c r="K22" i="2" a="1"/>
  <c r="K22" i="2" s="1"/>
  <c r="L22" i="2" a="1"/>
  <c r="L22" i="2" s="1"/>
  <c r="M22" i="2" a="1"/>
  <c r="M22" i="2" s="1"/>
  <c r="N22" i="2" a="1"/>
  <c r="N22" i="2" s="1"/>
  <c r="O22" i="2" a="1"/>
  <c r="O22" i="2" s="1"/>
  <c r="P22" i="2" a="1"/>
  <c r="P22" i="2" s="1"/>
  <c r="Q22" i="2" a="1"/>
  <c r="Q22" i="2" s="1"/>
  <c r="A23" i="2" a="1"/>
  <c r="A23" i="2" s="1"/>
  <c r="B23" i="2" a="1"/>
  <c r="B23" i="2" s="1"/>
  <c r="C23" i="2" a="1"/>
  <c r="C23" i="2" s="1"/>
  <c r="D23" i="2" a="1"/>
  <c r="D23" i="2" s="1"/>
  <c r="E23" i="2" a="1"/>
  <c r="E23" i="2" s="1"/>
  <c r="F23" i="2" a="1"/>
  <c r="F23" i="2" s="1"/>
  <c r="G23" i="2" a="1"/>
  <c r="G23" i="2" s="1"/>
  <c r="H23" i="2" a="1"/>
  <c r="H23" i="2" s="1"/>
  <c r="I23" i="2" a="1"/>
  <c r="I23" i="2" s="1"/>
  <c r="J23" i="2" a="1"/>
  <c r="J23" i="2" s="1"/>
  <c r="K23" i="2" a="1"/>
  <c r="K23" i="2" s="1"/>
  <c r="L23" i="2" a="1"/>
  <c r="L23" i="2" s="1"/>
  <c r="M23" i="2" a="1"/>
  <c r="M23" i="2" s="1"/>
  <c r="N23" i="2" a="1"/>
  <c r="N23" i="2" s="1"/>
  <c r="O23" i="2" a="1"/>
  <c r="O23" i="2" s="1"/>
  <c r="P23" i="2" a="1"/>
  <c r="P23" i="2" s="1"/>
  <c r="Q23" i="2" a="1"/>
  <c r="Q23" i="2" s="1"/>
  <c r="A24" i="2" a="1"/>
  <c r="A24" i="2" s="1"/>
  <c r="B24" i="2" a="1"/>
  <c r="B24" i="2" s="1"/>
  <c r="C24" i="2" a="1"/>
  <c r="C24" i="2" s="1"/>
  <c r="D24" i="2" a="1"/>
  <c r="D24" i="2" s="1"/>
  <c r="E24" i="2" a="1"/>
  <c r="E24" i="2" s="1"/>
  <c r="F24" i="2" a="1"/>
  <c r="F24" i="2" s="1"/>
  <c r="G24" i="2" a="1"/>
  <c r="G24" i="2" s="1"/>
  <c r="H24" i="2" a="1"/>
  <c r="H24" i="2" s="1"/>
  <c r="I24" i="2" a="1"/>
  <c r="I24" i="2" s="1"/>
  <c r="J24" i="2" a="1"/>
  <c r="J24" i="2" s="1"/>
  <c r="K24" i="2" a="1"/>
  <c r="K24" i="2" s="1"/>
  <c r="L24" i="2" a="1"/>
  <c r="L24" i="2" s="1"/>
  <c r="M24" i="2" a="1"/>
  <c r="M24" i="2" s="1"/>
  <c r="N24" i="2" a="1"/>
  <c r="N24" i="2" s="1"/>
  <c r="O24" i="2" a="1"/>
  <c r="O24" i="2" s="1"/>
  <c r="P24" i="2" a="1"/>
  <c r="P24" i="2" s="1"/>
  <c r="Q24" i="2" a="1"/>
  <c r="Q24" i="2" s="1"/>
  <c r="A25" i="2" a="1"/>
  <c r="A25" i="2" s="1"/>
  <c r="B25" i="2" a="1"/>
  <c r="B25" i="2" s="1"/>
  <c r="C25" i="2" a="1"/>
  <c r="C25" i="2" s="1"/>
  <c r="D25" i="2" a="1"/>
  <c r="D25" i="2" s="1"/>
  <c r="E25" i="2" a="1"/>
  <c r="E25" i="2" s="1"/>
  <c r="F25" i="2" a="1"/>
  <c r="F25" i="2" s="1"/>
  <c r="G25" i="2" a="1"/>
  <c r="G25" i="2" s="1"/>
  <c r="H25" i="2" a="1"/>
  <c r="H25" i="2" s="1"/>
  <c r="I25" i="2" a="1"/>
  <c r="I25" i="2" s="1"/>
  <c r="J25" i="2" a="1"/>
  <c r="J25" i="2" s="1"/>
  <c r="K25" i="2" a="1"/>
  <c r="K25" i="2" s="1"/>
  <c r="L25" i="2" a="1"/>
  <c r="L25" i="2" s="1"/>
  <c r="M25" i="2" a="1"/>
  <c r="M25" i="2" s="1"/>
  <c r="N25" i="2" a="1"/>
  <c r="N25" i="2" s="1"/>
  <c r="O25" i="2" a="1"/>
  <c r="O25" i="2" s="1"/>
  <c r="P25" i="2" a="1"/>
  <c r="P25" i="2" s="1"/>
  <c r="Q25" i="2" a="1"/>
  <c r="Q25" i="2" s="1"/>
  <c r="A26" i="2" a="1"/>
  <c r="A26" i="2" s="1"/>
  <c r="B26" i="2" a="1"/>
  <c r="B26" i="2" s="1"/>
  <c r="C26" i="2" a="1"/>
  <c r="C26" i="2" s="1"/>
  <c r="D26" i="2" a="1"/>
  <c r="D26" i="2" s="1"/>
  <c r="E26" i="2" a="1"/>
  <c r="E26" i="2" s="1"/>
  <c r="F26" i="2" a="1"/>
  <c r="F26" i="2" s="1"/>
  <c r="G26" i="2" a="1"/>
  <c r="G26" i="2" s="1"/>
  <c r="H26" i="2" a="1"/>
  <c r="H26" i="2" s="1"/>
  <c r="I26" i="2" a="1"/>
  <c r="I26" i="2" s="1"/>
  <c r="J26" i="2" a="1"/>
  <c r="J26" i="2" s="1"/>
  <c r="K26" i="2" a="1"/>
  <c r="K26" i="2" s="1"/>
  <c r="L26" i="2" a="1"/>
  <c r="L26" i="2" s="1"/>
  <c r="M26" i="2" a="1"/>
  <c r="M26" i="2" s="1"/>
  <c r="N26" i="2" a="1"/>
  <c r="N26" i="2" s="1"/>
  <c r="O26" i="2" a="1"/>
  <c r="O26" i="2" s="1"/>
  <c r="P26" i="2" a="1"/>
  <c r="P26" i="2" s="1"/>
  <c r="Q26" i="2" a="1"/>
  <c r="Q26" i="2" s="1"/>
  <c r="A27" i="2" a="1"/>
  <c r="A27" i="2" s="1"/>
  <c r="B27" i="2" a="1"/>
  <c r="B27" i="2" s="1"/>
  <c r="C27" i="2" a="1"/>
  <c r="C27" i="2" s="1"/>
  <c r="D27" i="2" a="1"/>
  <c r="D27" i="2" s="1"/>
  <c r="E27" i="2" a="1"/>
  <c r="E27" i="2" s="1"/>
  <c r="F27" i="2" a="1"/>
  <c r="F27" i="2" s="1"/>
  <c r="G27" i="2" a="1"/>
  <c r="G27" i="2" s="1"/>
  <c r="H27" i="2" a="1"/>
  <c r="H27" i="2" s="1"/>
  <c r="I27" i="2" a="1"/>
  <c r="I27" i="2" s="1"/>
  <c r="J27" i="2" a="1"/>
  <c r="J27" i="2" s="1"/>
  <c r="K27" i="2" a="1"/>
  <c r="K27" i="2" s="1"/>
  <c r="L27" i="2" a="1"/>
  <c r="L27" i="2" s="1"/>
  <c r="M27" i="2" a="1"/>
  <c r="M27" i="2" s="1"/>
  <c r="N27" i="2" a="1"/>
  <c r="N27" i="2" s="1"/>
  <c r="O27" i="2" a="1"/>
  <c r="O27" i="2" s="1"/>
  <c r="P27" i="2" a="1"/>
  <c r="P27" i="2" s="1"/>
  <c r="Q27" i="2" a="1"/>
  <c r="Q27" i="2" s="1"/>
  <c r="A28" i="2" a="1"/>
  <c r="A28" i="2" s="1"/>
  <c r="B28" i="2" a="1"/>
  <c r="B28" i="2" s="1"/>
  <c r="C28" i="2" a="1"/>
  <c r="C28" i="2" s="1"/>
  <c r="D28" i="2" a="1"/>
  <c r="D28" i="2" s="1"/>
  <c r="E28" i="2" a="1"/>
  <c r="E28" i="2" s="1"/>
  <c r="F28" i="2" a="1"/>
  <c r="F28" i="2" s="1"/>
  <c r="G28" i="2" a="1"/>
  <c r="G28" i="2" s="1"/>
  <c r="H28" i="2" a="1"/>
  <c r="H28" i="2" s="1"/>
  <c r="I28" i="2" a="1"/>
  <c r="I28" i="2" s="1"/>
  <c r="J28" i="2" a="1"/>
  <c r="J28" i="2" s="1"/>
  <c r="K28" i="2" a="1"/>
  <c r="K28" i="2" s="1"/>
  <c r="L28" i="2" a="1"/>
  <c r="L28" i="2" s="1"/>
  <c r="M28" i="2" a="1"/>
  <c r="M28" i="2" s="1"/>
  <c r="N28" i="2" a="1"/>
  <c r="N28" i="2" s="1"/>
  <c r="O28" i="2" a="1"/>
  <c r="O28" i="2" s="1"/>
  <c r="P28" i="2" a="1"/>
  <c r="P28" i="2" s="1"/>
  <c r="Q28" i="2" a="1"/>
  <c r="Q28" i="2" s="1"/>
  <c r="A29" i="2" a="1"/>
  <c r="A29" i="2" s="1"/>
  <c r="B29" i="2" a="1"/>
  <c r="B29" i="2" s="1"/>
  <c r="C29" i="2" a="1"/>
  <c r="C29" i="2" s="1"/>
  <c r="D29" i="2" a="1"/>
  <c r="D29" i="2" s="1"/>
  <c r="E29" i="2" a="1"/>
  <c r="E29" i="2" s="1"/>
  <c r="F29" i="2" a="1"/>
  <c r="F29" i="2" s="1"/>
  <c r="G29" i="2" a="1"/>
  <c r="G29" i="2" s="1"/>
  <c r="H29" i="2" a="1"/>
  <c r="H29" i="2" s="1"/>
  <c r="I29" i="2" a="1"/>
  <c r="I29" i="2" s="1"/>
  <c r="J29" i="2" a="1"/>
  <c r="J29" i="2" s="1"/>
  <c r="K29" i="2" a="1"/>
  <c r="K29" i="2" s="1"/>
  <c r="L29" i="2" a="1"/>
  <c r="L29" i="2" s="1"/>
  <c r="M29" i="2" a="1"/>
  <c r="M29" i="2" s="1"/>
  <c r="N29" i="2" a="1"/>
  <c r="N29" i="2" s="1"/>
  <c r="O29" i="2" a="1"/>
  <c r="O29" i="2" s="1"/>
  <c r="P29" i="2" a="1"/>
  <c r="P29" i="2" s="1"/>
  <c r="Q29" i="2" a="1"/>
  <c r="Q29" i="2" s="1"/>
  <c r="A30" i="2" a="1"/>
  <c r="A30" i="2" s="1"/>
  <c r="B30" i="2" a="1"/>
  <c r="B30" i="2" s="1"/>
  <c r="C30" i="2" a="1"/>
  <c r="C30" i="2" s="1"/>
  <c r="D30" i="2" a="1"/>
  <c r="D30" i="2" s="1"/>
  <c r="E30" i="2" a="1"/>
  <c r="E30" i="2" s="1"/>
  <c r="F30" i="2" a="1"/>
  <c r="F30" i="2" s="1"/>
  <c r="G30" i="2" a="1"/>
  <c r="G30" i="2" s="1"/>
  <c r="H30" i="2" a="1"/>
  <c r="H30" i="2" s="1"/>
  <c r="I30" i="2" a="1"/>
  <c r="I30" i="2" s="1"/>
  <c r="J30" i="2" a="1"/>
  <c r="J30" i="2" s="1"/>
  <c r="K30" i="2" a="1"/>
  <c r="K30" i="2" s="1"/>
  <c r="L30" i="2" a="1"/>
  <c r="L30" i="2" s="1"/>
  <c r="M30" i="2" a="1"/>
  <c r="M30" i="2" s="1"/>
  <c r="N30" i="2" a="1"/>
  <c r="N30" i="2" s="1"/>
  <c r="O30" i="2" a="1"/>
  <c r="O30" i="2" s="1"/>
  <c r="P30" i="2" a="1"/>
  <c r="P30" i="2" s="1"/>
  <c r="Q30" i="2" a="1"/>
  <c r="Q30" i="2" s="1"/>
  <c r="A31" i="2" a="1"/>
  <c r="A31" i="2" s="1"/>
  <c r="B31" i="2" a="1"/>
  <c r="B31" i="2" s="1"/>
  <c r="C31" i="2" a="1"/>
  <c r="C31" i="2" s="1"/>
  <c r="D31" i="2" a="1"/>
  <c r="D31" i="2" s="1"/>
  <c r="E31" i="2" a="1"/>
  <c r="E31" i="2" s="1"/>
  <c r="F31" i="2" a="1"/>
  <c r="F31" i="2" s="1"/>
  <c r="G31" i="2" a="1"/>
  <c r="G31" i="2" s="1"/>
  <c r="H31" i="2" a="1"/>
  <c r="H31" i="2" s="1"/>
  <c r="I31" i="2" a="1"/>
  <c r="I31" i="2" s="1"/>
  <c r="J31" i="2" a="1"/>
  <c r="J31" i="2" s="1"/>
  <c r="K31" i="2" a="1"/>
  <c r="K31" i="2" s="1"/>
  <c r="L31" i="2" a="1"/>
  <c r="L31" i="2" s="1"/>
  <c r="M31" i="2" a="1"/>
  <c r="M31" i="2" s="1"/>
  <c r="N31" i="2" a="1"/>
  <c r="N31" i="2" s="1"/>
  <c r="O31" i="2" a="1"/>
  <c r="O31" i="2" s="1"/>
  <c r="P31" i="2" a="1"/>
  <c r="P31" i="2" s="1"/>
  <c r="Q31" i="2" a="1"/>
  <c r="Q31" i="2" s="1"/>
  <c r="A32" i="2" a="1"/>
  <c r="A32" i="2" s="1"/>
  <c r="B32" i="2" a="1"/>
  <c r="B32" i="2" s="1"/>
  <c r="C32" i="2" a="1"/>
  <c r="C32" i="2" s="1"/>
  <c r="D32" i="2" a="1"/>
  <c r="D32" i="2" s="1"/>
  <c r="E32" i="2" a="1"/>
  <c r="E32" i="2" s="1"/>
  <c r="F32" i="2" a="1"/>
  <c r="F32" i="2" s="1"/>
  <c r="G32" i="2" a="1"/>
  <c r="G32" i="2" s="1"/>
  <c r="H32" i="2" a="1"/>
  <c r="H32" i="2" s="1"/>
  <c r="I32" i="2" a="1"/>
  <c r="I32" i="2" s="1"/>
  <c r="J32" i="2" a="1"/>
  <c r="J32" i="2" s="1"/>
  <c r="K32" i="2" a="1"/>
  <c r="K32" i="2" s="1"/>
  <c r="L32" i="2" a="1"/>
  <c r="L32" i="2" s="1"/>
  <c r="M32" i="2" a="1"/>
  <c r="M32" i="2" s="1"/>
  <c r="N32" i="2" a="1"/>
  <c r="N32" i="2" s="1"/>
  <c r="O32" i="2" a="1"/>
  <c r="O32" i="2" s="1"/>
  <c r="P32" i="2" a="1"/>
  <c r="P32" i="2" s="1"/>
  <c r="Q32" i="2" a="1"/>
  <c r="Q32" i="2" s="1"/>
  <c r="A33" i="2" a="1"/>
  <c r="A33" i="2" s="1"/>
  <c r="B33" i="2" a="1"/>
  <c r="B33" i="2" s="1"/>
  <c r="C33" i="2" a="1"/>
  <c r="C33" i="2" s="1"/>
  <c r="D33" i="2" a="1"/>
  <c r="D33" i="2" s="1"/>
  <c r="E33" i="2" a="1"/>
  <c r="E33" i="2" s="1"/>
  <c r="F33" i="2" a="1"/>
  <c r="F33" i="2" s="1"/>
  <c r="G33" i="2" a="1"/>
  <c r="G33" i="2" s="1"/>
  <c r="H33" i="2" a="1"/>
  <c r="H33" i="2" s="1"/>
  <c r="I33" i="2" a="1"/>
  <c r="I33" i="2" s="1"/>
  <c r="J33" i="2" a="1"/>
  <c r="J33" i="2" s="1"/>
  <c r="K33" i="2" a="1"/>
  <c r="K33" i="2" s="1"/>
  <c r="L33" i="2" a="1"/>
  <c r="L33" i="2" s="1"/>
  <c r="M33" i="2" a="1"/>
  <c r="M33" i="2" s="1"/>
  <c r="N33" i="2" a="1"/>
  <c r="N33" i="2" s="1"/>
  <c r="O33" i="2" a="1"/>
  <c r="O33" i="2" s="1"/>
  <c r="P33" i="2" a="1"/>
  <c r="P33" i="2" s="1"/>
  <c r="Q33" i="2" a="1"/>
  <c r="Q33" i="2" s="1"/>
  <c r="A34" i="2" a="1"/>
  <c r="A34" i="2" s="1"/>
  <c r="B34" i="2" a="1"/>
  <c r="B34" i="2" s="1"/>
  <c r="C34" i="2" a="1"/>
  <c r="C34" i="2" s="1"/>
  <c r="D34" i="2" a="1"/>
  <c r="D34" i="2" s="1"/>
  <c r="E34" i="2" a="1"/>
  <c r="E34" i="2" s="1"/>
  <c r="F34" i="2" a="1"/>
  <c r="F34" i="2" s="1"/>
  <c r="G34" i="2" a="1"/>
  <c r="G34" i="2" s="1"/>
  <c r="H34" i="2" a="1"/>
  <c r="H34" i="2" s="1"/>
  <c r="I34" i="2" a="1"/>
  <c r="I34" i="2" s="1"/>
  <c r="J34" i="2" a="1"/>
  <c r="J34" i="2" s="1"/>
  <c r="K34" i="2" a="1"/>
  <c r="K34" i="2" s="1"/>
  <c r="L34" i="2" a="1"/>
  <c r="L34" i="2" s="1"/>
  <c r="M34" i="2" a="1"/>
  <c r="M34" i="2" s="1"/>
  <c r="N34" i="2" a="1"/>
  <c r="N34" i="2" s="1"/>
  <c r="O34" i="2" a="1"/>
  <c r="O34" i="2" s="1"/>
  <c r="P34" i="2" a="1"/>
  <c r="P34" i="2" s="1"/>
  <c r="Q34" i="2" a="1"/>
  <c r="Q34" i="2" s="1"/>
  <c r="A35" i="2" a="1"/>
  <c r="A35" i="2" s="1"/>
  <c r="B35" i="2" a="1"/>
  <c r="B35" i="2" s="1"/>
  <c r="C35" i="2" a="1"/>
  <c r="C35" i="2" s="1"/>
  <c r="D35" i="2" a="1"/>
  <c r="D35" i="2" s="1"/>
  <c r="E35" i="2" a="1"/>
  <c r="E35" i="2" s="1"/>
  <c r="F35" i="2" a="1"/>
  <c r="F35" i="2" s="1"/>
  <c r="G35" i="2" a="1"/>
  <c r="G35" i="2" s="1"/>
  <c r="H35" i="2" a="1"/>
  <c r="H35" i="2" s="1"/>
  <c r="I35" i="2" a="1"/>
  <c r="I35" i="2" s="1"/>
  <c r="J35" i="2" a="1"/>
  <c r="J35" i="2" s="1"/>
  <c r="K35" i="2" a="1"/>
  <c r="K35" i="2" s="1"/>
  <c r="L35" i="2" a="1"/>
  <c r="L35" i="2" s="1"/>
  <c r="M35" i="2" a="1"/>
  <c r="M35" i="2" s="1"/>
  <c r="N35" i="2" a="1"/>
  <c r="N35" i="2" s="1"/>
  <c r="O35" i="2" a="1"/>
  <c r="O35" i="2" s="1"/>
  <c r="P35" i="2" a="1"/>
  <c r="P35" i="2" s="1"/>
  <c r="Q35" i="2" a="1"/>
  <c r="Q35" i="2" s="1"/>
  <c r="A36" i="2" a="1"/>
  <c r="A36" i="2" s="1"/>
  <c r="B36" i="2" a="1"/>
  <c r="B36" i="2" s="1"/>
  <c r="C36" i="2" a="1"/>
  <c r="C36" i="2" s="1"/>
  <c r="D36" i="2" a="1"/>
  <c r="D36" i="2" s="1"/>
  <c r="E36" i="2" a="1"/>
  <c r="E36" i="2" s="1"/>
  <c r="F36" i="2" a="1"/>
  <c r="F36" i="2" s="1"/>
  <c r="G36" i="2" a="1"/>
  <c r="G36" i="2" s="1"/>
  <c r="H36" i="2" a="1"/>
  <c r="H36" i="2" s="1"/>
  <c r="I36" i="2" a="1"/>
  <c r="I36" i="2" s="1"/>
  <c r="J36" i="2" a="1"/>
  <c r="J36" i="2" s="1"/>
  <c r="K36" i="2" a="1"/>
  <c r="K36" i="2" s="1"/>
  <c r="L36" i="2" a="1"/>
  <c r="L36" i="2" s="1"/>
  <c r="M36" i="2" a="1"/>
  <c r="M36" i="2" s="1"/>
  <c r="N36" i="2" a="1"/>
  <c r="N36" i="2" s="1"/>
  <c r="O36" i="2" a="1"/>
  <c r="O36" i="2" s="1"/>
  <c r="P36" i="2" a="1"/>
  <c r="P36" i="2" s="1"/>
  <c r="Q36" i="2" a="1"/>
  <c r="Q36" i="2" s="1"/>
  <c r="A37" i="2" a="1"/>
  <c r="A37" i="2" s="1"/>
  <c r="B37" i="2" a="1"/>
  <c r="B37" i="2" s="1"/>
  <c r="C37" i="2" a="1"/>
  <c r="C37" i="2" s="1"/>
  <c r="D37" i="2" a="1"/>
  <c r="D37" i="2" s="1"/>
  <c r="E37" i="2" a="1"/>
  <c r="E37" i="2" s="1"/>
  <c r="F37" i="2" a="1"/>
  <c r="F37" i="2" s="1"/>
  <c r="G37" i="2" a="1"/>
  <c r="G37" i="2" s="1"/>
  <c r="H37" i="2" a="1"/>
  <c r="H37" i="2" s="1"/>
  <c r="I37" i="2" a="1"/>
  <c r="I37" i="2" s="1"/>
  <c r="J37" i="2" a="1"/>
  <c r="J37" i="2" s="1"/>
  <c r="K37" i="2" a="1"/>
  <c r="K37" i="2" s="1"/>
  <c r="L37" i="2" a="1"/>
  <c r="L37" i="2" s="1"/>
  <c r="M37" i="2" a="1"/>
  <c r="M37" i="2" s="1"/>
  <c r="N37" i="2" a="1"/>
  <c r="N37" i="2" s="1"/>
  <c r="O37" i="2" a="1"/>
  <c r="O37" i="2" s="1"/>
  <c r="P37" i="2" a="1"/>
  <c r="P37" i="2" s="1"/>
  <c r="Q37" i="2" a="1"/>
  <c r="Q37" i="2" s="1"/>
  <c r="A38" i="2" a="1"/>
  <c r="A38" i="2" s="1"/>
  <c r="B38" i="2" a="1"/>
  <c r="B38" i="2" s="1"/>
  <c r="C38" i="2" a="1"/>
  <c r="C38" i="2" s="1"/>
  <c r="D38" i="2" a="1"/>
  <c r="D38" i="2" s="1"/>
  <c r="E38" i="2" a="1"/>
  <c r="E38" i="2" s="1"/>
  <c r="F38" i="2" a="1"/>
  <c r="F38" i="2" s="1"/>
  <c r="G38" i="2" a="1"/>
  <c r="G38" i="2" s="1"/>
  <c r="H38" i="2" a="1"/>
  <c r="H38" i="2" s="1"/>
  <c r="I38" i="2" a="1"/>
  <c r="I38" i="2" s="1"/>
  <c r="J38" i="2" a="1"/>
  <c r="J38" i="2" s="1"/>
  <c r="K38" i="2" a="1"/>
  <c r="K38" i="2" s="1"/>
  <c r="L38" i="2" a="1"/>
  <c r="L38" i="2" s="1"/>
  <c r="M38" i="2" a="1"/>
  <c r="M38" i="2" s="1"/>
  <c r="N38" i="2" a="1"/>
  <c r="N38" i="2" s="1"/>
  <c r="O38" i="2" a="1"/>
  <c r="O38" i="2" s="1"/>
  <c r="P38" i="2" a="1"/>
  <c r="P38" i="2" s="1"/>
  <c r="Q38" i="2" a="1"/>
  <c r="Q38" i="2" s="1"/>
  <c r="A39" i="2" a="1"/>
  <c r="A39" i="2" s="1"/>
  <c r="B39" i="2" a="1"/>
  <c r="B39" i="2" s="1"/>
  <c r="C39" i="2" a="1"/>
  <c r="C39" i="2" s="1"/>
  <c r="D39" i="2" a="1"/>
  <c r="D39" i="2" s="1"/>
  <c r="E39" i="2" a="1"/>
  <c r="E39" i="2" s="1"/>
  <c r="F39" i="2" a="1"/>
  <c r="F39" i="2" s="1"/>
  <c r="G39" i="2" a="1"/>
  <c r="G39" i="2" s="1"/>
  <c r="H39" i="2" a="1"/>
  <c r="H39" i="2" s="1"/>
  <c r="I39" i="2" a="1"/>
  <c r="I39" i="2" s="1"/>
  <c r="J39" i="2" a="1"/>
  <c r="J39" i="2" s="1"/>
  <c r="K39" i="2" a="1"/>
  <c r="K39" i="2" s="1"/>
  <c r="L39" i="2" a="1"/>
  <c r="L39" i="2" s="1"/>
  <c r="M39" i="2" a="1"/>
  <c r="M39" i="2" s="1"/>
  <c r="N39" i="2" a="1"/>
  <c r="N39" i="2" s="1"/>
  <c r="O39" i="2" a="1"/>
  <c r="O39" i="2" s="1"/>
  <c r="P39" i="2" a="1"/>
  <c r="P39" i="2" s="1"/>
  <c r="Q39" i="2" a="1"/>
  <c r="Q39" i="2" s="1"/>
  <c r="A40" i="2" a="1"/>
  <c r="A40" i="2" s="1"/>
  <c r="B40" i="2" a="1"/>
  <c r="B40" i="2" s="1"/>
  <c r="C40" i="2" a="1"/>
  <c r="C40" i="2" s="1"/>
  <c r="D40" i="2" a="1"/>
  <c r="D40" i="2" s="1"/>
  <c r="E40" i="2" a="1"/>
  <c r="E40" i="2" s="1"/>
  <c r="F40" i="2" a="1"/>
  <c r="F40" i="2" s="1"/>
  <c r="G40" i="2" a="1"/>
  <c r="G40" i="2" s="1"/>
  <c r="H40" i="2" a="1"/>
  <c r="H40" i="2" s="1"/>
  <c r="I40" i="2" a="1"/>
  <c r="I40" i="2" s="1"/>
  <c r="J40" i="2" a="1"/>
  <c r="J40" i="2" s="1"/>
  <c r="K40" i="2" a="1"/>
  <c r="K40" i="2" s="1"/>
  <c r="L40" i="2" a="1"/>
  <c r="L40" i="2" s="1"/>
  <c r="M40" i="2" a="1"/>
  <c r="M40" i="2" s="1"/>
  <c r="N40" i="2" a="1"/>
  <c r="N40" i="2" s="1"/>
  <c r="O40" i="2" a="1"/>
  <c r="O40" i="2" s="1"/>
  <c r="P40" i="2" a="1"/>
  <c r="P40" i="2" s="1"/>
  <c r="Q40" i="2" a="1"/>
  <c r="Q40" i="2" s="1"/>
  <c r="A41" i="2" a="1"/>
  <c r="A41" i="2" s="1"/>
  <c r="B41" i="2" a="1"/>
  <c r="B41" i="2" s="1"/>
  <c r="C41" i="2" a="1"/>
  <c r="C41" i="2" s="1"/>
  <c r="D41" i="2" a="1"/>
  <c r="D41" i="2" s="1"/>
  <c r="E41" i="2" a="1"/>
  <c r="E41" i="2" s="1"/>
  <c r="F41" i="2" a="1"/>
  <c r="F41" i="2" s="1"/>
  <c r="G41" i="2" a="1"/>
  <c r="G41" i="2" s="1"/>
  <c r="H41" i="2" a="1"/>
  <c r="H41" i="2" s="1"/>
  <c r="I41" i="2" a="1"/>
  <c r="I41" i="2" s="1"/>
  <c r="J41" i="2" a="1"/>
  <c r="J41" i="2" s="1"/>
  <c r="K41" i="2" a="1"/>
  <c r="K41" i="2" s="1"/>
  <c r="L41" i="2" a="1"/>
  <c r="L41" i="2" s="1"/>
  <c r="M41" i="2" a="1"/>
  <c r="M41" i="2" s="1"/>
  <c r="N41" i="2" a="1"/>
  <c r="N41" i="2" s="1"/>
  <c r="O41" i="2" a="1"/>
  <c r="O41" i="2" s="1"/>
  <c r="P41" i="2" a="1"/>
  <c r="P41" i="2" s="1"/>
  <c r="Q41" i="2" a="1"/>
  <c r="Q41" i="2" s="1"/>
  <c r="A42" i="2" a="1"/>
  <c r="A42" i="2" s="1"/>
  <c r="B42" i="2" a="1"/>
  <c r="B42" i="2" s="1"/>
  <c r="C42" i="2" a="1"/>
  <c r="C42" i="2" s="1"/>
  <c r="D42" i="2" a="1"/>
  <c r="D42" i="2" s="1"/>
  <c r="E42" i="2" a="1"/>
  <c r="E42" i="2" s="1"/>
  <c r="F42" i="2" a="1"/>
  <c r="F42" i="2" s="1"/>
  <c r="G42" i="2" a="1"/>
  <c r="G42" i="2" s="1"/>
  <c r="H42" i="2" a="1"/>
  <c r="H42" i="2" s="1"/>
  <c r="I42" i="2" a="1"/>
  <c r="I42" i="2" s="1"/>
  <c r="J42" i="2" a="1"/>
  <c r="J42" i="2" s="1"/>
  <c r="K42" i="2" a="1"/>
  <c r="K42" i="2" s="1"/>
  <c r="L42" i="2" a="1"/>
  <c r="L42" i="2" s="1"/>
  <c r="M42" i="2" a="1"/>
  <c r="M42" i="2" s="1"/>
  <c r="N42" i="2" a="1"/>
  <c r="N42" i="2" s="1"/>
  <c r="O42" i="2" a="1"/>
  <c r="O42" i="2" s="1"/>
  <c r="P42" i="2" a="1"/>
  <c r="P42" i="2" s="1"/>
  <c r="Q42" i="2" a="1"/>
  <c r="Q42" i="2" s="1"/>
  <c r="A43" i="2" a="1"/>
  <c r="A43" i="2" s="1"/>
  <c r="B43" i="2" a="1"/>
  <c r="B43" i="2" s="1"/>
  <c r="C43" i="2" a="1"/>
  <c r="C43" i="2" s="1"/>
  <c r="D43" i="2" a="1"/>
  <c r="D43" i="2" s="1"/>
  <c r="E43" i="2" a="1"/>
  <c r="E43" i="2" s="1"/>
  <c r="F43" i="2" a="1"/>
  <c r="F43" i="2" s="1"/>
  <c r="G43" i="2" a="1"/>
  <c r="G43" i="2" s="1"/>
  <c r="H43" i="2" a="1"/>
  <c r="H43" i="2" s="1"/>
  <c r="I43" i="2" a="1"/>
  <c r="I43" i="2" s="1"/>
  <c r="J43" i="2" a="1"/>
  <c r="J43" i="2" s="1"/>
  <c r="K43" i="2" a="1"/>
  <c r="K43" i="2" s="1"/>
  <c r="L43" i="2" a="1"/>
  <c r="L43" i="2" s="1"/>
  <c r="M43" i="2" a="1"/>
  <c r="M43" i="2" s="1"/>
  <c r="N43" i="2" a="1"/>
  <c r="N43" i="2" s="1"/>
  <c r="O43" i="2" a="1"/>
  <c r="O43" i="2" s="1"/>
  <c r="P43" i="2" a="1"/>
  <c r="P43" i="2" s="1"/>
  <c r="Q43" i="2" a="1"/>
  <c r="Q43" i="2" s="1"/>
  <c r="A44" i="2" a="1"/>
  <c r="A44" i="2" s="1"/>
  <c r="B44" i="2" a="1"/>
  <c r="B44" i="2" s="1"/>
  <c r="C44" i="2" a="1"/>
  <c r="C44" i="2" s="1"/>
  <c r="D44" i="2" a="1"/>
  <c r="D44" i="2" s="1"/>
  <c r="E44" i="2" a="1"/>
  <c r="E44" i="2" s="1"/>
  <c r="F44" i="2" a="1"/>
  <c r="F44" i="2" s="1"/>
  <c r="G44" i="2" a="1"/>
  <c r="G44" i="2" s="1"/>
  <c r="H44" i="2" a="1"/>
  <c r="H44" i="2" s="1"/>
  <c r="I44" i="2" a="1"/>
  <c r="I44" i="2" s="1"/>
  <c r="J44" i="2" a="1"/>
  <c r="J44" i="2" s="1"/>
  <c r="K44" i="2" a="1"/>
  <c r="K44" i="2" s="1"/>
  <c r="L44" i="2" a="1"/>
  <c r="L44" i="2" s="1"/>
  <c r="M44" i="2" a="1"/>
  <c r="M44" i="2" s="1"/>
  <c r="N44" i="2" a="1"/>
  <c r="N44" i="2" s="1"/>
  <c r="O44" i="2" a="1"/>
  <c r="O44" i="2" s="1"/>
  <c r="P44" i="2" a="1"/>
  <c r="P44" i="2" s="1"/>
  <c r="Q44" i="2" a="1"/>
  <c r="Q44" i="2" s="1"/>
  <c r="A45" i="2" a="1"/>
  <c r="A45" i="2" s="1"/>
  <c r="B45" i="2" a="1"/>
  <c r="B45" i="2" s="1"/>
  <c r="C45" i="2" a="1"/>
  <c r="C45" i="2" s="1"/>
  <c r="D45" i="2" a="1"/>
  <c r="D45" i="2" s="1"/>
  <c r="E45" i="2" a="1"/>
  <c r="E45" i="2" s="1"/>
  <c r="F45" i="2" a="1"/>
  <c r="F45" i="2" s="1"/>
  <c r="G45" i="2" a="1"/>
  <c r="G45" i="2" s="1"/>
  <c r="H45" i="2" a="1"/>
  <c r="H45" i="2" s="1"/>
  <c r="I45" i="2" a="1"/>
  <c r="I45" i="2" s="1"/>
  <c r="J45" i="2" a="1"/>
  <c r="J45" i="2" s="1"/>
  <c r="K45" i="2" a="1"/>
  <c r="K45" i="2" s="1"/>
  <c r="L45" i="2" a="1"/>
  <c r="L45" i="2" s="1"/>
  <c r="M45" i="2" a="1"/>
  <c r="M45" i="2" s="1"/>
  <c r="N45" i="2" a="1"/>
  <c r="N45" i="2" s="1"/>
  <c r="O45" i="2" a="1"/>
  <c r="O45" i="2" s="1"/>
  <c r="P45" i="2" a="1"/>
  <c r="P45" i="2" s="1"/>
  <c r="Q45" i="2" a="1"/>
  <c r="Q45" i="2" s="1"/>
  <c r="A46" i="2" a="1"/>
  <c r="A46" i="2" s="1"/>
  <c r="B46" i="2" a="1"/>
  <c r="B46" i="2" s="1"/>
  <c r="C46" i="2" a="1"/>
  <c r="C46" i="2" s="1"/>
  <c r="D46" i="2" a="1"/>
  <c r="D46" i="2" s="1"/>
  <c r="E46" i="2" a="1"/>
  <c r="E46" i="2" s="1"/>
  <c r="F46" i="2" a="1"/>
  <c r="F46" i="2" s="1"/>
  <c r="G46" i="2" a="1"/>
  <c r="G46" i="2" s="1"/>
  <c r="H46" i="2" a="1"/>
  <c r="H46" i="2" s="1"/>
  <c r="I46" i="2" a="1"/>
  <c r="I46" i="2" s="1"/>
  <c r="J46" i="2" a="1"/>
  <c r="J46" i="2" s="1"/>
  <c r="K46" i="2" a="1"/>
  <c r="K46" i="2" s="1"/>
  <c r="L46" i="2" a="1"/>
  <c r="L46" i="2" s="1"/>
  <c r="M46" i="2" a="1"/>
  <c r="M46" i="2" s="1"/>
  <c r="N46" i="2" a="1"/>
  <c r="N46" i="2" s="1"/>
  <c r="O46" i="2" a="1"/>
  <c r="O46" i="2" s="1"/>
  <c r="P46" i="2" a="1"/>
  <c r="P46" i="2" s="1"/>
  <c r="Q46" i="2" a="1"/>
  <c r="Q46" i="2" s="1"/>
  <c r="A47" i="2" a="1"/>
  <c r="A47" i="2" s="1"/>
  <c r="B47" i="2" a="1"/>
  <c r="B47" i="2" s="1"/>
  <c r="C47" i="2" a="1"/>
  <c r="C47" i="2" s="1"/>
  <c r="D47" i="2" a="1"/>
  <c r="D47" i="2" s="1"/>
  <c r="E47" i="2" a="1"/>
  <c r="E47" i="2" s="1"/>
  <c r="F47" i="2" a="1"/>
  <c r="F47" i="2" s="1"/>
  <c r="G47" i="2" a="1"/>
  <c r="G47" i="2" s="1"/>
  <c r="H47" i="2" a="1"/>
  <c r="H47" i="2" s="1"/>
  <c r="I47" i="2" a="1"/>
  <c r="I47" i="2" s="1"/>
  <c r="J47" i="2" a="1"/>
  <c r="J47" i="2" s="1"/>
  <c r="K47" i="2" a="1"/>
  <c r="K47" i="2" s="1"/>
  <c r="L47" i="2" a="1"/>
  <c r="L47" i="2" s="1"/>
  <c r="M47" i="2" a="1"/>
  <c r="M47" i="2" s="1"/>
  <c r="N47" i="2" a="1"/>
  <c r="N47" i="2" s="1"/>
  <c r="O47" i="2" a="1"/>
  <c r="O47" i="2" s="1"/>
  <c r="P47" i="2" a="1"/>
  <c r="P47" i="2" s="1"/>
  <c r="Q47" i="2" a="1"/>
  <c r="Q47" i="2" s="1"/>
  <c r="A48" i="2" a="1"/>
  <c r="A48" i="2" s="1"/>
  <c r="B48" i="2" a="1"/>
  <c r="B48" i="2" s="1"/>
  <c r="C48" i="2" a="1"/>
  <c r="C48" i="2" s="1"/>
  <c r="D48" i="2" a="1"/>
  <c r="D48" i="2" s="1"/>
  <c r="E48" i="2" a="1"/>
  <c r="E48" i="2" s="1"/>
  <c r="F48" i="2" a="1"/>
  <c r="F48" i="2" s="1"/>
  <c r="G48" i="2" a="1"/>
  <c r="G48" i="2" s="1"/>
  <c r="H48" i="2" a="1"/>
  <c r="H48" i="2" s="1"/>
  <c r="I48" i="2" a="1"/>
  <c r="I48" i="2" s="1"/>
  <c r="J48" i="2" a="1"/>
  <c r="J48" i="2" s="1"/>
  <c r="K48" i="2" a="1"/>
  <c r="K48" i="2" s="1"/>
  <c r="L48" i="2" a="1"/>
  <c r="L48" i="2" s="1"/>
  <c r="M48" i="2" a="1"/>
  <c r="M48" i="2" s="1"/>
  <c r="N48" i="2" a="1"/>
  <c r="N48" i="2" s="1"/>
  <c r="O48" i="2" a="1"/>
  <c r="O48" i="2" s="1"/>
  <c r="P48" i="2" a="1"/>
  <c r="P48" i="2" s="1"/>
  <c r="Q48" i="2" a="1"/>
  <c r="Q48" i="2" s="1"/>
  <c r="A49" i="2" a="1"/>
  <c r="A49" i="2" s="1"/>
  <c r="B49" i="2" a="1"/>
  <c r="B49" i="2" s="1"/>
  <c r="C49" i="2" a="1"/>
  <c r="C49" i="2" s="1"/>
  <c r="D49" i="2" a="1"/>
  <c r="D49" i="2" s="1"/>
  <c r="E49" i="2" a="1"/>
  <c r="E49" i="2" s="1"/>
  <c r="F49" i="2" a="1"/>
  <c r="F49" i="2" s="1"/>
  <c r="G49" i="2" a="1"/>
  <c r="G49" i="2" s="1"/>
  <c r="H49" i="2" a="1"/>
  <c r="H49" i="2" s="1"/>
  <c r="I49" i="2" a="1"/>
  <c r="I49" i="2" s="1"/>
  <c r="J49" i="2" a="1"/>
  <c r="J49" i="2" s="1"/>
  <c r="K49" i="2" a="1"/>
  <c r="K49" i="2" s="1"/>
  <c r="L49" i="2" a="1"/>
  <c r="L49" i="2" s="1"/>
  <c r="M49" i="2" a="1"/>
  <c r="M49" i="2" s="1"/>
  <c r="N49" i="2" a="1"/>
  <c r="N49" i="2" s="1"/>
  <c r="O49" i="2" a="1"/>
  <c r="O49" i="2" s="1"/>
  <c r="P49" i="2" a="1"/>
  <c r="P49" i="2" s="1"/>
  <c r="Q49" i="2" a="1"/>
  <c r="Q49" i="2" s="1"/>
  <c r="A50" i="2" a="1"/>
  <c r="A50" i="2" s="1"/>
  <c r="B50" i="2" a="1"/>
  <c r="B50" i="2" s="1"/>
  <c r="C50" i="2" a="1"/>
  <c r="C50" i="2" s="1"/>
  <c r="D50" i="2" a="1"/>
  <c r="D50" i="2" s="1"/>
  <c r="E50" i="2" a="1"/>
  <c r="E50" i="2" s="1"/>
  <c r="F50" i="2" a="1"/>
  <c r="F50" i="2" s="1"/>
  <c r="G50" i="2" a="1"/>
  <c r="G50" i="2" s="1"/>
  <c r="H50" i="2" a="1"/>
  <c r="H50" i="2" s="1"/>
  <c r="I50" i="2" a="1"/>
  <c r="I50" i="2" s="1"/>
  <c r="J50" i="2" a="1"/>
  <c r="J50" i="2" s="1"/>
  <c r="K50" i="2" a="1"/>
  <c r="K50" i="2" s="1"/>
  <c r="L50" i="2" a="1"/>
  <c r="L50" i="2" s="1"/>
  <c r="M50" i="2" a="1"/>
  <c r="M50" i="2" s="1"/>
  <c r="N50" i="2" a="1"/>
  <c r="N50" i="2" s="1"/>
  <c r="O50" i="2" a="1"/>
  <c r="O50" i="2" s="1"/>
  <c r="P50" i="2" a="1"/>
  <c r="P50" i="2" s="1"/>
  <c r="Q50" i="2" a="1"/>
  <c r="Q50" i="2" s="1"/>
  <c r="A51" i="2" a="1"/>
  <c r="A51" i="2" s="1"/>
  <c r="B51" i="2" a="1"/>
  <c r="B51" i="2" s="1"/>
  <c r="C51" i="2" a="1"/>
  <c r="C51" i="2" s="1"/>
  <c r="D51" i="2" a="1"/>
  <c r="D51" i="2" s="1"/>
  <c r="E51" i="2" a="1"/>
  <c r="E51" i="2" s="1"/>
  <c r="F51" i="2" a="1"/>
  <c r="F51" i="2" s="1"/>
  <c r="G51" i="2" a="1"/>
  <c r="G51" i="2" s="1"/>
  <c r="H51" i="2" a="1"/>
  <c r="H51" i="2" s="1"/>
  <c r="I51" i="2" a="1"/>
  <c r="I51" i="2" s="1"/>
  <c r="J51" i="2" a="1"/>
  <c r="J51" i="2" s="1"/>
  <c r="K51" i="2" a="1"/>
  <c r="K51" i="2" s="1"/>
  <c r="L51" i="2" a="1"/>
  <c r="L51" i="2" s="1"/>
  <c r="M51" i="2" a="1"/>
  <c r="M51" i="2" s="1"/>
  <c r="N51" i="2" a="1"/>
  <c r="N51" i="2" s="1"/>
  <c r="O51" i="2" a="1"/>
  <c r="O51" i="2" s="1"/>
  <c r="P51" i="2" a="1"/>
  <c r="P51" i="2" s="1"/>
  <c r="Q51" i="2" a="1"/>
  <c r="Q51" i="2" s="1"/>
  <c r="A52" i="2" a="1"/>
  <c r="A52" i="2" s="1"/>
  <c r="B52" i="2" a="1"/>
  <c r="B52" i="2" s="1"/>
  <c r="C52" i="2" a="1"/>
  <c r="C52" i="2" s="1"/>
  <c r="D52" i="2" a="1"/>
  <c r="D52" i="2" s="1"/>
  <c r="E52" i="2" a="1"/>
  <c r="E52" i="2" s="1"/>
  <c r="F52" i="2" a="1"/>
  <c r="F52" i="2" s="1"/>
  <c r="G52" i="2" a="1"/>
  <c r="G52" i="2" s="1"/>
  <c r="H52" i="2" a="1"/>
  <c r="H52" i="2" s="1"/>
  <c r="I52" i="2" a="1"/>
  <c r="I52" i="2" s="1"/>
  <c r="J52" i="2" a="1"/>
  <c r="J52" i="2" s="1"/>
  <c r="K52" i="2" a="1"/>
  <c r="K52" i="2" s="1"/>
  <c r="L52" i="2" a="1"/>
  <c r="L52" i="2" s="1"/>
  <c r="M52" i="2" a="1"/>
  <c r="M52" i="2" s="1"/>
  <c r="N52" i="2" a="1"/>
  <c r="N52" i="2" s="1"/>
  <c r="O52" i="2" a="1"/>
  <c r="O52" i="2" s="1"/>
  <c r="P52" i="2" a="1"/>
  <c r="P52" i="2" s="1"/>
  <c r="Q52" i="2" a="1"/>
  <c r="Q52" i="2" s="1"/>
  <c r="A53" i="2" a="1"/>
  <c r="A53" i="2" s="1"/>
  <c r="B53" i="2" a="1"/>
  <c r="B53" i="2" s="1"/>
  <c r="C53" i="2" a="1"/>
  <c r="C53" i="2" s="1"/>
  <c r="D53" i="2" a="1"/>
  <c r="D53" i="2" s="1"/>
  <c r="E53" i="2" a="1"/>
  <c r="E53" i="2" s="1"/>
  <c r="F53" i="2" a="1"/>
  <c r="F53" i="2" s="1"/>
  <c r="G53" i="2" a="1"/>
  <c r="G53" i="2" s="1"/>
  <c r="H53" i="2" a="1"/>
  <c r="H53" i="2" s="1"/>
  <c r="I53" i="2" a="1"/>
  <c r="I53" i="2" s="1"/>
  <c r="J53" i="2" a="1"/>
  <c r="J53" i="2" s="1"/>
  <c r="K53" i="2" a="1"/>
  <c r="K53" i="2" s="1"/>
  <c r="L53" i="2" a="1"/>
  <c r="L53" i="2" s="1"/>
  <c r="M53" i="2" a="1"/>
  <c r="M53" i="2" s="1"/>
  <c r="N53" i="2" a="1"/>
  <c r="N53" i="2" s="1"/>
  <c r="O53" i="2" a="1"/>
  <c r="O53" i="2" s="1"/>
  <c r="P53" i="2" a="1"/>
  <c r="P53" i="2" s="1"/>
  <c r="Q53" i="2" a="1"/>
  <c r="Q53" i="2" s="1"/>
  <c r="A54" i="2" a="1"/>
  <c r="A54" i="2" s="1"/>
  <c r="B54" i="2" a="1"/>
  <c r="B54" i="2" s="1"/>
  <c r="C54" i="2" a="1"/>
  <c r="C54" i="2" s="1"/>
  <c r="D54" i="2" a="1"/>
  <c r="D54" i="2" s="1"/>
  <c r="E54" i="2" a="1"/>
  <c r="E54" i="2" s="1"/>
  <c r="F54" i="2" a="1"/>
  <c r="F54" i="2" s="1"/>
  <c r="G54" i="2" a="1"/>
  <c r="G54" i="2" s="1"/>
  <c r="H54" i="2" a="1"/>
  <c r="H54" i="2" s="1"/>
  <c r="I54" i="2" a="1"/>
  <c r="I54" i="2" s="1"/>
  <c r="J54" i="2" a="1"/>
  <c r="J54" i="2" s="1"/>
  <c r="K54" i="2" a="1"/>
  <c r="K54" i="2" s="1"/>
  <c r="L54" i="2" a="1"/>
  <c r="L54" i="2" s="1"/>
  <c r="M54" i="2" a="1"/>
  <c r="M54" i="2" s="1"/>
  <c r="N54" i="2" a="1"/>
  <c r="N54" i="2" s="1"/>
  <c r="O54" i="2" a="1"/>
  <c r="O54" i="2" s="1"/>
  <c r="P54" i="2" a="1"/>
  <c r="P54" i="2" s="1"/>
  <c r="Q54" i="2" a="1"/>
  <c r="Q54" i="2" s="1"/>
  <c r="A55" i="2" a="1"/>
  <c r="A55" i="2" s="1"/>
  <c r="B55" i="2" a="1"/>
  <c r="B55" i="2" s="1"/>
  <c r="C55" i="2" a="1"/>
  <c r="C55" i="2" s="1"/>
  <c r="D55" i="2" a="1"/>
  <c r="D55" i="2" s="1"/>
  <c r="E55" i="2" a="1"/>
  <c r="E55" i="2" s="1"/>
  <c r="F55" i="2" a="1"/>
  <c r="F55" i="2" s="1"/>
  <c r="G55" i="2" a="1"/>
  <c r="G55" i="2" s="1"/>
  <c r="H55" i="2" a="1"/>
  <c r="H55" i="2" s="1"/>
  <c r="I55" i="2" a="1"/>
  <c r="I55" i="2" s="1"/>
  <c r="J55" i="2" a="1"/>
  <c r="J55" i="2" s="1"/>
  <c r="K55" i="2" a="1"/>
  <c r="K55" i="2" s="1"/>
  <c r="L55" i="2" a="1"/>
  <c r="L55" i="2" s="1"/>
  <c r="M55" i="2" a="1"/>
  <c r="M55" i="2" s="1"/>
  <c r="N55" i="2" a="1"/>
  <c r="N55" i="2" s="1"/>
  <c r="O55" i="2" a="1"/>
  <c r="O55" i="2" s="1"/>
  <c r="P55" i="2" a="1"/>
  <c r="P55" i="2" s="1"/>
  <c r="Q55" i="2" a="1"/>
  <c r="Q55" i="2" s="1"/>
  <c r="A56" i="2" a="1"/>
  <c r="A56" i="2" s="1"/>
  <c r="B56" i="2" a="1"/>
  <c r="B56" i="2" s="1"/>
  <c r="C56" i="2" a="1"/>
  <c r="C56" i="2" s="1"/>
  <c r="D56" i="2" a="1"/>
  <c r="D56" i="2" s="1"/>
  <c r="E56" i="2" a="1"/>
  <c r="E56" i="2" s="1"/>
  <c r="F56" i="2" a="1"/>
  <c r="F56" i="2" s="1"/>
  <c r="G56" i="2" a="1"/>
  <c r="G56" i="2" s="1"/>
  <c r="H56" i="2" a="1"/>
  <c r="H56" i="2" s="1"/>
  <c r="I56" i="2" a="1"/>
  <c r="I56" i="2" s="1"/>
  <c r="J56" i="2" a="1"/>
  <c r="J56" i="2" s="1"/>
  <c r="K56" i="2" a="1"/>
  <c r="K56" i="2" s="1"/>
  <c r="L56" i="2" a="1"/>
  <c r="L56" i="2" s="1"/>
  <c r="M56" i="2" a="1"/>
  <c r="M56" i="2" s="1"/>
  <c r="N56" i="2" a="1"/>
  <c r="N56" i="2" s="1"/>
  <c r="O56" i="2" a="1"/>
  <c r="O56" i="2" s="1"/>
  <c r="P56" i="2" a="1"/>
  <c r="P56" i="2" s="1"/>
  <c r="Q56" i="2" a="1"/>
  <c r="Q56" i="2" s="1"/>
  <c r="A57" i="2" a="1"/>
  <c r="A57" i="2" s="1"/>
  <c r="B57" i="2" a="1"/>
  <c r="B57" i="2" s="1"/>
  <c r="C57" i="2" a="1"/>
  <c r="C57" i="2" s="1"/>
  <c r="D57" i="2" a="1"/>
  <c r="D57" i="2" s="1"/>
  <c r="E57" i="2" a="1"/>
  <c r="E57" i="2" s="1"/>
  <c r="F57" i="2" a="1"/>
  <c r="F57" i="2" s="1"/>
  <c r="G57" i="2" a="1"/>
  <c r="G57" i="2" s="1"/>
  <c r="H57" i="2" a="1"/>
  <c r="H57" i="2" s="1"/>
  <c r="I57" i="2" a="1"/>
  <c r="I57" i="2" s="1"/>
  <c r="J57" i="2" a="1"/>
  <c r="J57" i="2" s="1"/>
  <c r="K57" i="2" a="1"/>
  <c r="K57" i="2" s="1"/>
  <c r="L57" i="2" a="1"/>
  <c r="L57" i="2" s="1"/>
  <c r="M57" i="2" a="1"/>
  <c r="M57" i="2" s="1"/>
  <c r="N57" i="2" a="1"/>
  <c r="N57" i="2" s="1"/>
  <c r="O57" i="2" a="1"/>
  <c r="O57" i="2" s="1"/>
  <c r="P57" i="2" a="1"/>
  <c r="P57" i="2" s="1"/>
  <c r="Q57" i="2" a="1"/>
  <c r="Q57" i="2" s="1"/>
  <c r="A58" i="2" a="1"/>
  <c r="A58" i="2" s="1"/>
  <c r="B58" i="2" a="1"/>
  <c r="B58" i="2" s="1"/>
  <c r="C58" i="2" a="1"/>
  <c r="C58" i="2" s="1"/>
  <c r="D58" i="2" a="1"/>
  <c r="D58" i="2" s="1"/>
  <c r="E58" i="2" a="1"/>
  <c r="E58" i="2" s="1"/>
  <c r="F58" i="2" a="1"/>
  <c r="F58" i="2" s="1"/>
  <c r="G58" i="2" a="1"/>
  <c r="G58" i="2" s="1"/>
  <c r="H58" i="2" a="1"/>
  <c r="H58" i="2" s="1"/>
  <c r="I58" i="2" a="1"/>
  <c r="I58" i="2" s="1"/>
  <c r="J58" i="2" a="1"/>
  <c r="J58" i="2" s="1"/>
  <c r="K58" i="2" a="1"/>
  <c r="K58" i="2" s="1"/>
  <c r="L58" i="2" a="1"/>
  <c r="L58" i="2" s="1"/>
  <c r="M58" i="2" a="1"/>
  <c r="M58" i="2" s="1"/>
  <c r="N58" i="2" a="1"/>
  <c r="N58" i="2" s="1"/>
  <c r="O58" i="2" a="1"/>
  <c r="O58" i="2" s="1"/>
  <c r="P58" i="2" a="1"/>
  <c r="P58" i="2" s="1"/>
  <c r="Q58" i="2" a="1"/>
  <c r="Q58" i="2" s="1"/>
  <c r="A59" i="2" a="1"/>
  <c r="A59" i="2" s="1"/>
  <c r="B59" i="2" a="1"/>
  <c r="B59" i="2" s="1"/>
  <c r="C59" i="2" a="1"/>
  <c r="C59" i="2" s="1"/>
  <c r="D59" i="2" a="1"/>
  <c r="D59" i="2" s="1"/>
  <c r="E59" i="2" a="1"/>
  <c r="E59" i="2" s="1"/>
  <c r="F59" i="2" a="1"/>
  <c r="F59" i="2" s="1"/>
  <c r="G59" i="2" a="1"/>
  <c r="G59" i="2" s="1"/>
  <c r="H59" i="2" a="1"/>
  <c r="H59" i="2" s="1"/>
  <c r="I59" i="2" a="1"/>
  <c r="I59" i="2" s="1"/>
  <c r="J59" i="2" a="1"/>
  <c r="J59" i="2" s="1"/>
  <c r="K59" i="2" a="1"/>
  <c r="K59" i="2" s="1"/>
  <c r="L59" i="2" a="1"/>
  <c r="L59" i="2" s="1"/>
  <c r="M59" i="2" a="1"/>
  <c r="M59" i="2" s="1"/>
  <c r="N59" i="2" a="1"/>
  <c r="N59" i="2" s="1"/>
  <c r="O59" i="2" a="1"/>
  <c r="O59" i="2" s="1"/>
  <c r="P59" i="2" a="1"/>
  <c r="P59" i="2" s="1"/>
  <c r="Q59" i="2" a="1"/>
  <c r="Q59" i="2" s="1"/>
  <c r="A60" i="2" a="1"/>
  <c r="A60" i="2" s="1"/>
  <c r="B60" i="2" a="1"/>
  <c r="B60" i="2" s="1"/>
  <c r="C60" i="2" a="1"/>
  <c r="C60" i="2" s="1"/>
  <c r="D60" i="2" a="1"/>
  <c r="D60" i="2" s="1"/>
  <c r="E60" i="2" a="1"/>
  <c r="E60" i="2" s="1"/>
  <c r="F60" i="2" a="1"/>
  <c r="F60" i="2" s="1"/>
  <c r="G60" i="2" a="1"/>
  <c r="G60" i="2" s="1"/>
  <c r="H60" i="2" a="1"/>
  <c r="H60" i="2" s="1"/>
  <c r="I60" i="2" a="1"/>
  <c r="I60" i="2" s="1"/>
  <c r="J60" i="2" a="1"/>
  <c r="J60" i="2" s="1"/>
  <c r="K60" i="2" a="1"/>
  <c r="K60" i="2" s="1"/>
  <c r="L60" i="2" a="1"/>
  <c r="L60" i="2" s="1"/>
  <c r="M60" i="2" a="1"/>
  <c r="M60" i="2" s="1"/>
  <c r="N60" i="2" a="1"/>
  <c r="N60" i="2" s="1"/>
  <c r="O60" i="2" a="1"/>
  <c r="O60" i="2" s="1"/>
  <c r="P60" i="2" a="1"/>
  <c r="P60" i="2" s="1"/>
  <c r="Q60" i="2" a="1"/>
  <c r="Q60" i="2" s="1"/>
  <c r="A61" i="2" a="1"/>
  <c r="A61" i="2" s="1"/>
  <c r="B61" i="2" a="1"/>
  <c r="B61" i="2" s="1"/>
  <c r="C61" i="2" a="1"/>
  <c r="C61" i="2" s="1"/>
  <c r="D61" i="2" a="1"/>
  <c r="D61" i="2" s="1"/>
  <c r="E61" i="2" a="1"/>
  <c r="E61" i="2" s="1"/>
  <c r="F61" i="2" a="1"/>
  <c r="F61" i="2" s="1"/>
  <c r="G61" i="2" a="1"/>
  <c r="G61" i="2" s="1"/>
  <c r="H61" i="2" a="1"/>
  <c r="H61" i="2" s="1"/>
  <c r="I61" i="2" a="1"/>
  <c r="I61" i="2" s="1"/>
  <c r="J61" i="2" a="1"/>
  <c r="J61" i="2" s="1"/>
  <c r="K61" i="2" a="1"/>
  <c r="K61" i="2" s="1"/>
  <c r="L61" i="2" a="1"/>
  <c r="L61" i="2" s="1"/>
  <c r="M61" i="2" a="1"/>
  <c r="M61" i="2" s="1"/>
  <c r="N61" i="2" a="1"/>
  <c r="N61" i="2" s="1"/>
  <c r="O61" i="2" a="1"/>
  <c r="O61" i="2" s="1"/>
  <c r="P61" i="2" a="1"/>
  <c r="P61" i="2" s="1"/>
  <c r="Q61" i="2" a="1"/>
  <c r="Q61" i="2" s="1"/>
  <c r="A62" i="2" a="1"/>
  <c r="A62" i="2" s="1"/>
  <c r="B62" i="2" a="1"/>
  <c r="B62" i="2" s="1"/>
  <c r="C62" i="2" a="1"/>
  <c r="C62" i="2" s="1"/>
  <c r="D62" i="2" a="1"/>
  <c r="D62" i="2" s="1"/>
  <c r="E62" i="2" a="1"/>
  <c r="E62" i="2" s="1"/>
  <c r="F62" i="2" a="1"/>
  <c r="F62" i="2" s="1"/>
  <c r="G62" i="2" a="1"/>
  <c r="G62" i="2" s="1"/>
  <c r="H62" i="2" a="1"/>
  <c r="H62" i="2" s="1"/>
  <c r="I62" i="2" a="1"/>
  <c r="I62" i="2" s="1"/>
  <c r="J62" i="2" a="1"/>
  <c r="J62" i="2" s="1"/>
  <c r="K62" i="2" a="1"/>
  <c r="K62" i="2" s="1"/>
  <c r="L62" i="2" a="1"/>
  <c r="L62" i="2" s="1"/>
  <c r="M62" i="2" a="1"/>
  <c r="M62" i="2" s="1"/>
  <c r="N62" i="2" a="1"/>
  <c r="N62" i="2" s="1"/>
  <c r="O62" i="2" a="1"/>
  <c r="O62" i="2" s="1"/>
  <c r="P62" i="2" a="1"/>
  <c r="P62" i="2" s="1"/>
  <c r="Q62" i="2" a="1"/>
  <c r="Q62" i="2" s="1"/>
  <c r="A63" i="2" a="1"/>
  <c r="A63" i="2" s="1"/>
  <c r="B63" i="2" a="1"/>
  <c r="B63" i="2" s="1"/>
  <c r="C63" i="2" a="1"/>
  <c r="C63" i="2" s="1"/>
  <c r="D63" i="2" a="1"/>
  <c r="D63" i="2" s="1"/>
  <c r="E63" i="2" a="1"/>
  <c r="E63" i="2" s="1"/>
  <c r="F63" i="2" a="1"/>
  <c r="F63" i="2" s="1"/>
  <c r="G63" i="2" a="1"/>
  <c r="G63" i="2" s="1"/>
  <c r="H63" i="2" a="1"/>
  <c r="H63" i="2" s="1"/>
  <c r="I63" i="2" a="1"/>
  <c r="I63" i="2" s="1"/>
  <c r="J63" i="2" a="1"/>
  <c r="J63" i="2" s="1"/>
  <c r="K63" i="2" a="1"/>
  <c r="K63" i="2" s="1"/>
  <c r="L63" i="2" a="1"/>
  <c r="L63" i="2" s="1"/>
  <c r="M63" i="2" a="1"/>
  <c r="M63" i="2" s="1"/>
  <c r="N63" i="2" a="1"/>
  <c r="N63" i="2" s="1"/>
  <c r="O63" i="2" a="1"/>
  <c r="O63" i="2" s="1"/>
  <c r="P63" i="2" a="1"/>
  <c r="P63" i="2" s="1"/>
  <c r="Q63" i="2" a="1"/>
  <c r="Q63" i="2" s="1"/>
  <c r="A64" i="2" a="1"/>
  <c r="A64" i="2" s="1"/>
  <c r="B64" i="2" a="1"/>
  <c r="B64" i="2" s="1"/>
  <c r="C64" i="2" a="1"/>
  <c r="C64" i="2" s="1"/>
  <c r="D64" i="2" a="1"/>
  <c r="D64" i="2" s="1"/>
  <c r="E64" i="2" a="1"/>
  <c r="E64" i="2" s="1"/>
  <c r="F64" i="2" a="1"/>
  <c r="F64" i="2" s="1"/>
  <c r="G64" i="2" a="1"/>
  <c r="G64" i="2" s="1"/>
  <c r="H64" i="2" a="1"/>
  <c r="H64" i="2" s="1"/>
  <c r="I64" i="2" a="1"/>
  <c r="I64" i="2" s="1"/>
  <c r="J64" i="2" a="1"/>
  <c r="J64" i="2" s="1"/>
  <c r="K64" i="2" a="1"/>
  <c r="K64" i="2" s="1"/>
  <c r="L64" i="2" a="1"/>
  <c r="L64" i="2" s="1"/>
  <c r="M64" i="2" a="1"/>
  <c r="M64" i="2" s="1"/>
  <c r="N64" i="2" a="1"/>
  <c r="N64" i="2" s="1"/>
  <c r="O64" i="2" a="1"/>
  <c r="O64" i="2" s="1"/>
  <c r="P64" i="2" a="1"/>
  <c r="P64" i="2" s="1"/>
  <c r="Q64" i="2" a="1"/>
  <c r="Q64" i="2" s="1"/>
  <c r="A65" i="2" a="1"/>
  <c r="A65" i="2" s="1"/>
  <c r="B65" i="2" a="1"/>
  <c r="B65" i="2" s="1"/>
  <c r="C65" i="2" a="1"/>
  <c r="C65" i="2" s="1"/>
  <c r="D65" i="2" a="1"/>
  <c r="D65" i="2" s="1"/>
  <c r="E65" i="2" a="1"/>
  <c r="E65" i="2" s="1"/>
  <c r="F65" i="2" a="1"/>
  <c r="F65" i="2" s="1"/>
  <c r="G65" i="2" a="1"/>
  <c r="G65" i="2" s="1"/>
  <c r="H65" i="2" a="1"/>
  <c r="H65" i="2" s="1"/>
  <c r="I65" i="2" a="1"/>
  <c r="I65" i="2" s="1"/>
  <c r="J65" i="2" a="1"/>
  <c r="J65" i="2" s="1"/>
  <c r="K65" i="2" a="1"/>
  <c r="K65" i="2" s="1"/>
  <c r="L65" i="2" a="1"/>
  <c r="L65" i="2" s="1"/>
  <c r="M65" i="2" a="1"/>
  <c r="M65" i="2" s="1"/>
  <c r="N65" i="2" a="1"/>
  <c r="N65" i="2" s="1"/>
  <c r="O65" i="2" a="1"/>
  <c r="O65" i="2" s="1"/>
  <c r="P65" i="2" a="1"/>
  <c r="P65" i="2" s="1"/>
  <c r="Q65" i="2" a="1"/>
  <c r="Q65" i="2" s="1"/>
  <c r="A66" i="2" a="1"/>
  <c r="A66" i="2" s="1"/>
  <c r="B66" i="2" a="1"/>
  <c r="B66" i="2" s="1"/>
  <c r="C66" i="2" a="1"/>
  <c r="C66" i="2" s="1"/>
  <c r="D66" i="2" a="1"/>
  <c r="D66" i="2" s="1"/>
  <c r="E66" i="2" a="1"/>
  <c r="E66" i="2" s="1"/>
  <c r="F66" i="2" a="1"/>
  <c r="F66" i="2" s="1"/>
  <c r="G66" i="2" a="1"/>
  <c r="G66" i="2" s="1"/>
  <c r="H66" i="2" a="1"/>
  <c r="H66" i="2" s="1"/>
  <c r="I66" i="2" a="1"/>
  <c r="I66" i="2" s="1"/>
  <c r="J66" i="2" a="1"/>
  <c r="J66" i="2" s="1"/>
  <c r="K66" i="2" a="1"/>
  <c r="K66" i="2" s="1"/>
  <c r="L66" i="2" a="1"/>
  <c r="L66" i="2" s="1"/>
  <c r="M66" i="2" a="1"/>
  <c r="M66" i="2" s="1"/>
  <c r="N66" i="2" a="1"/>
  <c r="N66" i="2" s="1"/>
  <c r="O66" i="2" a="1"/>
  <c r="O66" i="2" s="1"/>
  <c r="P66" i="2" a="1"/>
  <c r="P66" i="2" s="1"/>
  <c r="Q66" i="2" a="1"/>
  <c r="Q66" i="2" s="1"/>
  <c r="A67" i="2" a="1"/>
  <c r="A67" i="2" s="1"/>
  <c r="B67" i="2" a="1"/>
  <c r="B67" i="2" s="1"/>
  <c r="C67" i="2" a="1"/>
  <c r="C67" i="2" s="1"/>
  <c r="D67" i="2" a="1"/>
  <c r="D67" i="2" s="1"/>
  <c r="E67" i="2" a="1"/>
  <c r="E67" i="2" s="1"/>
  <c r="F67" i="2" a="1"/>
  <c r="F67" i="2" s="1"/>
  <c r="G67" i="2" a="1"/>
  <c r="G67" i="2" s="1"/>
  <c r="H67" i="2" a="1"/>
  <c r="H67" i="2" s="1"/>
  <c r="I67" i="2" a="1"/>
  <c r="I67" i="2" s="1"/>
  <c r="J67" i="2" a="1"/>
  <c r="J67" i="2" s="1"/>
  <c r="K67" i="2" a="1"/>
  <c r="K67" i="2" s="1"/>
  <c r="L67" i="2" a="1"/>
  <c r="L67" i="2" s="1"/>
  <c r="M67" i="2" a="1"/>
  <c r="M67" i="2" s="1"/>
  <c r="N67" i="2" a="1"/>
  <c r="N67" i="2" s="1"/>
  <c r="O67" i="2" a="1"/>
  <c r="O67" i="2" s="1"/>
  <c r="P67" i="2" a="1"/>
  <c r="P67" i="2" s="1"/>
  <c r="Q67" i="2" a="1"/>
  <c r="Q67" i="2" s="1"/>
  <c r="A68" i="2" a="1"/>
  <c r="A68" i="2" s="1"/>
  <c r="B68" i="2" a="1"/>
  <c r="B68" i="2" s="1"/>
  <c r="C68" i="2" a="1"/>
  <c r="C68" i="2" s="1"/>
  <c r="D68" i="2" a="1"/>
  <c r="D68" i="2" s="1"/>
  <c r="E68" i="2" a="1"/>
  <c r="E68" i="2" s="1"/>
  <c r="F68" i="2" a="1"/>
  <c r="F68" i="2" s="1"/>
  <c r="G68" i="2" a="1"/>
  <c r="G68" i="2" s="1"/>
  <c r="H68" i="2" a="1"/>
  <c r="H68" i="2" s="1"/>
  <c r="I68" i="2" a="1"/>
  <c r="I68" i="2" s="1"/>
  <c r="J68" i="2" a="1"/>
  <c r="J68" i="2" s="1"/>
  <c r="K68" i="2" a="1"/>
  <c r="K68" i="2" s="1"/>
  <c r="L68" i="2" a="1"/>
  <c r="L68" i="2" s="1"/>
  <c r="M68" i="2" a="1"/>
  <c r="M68" i="2" s="1"/>
  <c r="N68" i="2" a="1"/>
  <c r="N68" i="2" s="1"/>
  <c r="O68" i="2" a="1"/>
  <c r="O68" i="2" s="1"/>
  <c r="P68" i="2" a="1"/>
  <c r="P68" i="2" s="1"/>
  <c r="Q68" i="2" a="1"/>
  <c r="Q68" i="2" s="1"/>
  <c r="A69" i="2" a="1"/>
  <c r="A69" i="2" s="1"/>
  <c r="B69" i="2" a="1"/>
  <c r="B69" i="2" s="1"/>
  <c r="C69" i="2" a="1"/>
  <c r="C69" i="2" s="1"/>
  <c r="D69" i="2" a="1"/>
  <c r="D69" i="2" s="1"/>
  <c r="E69" i="2" a="1"/>
  <c r="E69" i="2" s="1"/>
  <c r="F69" i="2" a="1"/>
  <c r="F69" i="2" s="1"/>
  <c r="G69" i="2" a="1"/>
  <c r="G69" i="2" s="1"/>
  <c r="H69" i="2" a="1"/>
  <c r="H69" i="2" s="1"/>
  <c r="I69" i="2" a="1"/>
  <c r="I69" i="2" s="1"/>
  <c r="J69" i="2" a="1"/>
  <c r="J69" i="2" s="1"/>
  <c r="K69" i="2" a="1"/>
  <c r="K69" i="2" s="1"/>
  <c r="L69" i="2" a="1"/>
  <c r="L69" i="2" s="1"/>
  <c r="M69" i="2" a="1"/>
  <c r="M69" i="2" s="1"/>
  <c r="N69" i="2" a="1"/>
  <c r="N69" i="2" s="1"/>
  <c r="O69" i="2" a="1"/>
  <c r="O69" i="2" s="1"/>
  <c r="P69" i="2" a="1"/>
  <c r="P69" i="2" s="1"/>
  <c r="Q69" i="2" a="1"/>
  <c r="Q69" i="2" s="1"/>
  <c r="A70" i="2" a="1"/>
  <c r="A70" i="2" s="1"/>
  <c r="B70" i="2" a="1"/>
  <c r="B70" i="2" s="1"/>
  <c r="C70" i="2" a="1"/>
  <c r="C70" i="2" s="1"/>
  <c r="D70" i="2" a="1"/>
  <c r="D70" i="2" s="1"/>
  <c r="E70" i="2" a="1"/>
  <c r="E70" i="2" s="1"/>
  <c r="F70" i="2" a="1"/>
  <c r="F70" i="2" s="1"/>
  <c r="G70" i="2" a="1"/>
  <c r="G70" i="2" s="1"/>
  <c r="H70" i="2" a="1"/>
  <c r="H70" i="2" s="1"/>
  <c r="I70" i="2" a="1"/>
  <c r="I70" i="2" s="1"/>
  <c r="J70" i="2" a="1"/>
  <c r="J70" i="2" s="1"/>
  <c r="K70" i="2" a="1"/>
  <c r="K70" i="2" s="1"/>
  <c r="L70" i="2" a="1"/>
  <c r="L70" i="2" s="1"/>
  <c r="M70" i="2" a="1"/>
  <c r="M70" i="2" s="1"/>
  <c r="N70" i="2" a="1"/>
  <c r="N70" i="2" s="1"/>
  <c r="O70" i="2" a="1"/>
  <c r="O70" i="2" s="1"/>
  <c r="P70" i="2" a="1"/>
  <c r="P70" i="2" s="1"/>
  <c r="Q70" i="2" a="1"/>
  <c r="Q70" i="2" s="1"/>
  <c r="A71" i="2" a="1"/>
  <c r="A71" i="2" s="1"/>
  <c r="B71" i="2" a="1"/>
  <c r="B71" i="2" s="1"/>
  <c r="C71" i="2" a="1"/>
  <c r="C71" i="2" s="1"/>
  <c r="D71" i="2" a="1"/>
  <c r="D71" i="2" s="1"/>
  <c r="E71" i="2" a="1"/>
  <c r="E71" i="2" s="1"/>
  <c r="F71" i="2" a="1"/>
  <c r="F71" i="2" s="1"/>
  <c r="G71" i="2" a="1"/>
  <c r="G71" i="2" s="1"/>
  <c r="H71" i="2" a="1"/>
  <c r="H71" i="2" s="1"/>
  <c r="I71" i="2" a="1"/>
  <c r="I71" i="2" s="1"/>
  <c r="J71" i="2" a="1"/>
  <c r="J71" i="2" s="1"/>
  <c r="K71" i="2" a="1"/>
  <c r="K71" i="2" s="1"/>
  <c r="L71" i="2" a="1"/>
  <c r="L71" i="2" s="1"/>
  <c r="M71" i="2" a="1"/>
  <c r="M71" i="2" s="1"/>
  <c r="N71" i="2" a="1"/>
  <c r="N71" i="2" s="1"/>
  <c r="O71" i="2" a="1"/>
  <c r="O71" i="2" s="1"/>
  <c r="P71" i="2" a="1"/>
  <c r="P71" i="2" s="1"/>
  <c r="Q71" i="2" a="1"/>
  <c r="Q71" i="2" s="1"/>
  <c r="A72" i="2" a="1"/>
  <c r="A72" i="2" s="1"/>
  <c r="B72" i="2" a="1"/>
  <c r="B72" i="2" s="1"/>
  <c r="C72" i="2" a="1"/>
  <c r="C72" i="2" s="1"/>
  <c r="D72" i="2" a="1"/>
  <c r="D72" i="2" s="1"/>
  <c r="E72" i="2" a="1"/>
  <c r="E72" i="2" s="1"/>
  <c r="F72" i="2" a="1"/>
  <c r="F72" i="2" s="1"/>
  <c r="G72" i="2" a="1"/>
  <c r="G72" i="2" s="1"/>
  <c r="H72" i="2" a="1"/>
  <c r="H72" i="2" s="1"/>
  <c r="I72" i="2" a="1"/>
  <c r="I72" i="2" s="1"/>
  <c r="J72" i="2" a="1"/>
  <c r="J72" i="2" s="1"/>
  <c r="K72" i="2" a="1"/>
  <c r="K72" i="2" s="1"/>
  <c r="L72" i="2" a="1"/>
  <c r="L72" i="2" s="1"/>
  <c r="M72" i="2" a="1"/>
  <c r="M72" i="2" s="1"/>
  <c r="N72" i="2" a="1"/>
  <c r="N72" i="2" s="1"/>
  <c r="O72" i="2" a="1"/>
  <c r="O72" i="2" s="1"/>
  <c r="P72" i="2" a="1"/>
  <c r="P72" i="2" s="1"/>
  <c r="Q72" i="2" a="1"/>
  <c r="Q72" i="2" s="1"/>
  <c r="A73" i="2" a="1"/>
  <c r="A73" i="2" s="1"/>
  <c r="B73" i="2" a="1"/>
  <c r="B73" i="2" s="1"/>
  <c r="C73" i="2" a="1"/>
  <c r="C73" i="2" s="1"/>
  <c r="D73" i="2" a="1"/>
  <c r="D73" i="2" s="1"/>
  <c r="E73" i="2" a="1"/>
  <c r="E73" i="2" s="1"/>
  <c r="F73" i="2" a="1"/>
  <c r="F73" i="2" s="1"/>
  <c r="G73" i="2" a="1"/>
  <c r="G73" i="2" s="1"/>
  <c r="H73" i="2" a="1"/>
  <c r="H73" i="2" s="1"/>
  <c r="I73" i="2" a="1"/>
  <c r="I73" i="2" s="1"/>
  <c r="J73" i="2" a="1"/>
  <c r="J73" i="2" s="1"/>
  <c r="K73" i="2" a="1"/>
  <c r="K73" i="2" s="1"/>
  <c r="L73" i="2" a="1"/>
  <c r="L73" i="2" s="1"/>
  <c r="M73" i="2" a="1"/>
  <c r="M73" i="2" s="1"/>
  <c r="N73" i="2" a="1"/>
  <c r="N73" i="2" s="1"/>
  <c r="O73" i="2" a="1"/>
  <c r="O73" i="2" s="1"/>
  <c r="P73" i="2" a="1"/>
  <c r="P73" i="2" s="1"/>
  <c r="Q73" i="2" a="1"/>
  <c r="Q73" i="2" s="1"/>
  <c r="A74" i="2" a="1"/>
  <c r="A74" i="2" s="1"/>
  <c r="B74" i="2" a="1"/>
  <c r="B74" i="2" s="1"/>
  <c r="C74" i="2" a="1"/>
  <c r="C74" i="2" s="1"/>
  <c r="D74" i="2" a="1"/>
  <c r="D74" i="2" s="1"/>
  <c r="E74" i="2" a="1"/>
  <c r="E74" i="2" s="1"/>
  <c r="F74" i="2" a="1"/>
  <c r="F74" i="2" s="1"/>
  <c r="G74" i="2" a="1"/>
  <c r="G74" i="2" s="1"/>
  <c r="H74" i="2" a="1"/>
  <c r="H74" i="2" s="1"/>
  <c r="I74" i="2" a="1"/>
  <c r="I74" i="2" s="1"/>
  <c r="J74" i="2" a="1"/>
  <c r="J74" i="2" s="1"/>
  <c r="K74" i="2" a="1"/>
  <c r="K74" i="2" s="1"/>
  <c r="L74" i="2" a="1"/>
  <c r="L74" i="2" s="1"/>
  <c r="M74" i="2" a="1"/>
  <c r="M74" i="2" s="1"/>
  <c r="N74" i="2" a="1"/>
  <c r="N74" i="2" s="1"/>
  <c r="O74" i="2" a="1"/>
  <c r="O74" i="2" s="1"/>
  <c r="P74" i="2" a="1"/>
  <c r="P74" i="2" s="1"/>
  <c r="Q74" i="2" a="1"/>
  <c r="Q74" i="2" s="1"/>
  <c r="A75" i="2" a="1"/>
  <c r="A75" i="2" s="1"/>
  <c r="B75" i="2" a="1"/>
  <c r="B75" i="2" s="1"/>
  <c r="C75" i="2" a="1"/>
  <c r="C75" i="2" s="1"/>
  <c r="D75" i="2" a="1"/>
  <c r="D75" i="2" s="1"/>
  <c r="E75" i="2" a="1"/>
  <c r="E75" i="2" s="1"/>
  <c r="F75" i="2" a="1"/>
  <c r="F75" i="2" s="1"/>
  <c r="G75" i="2" a="1"/>
  <c r="G75" i="2" s="1"/>
  <c r="H75" i="2" a="1"/>
  <c r="H75" i="2" s="1"/>
  <c r="I75" i="2" a="1"/>
  <c r="I75" i="2" s="1"/>
  <c r="J75" i="2" a="1"/>
  <c r="J75" i="2" s="1"/>
  <c r="K75" i="2" a="1"/>
  <c r="K75" i="2" s="1"/>
  <c r="L75" i="2" a="1"/>
  <c r="L75" i="2" s="1"/>
  <c r="M75" i="2" a="1"/>
  <c r="M75" i="2" s="1"/>
  <c r="N75" i="2" a="1"/>
  <c r="N75" i="2" s="1"/>
  <c r="O75" i="2" a="1"/>
  <c r="O75" i="2" s="1"/>
  <c r="P75" i="2" a="1"/>
  <c r="P75" i="2" s="1"/>
  <c r="Q75" i="2" a="1"/>
  <c r="Q75" i="2" s="1"/>
  <c r="A76" i="2" a="1"/>
  <c r="A76" i="2" s="1"/>
  <c r="B76" i="2" a="1"/>
  <c r="B76" i="2" s="1"/>
  <c r="C76" i="2" a="1"/>
  <c r="C76" i="2" s="1"/>
  <c r="D76" i="2" a="1"/>
  <c r="D76" i="2" s="1"/>
  <c r="E76" i="2" a="1"/>
  <c r="E76" i="2" s="1"/>
  <c r="F76" i="2" a="1"/>
  <c r="F76" i="2" s="1"/>
  <c r="G76" i="2" a="1"/>
  <c r="G76" i="2" s="1"/>
  <c r="H76" i="2" a="1"/>
  <c r="H76" i="2" s="1"/>
  <c r="I76" i="2" a="1"/>
  <c r="I76" i="2" s="1"/>
  <c r="J76" i="2" a="1"/>
  <c r="J76" i="2" s="1"/>
  <c r="K76" i="2" a="1"/>
  <c r="K76" i="2" s="1"/>
  <c r="L76" i="2" a="1"/>
  <c r="L76" i="2" s="1"/>
  <c r="M76" i="2" a="1"/>
  <c r="M76" i="2" s="1"/>
  <c r="N76" i="2" a="1"/>
  <c r="N76" i="2" s="1"/>
  <c r="O76" i="2" a="1"/>
  <c r="O76" i="2" s="1"/>
  <c r="P76" i="2" a="1"/>
  <c r="P76" i="2" s="1"/>
  <c r="Q76" i="2" a="1"/>
  <c r="Q76" i="2" s="1"/>
  <c r="A77" i="2" a="1"/>
  <c r="A77" i="2" s="1"/>
  <c r="B77" i="2" a="1"/>
  <c r="B77" i="2" s="1"/>
  <c r="C77" i="2" a="1"/>
  <c r="C77" i="2" s="1"/>
  <c r="D77" i="2" a="1"/>
  <c r="D77" i="2" s="1"/>
  <c r="E77" i="2" a="1"/>
  <c r="E77" i="2" s="1"/>
  <c r="F77" i="2" a="1"/>
  <c r="F77" i="2" s="1"/>
  <c r="G77" i="2" a="1"/>
  <c r="G77" i="2" s="1"/>
  <c r="H77" i="2" a="1"/>
  <c r="H77" i="2" s="1"/>
  <c r="I77" i="2" a="1"/>
  <c r="I77" i="2" s="1"/>
  <c r="J77" i="2" a="1"/>
  <c r="J77" i="2" s="1"/>
  <c r="K77" i="2" a="1"/>
  <c r="K77" i="2" s="1"/>
  <c r="L77" i="2" a="1"/>
  <c r="L77" i="2" s="1"/>
  <c r="M77" i="2" a="1"/>
  <c r="M77" i="2" s="1"/>
  <c r="N77" i="2" a="1"/>
  <c r="N77" i="2" s="1"/>
  <c r="O77" i="2" a="1"/>
  <c r="O77" i="2" s="1"/>
  <c r="P77" i="2" a="1"/>
  <c r="P77" i="2" s="1"/>
  <c r="Q77" i="2" a="1"/>
  <c r="Q77" i="2" s="1"/>
  <c r="A78" i="2" a="1"/>
  <c r="A78" i="2" s="1"/>
  <c r="B78" i="2" a="1"/>
  <c r="B78" i="2" s="1"/>
  <c r="C78" i="2" a="1"/>
  <c r="C78" i="2" s="1"/>
  <c r="D78" i="2" a="1"/>
  <c r="D78" i="2" s="1"/>
  <c r="E78" i="2" a="1"/>
  <c r="E78" i="2" s="1"/>
  <c r="F78" i="2" a="1"/>
  <c r="F78" i="2" s="1"/>
  <c r="G78" i="2" a="1"/>
  <c r="G78" i="2" s="1"/>
  <c r="H78" i="2" a="1"/>
  <c r="H78" i="2" s="1"/>
  <c r="I78" i="2" a="1"/>
  <c r="I78" i="2" s="1"/>
  <c r="J78" i="2" a="1"/>
  <c r="J78" i="2" s="1"/>
  <c r="K78" i="2" a="1"/>
  <c r="K78" i="2" s="1"/>
  <c r="L78" i="2" a="1"/>
  <c r="L78" i="2" s="1"/>
  <c r="M78" i="2" a="1"/>
  <c r="M78" i="2" s="1"/>
  <c r="N78" i="2" a="1"/>
  <c r="N78" i="2" s="1"/>
  <c r="O78" i="2" a="1"/>
  <c r="O78" i="2" s="1"/>
  <c r="P78" i="2" a="1"/>
  <c r="P78" i="2" s="1"/>
  <c r="Q78" i="2" a="1"/>
  <c r="Q78" i="2" s="1"/>
  <c r="A79" i="2" a="1"/>
  <c r="A79" i="2" s="1"/>
  <c r="B79" i="2" a="1"/>
  <c r="B79" i="2" s="1"/>
  <c r="C79" i="2" a="1"/>
  <c r="C79" i="2" s="1"/>
  <c r="D79" i="2" a="1"/>
  <c r="D79" i="2" s="1"/>
  <c r="E79" i="2" a="1"/>
  <c r="E79" i="2" s="1"/>
  <c r="F79" i="2" a="1"/>
  <c r="F79" i="2" s="1"/>
  <c r="G79" i="2" a="1"/>
  <c r="G79" i="2" s="1"/>
  <c r="H79" i="2" a="1"/>
  <c r="H79" i="2" s="1"/>
  <c r="I79" i="2" a="1"/>
  <c r="I79" i="2" s="1"/>
  <c r="J79" i="2" a="1"/>
  <c r="J79" i="2" s="1"/>
  <c r="K79" i="2" a="1"/>
  <c r="K79" i="2" s="1"/>
  <c r="L79" i="2" a="1"/>
  <c r="L79" i="2" s="1"/>
  <c r="M79" i="2" a="1"/>
  <c r="M79" i="2" s="1"/>
  <c r="N79" i="2" a="1"/>
  <c r="N79" i="2" s="1"/>
  <c r="O79" i="2" a="1"/>
  <c r="O79" i="2" s="1"/>
  <c r="P79" i="2" a="1"/>
  <c r="P79" i="2" s="1"/>
  <c r="Q79" i="2" a="1"/>
  <c r="Q79" i="2" s="1"/>
  <c r="A80" i="2" a="1"/>
  <c r="A80" i="2" s="1"/>
  <c r="B80" i="2" a="1"/>
  <c r="B80" i="2" s="1"/>
  <c r="C80" i="2" a="1"/>
  <c r="C80" i="2" s="1"/>
  <c r="D80" i="2" a="1"/>
  <c r="D80" i="2" s="1"/>
  <c r="E80" i="2" a="1"/>
  <c r="E80" i="2" s="1"/>
  <c r="F80" i="2" a="1"/>
  <c r="F80" i="2" s="1"/>
  <c r="G80" i="2" a="1"/>
  <c r="G80" i="2" s="1"/>
  <c r="H80" i="2" a="1"/>
  <c r="H80" i="2" s="1"/>
  <c r="I80" i="2" a="1"/>
  <c r="I80" i="2" s="1"/>
  <c r="J80" i="2" a="1"/>
  <c r="J80" i="2" s="1"/>
  <c r="K80" i="2" a="1"/>
  <c r="K80" i="2" s="1"/>
  <c r="L80" i="2" a="1"/>
  <c r="L80" i="2" s="1"/>
  <c r="M80" i="2" a="1"/>
  <c r="M80" i="2" s="1"/>
  <c r="N80" i="2" a="1"/>
  <c r="N80" i="2" s="1"/>
  <c r="O80" i="2" a="1"/>
  <c r="O80" i="2" s="1"/>
  <c r="P80" i="2" a="1"/>
  <c r="P80" i="2" s="1"/>
  <c r="Q80" i="2" a="1"/>
  <c r="Q80" i="2" s="1"/>
  <c r="A81" i="2" a="1"/>
  <c r="A81" i="2" s="1"/>
  <c r="B81" i="2" a="1"/>
  <c r="B81" i="2" s="1"/>
  <c r="C81" i="2" a="1"/>
  <c r="C81" i="2" s="1"/>
  <c r="D81" i="2" a="1"/>
  <c r="D81" i="2" s="1"/>
  <c r="E81" i="2" a="1"/>
  <c r="E81" i="2" s="1"/>
  <c r="F81" i="2" a="1"/>
  <c r="F81" i="2" s="1"/>
  <c r="G81" i="2" a="1"/>
  <c r="G81" i="2" s="1"/>
  <c r="H81" i="2" a="1"/>
  <c r="H81" i="2" s="1"/>
  <c r="I81" i="2" a="1"/>
  <c r="I81" i="2" s="1"/>
  <c r="J81" i="2" a="1"/>
  <c r="J81" i="2" s="1"/>
  <c r="K81" i="2" a="1"/>
  <c r="K81" i="2" s="1"/>
  <c r="L81" i="2" a="1"/>
  <c r="L81" i="2" s="1"/>
  <c r="M81" i="2" a="1"/>
  <c r="M81" i="2" s="1"/>
  <c r="C82" i="2" a="1"/>
  <c r="C82" i="2" s="1"/>
  <c r="F82" i="2" a="1"/>
  <c r="F82" i="2" s="1"/>
  <c r="H82" i="2" a="1"/>
  <c r="H82" i="2" s="1"/>
  <c r="J82" i="2" a="1"/>
  <c r="J82" i="2" s="1"/>
  <c r="L82" i="2" a="1"/>
  <c r="L82" i="2" s="1"/>
  <c r="Q82" i="2" a="1"/>
  <c r="Q82" i="2" s="1"/>
  <c r="D83" i="2" a="1"/>
  <c r="D83" i="2" s="1"/>
  <c r="F83" i="2" a="1"/>
  <c r="F83" i="2" s="1"/>
  <c r="Q83" i="2" a="1"/>
  <c r="Q83" i="2" s="1"/>
  <c r="A84" i="2" a="1"/>
  <c r="A84" i="2" s="1"/>
  <c r="O85" i="2" a="1"/>
  <c r="O85" i="2" s="1"/>
  <c r="P85" i="2" a="1"/>
  <c r="P85" i="2" s="1"/>
  <c r="B86" i="2" a="1"/>
  <c r="B86" i="2" s="1"/>
  <c r="J86" i="2" a="1"/>
  <c r="J86" i="2" s="1"/>
  <c r="A87" i="2" a="1"/>
  <c r="A87" i="2" s="1"/>
  <c r="C87" i="2" a="1"/>
  <c r="C87" i="2" s="1"/>
  <c r="O87" i="2" a="1"/>
  <c r="O87" i="2" s="1"/>
  <c r="C88" i="2" a="1"/>
  <c r="C88" i="2" s="1"/>
  <c r="B89" i="2" a="1"/>
  <c r="B89" i="2" s="1"/>
  <c r="F90" i="2" a="1"/>
  <c r="F90" i="2" s="1"/>
  <c r="H90" i="2" a="1"/>
  <c r="H90" i="2" s="1"/>
  <c r="N90" i="2" a="1"/>
  <c r="N90" i="2" s="1"/>
  <c r="O91" i="2" a="1"/>
  <c r="O91" i="2" s="1"/>
  <c r="D92" i="2" a="1"/>
  <c r="D92" i="2" s="1"/>
  <c r="J92" i="2" a="1"/>
  <c r="J92" i="2" s="1"/>
  <c r="P92" i="2" a="1"/>
  <c r="P92" i="2" s="1"/>
  <c r="Q92" i="2" a="1"/>
  <c r="Q92" i="2" s="1"/>
  <c r="J94" i="2" a="1"/>
  <c r="J94" i="2" s="1"/>
  <c r="M96" i="2" a="1"/>
  <c r="M96" i="2" s="1"/>
  <c r="O97" i="2" a="1"/>
  <c r="O97" i="2" s="1"/>
  <c r="C98" i="2" a="1"/>
  <c r="C98" i="2" s="1"/>
  <c r="Q98" i="2" a="1"/>
  <c r="Q98" i="2" s="1"/>
  <c r="B100" i="2" a="1"/>
  <c r="B100" i="2" s="1"/>
  <c r="N100" i="2" a="1"/>
  <c r="N100" i="2" s="1"/>
  <c r="Q100" i="2" a="1"/>
  <c r="Q100" i="2" s="1"/>
  <c r="K101" i="2" a="1"/>
  <c r="K101" i="2" s="1"/>
  <c r="L101" i="2" a="1"/>
  <c r="L101" i="2" s="1"/>
  <c r="E102" i="2" a="1"/>
  <c r="E102" i="2" s="1"/>
  <c r="G102" i="2" a="1"/>
  <c r="G102" i="2" s="1"/>
  <c r="O102" i="2" a="1"/>
  <c r="O102" i="2" s="1"/>
  <c r="F103" i="2" a="1"/>
  <c r="F103" i="2" s="1"/>
  <c r="L103" i="2" a="1"/>
  <c r="L103" i="2" s="1"/>
  <c r="O103" i="2" a="1"/>
  <c r="O103" i="2" s="1"/>
  <c r="E104" i="2" a="1"/>
  <c r="E104" i="2" s="1"/>
  <c r="K104" i="2" a="1"/>
  <c r="K104" i="2" s="1"/>
  <c r="H105" i="2" a="1"/>
  <c r="H105" i="2" s="1"/>
  <c r="B106" i="2" a="1"/>
  <c r="B106" i="2" s="1"/>
  <c r="J107" i="2" a="1"/>
  <c r="J107" i="2" s="1"/>
  <c r="L107" i="2" a="1"/>
  <c r="L107" i="2" s="1"/>
  <c r="A108" i="2" a="1"/>
  <c r="A108" i="2" s="1"/>
  <c r="J108" i="2" a="1"/>
  <c r="J108" i="2" s="1"/>
  <c r="P108" i="2" a="1"/>
  <c r="P108" i="2" s="1"/>
  <c r="N109" i="2" a="1"/>
  <c r="N109" i="2" s="1"/>
  <c r="H110" i="2" a="1"/>
  <c r="H110" i="2" s="1"/>
  <c r="I111" i="2" a="1"/>
  <c r="I111" i="2" s="1"/>
  <c r="D112" i="2" a="1"/>
  <c r="D112" i="2" s="1"/>
  <c r="G112" i="2" a="1"/>
  <c r="G112" i="2" s="1"/>
  <c r="C114" i="2" a="1"/>
  <c r="C114" i="2" s="1"/>
  <c r="F114" i="2" a="1"/>
  <c r="F114" i="2" s="1"/>
  <c r="H114" i="2" a="1"/>
  <c r="H114" i="2" s="1"/>
  <c r="H115" i="2" a="1"/>
  <c r="H115" i="2" s="1"/>
  <c r="M115" i="2" a="1"/>
  <c r="M115" i="2" s="1"/>
  <c r="G116" i="2" a="1"/>
  <c r="G116" i="2" s="1"/>
  <c r="K116" i="2" a="1"/>
  <c r="K116" i="2" s="1"/>
  <c r="P116" i="2" a="1"/>
  <c r="P116" i="2" s="1"/>
  <c r="D117" i="2" a="1"/>
  <c r="D117" i="2" s="1"/>
  <c r="L117" i="2" a="1"/>
  <c r="L117" i="2" s="1"/>
  <c r="P117" i="2" a="1"/>
  <c r="P117" i="2" s="1"/>
  <c r="F118" i="2" a="1"/>
  <c r="F118" i="2" s="1"/>
  <c r="H118" i="2" a="1"/>
  <c r="H118" i="2" s="1"/>
  <c r="K118" i="2" a="1"/>
  <c r="K118" i="2" s="1"/>
  <c r="L119" i="2" a="1"/>
  <c r="L119" i="2" s="1"/>
  <c r="N120" i="2" a="1"/>
  <c r="N120" i="2" s="1"/>
  <c r="O121" i="2" a="1"/>
  <c r="O121" i="2" s="1"/>
  <c r="P121" i="2" a="1"/>
  <c r="P121" i="2" s="1"/>
  <c r="B122" i="2" a="1"/>
  <c r="B122" i="2" s="1"/>
  <c r="M122" i="2" a="1"/>
  <c r="M122" i="2" s="1"/>
  <c r="F123" i="2" a="1"/>
  <c r="F123" i="2" s="1"/>
  <c r="H123" i="2" a="1"/>
  <c r="H123" i="2" s="1"/>
  <c r="J123" i="2" a="1"/>
  <c r="J123" i="2" s="1"/>
  <c r="F124" i="2" a="1"/>
  <c r="F124" i="2" s="1"/>
  <c r="H124" i="2" a="1"/>
  <c r="H124" i="2" s="1"/>
  <c r="K124" i="2" a="1"/>
  <c r="K124" i="2" s="1"/>
  <c r="P124" i="2" a="1"/>
  <c r="P124" i="2" s="1"/>
  <c r="D125" i="2" a="1"/>
  <c r="D125" i="2" s="1"/>
  <c r="J125" i="2" a="1"/>
  <c r="J125" i="2" s="1"/>
  <c r="J126" i="2" a="1"/>
  <c r="J126" i="2" s="1"/>
  <c r="M126" i="2" a="1"/>
  <c r="M126" i="2" s="1"/>
  <c r="K127" i="2" a="1"/>
  <c r="K127" i="2" s="1"/>
  <c r="B128" i="2" a="1"/>
  <c r="B128" i="2" s="1"/>
  <c r="D128" i="2" a="1"/>
  <c r="D128" i="2" s="1"/>
  <c r="F128" i="2" a="1"/>
  <c r="F128" i="2" s="1"/>
  <c r="J128" i="2" a="1"/>
  <c r="J128" i="2" s="1"/>
  <c r="L128" i="2" a="1"/>
  <c r="L128" i="2" s="1"/>
  <c r="I129" i="2" a="1"/>
  <c r="I129" i="2" s="1"/>
  <c r="L129" i="2" a="1"/>
  <c r="L129" i="2" s="1"/>
  <c r="B130" i="2" a="1"/>
  <c r="B130" i="2" s="1"/>
  <c r="F130" i="2" a="1"/>
  <c r="F130" i="2" s="1"/>
  <c r="N130" i="2" a="1"/>
  <c r="N130" i="2" s="1"/>
  <c r="F131" i="2" a="1"/>
  <c r="F131" i="2" s="1"/>
  <c r="G131" i="2" a="1"/>
  <c r="G131" i="2" s="1"/>
  <c r="H131" i="2" a="1"/>
  <c r="H131" i="2" s="1"/>
  <c r="L131" i="2" a="1"/>
  <c r="L131" i="2" s="1"/>
  <c r="N131" i="2" a="1"/>
  <c r="N131" i="2" s="1"/>
  <c r="O131" i="2" a="1"/>
  <c r="O131" i="2" s="1"/>
  <c r="D132" i="2" a="1"/>
  <c r="D132" i="2" s="1"/>
  <c r="G132" i="2" a="1"/>
  <c r="G132" i="2" s="1"/>
  <c r="H132" i="2" a="1"/>
  <c r="H132" i="2" s="1"/>
  <c r="J132" i="2" a="1"/>
  <c r="J132" i="2" s="1"/>
  <c r="L132" i="2" a="1"/>
  <c r="L132" i="2" s="1"/>
  <c r="P132" i="2" a="1"/>
  <c r="P132" i="2" s="1"/>
  <c r="E133" i="2" a="1"/>
  <c r="E133" i="2" s="1"/>
  <c r="G133" i="2" a="1"/>
  <c r="G133" i="2" s="1"/>
  <c r="H133" i="2" a="1"/>
  <c r="H133" i="2" s="1"/>
  <c r="L133" i="2" a="1"/>
  <c r="L133" i="2" s="1"/>
  <c r="H134" i="2" a="1"/>
  <c r="H134" i="2" s="1"/>
  <c r="Q134" i="2" a="1"/>
  <c r="Q134" i="2" s="1"/>
  <c r="H135" i="2" a="1"/>
  <c r="H135" i="2" s="1"/>
  <c r="K135" i="2" a="1"/>
  <c r="K135" i="2" s="1"/>
  <c r="O135" i="2" a="1"/>
  <c r="O135" i="2" s="1"/>
  <c r="A136" i="2" a="1"/>
  <c r="A136" i="2" s="1"/>
  <c r="K136" i="2" a="1"/>
  <c r="K136" i="2" s="1"/>
  <c r="L136" i="2" a="1"/>
  <c r="L136" i="2" s="1"/>
  <c r="O136" i="2" a="1"/>
  <c r="O136" i="2" s="1"/>
  <c r="D137" i="2" a="1"/>
  <c r="D137" i="2" s="1"/>
  <c r="E137" i="2" a="1"/>
  <c r="E137" i="2" s="1"/>
  <c r="H137" i="2" a="1"/>
  <c r="H137" i="2" s="1"/>
  <c r="J137" i="2" a="1"/>
  <c r="J137" i="2" s="1"/>
  <c r="P137" i="2" a="1"/>
  <c r="P137" i="2" s="1"/>
  <c r="C138" i="2" a="1"/>
  <c r="C138" i="2" s="1"/>
  <c r="I138" i="2" a="1"/>
  <c r="I138" i="2" s="1"/>
  <c r="B139" i="2" a="1"/>
  <c r="B139" i="2" s="1"/>
  <c r="H139" i="2" a="1"/>
  <c r="H139" i="2" s="1"/>
  <c r="N141" i="2" a="1"/>
  <c r="N141" i="2" s="1"/>
  <c r="C142" i="2" a="1"/>
  <c r="C142" i="2" s="1"/>
  <c r="G142" i="2" a="1"/>
  <c r="G142" i="2" s="1"/>
  <c r="L142" i="2" a="1"/>
  <c r="L142" i="2" s="1"/>
  <c r="O142" i="2" a="1"/>
  <c r="O142" i="2" s="1"/>
  <c r="Q142" i="2" a="1"/>
  <c r="Q142" i="2" s="1"/>
  <c r="C143" i="2" a="1"/>
  <c r="C143" i="2" s="1"/>
  <c r="G143" i="2" a="1"/>
  <c r="G143" i="2" s="1"/>
  <c r="P143" i="2" a="1"/>
  <c r="P143" i="2" s="1"/>
  <c r="C144" i="2" a="1"/>
  <c r="C144" i="2" s="1"/>
  <c r="F144" i="2" a="1"/>
  <c r="F144" i="2" s="1"/>
  <c r="P144" i="2" a="1"/>
  <c r="P144" i="2" s="1"/>
  <c r="J145" i="2" a="1"/>
  <c r="J145" i="2" s="1"/>
  <c r="K145" i="2" a="1"/>
  <c r="K145" i="2" s="1"/>
  <c r="E146" i="2" a="1"/>
  <c r="E146" i="2" s="1"/>
  <c r="L146" i="2" a="1"/>
  <c r="L146" i="2" s="1"/>
  <c r="C147" i="2" a="1"/>
  <c r="C147" i="2" s="1"/>
  <c r="N147" i="2" a="1"/>
  <c r="N147" i="2" s="1"/>
  <c r="E148" i="2" a="1"/>
  <c r="E148" i="2" s="1"/>
  <c r="N148" i="2" a="1"/>
  <c r="N148" i="2" s="1"/>
  <c r="D149" i="2" a="1"/>
  <c r="D149" i="2" s="1"/>
  <c r="K149" i="2" a="1"/>
  <c r="K149" i="2" s="1"/>
  <c r="M149" i="2" a="1"/>
  <c r="M149" i="2" s="1"/>
  <c r="N149" i="2" a="1"/>
  <c r="N149" i="2" s="1"/>
  <c r="D150" i="2" a="1"/>
  <c r="D150" i="2" s="1"/>
  <c r="B151" i="2" a="1"/>
  <c r="B151" i="2" s="1"/>
  <c r="H151" i="2" a="1"/>
  <c r="H151" i="2" s="1"/>
  <c r="K151" i="2" a="1"/>
  <c r="K151" i="2" s="1"/>
  <c r="N151" i="2" a="1"/>
  <c r="N151" i="2" s="1"/>
  <c r="O151" i="2" a="1"/>
  <c r="O151" i="2" s="1"/>
  <c r="Q151" i="2" a="1"/>
  <c r="Q151" i="2" s="1"/>
  <c r="P152" i="2" a="1"/>
  <c r="P152" i="2" s="1"/>
  <c r="B153" i="2" a="1"/>
  <c r="B153" i="2" s="1"/>
  <c r="D153" i="2" a="1"/>
  <c r="D153" i="2" s="1"/>
  <c r="D154" i="2" a="1"/>
  <c r="D154" i="2" s="1"/>
  <c r="E154" i="2" a="1"/>
  <c r="E154" i="2" s="1"/>
  <c r="L154" i="2" a="1"/>
  <c r="L154" i="2" s="1"/>
  <c r="B155" i="2" a="1"/>
  <c r="B155" i="2" s="1"/>
  <c r="E155" i="2" a="1"/>
  <c r="E155" i="2" s="1"/>
  <c r="J156" i="2" a="1"/>
  <c r="J156" i="2" s="1"/>
  <c r="O157" i="2" a="1"/>
  <c r="O157" i="2" s="1"/>
  <c r="J158" i="2" a="1"/>
  <c r="J158" i="2" s="1"/>
  <c r="N158" i="2" a="1"/>
  <c r="N158" i="2" s="1"/>
  <c r="Q158" i="2" a="1"/>
  <c r="Q158" i="2" s="1"/>
  <c r="B161" i="2" a="1"/>
  <c r="B161" i="2" s="1"/>
  <c r="Q161" i="2" a="1"/>
  <c r="Q161" i="2" s="1"/>
  <c r="G162" i="2" a="1"/>
  <c r="G162" i="2" s="1"/>
  <c r="O162" i="2" a="1"/>
  <c r="O162" i="2" s="1"/>
  <c r="D163" i="2" a="1"/>
  <c r="D163" i="2" s="1"/>
  <c r="O163" i="2" a="1"/>
  <c r="O163" i="2" s="1"/>
  <c r="L164" i="2" a="1"/>
  <c r="L164" i="2" s="1"/>
  <c r="E165" i="2" a="1"/>
  <c r="E165" i="2" s="1"/>
  <c r="G165" i="2" a="1"/>
  <c r="G165" i="2" s="1"/>
  <c r="K166" i="2" a="1"/>
  <c r="K166" i="2" s="1"/>
  <c r="P167" i="2" a="1"/>
  <c r="P167" i="2" s="1"/>
  <c r="H170" i="2" a="1"/>
  <c r="H170" i="2" s="1"/>
  <c r="O170" i="2" a="1"/>
  <c r="O170" i="2" s="1"/>
  <c r="P170" i="2" a="1"/>
  <c r="P170" i="2" s="1"/>
  <c r="Q173" i="2" a="1"/>
  <c r="Q173" i="2" s="1"/>
  <c r="E176" i="2" a="1"/>
  <c r="E176" i="2" s="1"/>
  <c r="D177" i="2" a="1"/>
  <c r="D177" i="2" s="1"/>
  <c r="B178" i="2" a="1"/>
  <c r="B178" i="2" s="1"/>
  <c r="P178" i="2" a="1"/>
  <c r="P178" i="2" s="1"/>
  <c r="K179" i="2" a="1"/>
  <c r="K179" i="2" s="1"/>
  <c r="D181" i="2" a="1"/>
  <c r="D181" i="2" s="1"/>
  <c r="J181" i="2" a="1"/>
  <c r="J181" i="2" s="1"/>
  <c r="J183" i="2" a="1"/>
  <c r="J183" i="2" s="1"/>
  <c r="J184" i="2" a="1"/>
  <c r="J184" i="2" s="1"/>
  <c r="C186" i="2" a="1"/>
  <c r="C186" i="2" s="1"/>
  <c r="E186" i="2" a="1"/>
  <c r="E186" i="2" s="1"/>
  <c r="H186" i="2" a="1"/>
  <c r="H186" i="2" s="1"/>
  <c r="L188" i="2" a="1"/>
  <c r="L188" i="2" s="1"/>
  <c r="O188" i="2" a="1"/>
  <c r="O188" i="2" s="1"/>
  <c r="P188" i="2" a="1"/>
  <c r="P188" i="2" s="1"/>
  <c r="L189" i="2" a="1"/>
  <c r="L189" i="2" s="1"/>
  <c r="B190" i="2" a="1"/>
  <c r="B190" i="2" s="1"/>
  <c r="L191" i="2" a="1"/>
  <c r="L191" i="2" s="1"/>
  <c r="B192" i="2" a="1"/>
  <c r="B192" i="2" s="1"/>
  <c r="F192" i="2" a="1"/>
  <c r="F192" i="2" s="1"/>
  <c r="H192" i="2" a="1"/>
  <c r="H192" i="2" s="1"/>
  <c r="P193" i="2" a="1"/>
  <c r="P193" i="2" s="1"/>
  <c r="Q193" i="2" a="1"/>
  <c r="Q193" i="2" s="1"/>
  <c r="B194" i="2" a="1"/>
  <c r="B194" i="2" s="1"/>
  <c r="C194" i="2" a="1"/>
  <c r="C194" i="2" s="1"/>
  <c r="K194" i="2" a="1"/>
  <c r="K194" i="2" s="1"/>
  <c r="E195" i="2" a="1"/>
  <c r="E195" i="2" s="1"/>
  <c r="L195" i="2" a="1"/>
  <c r="L195" i="2" s="1"/>
  <c r="P195" i="2" a="1"/>
  <c r="P195" i="2" s="1"/>
  <c r="D196" i="2" a="1"/>
  <c r="D196" i="2" s="1"/>
  <c r="N196" i="2" a="1"/>
  <c r="N196" i="2" s="1"/>
  <c r="K197" i="2" a="1"/>
  <c r="K197" i="2" s="1"/>
  <c r="O197" i="2" a="1"/>
  <c r="O197" i="2" s="1"/>
  <c r="F198" i="2" a="1"/>
  <c r="F198" i="2" s="1"/>
  <c r="A199" i="2" a="1"/>
  <c r="A199" i="2" s="1"/>
  <c r="D199" i="2" a="1"/>
  <c r="D199" i="2" s="1"/>
  <c r="Q199" i="2" a="1"/>
  <c r="Q199" i="2" s="1"/>
  <c r="O201" i="2" a="1"/>
  <c r="O201" i="2" s="1"/>
  <c r="Q201" i="2" a="1"/>
  <c r="Q201" i="2" s="1"/>
  <c r="J202" i="2" a="1"/>
  <c r="J202" i="2" s="1"/>
  <c r="N202" i="2" a="1"/>
  <c r="N202" i="2" s="1"/>
  <c r="N203" i="2" a="1"/>
  <c r="N203" i="2" s="1"/>
  <c r="G204" i="2" a="1"/>
  <c r="G204" i="2" s="1"/>
  <c r="M205" i="2" a="1"/>
  <c r="M205" i="2" s="1"/>
  <c r="O205" i="2" a="1"/>
  <c r="O205" i="2" s="1"/>
  <c r="H206" i="2" a="1"/>
  <c r="H206" i="2" s="1"/>
  <c r="E207" i="2" a="1"/>
  <c r="E207" i="2" s="1"/>
  <c r="I207" i="2" a="1"/>
  <c r="I207" i="2" s="1"/>
  <c r="Q207" i="2" a="1"/>
  <c r="Q207" i="2" s="1"/>
  <c r="H208" i="2" a="1"/>
  <c r="H208" i="2" s="1"/>
  <c r="J208" i="2" a="1"/>
  <c r="J208" i="2" s="1"/>
  <c r="B209" i="2" a="1"/>
  <c r="B209" i="2" s="1"/>
  <c r="K209" i="2" a="1"/>
  <c r="K209" i="2" s="1"/>
  <c r="A210" i="2" a="1"/>
  <c r="A210" i="2" s="1"/>
  <c r="F210" i="2" a="1"/>
  <c r="F210" i="2" s="1"/>
  <c r="H211" i="2" a="1"/>
  <c r="H211" i="2" s="1"/>
  <c r="Q211" i="2" a="1"/>
  <c r="Q211" i="2" s="1"/>
  <c r="M212" i="2" a="1"/>
  <c r="M212" i="2" s="1"/>
  <c r="Q212" i="2" a="1"/>
  <c r="Q212" i="2" s="1"/>
  <c r="C213" i="2" a="1"/>
  <c r="C213" i="2" s="1"/>
  <c r="L213" i="2" a="1"/>
  <c r="L213" i="2" s="1"/>
  <c r="F215" i="2" a="1"/>
  <c r="F215" i="2" s="1"/>
  <c r="E216" i="2" a="1"/>
  <c r="E216" i="2" s="1"/>
  <c r="L216" i="2" a="1"/>
  <c r="L216" i="2" s="1"/>
  <c r="F217" i="2" a="1"/>
  <c r="F217" i="2" s="1"/>
  <c r="D218" i="2" a="1"/>
  <c r="D218" i="2" s="1"/>
  <c r="D219" i="2" a="1"/>
  <c r="D219" i="2" s="1"/>
  <c r="G219" i="2" a="1"/>
  <c r="G219" i="2" s="1"/>
  <c r="B220" i="2" a="1"/>
  <c r="B220" i="2" s="1"/>
  <c r="L220" i="2" a="1"/>
  <c r="L220" i="2" s="1"/>
  <c r="Q220" i="2" a="1"/>
  <c r="Q220" i="2" s="1"/>
  <c r="C221" i="2" a="1"/>
  <c r="C221" i="2" s="1"/>
  <c r="F221" i="2" a="1"/>
  <c r="F221" i="2" s="1"/>
  <c r="M221" i="2" a="1"/>
  <c r="M221" i="2" s="1"/>
  <c r="P221" i="2" a="1"/>
  <c r="P221" i="2" s="1"/>
  <c r="L222" i="2" a="1"/>
  <c r="L222" i="2" s="1"/>
  <c r="F223" i="2" a="1"/>
  <c r="F223" i="2" s="1"/>
  <c r="P224" i="2" a="1"/>
  <c r="P224" i="2" s="1"/>
  <c r="Q224" i="2" a="1"/>
  <c r="Q224" i="2" s="1"/>
  <c r="C225" i="2" a="1"/>
  <c r="C225" i="2" s="1"/>
  <c r="F226" i="2" a="1"/>
  <c r="F226" i="2" s="1"/>
  <c r="G226" i="2" a="1"/>
  <c r="G226" i="2" s="1"/>
  <c r="I226" i="2" a="1"/>
  <c r="I226" i="2" s="1"/>
  <c r="Q226" i="2" a="1"/>
  <c r="Q226" i="2" s="1"/>
  <c r="E227" i="2" a="1"/>
  <c r="E227" i="2" s="1"/>
  <c r="M227" i="2" a="1"/>
  <c r="M227" i="2" s="1"/>
  <c r="H228" i="2" a="1"/>
  <c r="H228" i="2" s="1"/>
  <c r="D229" i="2" a="1"/>
  <c r="D229" i="2" s="1"/>
  <c r="F229" i="2" a="1"/>
  <c r="F229" i="2" s="1"/>
  <c r="O229" i="2" a="1"/>
  <c r="O229" i="2" s="1"/>
  <c r="E230" i="2" a="1"/>
  <c r="E230" i="2" s="1"/>
  <c r="G231" i="2" a="1"/>
  <c r="G231" i="2" s="1"/>
  <c r="J231" i="2" a="1"/>
  <c r="J231" i="2" s="1"/>
  <c r="A232" i="2" a="1"/>
  <c r="A232" i="2" s="1"/>
  <c r="G232" i="2" a="1"/>
  <c r="G232" i="2" s="1"/>
  <c r="J232" i="2" a="1"/>
  <c r="J232" i="2" s="1"/>
  <c r="C233" i="2" a="1"/>
  <c r="C233" i="2" s="1"/>
  <c r="F233" i="2" a="1"/>
  <c r="F233" i="2" s="1"/>
  <c r="C234" i="2" a="1"/>
  <c r="C234" i="2" s="1"/>
  <c r="L235" i="2" a="1"/>
  <c r="L235" i="2" s="1"/>
  <c r="E237" i="2" a="1"/>
  <c r="E237" i="2" s="1"/>
  <c r="P237" i="2" a="1"/>
  <c r="P237" i="2" s="1"/>
  <c r="D238" i="2" a="1"/>
  <c r="D238" i="2" s="1"/>
  <c r="G238" i="2" a="1"/>
  <c r="G238" i="2" s="1"/>
  <c r="N238" i="2" a="1"/>
  <c r="N238" i="2" s="1"/>
  <c r="H239" i="2" a="1"/>
  <c r="H239" i="2" s="1"/>
  <c r="J239" i="2" a="1"/>
  <c r="J239" i="2" s="1"/>
  <c r="L239" i="2" a="1"/>
  <c r="L239" i="2" s="1"/>
  <c r="L240" i="2" a="1"/>
  <c r="L240" i="2" s="1"/>
  <c r="O240" i="2" a="1"/>
  <c r="O240" i="2" s="1"/>
  <c r="K241" i="2" a="1"/>
  <c r="K241" i="2" s="1"/>
  <c r="L241" i="2" a="1"/>
  <c r="L241" i="2" s="1"/>
  <c r="Q241" i="2" a="1"/>
  <c r="Q241" i="2" s="1"/>
  <c r="J242" i="2" a="1"/>
  <c r="J242" i="2" s="1"/>
  <c r="K242" i="2" a="1"/>
  <c r="K242" i="2" s="1"/>
  <c r="M242" i="2" a="1"/>
  <c r="M242" i="2" s="1"/>
  <c r="B243" i="2" a="1"/>
  <c r="B243" i="2" s="1"/>
  <c r="C244" i="2" a="1"/>
  <c r="C244" i="2" s="1"/>
  <c r="N244" i="2" a="1"/>
  <c r="N244" i="2" s="1"/>
  <c r="P245" i="2" a="1"/>
  <c r="P245" i="2" s="1"/>
  <c r="Q245" i="2" a="1"/>
  <c r="Q245" i="2" s="1"/>
  <c r="D246" i="2" a="1"/>
  <c r="D246" i="2" s="1"/>
  <c r="N246" i="2" a="1"/>
  <c r="N246" i="2" s="1"/>
  <c r="Q246" i="2" a="1"/>
  <c r="Q246" i="2" s="1"/>
  <c r="Q250" i="2" a="1"/>
  <c r="Q250" i="2" s="1"/>
  <c r="D251" i="2" a="1"/>
  <c r="D251" i="2" s="1"/>
  <c r="K251" i="2" a="1"/>
  <c r="K251" i="2" s="1"/>
  <c r="P252" i="2" a="1"/>
  <c r="P252" i="2" s="1"/>
  <c r="D254" i="2" a="1"/>
  <c r="D254" i="2" s="1"/>
  <c r="P254" i="2" a="1"/>
  <c r="P254" i="2" s="1"/>
  <c r="D255" i="2" a="1"/>
  <c r="D255" i="2" s="1"/>
  <c r="L256" i="2" a="1"/>
  <c r="L256" i="2" s="1"/>
  <c r="C257" i="2" a="1"/>
  <c r="C257" i="2" s="1"/>
  <c r="D259" i="2" a="1"/>
  <c r="D259" i="2" s="1"/>
  <c r="F262" i="2" a="1"/>
  <c r="F262" i="2" s="1"/>
  <c r="B263" i="2" a="1"/>
  <c r="B263" i="2" s="1"/>
  <c r="K263" i="2" a="1"/>
  <c r="K263" i="2" s="1"/>
  <c r="O263" i="2" a="1"/>
  <c r="O263" i="2" s="1"/>
  <c r="J265" i="2" a="1"/>
  <c r="J265" i="2" s="1"/>
  <c r="D266" i="2" a="1"/>
  <c r="D266" i="2" s="1"/>
  <c r="L266" i="2" a="1"/>
  <c r="L266" i="2" s="1"/>
  <c r="C267" i="2" a="1"/>
  <c r="C267" i="2" s="1"/>
  <c r="M267" i="2" a="1"/>
  <c r="M267" i="2" s="1"/>
  <c r="N268" i="2" a="1"/>
  <c r="N268" i="2" s="1"/>
  <c r="H269" i="2" a="1"/>
  <c r="H269" i="2" s="1"/>
  <c r="O269" i="2" a="1"/>
  <c r="O269" i="2" s="1"/>
  <c r="Q269" i="2" a="1"/>
  <c r="Q269" i="2" s="1"/>
  <c r="K272" i="2" a="1"/>
  <c r="K272" i="2" s="1"/>
  <c r="O273" i="2" a="1"/>
  <c r="O273" i="2" s="1"/>
  <c r="D275" i="2" a="1"/>
  <c r="D275" i="2" s="1"/>
  <c r="F275" i="2" a="1"/>
  <c r="F275" i="2" s="1"/>
  <c r="N275" i="2" a="1"/>
  <c r="N275" i="2" s="1"/>
  <c r="Q275" i="2" a="1"/>
  <c r="Q275" i="2" s="1"/>
  <c r="Q276" i="2" a="1"/>
  <c r="Q276" i="2" s="1"/>
  <c r="E277" i="2" a="1"/>
  <c r="E277" i="2" s="1"/>
  <c r="I277" i="2" a="1"/>
  <c r="I277" i="2" s="1"/>
  <c r="A278" i="2" a="1"/>
  <c r="A278" i="2" s="1"/>
  <c r="D278" i="2" a="1"/>
  <c r="D278" i="2" s="1"/>
  <c r="K278" i="2" a="1"/>
  <c r="K278" i="2" s="1"/>
  <c r="Q278" i="2" a="1"/>
  <c r="Q278" i="2" s="1"/>
  <c r="A279" i="2" a="1"/>
  <c r="A279" i="2" s="1"/>
  <c r="D279" i="2" a="1"/>
  <c r="D279" i="2" s="1"/>
  <c r="F279" i="2" a="1"/>
  <c r="F279" i="2" s="1"/>
  <c r="B281" i="2" a="1"/>
  <c r="B281" i="2" s="1"/>
  <c r="D281" i="2" a="1"/>
  <c r="D281" i="2" s="1"/>
  <c r="L281" i="2" a="1"/>
  <c r="L281" i="2" s="1"/>
  <c r="B282" i="2" a="1"/>
  <c r="B282" i="2" s="1"/>
  <c r="G282" i="2" a="1"/>
  <c r="G282" i="2" s="1"/>
  <c r="N282" i="2" a="1"/>
  <c r="N282" i="2" s="1"/>
  <c r="D283" i="2" a="1"/>
  <c r="D283" i="2" s="1"/>
  <c r="J283" i="2" a="1"/>
  <c r="J283" i="2" s="1"/>
  <c r="L283" i="2" a="1"/>
  <c r="L283" i="2" s="1"/>
  <c r="D284" i="2" a="1"/>
  <c r="D284" i="2" s="1"/>
  <c r="N284" i="2" a="1"/>
  <c r="N284" i="2" s="1"/>
  <c r="G285" i="2" a="1"/>
  <c r="G285" i="2" s="1"/>
  <c r="J285" i="2" a="1"/>
  <c r="J285" i="2" s="1"/>
  <c r="P285" i="2" a="1"/>
  <c r="P285" i="2" s="1"/>
  <c r="L286" i="2" a="1"/>
  <c r="L286" i="2" s="1"/>
  <c r="Q286" i="2" a="1"/>
  <c r="Q286" i="2" s="1"/>
  <c r="C287" i="2" a="1"/>
  <c r="C287" i="2" s="1"/>
  <c r="L288" i="2" a="1"/>
  <c r="L288" i="2" s="1"/>
  <c r="A289" i="2" a="1"/>
  <c r="A289" i="2" s="1"/>
  <c r="A290" i="2" a="1"/>
  <c r="A290" i="2" s="1"/>
  <c r="J290" i="2" a="1"/>
  <c r="J290" i="2" s="1"/>
  <c r="M290" i="2" a="1"/>
  <c r="M290" i="2" s="1"/>
  <c r="P290" i="2" a="1"/>
  <c r="P290" i="2" s="1"/>
  <c r="Q290" i="2" a="1"/>
  <c r="Q290" i="2" s="1"/>
  <c r="C291" i="2" a="1"/>
  <c r="C291" i="2" s="1"/>
  <c r="G291" i="2" a="1"/>
  <c r="G291" i="2" s="1"/>
  <c r="L291" i="2" a="1"/>
  <c r="L291" i="2" s="1"/>
  <c r="A292" i="2" a="1"/>
  <c r="A292" i="2" s="1"/>
  <c r="D292" i="2" a="1"/>
  <c r="D292" i="2" s="1"/>
  <c r="E292" i="2" a="1"/>
  <c r="E292" i="2" s="1"/>
  <c r="G292" i="2" a="1"/>
  <c r="G292" i="2" s="1"/>
  <c r="H292" i="2" a="1"/>
  <c r="H292" i="2" s="1"/>
  <c r="L292" i="2" a="1"/>
  <c r="L292" i="2" s="1"/>
  <c r="O292" i="2" a="1"/>
  <c r="O292" i="2" s="1"/>
  <c r="A293" i="2" a="1"/>
  <c r="A293" i="2" s="1"/>
  <c r="D293" i="2" a="1"/>
  <c r="D293" i="2" s="1"/>
  <c r="K293" i="2" a="1"/>
  <c r="K293" i="2" s="1"/>
  <c r="L293" i="2" a="1"/>
  <c r="L293" i="2" s="1"/>
  <c r="N294" i="2" a="1"/>
  <c r="N294" i="2" s="1"/>
  <c r="H295" i="2" a="1"/>
  <c r="H295" i="2" s="1"/>
  <c r="L295" i="2" a="1"/>
  <c r="L295" i="2" s="1"/>
  <c r="J296" i="2" a="1"/>
  <c r="J296" i="2" s="1"/>
  <c r="N296" i="2" a="1"/>
  <c r="N296" i="2" s="1"/>
  <c r="D297" i="2" a="1"/>
  <c r="D297" i="2" s="1"/>
  <c r="F297" i="2" a="1"/>
  <c r="F297" i="2" s="1"/>
  <c r="P297" i="2" a="1"/>
  <c r="P297" i="2" s="1"/>
  <c r="E298" i="2" a="1"/>
  <c r="E298" i="2" s="1"/>
  <c r="L298" i="2" a="1"/>
  <c r="L298" i="2" s="1"/>
  <c r="E299" i="2" a="1"/>
  <c r="E299" i="2" s="1"/>
  <c r="G299" i="2" a="1"/>
  <c r="G299" i="2" s="1"/>
  <c r="C300" i="2" a="1"/>
  <c r="C300" i="2" s="1"/>
  <c r="B303" i="2" a="1"/>
  <c r="B303" i="2" s="1"/>
  <c r="I305" i="2" a="1"/>
  <c r="I305" i="2" s="1"/>
  <c r="M305" i="2" a="1"/>
  <c r="M305" i="2" s="1"/>
  <c r="O305" i="2" a="1"/>
  <c r="O305" i="2" s="1"/>
  <c r="A306" i="2" a="1"/>
  <c r="A306" i="2" s="1"/>
  <c r="G306" i="2" a="1"/>
  <c r="G306" i="2" s="1"/>
  <c r="K306" i="2" a="1"/>
  <c r="K306" i="2" s="1"/>
  <c r="P306" i="2" a="1"/>
  <c r="P306" i="2" s="1"/>
  <c r="J307" i="2" a="1"/>
  <c r="J307" i="2" s="1"/>
  <c r="D308" i="2" a="1"/>
  <c r="D308" i="2" s="1"/>
  <c r="I308" i="2" a="1"/>
  <c r="I308" i="2" s="1"/>
  <c r="Q309" i="2" a="1"/>
  <c r="Q309" i="2" s="1"/>
  <c r="E310" i="2" a="1"/>
  <c r="E310" i="2" s="1"/>
  <c r="N310" i="2" a="1"/>
  <c r="N310" i="2" s="1"/>
  <c r="D311" i="2" a="1"/>
  <c r="D311" i="2" s="1"/>
  <c r="H311" i="2" a="1"/>
  <c r="H311" i="2" s="1"/>
  <c r="J311" i="2" a="1"/>
  <c r="J311" i="2" s="1"/>
  <c r="O311" i="2" a="1"/>
  <c r="O311" i="2" s="1"/>
  <c r="Q311" i="2" a="1"/>
  <c r="Q311" i="2" s="1"/>
  <c r="B313" i="2" a="1"/>
  <c r="B313" i="2" s="1"/>
  <c r="B314" i="2" a="1"/>
  <c r="B314" i="2" s="1"/>
  <c r="G314" i="2" a="1"/>
  <c r="G314" i="2" s="1"/>
  <c r="K314" i="2" a="1"/>
  <c r="K314" i="2" s="1"/>
  <c r="M314" i="2" a="1"/>
  <c r="M314" i="2" s="1"/>
  <c r="O314" i="2" a="1"/>
  <c r="O314" i="2" s="1"/>
  <c r="P314" i="2" a="1"/>
  <c r="P314" i="2" s="1"/>
  <c r="Q314" i="2" a="1"/>
  <c r="Q314" i="2" s="1"/>
  <c r="K318" i="2" a="1"/>
  <c r="K318" i="2" s="1"/>
  <c r="O318" i="2" a="1"/>
  <c r="O318" i="2" s="1"/>
  <c r="A319" i="2" a="1"/>
  <c r="A319" i="2" s="1"/>
  <c r="B319" i="2" a="1"/>
  <c r="B319" i="2" s="1"/>
  <c r="E319" i="2" a="1"/>
  <c r="E319" i="2" s="1"/>
  <c r="G319" i="2" a="1"/>
  <c r="G319" i="2" s="1"/>
  <c r="I319" i="2" a="1"/>
  <c r="I319" i="2" s="1"/>
  <c r="K319" i="2" a="1"/>
  <c r="K319" i="2" s="1"/>
  <c r="L319" i="2" a="1"/>
  <c r="L319" i="2" s="1"/>
  <c r="O319" i="2" a="1"/>
  <c r="O319" i="2" s="1"/>
  <c r="P319" i="2" a="1"/>
  <c r="P319" i="2" s="1"/>
  <c r="B320" i="2" a="1"/>
  <c r="B320" i="2" s="1"/>
  <c r="C320" i="2" a="1"/>
  <c r="C320" i="2" s="1"/>
  <c r="E320" i="2" a="1"/>
  <c r="E320" i="2" s="1"/>
  <c r="F320" i="2" a="1"/>
  <c r="F320" i="2" s="1"/>
  <c r="G320" i="2" a="1"/>
  <c r="G320" i="2" s="1"/>
  <c r="I320" i="2" a="1"/>
  <c r="I320" i="2" s="1"/>
  <c r="J320" i="2" a="1"/>
  <c r="J320" i="2" s="1"/>
  <c r="K320" i="2" a="1"/>
  <c r="K320" i="2" s="1"/>
  <c r="L320" i="2" a="1"/>
  <c r="L320" i="2" s="1"/>
  <c r="N320" i="2" a="1"/>
  <c r="N320" i="2" s="1"/>
  <c r="Q320" i="2" a="1"/>
  <c r="Q320" i="2" s="1"/>
  <c r="B321" i="2" a="1"/>
  <c r="B321" i="2" s="1"/>
  <c r="F321" i="2" a="1"/>
  <c r="F321" i="2" s="1"/>
  <c r="P321" i="2" a="1"/>
  <c r="P321" i="2" s="1"/>
  <c r="I322" i="2" a="1"/>
  <c r="I322" i="2" s="1"/>
  <c r="K322" i="2" a="1"/>
  <c r="K322" i="2" s="1"/>
  <c r="A323" i="2" a="1"/>
  <c r="A323" i="2" s="1"/>
  <c r="J323" i="2" a="1"/>
  <c r="J323" i="2" s="1"/>
  <c r="F324" i="2" a="1"/>
  <c r="F324" i="2" s="1"/>
  <c r="K324" i="2" a="1"/>
  <c r="K324" i="2" s="1"/>
  <c r="N324" i="2" a="1"/>
  <c r="N324" i="2" s="1"/>
  <c r="D326" i="2" a="1"/>
  <c r="D326" i="2" s="1"/>
  <c r="I326" i="2" a="1"/>
  <c r="I326" i="2" s="1"/>
  <c r="J326" i="2" a="1"/>
  <c r="J326" i="2" s="1"/>
  <c r="L327" i="2" a="1"/>
  <c r="L327" i="2" s="1"/>
  <c r="M327" i="2" a="1"/>
  <c r="M327" i="2" s="1"/>
  <c r="A328" i="2" a="1"/>
  <c r="A328" i="2" s="1"/>
  <c r="D328" i="2" a="1"/>
  <c r="D328" i="2" s="1"/>
  <c r="E329" i="2" a="1"/>
  <c r="E329" i="2" s="1"/>
  <c r="A330" i="2" a="1"/>
  <c r="A330" i="2" s="1"/>
  <c r="B330" i="2" a="1"/>
  <c r="B330" i="2" s="1"/>
  <c r="D331" i="2" a="1"/>
  <c r="D331" i="2" s="1"/>
  <c r="F331" i="2" a="1"/>
  <c r="F331" i="2" s="1"/>
  <c r="H331" i="2" a="1"/>
  <c r="H331" i="2" s="1"/>
  <c r="L331" i="2" a="1"/>
  <c r="L331" i="2" s="1"/>
  <c r="M331" i="2" a="1"/>
  <c r="M331" i="2" s="1"/>
  <c r="H332" i="2" a="1"/>
  <c r="H332" i="2" s="1"/>
  <c r="L332" i="2" a="1"/>
  <c r="L332" i="2" s="1"/>
  <c r="M332" i="2" a="1"/>
  <c r="M332" i="2" s="1"/>
  <c r="Q332" i="2" a="1"/>
  <c r="Q332" i="2" s="1"/>
  <c r="C333" i="2" a="1"/>
  <c r="C333" i="2" s="1"/>
  <c r="J333" i="2" a="1"/>
  <c r="J333" i="2" s="1"/>
  <c r="L333" i="2" a="1"/>
  <c r="L333" i="2" s="1"/>
  <c r="N333" i="2" a="1"/>
  <c r="N333" i="2" s="1"/>
  <c r="G334" i="2" a="1"/>
  <c r="G334" i="2" s="1"/>
  <c r="H334" i="2" a="1"/>
  <c r="H334" i="2" s="1"/>
  <c r="N334" i="2" a="1"/>
  <c r="N334" i="2" s="1"/>
  <c r="A335" i="2" a="1"/>
  <c r="A335" i="2" s="1"/>
  <c r="F335" i="2" a="1"/>
  <c r="F335" i="2" s="1"/>
  <c r="H335" i="2" a="1"/>
  <c r="H335" i="2" s="1"/>
  <c r="K335" i="2" a="1"/>
  <c r="K335" i="2" s="1"/>
  <c r="N335" i="2" a="1"/>
  <c r="N335" i="2" s="1"/>
  <c r="P335" i="2" a="1"/>
  <c r="P335" i="2" s="1"/>
  <c r="A336" i="2" a="1"/>
  <c r="A336" i="2" s="1"/>
  <c r="C336" i="2" a="1"/>
  <c r="C336" i="2" s="1"/>
  <c r="J336" i="2" a="1"/>
  <c r="J336" i="2" s="1"/>
  <c r="P336" i="2" a="1"/>
  <c r="P336" i="2" s="1"/>
  <c r="Q336" i="2" a="1"/>
  <c r="Q336" i="2" s="1"/>
  <c r="Q337" i="2" a="1"/>
  <c r="Q337" i="2" s="1"/>
  <c r="C338" i="2" a="1"/>
  <c r="C338" i="2" s="1"/>
  <c r="H338" i="2" a="1"/>
  <c r="H338" i="2" s="1"/>
  <c r="H339" i="2" a="1"/>
  <c r="H339" i="2" s="1"/>
  <c r="P339" i="2" a="1"/>
  <c r="P339" i="2" s="1"/>
  <c r="A340" i="2" a="1"/>
  <c r="A340" i="2" s="1"/>
  <c r="D340" i="2" a="1"/>
  <c r="D340" i="2" s="1"/>
  <c r="F340" i="2" a="1"/>
  <c r="F340" i="2" s="1"/>
  <c r="L340" i="2" a="1"/>
  <c r="L340" i="2" s="1"/>
  <c r="A341" i="2" a="1"/>
  <c r="A341" i="2" s="1"/>
  <c r="C341" i="2" a="1"/>
  <c r="C341" i="2" s="1"/>
  <c r="I341" i="2" a="1"/>
  <c r="I341" i="2" s="1"/>
  <c r="O341" i="2" a="1"/>
  <c r="O341" i="2" s="1"/>
  <c r="D342" i="2" a="1"/>
  <c r="D342" i="2" s="1"/>
  <c r="P342" i="2" a="1"/>
  <c r="P342" i="2" s="1"/>
  <c r="N343" i="2" a="1"/>
  <c r="N343" i="2" s="1"/>
  <c r="P343" i="2" a="1"/>
  <c r="P343" i="2" s="1"/>
  <c r="C344" i="2" a="1"/>
  <c r="C344" i="2" s="1"/>
  <c r="H344" i="2" a="1"/>
  <c r="H344" i="2" s="1"/>
  <c r="Q344" i="2" a="1"/>
  <c r="Q344" i="2" s="1"/>
  <c r="A345" i="2" a="1"/>
  <c r="A345" i="2" s="1"/>
  <c r="H345" i="2" a="1"/>
  <c r="H345" i="2" s="1"/>
  <c r="J345" i="2" a="1"/>
  <c r="J345" i="2" s="1"/>
  <c r="D346" i="2" a="1"/>
  <c r="D346" i="2" s="1"/>
  <c r="P346" i="2" a="1"/>
  <c r="P346" i="2" s="1"/>
  <c r="Q346" i="2" a="1"/>
  <c r="Q346" i="2" s="1"/>
  <c r="F347" i="2" a="1"/>
  <c r="F347" i="2" s="1"/>
  <c r="N347" i="2" a="1"/>
  <c r="N347" i="2" s="1"/>
  <c r="I348" i="2" a="1"/>
  <c r="I348" i="2" s="1"/>
  <c r="M348" i="2" a="1"/>
  <c r="M348" i="2" s="1"/>
  <c r="O348" i="2" a="1"/>
  <c r="O348" i="2" s="1"/>
  <c r="C349" i="2" a="1"/>
  <c r="C349" i="2" s="1"/>
  <c r="D349" i="2" a="1"/>
  <c r="D349" i="2" s="1"/>
  <c r="J349" i="2" a="1"/>
  <c r="J349" i="2" s="1"/>
  <c r="L349" i="2" a="1"/>
  <c r="L349" i="2" s="1"/>
  <c r="K350" i="2" a="1"/>
  <c r="K350" i="2" s="1"/>
  <c r="L350" i="2" a="1"/>
  <c r="L350" i="2" s="1"/>
  <c r="A351" i="2" a="1"/>
  <c r="A351" i="2" s="1"/>
  <c r="D351" i="2" a="1"/>
  <c r="D351" i="2" s="1"/>
  <c r="G351" i="2" a="1"/>
  <c r="G351" i="2" s="1"/>
  <c r="L351" i="2" a="1"/>
  <c r="L351" i="2" s="1"/>
  <c r="C352" i="2" a="1"/>
  <c r="C352" i="2" s="1"/>
  <c r="N352" i="2" a="1"/>
  <c r="N352" i="2" s="1"/>
  <c r="C353" i="2" a="1"/>
  <c r="C353" i="2" s="1"/>
  <c r="D353" i="2" a="1"/>
  <c r="D353" i="2" s="1"/>
  <c r="I353" i="2" a="1"/>
  <c r="I353" i="2" s="1"/>
  <c r="J353" i="2" a="1"/>
  <c r="J353" i="2" s="1"/>
  <c r="M353" i="2" a="1"/>
  <c r="M353" i="2" s="1"/>
  <c r="O353" i="2" a="1"/>
  <c r="O353" i="2" s="1"/>
  <c r="P353" i="2" a="1"/>
  <c r="P353" i="2" s="1"/>
  <c r="Q353" i="2" a="1"/>
  <c r="Q353" i="2" s="1"/>
  <c r="C354" i="2" a="1"/>
  <c r="C354" i="2" s="1"/>
  <c r="J354" i="2" a="1"/>
  <c r="J354" i="2" s="1"/>
  <c r="E355" i="2" a="1"/>
  <c r="E355" i="2" s="1"/>
  <c r="J355" i="2" a="1"/>
  <c r="J355" i="2" s="1"/>
  <c r="L355" i="2" a="1"/>
  <c r="L355" i="2" s="1"/>
  <c r="P355" i="2" a="1"/>
  <c r="P355" i="2" s="1"/>
  <c r="F356" i="2" a="1"/>
  <c r="F356" i="2" s="1"/>
  <c r="N356" i="2" a="1"/>
  <c r="N356" i="2" s="1"/>
  <c r="D357" i="2" a="1"/>
  <c r="D357" i="2" s="1"/>
  <c r="F357" i="2" a="1"/>
  <c r="F357" i="2" s="1"/>
  <c r="H357" i="2" a="1"/>
  <c r="H357" i="2" s="1"/>
  <c r="O357" i="2" a="1"/>
  <c r="O357" i="2" s="1"/>
  <c r="I358" i="2" a="1"/>
  <c r="I358" i="2" s="1"/>
  <c r="K358" i="2" a="1"/>
  <c r="K358" i="2" s="1"/>
  <c r="L358" i="2" a="1"/>
  <c r="L358" i="2" s="1"/>
  <c r="P358" i="2" a="1"/>
  <c r="P358" i="2" s="1"/>
  <c r="C359" i="2" a="1"/>
  <c r="C359" i="2" s="1"/>
  <c r="E359" i="2" a="1"/>
  <c r="E359" i="2" s="1"/>
  <c r="H359" i="2" a="1"/>
  <c r="H359" i="2" s="1"/>
  <c r="O359" i="2" a="1"/>
  <c r="O359" i="2" s="1"/>
  <c r="Q359" i="2" a="1"/>
  <c r="Q359" i="2" s="1"/>
  <c r="D360" i="2" a="1"/>
  <c r="D360" i="2" s="1"/>
  <c r="A361" i="2" a="1"/>
  <c r="A361" i="2" s="1"/>
  <c r="L361" i="2" a="1"/>
  <c r="L361" i="2" s="1"/>
  <c r="C362" i="2" a="1"/>
  <c r="C362" i="2" s="1"/>
  <c r="N362" i="2" a="1"/>
  <c r="N362" i="2" s="1"/>
  <c r="N81" i="2" a="1"/>
  <c r="N81" i="2" s="1"/>
  <c r="O81" i="2" a="1"/>
  <c r="O81" i="2" s="1"/>
  <c r="P81" i="2" a="1"/>
  <c r="P81" i="2" s="1"/>
  <c r="Q81" i="2" a="1"/>
  <c r="Q81" i="2" s="1"/>
  <c r="A82" i="2" a="1"/>
  <c r="A82" i="2" s="1"/>
  <c r="B82" i="2" a="1"/>
  <c r="B82" i="2" s="1"/>
  <c r="D82" i="2" a="1"/>
  <c r="D82" i="2" s="1"/>
  <c r="E82" i="2" a="1"/>
  <c r="E82" i="2" s="1"/>
  <c r="I82" i="2" a="1"/>
  <c r="I82" i="2" s="1"/>
  <c r="K82" i="2" a="1"/>
  <c r="K82" i="2" s="1"/>
  <c r="O82" i="2" a="1"/>
  <c r="O82" i="2" s="1"/>
  <c r="H83" i="2" a="1"/>
  <c r="H83" i="2" s="1"/>
  <c r="I83" i="2" a="1"/>
  <c r="I83" i="2" s="1"/>
  <c r="J83" i="2" a="1"/>
  <c r="J83" i="2" s="1"/>
  <c r="K83" i="2" a="1"/>
  <c r="K83" i="2" s="1"/>
  <c r="M83" i="2" a="1"/>
  <c r="M83" i="2" s="1"/>
  <c r="O83" i="2" a="1"/>
  <c r="O83" i="2" s="1"/>
  <c r="P83" i="2" a="1"/>
  <c r="P83" i="2" s="1"/>
  <c r="D84" i="2" a="1"/>
  <c r="D84" i="2" s="1"/>
  <c r="J84" i="2" a="1"/>
  <c r="J84" i="2" s="1"/>
  <c r="C85" i="2" a="1"/>
  <c r="C85" i="2" s="1"/>
  <c r="F85" i="2" a="1"/>
  <c r="F85" i="2" s="1"/>
  <c r="J85" i="2" a="1"/>
  <c r="J85" i="2" s="1"/>
  <c r="D86" i="2" a="1"/>
  <c r="D86" i="2" s="1"/>
  <c r="I86" i="2" a="1"/>
  <c r="I86" i="2" s="1"/>
  <c r="L86" i="2" a="1"/>
  <c r="L86" i="2" s="1"/>
  <c r="O86" i="2" a="1"/>
  <c r="O86" i="2" s="1"/>
  <c r="Q86" i="2" a="1"/>
  <c r="Q86" i="2" s="1"/>
  <c r="B87" i="2" a="1"/>
  <c r="B87" i="2" s="1"/>
  <c r="D87" i="2" a="1"/>
  <c r="D87" i="2" s="1"/>
  <c r="H87" i="2" a="1"/>
  <c r="H87" i="2" s="1"/>
  <c r="I87" i="2" a="1"/>
  <c r="I87" i="2" s="1"/>
  <c r="K87" i="2" a="1"/>
  <c r="K87" i="2" s="1"/>
  <c r="L87" i="2" a="1"/>
  <c r="L87" i="2" s="1"/>
  <c r="M87" i="2" a="1"/>
  <c r="M87" i="2" s="1"/>
  <c r="P87" i="2" a="1"/>
  <c r="P87" i="2" s="1"/>
  <c r="A88" i="2" a="1"/>
  <c r="A88" i="2" s="1"/>
  <c r="B88" i="2" a="1"/>
  <c r="B88" i="2" s="1"/>
  <c r="I88" i="2" a="1"/>
  <c r="I88" i="2" s="1"/>
  <c r="J88" i="2" a="1"/>
  <c r="J88" i="2" s="1"/>
  <c r="M88" i="2" a="1"/>
  <c r="M88" i="2" s="1"/>
  <c r="O88" i="2" a="1"/>
  <c r="O88" i="2" s="1"/>
  <c r="P88" i="2" a="1"/>
  <c r="P88" i="2" s="1"/>
  <c r="J89" i="2" a="1"/>
  <c r="J89" i="2" s="1"/>
  <c r="K89" i="2" a="1"/>
  <c r="K89" i="2" s="1"/>
  <c r="L89" i="2" a="1"/>
  <c r="L89" i="2" s="1"/>
  <c r="N89" i="2" a="1"/>
  <c r="N89" i="2" s="1"/>
  <c r="O89" i="2" a="1"/>
  <c r="O89" i="2" s="1"/>
  <c r="P89" i="2" a="1"/>
  <c r="P89" i="2" s="1"/>
  <c r="Q89" i="2" a="1"/>
  <c r="Q89" i="2" s="1"/>
  <c r="C90" i="2" a="1"/>
  <c r="C90" i="2" s="1"/>
  <c r="B91" i="2" a="1"/>
  <c r="B91" i="2" s="1"/>
  <c r="D91" i="2" a="1"/>
  <c r="D91" i="2" s="1"/>
  <c r="F91" i="2" a="1"/>
  <c r="F91" i="2" s="1"/>
  <c r="E92" i="2" a="1"/>
  <c r="E92" i="2" s="1"/>
  <c r="I92" i="2" a="1"/>
  <c r="I92" i="2" s="1"/>
  <c r="K92" i="2" a="1"/>
  <c r="K92" i="2" s="1"/>
  <c r="O92" i="2" a="1"/>
  <c r="O92" i="2" s="1"/>
  <c r="C93" i="2" a="1"/>
  <c r="C93" i="2" s="1"/>
  <c r="E93" i="2" a="1"/>
  <c r="E93" i="2" s="1"/>
  <c r="I93" i="2" a="1"/>
  <c r="I93" i="2" s="1"/>
  <c r="J93" i="2" a="1"/>
  <c r="J93" i="2" s="1"/>
  <c r="K93" i="2" a="1"/>
  <c r="K93" i="2" s="1"/>
  <c r="L93" i="2" a="1"/>
  <c r="L93" i="2" s="1"/>
  <c r="N93" i="2" a="1"/>
  <c r="N93" i="2" s="1"/>
  <c r="O93" i="2" a="1"/>
  <c r="O93" i="2" s="1"/>
  <c r="C94" i="2" a="1"/>
  <c r="C94" i="2" s="1"/>
  <c r="F94" i="2" a="1"/>
  <c r="F94" i="2" s="1"/>
  <c r="N94" i="2" a="1"/>
  <c r="N94" i="2" s="1"/>
  <c r="Q94" i="2" a="1"/>
  <c r="Q94" i="2" s="1"/>
  <c r="C95" i="2" a="1"/>
  <c r="C95" i="2" s="1"/>
  <c r="D95" i="2" a="1"/>
  <c r="D95" i="2" s="1"/>
  <c r="E95" i="2" a="1"/>
  <c r="E95" i="2" s="1"/>
  <c r="F95" i="2" a="1"/>
  <c r="F95" i="2" s="1"/>
  <c r="G95" i="2" a="1"/>
  <c r="G95" i="2" s="1"/>
  <c r="H95" i="2" a="1"/>
  <c r="H95" i="2" s="1"/>
  <c r="I95" i="2" a="1"/>
  <c r="I95" i="2" s="1"/>
  <c r="K95" i="2" a="1"/>
  <c r="K95" i="2" s="1"/>
  <c r="L95" i="2" a="1"/>
  <c r="L95" i="2" s="1"/>
  <c r="O95" i="2" a="1"/>
  <c r="O95" i="2" s="1"/>
  <c r="A96" i="2" a="1"/>
  <c r="A96" i="2" s="1"/>
  <c r="C96" i="2" a="1"/>
  <c r="C96" i="2" s="1"/>
  <c r="D96" i="2" a="1"/>
  <c r="D96" i="2" s="1"/>
  <c r="E96" i="2" a="1"/>
  <c r="E96" i="2" s="1"/>
  <c r="F96" i="2" a="1"/>
  <c r="F96" i="2" s="1"/>
  <c r="G96" i="2" a="1"/>
  <c r="G96" i="2" s="1"/>
  <c r="I96" i="2" a="1"/>
  <c r="I96" i="2" s="1"/>
  <c r="L96" i="2" a="1"/>
  <c r="L96" i="2" s="1"/>
  <c r="N96" i="2" a="1"/>
  <c r="N96" i="2" s="1"/>
  <c r="P96" i="2" a="1"/>
  <c r="P96" i="2" s="1"/>
  <c r="Q96" i="2" a="1"/>
  <c r="Q96" i="2" s="1"/>
  <c r="A97" i="2" a="1"/>
  <c r="A97" i="2" s="1"/>
  <c r="C97" i="2" a="1"/>
  <c r="C97" i="2" s="1"/>
  <c r="D97" i="2" a="1"/>
  <c r="D97" i="2" s="1"/>
  <c r="E97" i="2" a="1"/>
  <c r="E97" i="2" s="1"/>
  <c r="G97" i="2" a="1"/>
  <c r="G97" i="2" s="1"/>
  <c r="I97" i="2" a="1"/>
  <c r="I97" i="2" s="1"/>
  <c r="J97" i="2" a="1"/>
  <c r="J97" i="2" s="1"/>
  <c r="K97" i="2" a="1"/>
  <c r="K97" i="2" s="1"/>
  <c r="L97" i="2" a="1"/>
  <c r="L97" i="2" s="1"/>
  <c r="N97" i="2" a="1"/>
  <c r="N97" i="2" s="1"/>
  <c r="A98" i="2" a="1"/>
  <c r="A98" i="2" s="1"/>
  <c r="D98" i="2" a="1"/>
  <c r="D98" i="2" s="1"/>
  <c r="F98" i="2" a="1"/>
  <c r="F98" i="2" s="1"/>
  <c r="J98" i="2" a="1"/>
  <c r="J98" i="2" s="1"/>
  <c r="P98" i="2" a="1"/>
  <c r="P98" i="2" s="1"/>
  <c r="M99" i="2" a="1"/>
  <c r="M99" i="2" s="1"/>
  <c r="N99" i="2" a="1"/>
  <c r="N99" i="2" s="1"/>
  <c r="F100" i="2" a="1"/>
  <c r="F100" i="2" s="1"/>
  <c r="J100" i="2" a="1"/>
  <c r="J100" i="2" s="1"/>
  <c r="P100" i="2" a="1"/>
  <c r="P100" i="2" s="1"/>
  <c r="I101" i="2" a="1"/>
  <c r="I101" i="2" s="1"/>
  <c r="M101" i="2" a="1"/>
  <c r="M101" i="2" s="1"/>
  <c r="A102" i="2" a="1"/>
  <c r="A102" i="2" s="1"/>
  <c r="C102" i="2" a="1"/>
  <c r="C102" i="2" s="1"/>
  <c r="D102" i="2" a="1"/>
  <c r="D102" i="2" s="1"/>
  <c r="F102" i="2" a="1"/>
  <c r="F102" i="2" s="1"/>
  <c r="I102" i="2" a="1"/>
  <c r="I102" i="2" s="1"/>
  <c r="L102" i="2" a="1"/>
  <c r="L102" i="2" s="1"/>
  <c r="Q102" i="2" a="1"/>
  <c r="Q102" i="2" s="1"/>
  <c r="A103" i="2" a="1"/>
  <c r="A103" i="2" s="1"/>
  <c r="C103" i="2" a="1"/>
  <c r="C103" i="2" s="1"/>
  <c r="D103" i="2" a="1"/>
  <c r="D103" i="2" s="1"/>
  <c r="E103" i="2" a="1"/>
  <c r="E103" i="2" s="1"/>
  <c r="I103" i="2" a="1"/>
  <c r="I103" i="2" s="1"/>
  <c r="M103" i="2" a="1"/>
  <c r="M103" i="2" s="1"/>
  <c r="Q103" i="2" a="1"/>
  <c r="Q103" i="2" s="1"/>
  <c r="A104" i="2" a="1"/>
  <c r="A104" i="2" s="1"/>
  <c r="C104" i="2" a="1"/>
  <c r="C104" i="2" s="1"/>
  <c r="F104" i="2" a="1"/>
  <c r="F104" i="2" s="1"/>
  <c r="H104" i="2" a="1"/>
  <c r="H104" i="2" s="1"/>
  <c r="O104" i="2" a="1"/>
  <c r="O104" i="2" s="1"/>
  <c r="A105" i="2" a="1"/>
  <c r="A105" i="2" s="1"/>
  <c r="I105" i="2" a="1"/>
  <c r="I105" i="2" s="1"/>
  <c r="E106" i="2" a="1"/>
  <c r="E106" i="2" s="1"/>
  <c r="G106" i="2" a="1"/>
  <c r="G106" i="2" s="1"/>
  <c r="J106" i="2" a="1"/>
  <c r="J106" i="2" s="1"/>
  <c r="K106" i="2" a="1"/>
  <c r="K106" i="2" s="1"/>
  <c r="L106" i="2" a="1"/>
  <c r="L106" i="2" s="1"/>
  <c r="P106" i="2" a="1"/>
  <c r="P106" i="2" s="1"/>
  <c r="A107" i="2" a="1"/>
  <c r="A107" i="2" s="1"/>
  <c r="B107" i="2" a="1"/>
  <c r="B107" i="2" s="1"/>
  <c r="E108" i="2" a="1"/>
  <c r="E108" i="2" s="1"/>
  <c r="F108" i="2" a="1"/>
  <c r="F108" i="2" s="1"/>
  <c r="K108" i="2" a="1"/>
  <c r="K108" i="2" s="1"/>
  <c r="M108" i="2" a="1"/>
  <c r="M108" i="2" s="1"/>
  <c r="N108" i="2" a="1"/>
  <c r="N108" i="2" s="1"/>
  <c r="Q108" i="2" a="1"/>
  <c r="Q108" i="2" s="1"/>
  <c r="E109" i="2" a="1"/>
  <c r="E109" i="2" s="1"/>
  <c r="G109" i="2" a="1"/>
  <c r="G109" i="2" s="1"/>
  <c r="K109" i="2" a="1"/>
  <c r="K109" i="2" s="1"/>
  <c r="P109" i="2" a="1"/>
  <c r="P109" i="2" s="1"/>
  <c r="Q109" i="2" a="1"/>
  <c r="Q109" i="2" s="1"/>
  <c r="I110" i="2" a="1"/>
  <c r="I110" i="2" s="1"/>
  <c r="J110" i="2" a="1"/>
  <c r="J110" i="2" s="1"/>
  <c r="L110" i="2" a="1"/>
  <c r="L110" i="2" s="1"/>
  <c r="M110" i="2" a="1"/>
  <c r="M110" i="2" s="1"/>
  <c r="N110" i="2" a="1"/>
  <c r="N110" i="2" s="1"/>
  <c r="B111" i="2" a="1"/>
  <c r="B111" i="2" s="1"/>
  <c r="C111" i="2" a="1"/>
  <c r="C111" i="2" s="1"/>
  <c r="D111" i="2" a="1"/>
  <c r="D111" i="2" s="1"/>
  <c r="K111" i="2" a="1"/>
  <c r="K111" i="2" s="1"/>
  <c r="L111" i="2" a="1"/>
  <c r="L111" i="2" s="1"/>
  <c r="F112" i="2" a="1"/>
  <c r="F112" i="2" s="1"/>
  <c r="L112" i="2" a="1"/>
  <c r="L112" i="2" s="1"/>
  <c r="O112" i="2" a="1"/>
  <c r="O112" i="2" s="1"/>
  <c r="C113" i="2" a="1"/>
  <c r="C113" i="2" s="1"/>
  <c r="D113" i="2" a="1"/>
  <c r="D113" i="2" s="1"/>
  <c r="G113" i="2" a="1"/>
  <c r="G113" i="2" s="1"/>
  <c r="H113" i="2" a="1"/>
  <c r="H113" i="2" s="1"/>
  <c r="I113" i="2" a="1"/>
  <c r="I113" i="2" s="1"/>
  <c r="J113" i="2" a="1"/>
  <c r="J113" i="2" s="1"/>
  <c r="K113" i="2" a="1"/>
  <c r="K113" i="2" s="1"/>
  <c r="O113" i="2" a="1"/>
  <c r="O113" i="2" s="1"/>
  <c r="P113" i="2" a="1"/>
  <c r="P113" i="2" s="1"/>
  <c r="Q113" i="2" a="1"/>
  <c r="Q113" i="2" s="1"/>
  <c r="A114" i="2" a="1"/>
  <c r="A114" i="2" s="1"/>
  <c r="D114" i="2" a="1"/>
  <c r="D114" i="2" s="1"/>
  <c r="I114" i="2" a="1"/>
  <c r="I114" i="2" s="1"/>
  <c r="L114" i="2" a="1"/>
  <c r="L114" i="2" s="1"/>
  <c r="M114" i="2" a="1"/>
  <c r="M114" i="2" s="1"/>
  <c r="O114" i="2" a="1"/>
  <c r="O114" i="2" s="1"/>
  <c r="A115" i="2" a="1"/>
  <c r="A115" i="2" s="1"/>
  <c r="B115" i="2" a="1"/>
  <c r="B115" i="2" s="1"/>
  <c r="C115" i="2" a="1"/>
  <c r="C115" i="2" s="1"/>
  <c r="D115" i="2" a="1"/>
  <c r="D115" i="2" s="1"/>
  <c r="E115" i="2" a="1"/>
  <c r="E115" i="2" s="1"/>
  <c r="G115" i="2" a="1"/>
  <c r="G115" i="2" s="1"/>
  <c r="I115" i="2" a="1"/>
  <c r="I115" i="2" s="1"/>
  <c r="J115" i="2" a="1"/>
  <c r="J115" i="2" s="1"/>
  <c r="K115" i="2" a="1"/>
  <c r="K115" i="2" s="1"/>
  <c r="L115" i="2" a="1"/>
  <c r="L115" i="2" s="1"/>
  <c r="B116" i="2" a="1"/>
  <c r="B116" i="2" s="1"/>
  <c r="D116" i="2" a="1"/>
  <c r="D116" i="2" s="1"/>
  <c r="E116" i="2" a="1"/>
  <c r="E116" i="2" s="1"/>
  <c r="F116" i="2" a="1"/>
  <c r="F116" i="2" s="1"/>
  <c r="H116" i="2" a="1"/>
  <c r="H116" i="2" s="1"/>
  <c r="M116" i="2" a="1"/>
  <c r="M116" i="2" s="1"/>
  <c r="O116" i="2" a="1"/>
  <c r="O116" i="2" s="1"/>
  <c r="C117" i="2" a="1"/>
  <c r="C117" i="2" s="1"/>
  <c r="F117" i="2" a="1"/>
  <c r="F117" i="2" s="1"/>
  <c r="I117" i="2" a="1"/>
  <c r="I117" i="2" s="1"/>
  <c r="M118" i="2" a="1"/>
  <c r="M118" i="2" s="1"/>
  <c r="D119" i="2" a="1"/>
  <c r="D119" i="2" s="1"/>
  <c r="F119" i="2" a="1"/>
  <c r="F119" i="2" s="1"/>
  <c r="K119" i="2" a="1"/>
  <c r="K119" i="2" s="1"/>
  <c r="P119" i="2" a="1"/>
  <c r="P119" i="2" s="1"/>
  <c r="D120" i="2" a="1"/>
  <c r="D120" i="2" s="1"/>
  <c r="F120" i="2" a="1"/>
  <c r="F120" i="2" s="1"/>
  <c r="H120" i="2" a="1"/>
  <c r="H120" i="2" s="1"/>
  <c r="I120" i="2" a="1"/>
  <c r="I120" i="2" s="1"/>
  <c r="J120" i="2" a="1"/>
  <c r="J120" i="2" s="1"/>
  <c r="P120" i="2" a="1"/>
  <c r="P120" i="2" s="1"/>
  <c r="B121" i="2" a="1"/>
  <c r="B121" i="2" s="1"/>
  <c r="G121" i="2" a="1"/>
  <c r="G121" i="2" s="1"/>
  <c r="M121" i="2" a="1"/>
  <c r="M121" i="2" s="1"/>
  <c r="D122" i="2" a="1"/>
  <c r="D122" i="2" s="1"/>
  <c r="E122" i="2" a="1"/>
  <c r="E122" i="2" s="1"/>
  <c r="G122" i="2" a="1"/>
  <c r="G122" i="2" s="1"/>
  <c r="J122" i="2" a="1"/>
  <c r="J122" i="2" s="1"/>
  <c r="L122" i="2" a="1"/>
  <c r="L122" i="2" s="1"/>
  <c r="O122" i="2" a="1"/>
  <c r="O122" i="2" s="1"/>
  <c r="Q122" i="2" a="1"/>
  <c r="Q122" i="2" s="1"/>
  <c r="A123" i="2" a="1"/>
  <c r="A123" i="2" s="1"/>
  <c r="B123" i="2" a="1"/>
  <c r="B123" i="2" s="1"/>
  <c r="C123" i="2" a="1"/>
  <c r="C123" i="2" s="1"/>
  <c r="D123" i="2" a="1"/>
  <c r="D123" i="2" s="1"/>
  <c r="G123" i="2" a="1"/>
  <c r="G123" i="2" s="1"/>
  <c r="I123" i="2" a="1"/>
  <c r="I123" i="2" s="1"/>
  <c r="L123" i="2" a="1"/>
  <c r="L123" i="2" s="1"/>
  <c r="M123" i="2" a="1"/>
  <c r="M123" i="2" s="1"/>
  <c r="N123" i="2" a="1"/>
  <c r="N123" i="2" s="1"/>
  <c r="A124" i="2" a="1"/>
  <c r="A124" i="2" s="1"/>
  <c r="D124" i="2" a="1"/>
  <c r="D124" i="2" s="1"/>
  <c r="G124" i="2" a="1"/>
  <c r="G124" i="2" s="1"/>
  <c r="I124" i="2" a="1"/>
  <c r="I124" i="2" s="1"/>
  <c r="N124" i="2" a="1"/>
  <c r="N124" i="2" s="1"/>
  <c r="E125" i="2" a="1"/>
  <c r="E125" i="2" s="1"/>
  <c r="F125" i="2" a="1"/>
  <c r="F125" i="2" s="1"/>
  <c r="L125" i="2" a="1"/>
  <c r="L125" i="2" s="1"/>
  <c r="M125" i="2" a="1"/>
  <c r="M125" i="2" s="1"/>
  <c r="N125" i="2" a="1"/>
  <c r="N125" i="2" s="1"/>
  <c r="Q125" i="2" a="1"/>
  <c r="Q125" i="2" s="1"/>
  <c r="B126" i="2" a="1"/>
  <c r="B126" i="2" s="1"/>
  <c r="C126" i="2" a="1"/>
  <c r="C126" i="2" s="1"/>
  <c r="D126" i="2" a="1"/>
  <c r="D126" i="2" s="1"/>
  <c r="H126" i="2" a="1"/>
  <c r="H126" i="2" s="1"/>
  <c r="O126" i="2" a="1"/>
  <c r="O126" i="2" s="1"/>
  <c r="A127" i="2" a="1"/>
  <c r="A127" i="2" s="1"/>
  <c r="B127" i="2" a="1"/>
  <c r="B127" i="2" s="1"/>
  <c r="D127" i="2" a="1"/>
  <c r="D127" i="2" s="1"/>
  <c r="F127" i="2" a="1"/>
  <c r="F127" i="2" s="1"/>
  <c r="G127" i="2" a="1"/>
  <c r="G127" i="2" s="1"/>
  <c r="H127" i="2" a="1"/>
  <c r="H127" i="2" s="1"/>
  <c r="I127" i="2" a="1"/>
  <c r="I127" i="2" s="1"/>
  <c r="J127" i="2" a="1"/>
  <c r="J127" i="2" s="1"/>
  <c r="L127" i="2" a="1"/>
  <c r="L127" i="2" s="1"/>
  <c r="M127" i="2" a="1"/>
  <c r="M127" i="2" s="1"/>
  <c r="O127" i="2" a="1"/>
  <c r="O127" i="2" s="1"/>
  <c r="Q127" i="2" a="1"/>
  <c r="Q127" i="2" s="1"/>
  <c r="C128" i="2" a="1"/>
  <c r="C128" i="2" s="1"/>
  <c r="E128" i="2" a="1"/>
  <c r="E128" i="2" s="1"/>
  <c r="H128" i="2" a="1"/>
  <c r="H128" i="2" s="1"/>
  <c r="I128" i="2" a="1"/>
  <c r="I128" i="2" s="1"/>
  <c r="M128" i="2" a="1"/>
  <c r="M128" i="2" s="1"/>
  <c r="O128" i="2" a="1"/>
  <c r="O128" i="2" s="1"/>
  <c r="P128" i="2" a="1"/>
  <c r="P128" i="2" s="1"/>
  <c r="Q128" i="2" a="1"/>
  <c r="Q128" i="2" s="1"/>
  <c r="A129" i="2" a="1"/>
  <c r="A129" i="2" s="1"/>
  <c r="C129" i="2" a="1"/>
  <c r="C129" i="2" s="1"/>
  <c r="E129" i="2" a="1"/>
  <c r="E129" i="2" s="1"/>
  <c r="F129" i="2" a="1"/>
  <c r="F129" i="2" s="1"/>
  <c r="H129" i="2" a="1"/>
  <c r="H129" i="2" s="1"/>
  <c r="A130" i="2" a="1"/>
  <c r="A130" i="2" s="1"/>
  <c r="C130" i="2" a="1"/>
  <c r="C130" i="2" s="1"/>
  <c r="G130" i="2" a="1"/>
  <c r="G130" i="2" s="1"/>
  <c r="I130" i="2" a="1"/>
  <c r="I130" i="2" s="1"/>
  <c r="K130" i="2" a="1"/>
  <c r="K130" i="2" s="1"/>
  <c r="M130" i="2" a="1"/>
  <c r="M130" i="2" s="1"/>
  <c r="O130" i="2" a="1"/>
  <c r="O130" i="2" s="1"/>
  <c r="P130" i="2" a="1"/>
  <c r="P130" i="2" s="1"/>
  <c r="Q130" i="2" a="1"/>
  <c r="Q130" i="2" s="1"/>
  <c r="D131" i="2" a="1"/>
  <c r="D131" i="2" s="1"/>
  <c r="K131" i="2" a="1"/>
  <c r="K131" i="2" s="1"/>
  <c r="Q131" i="2" a="1"/>
  <c r="Q131" i="2" s="1"/>
  <c r="A132" i="2" a="1"/>
  <c r="A132" i="2" s="1"/>
  <c r="E132" i="2" a="1"/>
  <c r="E132" i="2" s="1"/>
  <c r="I132" i="2" a="1"/>
  <c r="I132" i="2" s="1"/>
  <c r="M132" i="2" a="1"/>
  <c r="M132" i="2" s="1"/>
  <c r="O132" i="2" a="1"/>
  <c r="O132" i="2" s="1"/>
  <c r="A133" i="2" a="1"/>
  <c r="A133" i="2" s="1"/>
  <c r="I133" i="2" a="1"/>
  <c r="I133" i="2" s="1"/>
  <c r="K133" i="2" a="1"/>
  <c r="K133" i="2" s="1"/>
  <c r="N133" i="2" a="1"/>
  <c r="N133" i="2" s="1"/>
  <c r="P133" i="2" a="1"/>
  <c r="P133" i="2" s="1"/>
  <c r="C134" i="2" a="1"/>
  <c r="C134" i="2" s="1"/>
  <c r="E134" i="2" a="1"/>
  <c r="E134" i="2" s="1"/>
  <c r="J134" i="2" a="1"/>
  <c r="J134" i="2" s="1"/>
  <c r="L134" i="2" a="1"/>
  <c r="L134" i="2" s="1"/>
  <c r="O134" i="2" a="1"/>
  <c r="O134" i="2" s="1"/>
  <c r="A135" i="2" a="1"/>
  <c r="A135" i="2" s="1"/>
  <c r="B135" i="2" a="1"/>
  <c r="B135" i="2" s="1"/>
  <c r="E135" i="2" a="1"/>
  <c r="E135" i="2" s="1"/>
  <c r="I135" i="2" a="1"/>
  <c r="I135" i="2" s="1"/>
  <c r="J135" i="2" a="1"/>
  <c r="J135" i="2" s="1"/>
  <c r="M135" i="2" a="1"/>
  <c r="M135" i="2" s="1"/>
  <c r="N135" i="2" a="1"/>
  <c r="N135" i="2" s="1"/>
  <c r="B136" i="2" a="1"/>
  <c r="B136" i="2" s="1"/>
  <c r="D136" i="2" a="1"/>
  <c r="D136" i="2" s="1"/>
  <c r="E136" i="2" a="1"/>
  <c r="E136" i="2" s="1"/>
  <c r="F136" i="2" a="1"/>
  <c r="F136" i="2" s="1"/>
  <c r="H136" i="2" a="1"/>
  <c r="H136" i="2" s="1"/>
  <c r="I136" i="2" a="1"/>
  <c r="I136" i="2" s="1"/>
  <c r="A137" i="2" a="1"/>
  <c r="A137" i="2" s="1"/>
  <c r="B137" i="2" a="1"/>
  <c r="B137" i="2" s="1"/>
  <c r="I137" i="2" a="1"/>
  <c r="I137" i="2" s="1"/>
  <c r="L137" i="2" a="1"/>
  <c r="L137" i="2" s="1"/>
  <c r="M137" i="2" a="1"/>
  <c r="M137" i="2" s="1"/>
  <c r="N137" i="2" a="1"/>
  <c r="N137" i="2" s="1"/>
  <c r="A138" i="2" a="1"/>
  <c r="A138" i="2" s="1"/>
  <c r="E138" i="2" a="1"/>
  <c r="E138" i="2" s="1"/>
  <c r="J138" i="2" a="1"/>
  <c r="J138" i="2" s="1"/>
  <c r="M138" i="2" a="1"/>
  <c r="M138" i="2" s="1"/>
  <c r="O138" i="2" a="1"/>
  <c r="O138" i="2" s="1"/>
  <c r="P138" i="2" a="1"/>
  <c r="P138" i="2" s="1"/>
  <c r="Q138" i="2" a="1"/>
  <c r="Q138" i="2" s="1"/>
  <c r="D139" i="2" a="1"/>
  <c r="D139" i="2" s="1"/>
  <c r="E139" i="2" a="1"/>
  <c r="E139" i="2" s="1"/>
  <c r="F139" i="2" a="1"/>
  <c r="F139" i="2" s="1"/>
  <c r="G139" i="2" a="1"/>
  <c r="G139" i="2" s="1"/>
  <c r="J139" i="2" a="1"/>
  <c r="J139" i="2" s="1"/>
  <c r="K139" i="2" a="1"/>
  <c r="K139" i="2" s="1"/>
  <c r="L139" i="2" a="1"/>
  <c r="L139" i="2" s="1"/>
  <c r="Q139" i="2" a="1"/>
  <c r="Q139" i="2" s="1"/>
  <c r="D140" i="2" a="1"/>
  <c r="D140" i="2" s="1"/>
  <c r="E140" i="2" a="1"/>
  <c r="E140" i="2" s="1"/>
  <c r="F140" i="2" a="1"/>
  <c r="F140" i="2" s="1"/>
  <c r="G140" i="2" a="1"/>
  <c r="G140" i="2" s="1"/>
  <c r="I140" i="2" a="1"/>
  <c r="I140" i="2" s="1"/>
  <c r="K140" i="2" a="1"/>
  <c r="K140" i="2" s="1"/>
  <c r="L140" i="2" a="1"/>
  <c r="L140" i="2" s="1"/>
  <c r="Q140" i="2" a="1"/>
  <c r="Q140" i="2" s="1"/>
  <c r="A141" i="2" a="1"/>
  <c r="A141" i="2" s="1"/>
  <c r="B141" i="2" a="1"/>
  <c r="B141" i="2" s="1"/>
  <c r="C141" i="2" a="1"/>
  <c r="C141" i="2" s="1"/>
  <c r="D141" i="2" a="1"/>
  <c r="D141" i="2" s="1"/>
  <c r="E141" i="2" a="1"/>
  <c r="E141" i="2" s="1"/>
  <c r="F141" i="2" a="1"/>
  <c r="F141" i="2" s="1"/>
  <c r="G141" i="2" a="1"/>
  <c r="G141" i="2" s="1"/>
  <c r="I141" i="2" a="1"/>
  <c r="I141" i="2" s="1"/>
  <c r="J141" i="2" a="1"/>
  <c r="J141" i="2" s="1"/>
  <c r="M141" i="2" a="1"/>
  <c r="M141" i="2" s="1"/>
  <c r="O141" i="2" a="1"/>
  <c r="O141" i="2" s="1"/>
  <c r="A142" i="2" a="1"/>
  <c r="A142" i="2" s="1"/>
  <c r="K142" i="2" a="1"/>
  <c r="K142" i="2" s="1"/>
  <c r="N142" i="2" a="1"/>
  <c r="N142" i="2" s="1"/>
  <c r="P142" i="2" a="1"/>
  <c r="P142" i="2" s="1"/>
  <c r="E143" i="2" a="1"/>
  <c r="E143" i="2" s="1"/>
  <c r="H143" i="2" a="1"/>
  <c r="H143" i="2" s="1"/>
  <c r="I143" i="2" a="1"/>
  <c r="I143" i="2" s="1"/>
  <c r="J143" i="2" a="1"/>
  <c r="J143" i="2" s="1"/>
  <c r="K143" i="2" a="1"/>
  <c r="K143" i="2" s="1"/>
  <c r="L143" i="2" a="1"/>
  <c r="L143" i="2" s="1"/>
  <c r="M143" i="2" a="1"/>
  <c r="M143" i="2" s="1"/>
  <c r="B144" i="2" a="1"/>
  <c r="B144" i="2" s="1"/>
  <c r="D144" i="2" a="1"/>
  <c r="D144" i="2" s="1"/>
  <c r="E144" i="2" a="1"/>
  <c r="E144" i="2" s="1"/>
  <c r="G144" i="2" a="1"/>
  <c r="G144" i="2" s="1"/>
  <c r="I144" i="2" a="1"/>
  <c r="I144" i="2" s="1"/>
  <c r="J144" i="2" a="1"/>
  <c r="J144" i="2" s="1"/>
  <c r="L144" i="2" a="1"/>
  <c r="L144" i="2" s="1"/>
  <c r="O144" i="2" a="1"/>
  <c r="O144" i="2" s="1"/>
  <c r="C145" i="2" a="1"/>
  <c r="C145" i="2" s="1"/>
  <c r="D145" i="2" a="1"/>
  <c r="D145" i="2" s="1"/>
  <c r="L145" i="2" a="1"/>
  <c r="L145" i="2" s="1"/>
  <c r="O145" i="2" a="1"/>
  <c r="O145" i="2" s="1"/>
  <c r="A146" i="2" a="1"/>
  <c r="A146" i="2" s="1"/>
  <c r="F146" i="2" a="1"/>
  <c r="F146" i="2" s="1"/>
  <c r="K146" i="2" a="1"/>
  <c r="K146" i="2" s="1"/>
  <c r="M146" i="2" a="1"/>
  <c r="M146" i="2" s="1"/>
  <c r="A147" i="2" a="1"/>
  <c r="A147" i="2" s="1"/>
  <c r="B147" i="2" a="1"/>
  <c r="B147" i="2" s="1"/>
  <c r="J147" i="2" a="1"/>
  <c r="J147" i="2" s="1"/>
  <c r="K147" i="2" a="1"/>
  <c r="K147" i="2" s="1"/>
  <c r="L147" i="2" a="1"/>
  <c r="L147" i="2" s="1"/>
  <c r="O147" i="2" a="1"/>
  <c r="O147" i="2" s="1"/>
  <c r="A148" i="2" a="1"/>
  <c r="A148" i="2" s="1"/>
  <c r="F148" i="2" a="1"/>
  <c r="F148" i="2" s="1"/>
  <c r="G148" i="2" a="1"/>
  <c r="G148" i="2" s="1"/>
  <c r="I148" i="2" a="1"/>
  <c r="I148" i="2" s="1"/>
  <c r="J148" i="2" a="1"/>
  <c r="J148" i="2" s="1"/>
  <c r="M148" i="2" a="1"/>
  <c r="M148" i="2" s="1"/>
  <c r="O148" i="2" a="1"/>
  <c r="O148" i="2" s="1"/>
  <c r="P148" i="2" a="1"/>
  <c r="P148" i="2" s="1"/>
  <c r="Q148" i="2" a="1"/>
  <c r="Q148" i="2" s="1"/>
  <c r="A149" i="2" a="1"/>
  <c r="A149" i="2" s="1"/>
  <c r="B149" i="2" a="1"/>
  <c r="B149" i="2" s="1"/>
  <c r="J149" i="2" a="1"/>
  <c r="J149" i="2" s="1"/>
  <c r="L149" i="2" a="1"/>
  <c r="L149" i="2" s="1"/>
  <c r="B150" i="2" a="1"/>
  <c r="B150" i="2" s="1"/>
  <c r="F150" i="2" a="1"/>
  <c r="F150" i="2" s="1"/>
  <c r="H150" i="2" a="1"/>
  <c r="H150" i="2" s="1"/>
  <c r="J150" i="2" a="1"/>
  <c r="J150" i="2" s="1"/>
  <c r="L150" i="2" a="1"/>
  <c r="L150" i="2" s="1"/>
  <c r="M150" i="2" a="1"/>
  <c r="M150" i="2" s="1"/>
  <c r="O150" i="2" a="1"/>
  <c r="O150" i="2" s="1"/>
  <c r="A151" i="2" a="1"/>
  <c r="A151" i="2" s="1"/>
  <c r="E151" i="2" a="1"/>
  <c r="E151" i="2" s="1"/>
  <c r="F151" i="2" a="1"/>
  <c r="F151" i="2" s="1"/>
  <c r="I151" i="2" a="1"/>
  <c r="I151" i="2" s="1"/>
  <c r="C152" i="2" a="1"/>
  <c r="C152" i="2" s="1"/>
  <c r="D152" i="2" a="1"/>
  <c r="D152" i="2" s="1"/>
  <c r="E152" i="2" a="1"/>
  <c r="E152" i="2" s="1"/>
  <c r="F152" i="2" a="1"/>
  <c r="F152" i="2" s="1"/>
  <c r="G152" i="2" a="1"/>
  <c r="G152" i="2" s="1"/>
  <c r="J152" i="2" a="1"/>
  <c r="J152" i="2" s="1"/>
  <c r="K152" i="2" a="1"/>
  <c r="K152" i="2" s="1"/>
  <c r="L152" i="2" a="1"/>
  <c r="L152" i="2" s="1"/>
  <c r="O152" i="2" a="1"/>
  <c r="O152" i="2" s="1"/>
  <c r="A153" i="2" a="1"/>
  <c r="A153" i="2" s="1"/>
  <c r="G153" i="2" a="1"/>
  <c r="G153" i="2" s="1"/>
  <c r="J153" i="2" a="1"/>
  <c r="J153" i="2" s="1"/>
  <c r="O153" i="2" a="1"/>
  <c r="O153" i="2" s="1"/>
  <c r="P153" i="2" a="1"/>
  <c r="P153" i="2" s="1"/>
  <c r="C154" i="2" a="1"/>
  <c r="C154" i="2" s="1"/>
  <c r="G154" i="2" a="1"/>
  <c r="G154" i="2" s="1"/>
  <c r="H154" i="2" a="1"/>
  <c r="H154" i="2" s="1"/>
  <c r="K154" i="2" a="1"/>
  <c r="K154" i="2" s="1"/>
  <c r="M154" i="2" a="1"/>
  <c r="M154" i="2" s="1"/>
  <c r="O154" i="2" a="1"/>
  <c r="O154" i="2" s="1"/>
  <c r="A155" i="2" a="1"/>
  <c r="A155" i="2" s="1"/>
  <c r="G155" i="2" a="1"/>
  <c r="G155" i="2" s="1"/>
  <c r="H155" i="2" a="1"/>
  <c r="H155" i="2" s="1"/>
  <c r="I155" i="2" a="1"/>
  <c r="I155" i="2" s="1"/>
  <c r="K155" i="2" a="1"/>
  <c r="K155" i="2" s="1"/>
  <c r="L155" i="2" a="1"/>
  <c r="L155" i="2" s="1"/>
  <c r="M155" i="2" a="1"/>
  <c r="M155" i="2" s="1"/>
  <c r="N155" i="2" a="1"/>
  <c r="N155" i="2" s="1"/>
  <c r="O155" i="2" a="1"/>
  <c r="O155" i="2" s="1"/>
  <c r="P155" i="2" a="1"/>
  <c r="P155" i="2" s="1"/>
  <c r="Q155" i="2" a="1"/>
  <c r="Q155" i="2" s="1"/>
  <c r="B156" i="2" a="1"/>
  <c r="B156" i="2" s="1"/>
  <c r="G156" i="2" a="1"/>
  <c r="G156" i="2" s="1"/>
  <c r="H156" i="2" a="1"/>
  <c r="H156" i="2" s="1"/>
  <c r="Q156" i="2" a="1"/>
  <c r="Q156" i="2" s="1"/>
  <c r="K157" i="2" a="1"/>
  <c r="K157" i="2" s="1"/>
  <c r="M157" i="2" a="1"/>
  <c r="M157" i="2" s="1"/>
  <c r="N157" i="2" a="1"/>
  <c r="N157" i="2" s="1"/>
  <c r="A158" i="2" a="1"/>
  <c r="A158" i="2" s="1"/>
  <c r="B158" i="2" a="1"/>
  <c r="B158" i="2" s="1"/>
  <c r="H158" i="2" a="1"/>
  <c r="H158" i="2" s="1"/>
  <c r="M158" i="2" a="1"/>
  <c r="M158" i="2" s="1"/>
  <c r="E159" i="2" a="1"/>
  <c r="E159" i="2" s="1"/>
  <c r="G159" i="2" a="1"/>
  <c r="G159" i="2" s="1"/>
  <c r="H159" i="2" a="1"/>
  <c r="H159" i="2" s="1"/>
  <c r="I159" i="2" a="1"/>
  <c r="I159" i="2" s="1"/>
  <c r="J159" i="2" a="1"/>
  <c r="J159" i="2" s="1"/>
  <c r="L159" i="2" a="1"/>
  <c r="L159" i="2" s="1"/>
  <c r="P159" i="2" a="1"/>
  <c r="P159" i="2" s="1"/>
  <c r="B160" i="2" a="1"/>
  <c r="B160" i="2" s="1"/>
  <c r="C160" i="2" a="1"/>
  <c r="C160" i="2" s="1"/>
  <c r="I160" i="2" a="1"/>
  <c r="I160" i="2" s="1"/>
  <c r="J160" i="2" a="1"/>
  <c r="J160" i="2" s="1"/>
  <c r="M160" i="2" a="1"/>
  <c r="M160" i="2" s="1"/>
  <c r="N160" i="2" a="1"/>
  <c r="N160" i="2" s="1"/>
  <c r="E161" i="2" a="1"/>
  <c r="E161" i="2" s="1"/>
  <c r="F161" i="2" a="1"/>
  <c r="F161" i="2" s="1"/>
  <c r="H161" i="2" a="1"/>
  <c r="H161" i="2" s="1"/>
  <c r="I161" i="2" a="1"/>
  <c r="I161" i="2" s="1"/>
  <c r="J161" i="2" a="1"/>
  <c r="J161" i="2" s="1"/>
  <c r="M161" i="2" a="1"/>
  <c r="M161" i="2" s="1"/>
  <c r="N161" i="2" a="1"/>
  <c r="N161" i="2" s="1"/>
  <c r="O161" i="2" a="1"/>
  <c r="O161" i="2" s="1"/>
  <c r="A162" i="2" a="1"/>
  <c r="A162" i="2" s="1"/>
  <c r="B162" i="2" a="1"/>
  <c r="B162" i="2" s="1"/>
  <c r="C162" i="2" a="1"/>
  <c r="C162" i="2" s="1"/>
  <c r="F162" i="2" a="1"/>
  <c r="F162" i="2" s="1"/>
  <c r="H162" i="2" a="1"/>
  <c r="H162" i="2" s="1"/>
  <c r="I162" i="2" a="1"/>
  <c r="I162" i="2" s="1"/>
  <c r="Q162" i="2" a="1"/>
  <c r="Q162" i="2" s="1"/>
  <c r="J163" i="2" a="1"/>
  <c r="J163" i="2" s="1"/>
  <c r="P164" i="2" a="1"/>
  <c r="P164" i="2" s="1"/>
  <c r="C165" i="2" a="1"/>
  <c r="C165" i="2" s="1"/>
  <c r="I165" i="2" a="1"/>
  <c r="I165" i="2" s="1"/>
  <c r="L165" i="2" a="1"/>
  <c r="L165" i="2" s="1"/>
  <c r="M165" i="2" a="1"/>
  <c r="M165" i="2" s="1"/>
  <c r="A166" i="2" a="1"/>
  <c r="A166" i="2" s="1"/>
  <c r="H166" i="2" a="1"/>
  <c r="H166" i="2" s="1"/>
  <c r="Q166" i="2" a="1"/>
  <c r="Q166" i="2" s="1"/>
  <c r="A167" i="2" a="1"/>
  <c r="A167" i="2" s="1"/>
  <c r="D167" i="2" a="1"/>
  <c r="D167" i="2" s="1"/>
  <c r="F167" i="2" a="1"/>
  <c r="F167" i="2" s="1"/>
  <c r="G167" i="2" a="1"/>
  <c r="G167" i="2" s="1"/>
  <c r="H167" i="2" a="1"/>
  <c r="H167" i="2" s="1"/>
  <c r="I167" i="2" a="1"/>
  <c r="I167" i="2" s="1"/>
  <c r="J167" i="2" a="1"/>
  <c r="J167" i="2" s="1"/>
  <c r="K167" i="2" a="1"/>
  <c r="K167" i="2" s="1"/>
  <c r="L167" i="2" a="1"/>
  <c r="L167" i="2" s="1"/>
  <c r="M167" i="2" a="1"/>
  <c r="M167" i="2" s="1"/>
  <c r="O167" i="2" a="1"/>
  <c r="O167" i="2" s="1"/>
  <c r="B168" i="2" a="1"/>
  <c r="B168" i="2" s="1"/>
  <c r="C168" i="2" a="1"/>
  <c r="C168" i="2" s="1"/>
  <c r="D168" i="2" a="1"/>
  <c r="D168" i="2" s="1"/>
  <c r="F168" i="2" a="1"/>
  <c r="F168" i="2" s="1"/>
  <c r="I168" i="2" a="1"/>
  <c r="I168" i="2" s="1"/>
  <c r="K168" i="2" a="1"/>
  <c r="K168" i="2" s="1"/>
  <c r="L168" i="2" a="1"/>
  <c r="L168" i="2" s="1"/>
  <c r="N168" i="2" a="1"/>
  <c r="N168" i="2" s="1"/>
  <c r="B169" i="2" a="1"/>
  <c r="B169" i="2" s="1"/>
  <c r="L169" i="2" a="1"/>
  <c r="L169" i="2" s="1"/>
  <c r="C170" i="2" a="1"/>
  <c r="C170" i="2" s="1"/>
  <c r="D170" i="2" a="1"/>
  <c r="D170" i="2" s="1"/>
  <c r="E170" i="2" a="1"/>
  <c r="E170" i="2" s="1"/>
  <c r="I170" i="2" a="1"/>
  <c r="I170" i="2" s="1"/>
  <c r="K170" i="2" a="1"/>
  <c r="K170" i="2" s="1"/>
  <c r="L170" i="2" a="1"/>
  <c r="L170" i="2" s="1"/>
  <c r="C171" i="2" a="1"/>
  <c r="C171" i="2" s="1"/>
  <c r="D171" i="2" a="1"/>
  <c r="D171" i="2" s="1"/>
  <c r="F171" i="2" a="1"/>
  <c r="F171" i="2" s="1"/>
  <c r="G171" i="2" a="1"/>
  <c r="G171" i="2" s="1"/>
  <c r="I171" i="2" a="1"/>
  <c r="I171" i="2" s="1"/>
  <c r="J171" i="2" a="1"/>
  <c r="J171" i="2" s="1"/>
  <c r="N171" i="2" a="1"/>
  <c r="N171" i="2" s="1"/>
  <c r="O171" i="2" a="1"/>
  <c r="O171" i="2" s="1"/>
  <c r="C172" i="2" a="1"/>
  <c r="C172" i="2" s="1"/>
  <c r="D172" i="2" a="1"/>
  <c r="D172" i="2" s="1"/>
  <c r="F172" i="2" a="1"/>
  <c r="F172" i="2" s="1"/>
  <c r="G172" i="2" a="1"/>
  <c r="G172" i="2" s="1"/>
  <c r="J172" i="2" a="1"/>
  <c r="J172" i="2" s="1"/>
  <c r="K172" i="2" a="1"/>
  <c r="K172" i="2" s="1"/>
  <c r="L172" i="2" a="1"/>
  <c r="L172" i="2" s="1"/>
  <c r="Q172" i="2" a="1"/>
  <c r="Q172" i="2" s="1"/>
  <c r="B173" i="2" a="1"/>
  <c r="B173" i="2" s="1"/>
  <c r="M173" i="2" a="1"/>
  <c r="M173" i="2" s="1"/>
  <c r="C174" i="2" a="1"/>
  <c r="C174" i="2" s="1"/>
  <c r="E174" i="2" a="1"/>
  <c r="E174" i="2" s="1"/>
  <c r="G174" i="2" a="1"/>
  <c r="G174" i="2" s="1"/>
  <c r="H174" i="2" a="1"/>
  <c r="H174" i="2" s="1"/>
  <c r="I174" i="2" a="1"/>
  <c r="I174" i="2" s="1"/>
  <c r="L174" i="2" a="1"/>
  <c r="L174" i="2" s="1"/>
  <c r="N174" i="2" a="1"/>
  <c r="N174" i="2" s="1"/>
  <c r="P174" i="2" a="1"/>
  <c r="P174" i="2" s="1"/>
  <c r="D175" i="2" a="1"/>
  <c r="D175" i="2" s="1"/>
  <c r="F175" i="2" a="1"/>
  <c r="F175" i="2" s="1"/>
  <c r="I175" i="2" a="1"/>
  <c r="I175" i="2" s="1"/>
  <c r="J175" i="2" a="1"/>
  <c r="J175" i="2" s="1"/>
  <c r="M175" i="2" a="1"/>
  <c r="M175" i="2" s="1"/>
  <c r="F176" i="2" a="1"/>
  <c r="F176" i="2" s="1"/>
  <c r="H176" i="2" a="1"/>
  <c r="H176" i="2" s="1"/>
  <c r="K176" i="2" a="1"/>
  <c r="K176" i="2" s="1"/>
  <c r="Q176" i="2" a="1"/>
  <c r="Q176" i="2" s="1"/>
  <c r="A177" i="2" a="1"/>
  <c r="A177" i="2" s="1"/>
  <c r="G177" i="2" a="1"/>
  <c r="G177" i="2" s="1"/>
  <c r="I177" i="2" a="1"/>
  <c r="I177" i="2" s="1"/>
  <c r="J177" i="2" a="1"/>
  <c r="J177" i="2" s="1"/>
  <c r="L177" i="2" a="1"/>
  <c r="L177" i="2" s="1"/>
  <c r="M177" i="2" a="1"/>
  <c r="M177" i="2" s="1"/>
  <c r="A178" i="2" a="1"/>
  <c r="A178" i="2" s="1"/>
  <c r="C178" i="2" a="1"/>
  <c r="C178" i="2" s="1"/>
  <c r="O178" i="2" a="1"/>
  <c r="O178" i="2" s="1"/>
  <c r="C179" i="2" a="1"/>
  <c r="C179" i="2" s="1"/>
  <c r="E179" i="2" a="1"/>
  <c r="E179" i="2" s="1"/>
  <c r="F179" i="2" a="1"/>
  <c r="F179" i="2" s="1"/>
  <c r="I179" i="2" a="1"/>
  <c r="I179" i="2" s="1"/>
  <c r="M179" i="2" a="1"/>
  <c r="M179" i="2" s="1"/>
  <c r="Q179" i="2" a="1"/>
  <c r="Q179" i="2" s="1"/>
  <c r="A180" i="2" a="1"/>
  <c r="A180" i="2" s="1"/>
  <c r="G180" i="2" a="1"/>
  <c r="G180" i="2" s="1"/>
  <c r="O180" i="2" a="1"/>
  <c r="O180" i="2" s="1"/>
  <c r="A182" i="2" a="1"/>
  <c r="A182" i="2" s="1"/>
  <c r="F182" i="2" a="1"/>
  <c r="F182" i="2" s="1"/>
  <c r="J182" i="2" a="1"/>
  <c r="J182" i="2" s="1"/>
  <c r="O182" i="2" a="1"/>
  <c r="O182" i="2" s="1"/>
  <c r="P182" i="2" a="1"/>
  <c r="P182" i="2" s="1"/>
  <c r="A183" i="2" a="1"/>
  <c r="A183" i="2" s="1"/>
  <c r="C183" i="2" a="1"/>
  <c r="C183" i="2" s="1"/>
  <c r="O184" i="2" a="1"/>
  <c r="O184" i="2" s="1"/>
  <c r="Q184" i="2" a="1"/>
  <c r="Q184" i="2" s="1"/>
  <c r="F185" i="2" a="1"/>
  <c r="F185" i="2" s="1"/>
  <c r="H185" i="2" a="1"/>
  <c r="H185" i="2" s="1"/>
  <c r="J185" i="2" a="1"/>
  <c r="J185" i="2" s="1"/>
  <c r="N185" i="2" a="1"/>
  <c r="N185" i="2" s="1"/>
  <c r="F186" i="2" a="1"/>
  <c r="F186" i="2" s="1"/>
  <c r="Q186" i="2" a="1"/>
  <c r="Q186" i="2" s="1"/>
  <c r="A187" i="2" a="1"/>
  <c r="A187" i="2" s="1"/>
  <c r="D187" i="2" a="1"/>
  <c r="D187" i="2" s="1"/>
  <c r="G187" i="2" a="1"/>
  <c r="G187" i="2" s="1"/>
  <c r="N187" i="2" a="1"/>
  <c r="N187" i="2" s="1"/>
  <c r="P187" i="2" a="1"/>
  <c r="P187" i="2" s="1"/>
  <c r="G188" i="2" a="1"/>
  <c r="G188" i="2" s="1"/>
  <c r="A189" i="2" a="1"/>
  <c r="A189" i="2" s="1"/>
  <c r="E189" i="2" a="1"/>
  <c r="E189" i="2" s="1"/>
  <c r="F189" i="2" a="1"/>
  <c r="F189" i="2" s="1"/>
  <c r="I189" i="2" a="1"/>
  <c r="I189" i="2" s="1"/>
  <c r="K189" i="2" a="1"/>
  <c r="K189" i="2" s="1"/>
  <c r="C190" i="2" a="1"/>
  <c r="C190" i="2" s="1"/>
  <c r="F190" i="2" a="1"/>
  <c r="F190" i="2" s="1"/>
  <c r="I190" i="2" a="1"/>
  <c r="I190" i="2" s="1"/>
  <c r="K190" i="2" a="1"/>
  <c r="K190" i="2" s="1"/>
  <c r="Q190" i="2" a="1"/>
  <c r="Q190" i="2" s="1"/>
  <c r="D191" i="2" a="1"/>
  <c r="D191" i="2" s="1"/>
  <c r="H191" i="2" a="1"/>
  <c r="H191" i="2" s="1"/>
  <c r="J191" i="2" a="1"/>
  <c r="J191" i="2" s="1"/>
  <c r="N191" i="2" a="1"/>
  <c r="N191" i="2" s="1"/>
  <c r="P191" i="2" a="1"/>
  <c r="P191" i="2" s="1"/>
  <c r="Q192" i="2" a="1"/>
  <c r="Q192" i="2" s="1"/>
  <c r="F193" i="2" a="1"/>
  <c r="F193" i="2" s="1"/>
  <c r="N193" i="2" a="1"/>
  <c r="N193" i="2" s="1"/>
  <c r="A194" i="2" a="1"/>
  <c r="A194" i="2" s="1"/>
  <c r="J194" i="2" a="1"/>
  <c r="J194" i="2" s="1"/>
  <c r="D195" i="2" a="1"/>
  <c r="D195" i="2" s="1"/>
  <c r="O195" i="2" a="1"/>
  <c r="O195" i="2" s="1"/>
  <c r="A196" i="2" a="1"/>
  <c r="A196" i="2" s="1"/>
  <c r="C196" i="2" a="1"/>
  <c r="C196" i="2" s="1"/>
  <c r="P196" i="2" a="1"/>
  <c r="P196" i="2" s="1"/>
  <c r="D197" i="2" a="1"/>
  <c r="D197" i="2" s="1"/>
  <c r="J197" i="2" a="1"/>
  <c r="J197" i="2" s="1"/>
  <c r="C198" i="2" a="1"/>
  <c r="C198" i="2" s="1"/>
  <c r="D198" i="2" a="1"/>
  <c r="D198" i="2" s="1"/>
  <c r="H198" i="2" a="1"/>
  <c r="H198" i="2" s="1"/>
  <c r="I198" i="2" a="1"/>
  <c r="I198" i="2" s="1"/>
  <c r="N199" i="2" a="1"/>
  <c r="N199" i="2" s="1"/>
  <c r="C200" i="2" a="1"/>
  <c r="C200" i="2" s="1"/>
  <c r="G200" i="2" a="1"/>
  <c r="G200" i="2" s="1"/>
  <c r="J200" i="2" a="1"/>
  <c r="J200" i="2" s="1"/>
  <c r="K200" i="2" a="1"/>
  <c r="K200" i="2" s="1"/>
  <c r="N200" i="2" a="1"/>
  <c r="N200" i="2" s="1"/>
  <c r="I201" i="2" a="1"/>
  <c r="I201" i="2" s="1"/>
  <c r="C202" i="2" a="1"/>
  <c r="C202" i="2" s="1"/>
  <c r="C203" i="2" a="1"/>
  <c r="C203" i="2" s="1"/>
  <c r="D203" i="2" a="1"/>
  <c r="D203" i="2" s="1"/>
  <c r="L203" i="2" a="1"/>
  <c r="L203" i="2" s="1"/>
  <c r="O203" i="2" a="1"/>
  <c r="O203" i="2" s="1"/>
  <c r="P203" i="2" a="1"/>
  <c r="P203" i="2" s="1"/>
  <c r="Q203" i="2" a="1"/>
  <c r="Q203" i="2" s="1"/>
  <c r="D204" i="2" a="1"/>
  <c r="D204" i="2" s="1"/>
  <c r="A206" i="2" a="1"/>
  <c r="A206" i="2" s="1"/>
  <c r="O207" i="2" a="1"/>
  <c r="O207" i="2" s="1"/>
  <c r="P207" i="2" a="1"/>
  <c r="P207" i="2" s="1"/>
  <c r="P208" i="2" a="1"/>
  <c r="P208" i="2" s="1"/>
  <c r="M209" i="2" a="1"/>
  <c r="M209" i="2" s="1"/>
  <c r="M210" i="2" a="1"/>
  <c r="M210" i="2" s="1"/>
  <c r="B211" i="2" a="1"/>
  <c r="B211" i="2" s="1"/>
  <c r="I211" i="2" a="1"/>
  <c r="I211" i="2" s="1"/>
  <c r="N211" i="2" a="1"/>
  <c r="N211" i="2" s="1"/>
  <c r="P211" i="2" a="1"/>
  <c r="P211" i="2" s="1"/>
  <c r="A212" i="2" a="1"/>
  <c r="A212" i="2" s="1"/>
  <c r="N212" i="2" a="1"/>
  <c r="N212" i="2" s="1"/>
  <c r="P213" i="2" a="1"/>
  <c r="P213" i="2" s="1"/>
  <c r="G214" i="2" a="1"/>
  <c r="G214" i="2" s="1"/>
  <c r="K214" i="2" a="1"/>
  <c r="K214" i="2" s="1"/>
  <c r="B215" i="2" a="1"/>
  <c r="B215" i="2" s="1"/>
  <c r="O215" i="2" a="1"/>
  <c r="O215" i="2" s="1"/>
  <c r="A216" i="2" a="1"/>
  <c r="A216" i="2" s="1"/>
  <c r="G216" i="2" a="1"/>
  <c r="G216" i="2" s="1"/>
  <c r="I216" i="2" a="1"/>
  <c r="I216" i="2" s="1"/>
  <c r="O216" i="2" a="1"/>
  <c r="O216" i="2" s="1"/>
  <c r="P216" i="2" a="1"/>
  <c r="P216" i="2" s="1"/>
  <c r="N217" i="2" a="1"/>
  <c r="N217" i="2" s="1"/>
  <c r="O217" i="2" a="1"/>
  <c r="O217" i="2" s="1"/>
  <c r="Q217" i="2" a="1"/>
  <c r="Q217" i="2" s="1"/>
  <c r="F218" i="2" a="1"/>
  <c r="F218" i="2" s="1"/>
  <c r="G218" i="2" a="1"/>
  <c r="G218" i="2" s="1"/>
  <c r="L218" i="2" a="1"/>
  <c r="L218" i="2" s="1"/>
  <c r="Q218" i="2" a="1"/>
  <c r="Q218" i="2" s="1"/>
  <c r="C219" i="2" a="1"/>
  <c r="C219" i="2" s="1"/>
  <c r="K219" i="2" a="1"/>
  <c r="K219" i="2" s="1"/>
  <c r="E220" i="2" a="1"/>
  <c r="E220" i="2" s="1"/>
  <c r="J220" i="2" a="1"/>
  <c r="J220" i="2" s="1"/>
  <c r="I221" i="2" a="1"/>
  <c r="I221" i="2" s="1"/>
  <c r="L221" i="2" a="1"/>
  <c r="L221" i="2" s="1"/>
  <c r="A222" i="2" a="1"/>
  <c r="A222" i="2" s="1"/>
  <c r="Q222" i="2" a="1"/>
  <c r="Q222" i="2" s="1"/>
  <c r="B223" i="2" a="1"/>
  <c r="B223" i="2" s="1"/>
  <c r="H224" i="2" a="1"/>
  <c r="H224" i="2" s="1"/>
  <c r="L224" i="2" a="1"/>
  <c r="L224" i="2" s="1"/>
  <c r="G225" i="2" a="1"/>
  <c r="G225" i="2" s="1"/>
  <c r="K225" i="2" a="1"/>
  <c r="K225" i="2" s="1"/>
  <c r="O225" i="2" a="1"/>
  <c r="O225" i="2" s="1"/>
  <c r="A226" i="2" a="1"/>
  <c r="A226" i="2" s="1"/>
  <c r="B226" i="2" a="1"/>
  <c r="B226" i="2" s="1"/>
  <c r="D226" i="2" a="1"/>
  <c r="D226" i="2" s="1"/>
  <c r="A227" i="2" a="1"/>
  <c r="A227" i="2" s="1"/>
  <c r="C227" i="2" a="1"/>
  <c r="C227" i="2" s="1"/>
  <c r="H227" i="2" a="1"/>
  <c r="H227" i="2" s="1"/>
  <c r="I227" i="2" a="1"/>
  <c r="I227" i="2" s="1"/>
  <c r="O227" i="2" a="1"/>
  <c r="O227" i="2" s="1"/>
  <c r="Q227" i="2" a="1"/>
  <c r="Q227" i="2" s="1"/>
  <c r="B228" i="2" a="1"/>
  <c r="B228" i="2" s="1"/>
  <c r="C228" i="2" a="1"/>
  <c r="C228" i="2" s="1"/>
  <c r="D228" i="2" a="1"/>
  <c r="D228" i="2" s="1"/>
  <c r="I228" i="2" a="1"/>
  <c r="I228" i="2" s="1"/>
  <c r="L228" i="2" a="1"/>
  <c r="L228" i="2" s="1"/>
  <c r="E229" i="2" a="1"/>
  <c r="E229" i="2" s="1"/>
  <c r="J229" i="2" a="1"/>
  <c r="J229" i="2" s="1"/>
  <c r="K229" i="2" a="1"/>
  <c r="K229" i="2" s="1"/>
  <c r="N229" i="2" a="1"/>
  <c r="N229" i="2" s="1"/>
  <c r="G230" i="2" a="1"/>
  <c r="G230" i="2" s="1"/>
  <c r="I230" i="2" a="1"/>
  <c r="I230" i="2" s="1"/>
  <c r="J230" i="2" a="1"/>
  <c r="J230" i="2" s="1"/>
  <c r="N230" i="2" a="1"/>
  <c r="N230" i="2" s="1"/>
  <c r="P230" i="2" a="1"/>
  <c r="P230" i="2" s="1"/>
  <c r="O231" i="2" a="1"/>
  <c r="O231" i="2" s="1"/>
  <c r="D233" i="2" a="1"/>
  <c r="D233" i="2" s="1"/>
  <c r="E233" i="2" a="1"/>
  <c r="E233" i="2" s="1"/>
  <c r="G233" i="2" a="1"/>
  <c r="G233" i="2" s="1"/>
  <c r="O233" i="2" a="1"/>
  <c r="O233" i="2" s="1"/>
  <c r="A234" i="2" a="1"/>
  <c r="A234" i="2" s="1"/>
  <c r="M234" i="2" a="1"/>
  <c r="M234" i="2" s="1"/>
  <c r="P234" i="2" a="1"/>
  <c r="P234" i="2" s="1"/>
  <c r="B235" i="2" a="1"/>
  <c r="B235" i="2" s="1"/>
  <c r="D235" i="2" a="1"/>
  <c r="D235" i="2" s="1"/>
  <c r="J235" i="2" a="1"/>
  <c r="J235" i="2" s="1"/>
  <c r="M235" i="2" a="1"/>
  <c r="M235" i="2" s="1"/>
  <c r="D236" i="2" a="1"/>
  <c r="D236" i="2" s="1"/>
  <c r="H236" i="2" a="1"/>
  <c r="H236" i="2" s="1"/>
  <c r="M236" i="2" a="1"/>
  <c r="M236" i="2" s="1"/>
  <c r="N236" i="2" a="1"/>
  <c r="N236" i="2" s="1"/>
  <c r="G237" i="2" a="1"/>
  <c r="G237" i="2" s="1"/>
  <c r="H237" i="2" a="1"/>
  <c r="H237" i="2" s="1"/>
  <c r="J237" i="2" a="1"/>
  <c r="J237" i="2" s="1"/>
  <c r="N237" i="2" a="1"/>
  <c r="N237" i="2" s="1"/>
  <c r="Q237" i="2" a="1"/>
  <c r="Q237" i="2" s="1"/>
  <c r="E238" i="2" a="1"/>
  <c r="E238" i="2" s="1"/>
  <c r="F238" i="2" a="1"/>
  <c r="F238" i="2" s="1"/>
  <c r="H238" i="2" a="1"/>
  <c r="H238" i="2" s="1"/>
  <c r="O238" i="2" a="1"/>
  <c r="O238" i="2" s="1"/>
  <c r="B239" i="2" a="1"/>
  <c r="B239" i="2" s="1"/>
  <c r="E239" i="2" a="1"/>
  <c r="E239" i="2" s="1"/>
  <c r="I239" i="2" a="1"/>
  <c r="I239" i="2" s="1"/>
  <c r="M239" i="2" a="1"/>
  <c r="M239" i="2" s="1"/>
  <c r="D240" i="2" a="1"/>
  <c r="D240" i="2" s="1"/>
  <c r="G240" i="2" a="1"/>
  <c r="G240" i="2" s="1"/>
  <c r="I240" i="2" a="1"/>
  <c r="I240" i="2" s="1"/>
  <c r="E242" i="2" a="1"/>
  <c r="E242" i="2" s="1"/>
  <c r="I242" i="2" a="1"/>
  <c r="I242" i="2" s="1"/>
  <c r="L242" i="2" a="1"/>
  <c r="L242" i="2" s="1"/>
  <c r="A243" i="2" a="1"/>
  <c r="A243" i="2" s="1"/>
  <c r="D243" i="2" a="1"/>
  <c r="D243" i="2" s="1"/>
  <c r="E243" i="2" a="1"/>
  <c r="E243" i="2" s="1"/>
  <c r="G243" i="2" a="1"/>
  <c r="G243" i="2" s="1"/>
  <c r="O243" i="2" a="1"/>
  <c r="O243" i="2" s="1"/>
  <c r="Q243" i="2" a="1"/>
  <c r="Q243" i="2" s="1"/>
  <c r="A244" i="2" a="1"/>
  <c r="A244" i="2" s="1"/>
  <c r="H244" i="2" a="1"/>
  <c r="H244" i="2" s="1"/>
  <c r="J244" i="2" a="1"/>
  <c r="J244" i="2" s="1"/>
  <c r="L244" i="2" a="1"/>
  <c r="L244" i="2" s="1"/>
  <c r="B245" i="2" a="1"/>
  <c r="B245" i="2" s="1"/>
  <c r="G245" i="2" a="1"/>
  <c r="G245" i="2" s="1"/>
  <c r="O245" i="2" a="1"/>
  <c r="O245" i="2" s="1"/>
  <c r="M246" i="2" a="1"/>
  <c r="M246" i="2" s="1"/>
  <c r="B247" i="2" a="1"/>
  <c r="B247" i="2" s="1"/>
  <c r="A248" i="2" a="1"/>
  <c r="A248" i="2" s="1"/>
  <c r="F248" i="2" a="1"/>
  <c r="F248" i="2" s="1"/>
  <c r="G248" i="2" a="1"/>
  <c r="G248" i="2" s="1"/>
  <c r="N248" i="2" a="1"/>
  <c r="N248" i="2" s="1"/>
  <c r="B249" i="2" a="1"/>
  <c r="B249" i="2" s="1"/>
  <c r="C249" i="2" a="1"/>
  <c r="C249" i="2" s="1"/>
  <c r="E249" i="2" a="1"/>
  <c r="E249" i="2" s="1"/>
  <c r="H249" i="2" a="1"/>
  <c r="H249" i="2" s="1"/>
  <c r="I249" i="2" a="1"/>
  <c r="I249" i="2" s="1"/>
  <c r="A250" i="2" a="1"/>
  <c r="A250" i="2" s="1"/>
  <c r="B250" i="2" a="1"/>
  <c r="B250" i="2" s="1"/>
  <c r="C250" i="2" a="1"/>
  <c r="C250" i="2" s="1"/>
  <c r="D250" i="2" a="1"/>
  <c r="D250" i="2" s="1"/>
  <c r="E250" i="2" a="1"/>
  <c r="E250" i="2" s="1"/>
  <c r="F250" i="2" a="1"/>
  <c r="F250" i="2" s="1"/>
  <c r="H250" i="2" a="1"/>
  <c r="H250" i="2" s="1"/>
  <c r="K250" i="2" a="1"/>
  <c r="K250" i="2" s="1"/>
  <c r="M250" i="2" a="1"/>
  <c r="M250" i="2" s="1"/>
  <c r="N251" i="2" a="1"/>
  <c r="N251" i="2" s="1"/>
  <c r="E252" i="2" a="1"/>
  <c r="E252" i="2" s="1"/>
  <c r="O252" i="2" a="1"/>
  <c r="O252" i="2" s="1"/>
  <c r="B253" i="2" a="1"/>
  <c r="B253" i="2" s="1"/>
  <c r="F253" i="2" a="1"/>
  <c r="F253" i="2" s="1"/>
  <c r="L253" i="2" a="1"/>
  <c r="L253" i="2" s="1"/>
  <c r="M253" i="2" a="1"/>
  <c r="M253" i="2" s="1"/>
  <c r="O253" i="2" a="1"/>
  <c r="O253" i="2" s="1"/>
  <c r="C254" i="2" a="1"/>
  <c r="C254" i="2" s="1"/>
  <c r="F254" i="2" a="1"/>
  <c r="F254" i="2" s="1"/>
  <c r="G254" i="2" a="1"/>
  <c r="G254" i="2" s="1"/>
  <c r="L254" i="2" a="1"/>
  <c r="L254" i="2" s="1"/>
  <c r="I255" i="2" a="1"/>
  <c r="I255" i="2" s="1"/>
  <c r="N255" i="2" a="1"/>
  <c r="N255" i="2" s="1"/>
  <c r="K256" i="2" a="1"/>
  <c r="K256" i="2" s="1"/>
  <c r="O256" i="2" a="1"/>
  <c r="O256" i="2" s="1"/>
  <c r="K257" i="2" a="1"/>
  <c r="K257" i="2" s="1"/>
  <c r="O257" i="2" a="1"/>
  <c r="O257" i="2" s="1"/>
  <c r="P257" i="2" a="1"/>
  <c r="P257" i="2" s="1"/>
  <c r="Q257" i="2" a="1"/>
  <c r="Q257" i="2" s="1"/>
  <c r="F258" i="2" a="1"/>
  <c r="F258" i="2" s="1"/>
  <c r="H258" i="2" a="1"/>
  <c r="H258" i="2" s="1"/>
  <c r="O258" i="2" a="1"/>
  <c r="O258" i="2" s="1"/>
  <c r="Q258" i="2" a="1"/>
  <c r="Q258" i="2" s="1"/>
  <c r="H259" i="2" a="1"/>
  <c r="H259" i="2" s="1"/>
  <c r="K259" i="2" a="1"/>
  <c r="K259" i="2" s="1"/>
  <c r="L259" i="2" a="1"/>
  <c r="L259" i="2" s="1"/>
  <c r="I260" i="2" a="1"/>
  <c r="I260" i="2" s="1"/>
  <c r="N260" i="2" a="1"/>
  <c r="N260" i="2" s="1"/>
  <c r="P260" i="2" a="1"/>
  <c r="P260" i="2" s="1"/>
  <c r="Q260" i="2" a="1"/>
  <c r="Q260" i="2" s="1"/>
  <c r="A261" i="2" a="1"/>
  <c r="A261" i="2" s="1"/>
  <c r="D261" i="2" a="1"/>
  <c r="D261" i="2" s="1"/>
  <c r="P261" i="2" a="1"/>
  <c r="P261" i="2" s="1"/>
  <c r="B262" i="2" a="1"/>
  <c r="B262" i="2" s="1"/>
  <c r="N262" i="2" a="1"/>
  <c r="N262" i="2" s="1"/>
  <c r="P262" i="2" a="1"/>
  <c r="P262" i="2" s="1"/>
  <c r="A263" i="2" a="1"/>
  <c r="A263" i="2" s="1"/>
  <c r="C263" i="2" a="1"/>
  <c r="C263" i="2" s="1"/>
  <c r="J264" i="2" a="1"/>
  <c r="J264" i="2" s="1"/>
  <c r="K264" i="2" a="1"/>
  <c r="K264" i="2" s="1"/>
  <c r="L264" i="2" a="1"/>
  <c r="L264" i="2" s="1"/>
  <c r="N264" i="2" a="1"/>
  <c r="N264" i="2" s="1"/>
  <c r="A265" i="2" a="1"/>
  <c r="A265" i="2" s="1"/>
  <c r="D265" i="2" a="1"/>
  <c r="D265" i="2" s="1"/>
  <c r="N265" i="2" a="1"/>
  <c r="N265" i="2" s="1"/>
  <c r="O265" i="2" a="1"/>
  <c r="O265" i="2" s="1"/>
  <c r="B266" i="2" a="1"/>
  <c r="B266" i="2" s="1"/>
  <c r="C266" i="2" a="1"/>
  <c r="C266" i="2" s="1"/>
  <c r="E266" i="2" a="1"/>
  <c r="E266" i="2" s="1"/>
  <c r="K266" i="2" a="1"/>
  <c r="K266" i="2" s="1"/>
  <c r="M266" i="2" a="1"/>
  <c r="M266" i="2" s="1"/>
  <c r="N266" i="2" a="1"/>
  <c r="N266" i="2" s="1"/>
  <c r="E267" i="2" a="1"/>
  <c r="E267" i="2" s="1"/>
  <c r="I267" i="2" a="1"/>
  <c r="I267" i="2" s="1"/>
  <c r="L267" i="2" a="1"/>
  <c r="L267" i="2" s="1"/>
  <c r="Q267" i="2" a="1"/>
  <c r="Q267" i="2" s="1"/>
  <c r="F268" i="2" a="1"/>
  <c r="F268" i="2" s="1"/>
  <c r="M268" i="2" a="1"/>
  <c r="M268" i="2" s="1"/>
  <c r="O268" i="2" a="1"/>
  <c r="O268" i="2" s="1"/>
  <c r="I269" i="2" a="1"/>
  <c r="I269" i="2" s="1"/>
  <c r="I270" i="2" a="1"/>
  <c r="I270" i="2" s="1"/>
  <c r="L270" i="2" a="1"/>
  <c r="L270" i="2" s="1"/>
  <c r="M270" i="2" a="1"/>
  <c r="M270" i="2" s="1"/>
  <c r="N270" i="2" a="1"/>
  <c r="N270" i="2" s="1"/>
  <c r="E271" i="2" a="1"/>
  <c r="E271" i="2" s="1"/>
  <c r="F271" i="2" a="1"/>
  <c r="F271" i="2" s="1"/>
  <c r="H271" i="2" a="1"/>
  <c r="H271" i="2" s="1"/>
  <c r="F272" i="2" a="1"/>
  <c r="F272" i="2" s="1"/>
  <c r="I272" i="2" a="1"/>
  <c r="I272" i="2" s="1"/>
  <c r="N273" i="2" a="1"/>
  <c r="N273" i="2" s="1"/>
  <c r="P273" i="2" a="1"/>
  <c r="P273" i="2" s="1"/>
  <c r="Q273" i="2" a="1"/>
  <c r="Q273" i="2" s="1"/>
  <c r="A274" i="2" a="1"/>
  <c r="A274" i="2" s="1"/>
  <c r="E274" i="2" a="1"/>
  <c r="E274" i="2" s="1"/>
  <c r="H274" i="2" a="1"/>
  <c r="H274" i="2" s="1"/>
  <c r="H275" i="2" a="1"/>
  <c r="H275" i="2" s="1"/>
  <c r="I275" i="2" a="1"/>
  <c r="I275" i="2" s="1"/>
  <c r="J275" i="2" a="1"/>
  <c r="J275" i="2" s="1"/>
  <c r="K275" i="2" a="1"/>
  <c r="K275" i="2" s="1"/>
  <c r="M275" i="2" a="1"/>
  <c r="M275" i="2" s="1"/>
  <c r="H276" i="2" a="1"/>
  <c r="H276" i="2" s="1"/>
  <c r="O276" i="2" a="1"/>
  <c r="O276" i="2" s="1"/>
  <c r="J277" i="2" a="1"/>
  <c r="J277" i="2" s="1"/>
  <c r="M277" i="2" a="1"/>
  <c r="M277" i="2" s="1"/>
  <c r="N277" i="2" a="1"/>
  <c r="N277" i="2" s="1"/>
  <c r="O277" i="2" a="1"/>
  <c r="O277" i="2" s="1"/>
  <c r="Q277" i="2" a="1"/>
  <c r="Q277" i="2" s="1"/>
  <c r="E278" i="2" a="1"/>
  <c r="E278" i="2" s="1"/>
  <c r="I279" i="2" a="1"/>
  <c r="I279" i="2" s="1"/>
  <c r="L279" i="2" a="1"/>
  <c r="L279" i="2" s="1"/>
  <c r="Q279" i="2" a="1"/>
  <c r="Q279" i="2" s="1"/>
  <c r="A280" i="2" a="1"/>
  <c r="A280" i="2" s="1"/>
  <c r="B280" i="2" a="1"/>
  <c r="B280" i="2" s="1"/>
  <c r="L280" i="2" a="1"/>
  <c r="L280" i="2" s="1"/>
  <c r="P280" i="2" a="1"/>
  <c r="P280" i="2" s="1"/>
  <c r="A281" i="2" a="1"/>
  <c r="A281" i="2" s="1"/>
  <c r="I281" i="2" a="1"/>
  <c r="I281" i="2" s="1"/>
  <c r="D282" i="2" a="1"/>
  <c r="D282" i="2" s="1"/>
  <c r="I282" i="2" a="1"/>
  <c r="I282" i="2" s="1"/>
  <c r="H283" i="2" a="1"/>
  <c r="H283" i="2" s="1"/>
  <c r="A284" i="2" a="1"/>
  <c r="A284" i="2" s="1"/>
  <c r="E284" i="2" a="1"/>
  <c r="E284" i="2" s="1"/>
  <c r="G284" i="2" a="1"/>
  <c r="G284" i="2" s="1"/>
  <c r="H284" i="2" a="1"/>
  <c r="H284" i="2" s="1"/>
  <c r="O284" i="2" a="1"/>
  <c r="O284" i="2" s="1"/>
  <c r="Q284" i="2" a="1"/>
  <c r="Q284" i="2" s="1"/>
  <c r="B285" i="2" a="1"/>
  <c r="B285" i="2" s="1"/>
  <c r="D285" i="2" a="1"/>
  <c r="D285" i="2" s="1"/>
  <c r="F285" i="2" a="1"/>
  <c r="F285" i="2" s="1"/>
  <c r="H286" i="2" a="1"/>
  <c r="H286" i="2" s="1"/>
  <c r="G287" i="2" a="1"/>
  <c r="G287" i="2" s="1"/>
  <c r="I287" i="2" a="1"/>
  <c r="I287" i="2" s="1"/>
  <c r="O287" i="2" a="1"/>
  <c r="O287" i="2" s="1"/>
  <c r="H288" i="2" a="1"/>
  <c r="H288" i="2" s="1"/>
  <c r="O288" i="2" a="1"/>
  <c r="O288" i="2" s="1"/>
  <c r="Q288" i="2" a="1"/>
  <c r="Q288" i="2" s="1"/>
  <c r="F289" i="2" a="1"/>
  <c r="F289" i="2" s="1"/>
  <c r="H289" i="2" a="1"/>
  <c r="H289" i="2" s="1"/>
  <c r="I289" i="2" a="1"/>
  <c r="I289" i="2" s="1"/>
  <c r="L289" i="2" a="1"/>
  <c r="L289" i="2" s="1"/>
  <c r="N289" i="2" a="1"/>
  <c r="N289" i="2" s="1"/>
  <c r="O289" i="2" a="1"/>
  <c r="O289" i="2" s="1"/>
  <c r="E290" i="2" a="1"/>
  <c r="E290" i="2" s="1"/>
  <c r="F290" i="2" a="1"/>
  <c r="F290" i="2" s="1"/>
  <c r="H290" i="2" a="1"/>
  <c r="H290" i="2" s="1"/>
  <c r="K290" i="2" a="1"/>
  <c r="K290" i="2" s="1"/>
  <c r="A291" i="2" a="1"/>
  <c r="A291" i="2" s="1"/>
  <c r="D291" i="2" a="1"/>
  <c r="D291" i="2" s="1"/>
  <c r="N291" i="2" a="1"/>
  <c r="N291" i="2" s="1"/>
  <c r="Q291" i="2" a="1"/>
  <c r="Q291" i="2" s="1"/>
  <c r="B292" i="2" a="1"/>
  <c r="B292" i="2" s="1"/>
  <c r="F292" i="2" a="1"/>
  <c r="F292" i="2" s="1"/>
  <c r="J292" i="2" a="1"/>
  <c r="J292" i="2" s="1"/>
  <c r="M293" i="2" a="1"/>
  <c r="M293" i="2" s="1"/>
  <c r="E294" i="2" a="1"/>
  <c r="E294" i="2" s="1"/>
  <c r="H294" i="2" a="1"/>
  <c r="H294" i="2" s="1"/>
  <c r="O294" i="2" a="1"/>
  <c r="O294" i="2" s="1"/>
  <c r="D295" i="2" a="1"/>
  <c r="D295" i="2" s="1"/>
  <c r="F295" i="2" a="1"/>
  <c r="F295" i="2" s="1"/>
  <c r="J295" i="2" a="1"/>
  <c r="J295" i="2" s="1"/>
  <c r="M295" i="2" a="1"/>
  <c r="M295" i="2" s="1"/>
  <c r="N295" i="2" a="1"/>
  <c r="N295" i="2" s="1"/>
  <c r="B296" i="2" a="1"/>
  <c r="B296" i="2" s="1"/>
  <c r="F296" i="2" a="1"/>
  <c r="F296" i="2" s="1"/>
  <c r="H296" i="2" a="1"/>
  <c r="H296" i="2" s="1"/>
  <c r="I297" i="2" a="1"/>
  <c r="I297" i="2" s="1"/>
  <c r="N297" i="2" a="1"/>
  <c r="N297" i="2" s="1"/>
  <c r="O297" i="2" a="1"/>
  <c r="O297" i="2" s="1"/>
  <c r="Q297" i="2" a="1"/>
  <c r="Q297" i="2" s="1"/>
  <c r="H298" i="2" a="1"/>
  <c r="H298" i="2" s="1"/>
  <c r="I298" i="2" a="1"/>
  <c r="I298" i="2" s="1"/>
  <c r="J298" i="2" a="1"/>
  <c r="J298" i="2" s="1"/>
  <c r="K298" i="2" a="1"/>
  <c r="K298" i="2" s="1"/>
  <c r="M298" i="2" a="1"/>
  <c r="M298" i="2" s="1"/>
  <c r="N298" i="2" a="1"/>
  <c r="N298" i="2" s="1"/>
  <c r="Q298" i="2" a="1"/>
  <c r="Q298" i="2" s="1"/>
  <c r="B299" i="2" a="1"/>
  <c r="B299" i="2" s="1"/>
  <c r="C299" i="2" a="1"/>
  <c r="C299" i="2" s="1"/>
  <c r="D299" i="2" a="1"/>
  <c r="D299" i="2" s="1"/>
  <c r="F299" i="2" a="1"/>
  <c r="F299" i="2" s="1"/>
  <c r="H299" i="2" a="1"/>
  <c r="H299" i="2" s="1"/>
  <c r="K299" i="2" a="1"/>
  <c r="K299" i="2" s="1"/>
  <c r="M299" i="2" a="1"/>
  <c r="M299" i="2" s="1"/>
  <c r="O299" i="2" a="1"/>
  <c r="O299" i="2" s="1"/>
  <c r="P299" i="2" a="1"/>
  <c r="P299" i="2" s="1"/>
  <c r="Q299" i="2" a="1"/>
  <c r="Q299" i="2" s="1"/>
  <c r="E300" i="2" a="1"/>
  <c r="E300" i="2" s="1"/>
  <c r="F300" i="2" a="1"/>
  <c r="F300" i="2" s="1"/>
  <c r="G300" i="2" a="1"/>
  <c r="G300" i="2" s="1"/>
  <c r="I300" i="2" a="1"/>
  <c r="I300" i="2" s="1"/>
  <c r="J300" i="2" a="1"/>
  <c r="J300" i="2" s="1"/>
  <c r="M300" i="2" a="1"/>
  <c r="M300" i="2" s="1"/>
  <c r="E301" i="2" a="1"/>
  <c r="E301" i="2" s="1"/>
  <c r="J301" i="2" a="1"/>
  <c r="J301" i="2" s="1"/>
  <c r="L301" i="2" a="1"/>
  <c r="L301" i="2" s="1"/>
  <c r="Q301" i="2" a="1"/>
  <c r="Q301" i="2" s="1"/>
  <c r="J306" i="2" a="1"/>
  <c r="J306" i="2" s="1"/>
  <c r="O306" i="2" a="1"/>
  <c r="O306" i="2" s="1"/>
  <c r="B307" i="2" a="1"/>
  <c r="B307" i="2" s="1"/>
  <c r="D307" i="2" a="1"/>
  <c r="D307" i="2" s="1"/>
  <c r="I307" i="2" a="1"/>
  <c r="I307" i="2" s="1"/>
  <c r="Q307" i="2" a="1"/>
  <c r="Q307" i="2" s="1"/>
  <c r="E308" i="2" a="1"/>
  <c r="E308" i="2" s="1"/>
  <c r="F308" i="2" a="1"/>
  <c r="F308" i="2" s="1"/>
  <c r="G308" i="2" a="1"/>
  <c r="G308" i="2" s="1"/>
  <c r="H308" i="2" a="1"/>
  <c r="H308" i="2" s="1"/>
  <c r="M308" i="2" a="1"/>
  <c r="M308" i="2" s="1"/>
  <c r="N308" i="2" a="1"/>
  <c r="N308" i="2" s="1"/>
  <c r="P308" i="2" a="1"/>
  <c r="P308" i="2" s="1"/>
  <c r="Q308" i="2" a="1"/>
  <c r="Q308" i="2" s="1"/>
  <c r="C309" i="2" a="1"/>
  <c r="C309" i="2" s="1"/>
  <c r="D309" i="2" a="1"/>
  <c r="D309" i="2" s="1"/>
  <c r="E309" i="2" a="1"/>
  <c r="E309" i="2" s="1"/>
  <c r="F309" i="2" a="1"/>
  <c r="F309" i="2" s="1"/>
  <c r="G309" i="2" a="1"/>
  <c r="G309" i="2" s="1"/>
  <c r="N309" i="2" a="1"/>
  <c r="N309" i="2" s="1"/>
  <c r="P309" i="2" a="1"/>
  <c r="P309" i="2" s="1"/>
  <c r="B310" i="2" a="1"/>
  <c r="B310" i="2" s="1"/>
  <c r="C310" i="2" a="1"/>
  <c r="C310" i="2" s="1"/>
  <c r="D310" i="2" a="1"/>
  <c r="D310" i="2" s="1"/>
  <c r="L310" i="2" a="1"/>
  <c r="L310" i="2" s="1"/>
  <c r="Q310" i="2" a="1"/>
  <c r="Q310" i="2" s="1"/>
  <c r="B311" i="2" a="1"/>
  <c r="B311" i="2" s="1"/>
  <c r="E311" i="2" a="1"/>
  <c r="E311" i="2" s="1"/>
  <c r="D312" i="2" a="1"/>
  <c r="D312" i="2" s="1"/>
  <c r="E312" i="2" a="1"/>
  <c r="E312" i="2" s="1"/>
  <c r="F312" i="2" a="1"/>
  <c r="F312" i="2" s="1"/>
  <c r="G312" i="2" a="1"/>
  <c r="G312" i="2" s="1"/>
  <c r="H312" i="2" a="1"/>
  <c r="H312" i="2" s="1"/>
  <c r="I312" i="2" a="1"/>
  <c r="I312" i="2" s="1"/>
  <c r="J312" i="2" a="1"/>
  <c r="J312" i="2" s="1"/>
  <c r="Q312" i="2" a="1"/>
  <c r="Q312" i="2" s="1"/>
  <c r="A313" i="2" a="1"/>
  <c r="A313" i="2" s="1"/>
  <c r="D313" i="2" a="1"/>
  <c r="D313" i="2" s="1"/>
  <c r="E313" i="2" a="1"/>
  <c r="E313" i="2" s="1"/>
  <c r="F313" i="2" a="1"/>
  <c r="F313" i="2" s="1"/>
  <c r="G313" i="2" a="1"/>
  <c r="G313" i="2" s="1"/>
  <c r="L313" i="2" a="1"/>
  <c r="L313" i="2" s="1"/>
  <c r="M313" i="2" a="1"/>
  <c r="M313" i="2" s="1"/>
  <c r="N313" i="2" a="1"/>
  <c r="N313" i="2" s="1"/>
  <c r="P313" i="2" a="1"/>
  <c r="P313" i="2" s="1"/>
  <c r="E314" i="2" a="1"/>
  <c r="E314" i="2" s="1"/>
  <c r="F314" i="2" a="1"/>
  <c r="F314" i="2" s="1"/>
  <c r="J314" i="2" a="1"/>
  <c r="J314" i="2" s="1"/>
  <c r="L314" i="2" a="1"/>
  <c r="L314" i="2" s="1"/>
  <c r="A315" i="2" a="1"/>
  <c r="A315" i="2" s="1"/>
  <c r="C315" i="2" a="1"/>
  <c r="C315" i="2" s="1"/>
  <c r="E315" i="2" a="1"/>
  <c r="E315" i="2" s="1"/>
  <c r="G315" i="2" a="1"/>
  <c r="G315" i="2" s="1"/>
  <c r="K315" i="2" a="1"/>
  <c r="K315" i="2" s="1"/>
  <c r="N315" i="2" a="1"/>
  <c r="N315" i="2" s="1"/>
  <c r="P315" i="2" a="1"/>
  <c r="P315" i="2" s="1"/>
  <c r="Q315" i="2" a="1"/>
  <c r="Q315" i="2" s="1"/>
  <c r="E316" i="2" a="1"/>
  <c r="E316" i="2" s="1"/>
  <c r="F316" i="2" a="1"/>
  <c r="F316" i="2" s="1"/>
  <c r="H316" i="2" a="1"/>
  <c r="H316" i="2" s="1"/>
  <c r="J316" i="2" a="1"/>
  <c r="J316" i="2" s="1"/>
  <c r="K316" i="2" a="1"/>
  <c r="K316" i="2" s="1"/>
  <c r="M316" i="2" a="1"/>
  <c r="M316" i="2" s="1"/>
  <c r="N316" i="2" a="1"/>
  <c r="N316" i="2" s="1"/>
  <c r="O316" i="2" a="1"/>
  <c r="O316" i="2" s="1"/>
  <c r="Q316" i="2" a="1"/>
  <c r="Q316" i="2" s="1"/>
  <c r="C317" i="2" a="1"/>
  <c r="C317" i="2" s="1"/>
  <c r="G317" i="2" a="1"/>
  <c r="G317" i="2" s="1"/>
  <c r="H317" i="2" a="1"/>
  <c r="H317" i="2" s="1"/>
  <c r="K317" i="2" a="1"/>
  <c r="K317" i="2" s="1"/>
  <c r="N317" i="2" a="1"/>
  <c r="N317" i="2" s="1"/>
  <c r="O317" i="2" a="1"/>
  <c r="O317" i="2" s="1"/>
  <c r="P317" i="2" a="1"/>
  <c r="P317" i="2" s="1"/>
  <c r="A318" i="2" a="1"/>
  <c r="A318" i="2" s="1"/>
  <c r="B318" i="2" a="1"/>
  <c r="B318" i="2" s="1"/>
  <c r="C318" i="2" a="1"/>
  <c r="C318" i="2" s="1"/>
  <c r="D318" i="2" a="1"/>
  <c r="D318" i="2" s="1"/>
  <c r="E318" i="2" a="1"/>
  <c r="E318" i="2" s="1"/>
  <c r="G318" i="2" a="1"/>
  <c r="G318" i="2" s="1"/>
  <c r="L318" i="2" a="1"/>
  <c r="L318" i="2" s="1"/>
  <c r="N318" i="2" a="1"/>
  <c r="N318" i="2" s="1"/>
  <c r="D320" i="2" a="1"/>
  <c r="D320" i="2" s="1"/>
  <c r="O320" i="2" a="1"/>
  <c r="O320" i="2" s="1"/>
  <c r="P320" i="2" a="1"/>
  <c r="P320" i="2" s="1"/>
  <c r="A321" i="2" a="1"/>
  <c r="A321" i="2" s="1"/>
  <c r="C321" i="2" a="1"/>
  <c r="C321" i="2" s="1"/>
  <c r="D321" i="2" a="1"/>
  <c r="D321" i="2" s="1"/>
  <c r="E321" i="2" a="1"/>
  <c r="E321" i="2" s="1"/>
  <c r="G321" i="2" a="1"/>
  <c r="G321" i="2" s="1"/>
  <c r="H321" i="2" a="1"/>
  <c r="H321" i="2" s="1"/>
  <c r="I321" i="2" a="1"/>
  <c r="I321" i="2" s="1"/>
  <c r="J321" i="2" a="1"/>
  <c r="J321" i="2" s="1"/>
  <c r="K321" i="2" a="1"/>
  <c r="K321" i="2" s="1"/>
  <c r="M321" i="2" a="1"/>
  <c r="M321" i="2" s="1"/>
  <c r="O321" i="2" a="1"/>
  <c r="O321" i="2" s="1"/>
  <c r="A322" i="2" a="1"/>
  <c r="A322" i="2" s="1"/>
  <c r="B322" i="2" a="1"/>
  <c r="B322" i="2" s="1"/>
  <c r="E322" i="2" a="1"/>
  <c r="E322" i="2" s="1"/>
  <c r="H322" i="2" a="1"/>
  <c r="H322" i="2" s="1"/>
  <c r="J322" i="2" a="1"/>
  <c r="J322" i="2" s="1"/>
  <c r="O322" i="2" a="1"/>
  <c r="O322" i="2" s="1"/>
  <c r="C323" i="2" a="1"/>
  <c r="C323" i="2" s="1"/>
  <c r="E323" i="2" a="1"/>
  <c r="E323" i="2" s="1"/>
  <c r="F323" i="2" a="1"/>
  <c r="F323" i="2" s="1"/>
  <c r="K323" i="2" a="1"/>
  <c r="K323" i="2" s="1"/>
  <c r="L323" i="2" a="1"/>
  <c r="L323" i="2" s="1"/>
  <c r="M323" i="2" a="1"/>
  <c r="M323" i="2" s="1"/>
  <c r="B324" i="2" a="1"/>
  <c r="B324" i="2" s="1"/>
  <c r="D324" i="2" a="1"/>
  <c r="D324" i="2" s="1"/>
  <c r="I324" i="2" a="1"/>
  <c r="I324" i="2" s="1"/>
  <c r="M324" i="2" a="1"/>
  <c r="M324" i="2" s="1"/>
  <c r="Q324" i="2" a="1"/>
  <c r="Q324" i="2" s="1"/>
  <c r="A325" i="2" a="1"/>
  <c r="A325" i="2" s="1"/>
  <c r="B325" i="2" a="1"/>
  <c r="B325" i="2" s="1"/>
  <c r="C325" i="2" a="1"/>
  <c r="C325" i="2" s="1"/>
  <c r="E325" i="2" a="1"/>
  <c r="E325" i="2" s="1"/>
  <c r="F325" i="2" a="1"/>
  <c r="F325" i="2" s="1"/>
  <c r="G325" i="2" a="1"/>
  <c r="G325" i="2" s="1"/>
  <c r="H325" i="2" a="1"/>
  <c r="H325" i="2" s="1"/>
  <c r="N325" i="2" a="1"/>
  <c r="N325" i="2" s="1"/>
  <c r="A326" i="2" a="1"/>
  <c r="A326" i="2" s="1"/>
  <c r="F326" i="2" a="1"/>
  <c r="F326" i="2" s="1"/>
  <c r="H326" i="2" a="1"/>
  <c r="H326" i="2" s="1"/>
  <c r="K326" i="2" a="1"/>
  <c r="K326" i="2" s="1"/>
  <c r="L326" i="2" a="1"/>
  <c r="L326" i="2" s="1"/>
  <c r="M326" i="2" a="1"/>
  <c r="M326" i="2" s="1"/>
  <c r="N326" i="2" a="1"/>
  <c r="N326" i="2" s="1"/>
  <c r="O326" i="2" a="1"/>
  <c r="O326" i="2" s="1"/>
  <c r="P326" i="2" a="1"/>
  <c r="P326" i="2" s="1"/>
  <c r="H327" i="2" a="1"/>
  <c r="H327" i="2" s="1"/>
  <c r="P327" i="2" a="1"/>
  <c r="P327" i="2" s="1"/>
  <c r="H328" i="2" a="1"/>
  <c r="H328" i="2" s="1"/>
  <c r="I328" i="2" a="1"/>
  <c r="I328" i="2" s="1"/>
  <c r="K328" i="2" a="1"/>
  <c r="K328" i="2" s="1"/>
  <c r="P328" i="2" a="1"/>
  <c r="P328" i="2" s="1"/>
  <c r="A329" i="2" a="1"/>
  <c r="A329" i="2" s="1"/>
  <c r="C329" i="2" a="1"/>
  <c r="C329" i="2" s="1"/>
  <c r="N329" i="2" a="1"/>
  <c r="N329" i="2" s="1"/>
  <c r="O329" i="2" a="1"/>
  <c r="O329" i="2" s="1"/>
  <c r="P329" i="2" a="1"/>
  <c r="P329" i="2" s="1"/>
  <c r="K330" i="2" a="1"/>
  <c r="K330" i="2" s="1"/>
  <c r="Q330" i="2" a="1"/>
  <c r="Q330" i="2" s="1"/>
  <c r="B331" i="2" a="1"/>
  <c r="B331" i="2" s="1"/>
  <c r="G331" i="2" a="1"/>
  <c r="G331" i="2" s="1"/>
  <c r="K331" i="2" a="1"/>
  <c r="K331" i="2" s="1"/>
  <c r="N331" i="2" a="1"/>
  <c r="N331" i="2" s="1"/>
  <c r="A332" i="2" a="1"/>
  <c r="A332" i="2" s="1"/>
  <c r="B332" i="2" a="1"/>
  <c r="B332" i="2" s="1"/>
  <c r="C332" i="2" a="1"/>
  <c r="C332" i="2" s="1"/>
  <c r="D332" i="2" a="1"/>
  <c r="D332" i="2" s="1"/>
  <c r="E332" i="2" a="1"/>
  <c r="E332" i="2" s="1"/>
  <c r="I332" i="2" a="1"/>
  <c r="I332" i="2" s="1"/>
  <c r="J332" i="2" a="1"/>
  <c r="J332" i="2" s="1"/>
  <c r="K332" i="2" a="1"/>
  <c r="K332" i="2" s="1"/>
  <c r="A333" i="2" a="1"/>
  <c r="A333" i="2" s="1"/>
  <c r="E333" i="2" a="1"/>
  <c r="E333" i="2" s="1"/>
  <c r="F333" i="2" a="1"/>
  <c r="F333" i="2" s="1"/>
  <c r="G333" i="2" a="1"/>
  <c r="G333" i="2" s="1"/>
  <c r="H333" i="2" a="1"/>
  <c r="H333" i="2" s="1"/>
  <c r="I333" i="2" a="1"/>
  <c r="I333" i="2" s="1"/>
  <c r="M333" i="2" a="1"/>
  <c r="M333" i="2" s="1"/>
  <c r="D334" i="2" a="1"/>
  <c r="D334" i="2" s="1"/>
  <c r="F334" i="2" a="1"/>
  <c r="F334" i="2" s="1"/>
  <c r="O334" i="2" a="1"/>
  <c r="O334" i="2" s="1"/>
  <c r="P334" i="2" a="1"/>
  <c r="P334" i="2" s="1"/>
  <c r="C335" i="2" a="1"/>
  <c r="C335" i="2" s="1"/>
  <c r="G335" i="2" a="1"/>
  <c r="G335" i="2" s="1"/>
  <c r="I335" i="2" a="1"/>
  <c r="I335" i="2" s="1"/>
  <c r="J335" i="2" a="1"/>
  <c r="J335" i="2" s="1"/>
  <c r="F336" i="2" a="1"/>
  <c r="F336" i="2" s="1"/>
  <c r="M336" i="2" a="1"/>
  <c r="M336" i="2" s="1"/>
  <c r="N336" i="2" a="1"/>
  <c r="N336" i="2" s="1"/>
  <c r="H337" i="2" a="1"/>
  <c r="H337" i="2" s="1"/>
  <c r="L337" i="2" a="1"/>
  <c r="L337" i="2" s="1"/>
  <c r="N337" i="2" a="1"/>
  <c r="N337" i="2" s="1"/>
  <c r="M338" i="2" a="1"/>
  <c r="M338" i="2" s="1"/>
  <c r="J339" i="2" a="1"/>
  <c r="J339" i="2" s="1"/>
  <c r="N339" i="2" a="1"/>
  <c r="N339" i="2" s="1"/>
  <c r="B340" i="2" a="1"/>
  <c r="B340" i="2" s="1"/>
  <c r="E340" i="2" a="1"/>
  <c r="E340" i="2" s="1"/>
  <c r="H340" i="2" a="1"/>
  <c r="H340" i="2" s="1"/>
  <c r="J340" i="2" a="1"/>
  <c r="J340" i="2" s="1"/>
  <c r="O340" i="2" a="1"/>
  <c r="O340" i="2" s="1"/>
  <c r="G341" i="2" a="1"/>
  <c r="G341" i="2" s="1"/>
  <c r="A342" i="2" a="1"/>
  <c r="A342" i="2" s="1"/>
  <c r="F342" i="2" a="1"/>
  <c r="F342" i="2" s="1"/>
  <c r="D343" i="2" a="1"/>
  <c r="D343" i="2" s="1"/>
  <c r="F343" i="2" a="1"/>
  <c r="F343" i="2" s="1"/>
  <c r="I343" i="2" a="1"/>
  <c r="I343" i="2" s="1"/>
  <c r="K343" i="2" a="1"/>
  <c r="K343" i="2" s="1"/>
  <c r="Q343" i="2" a="1"/>
  <c r="Q343" i="2" s="1"/>
  <c r="D344" i="2" a="1"/>
  <c r="D344" i="2" s="1"/>
  <c r="J344" i="2" a="1"/>
  <c r="J344" i="2" s="1"/>
  <c r="M344" i="2" a="1"/>
  <c r="M344" i="2" s="1"/>
  <c r="O344" i="2" a="1"/>
  <c r="O344" i="2" s="1"/>
  <c r="B345" i="2" a="1"/>
  <c r="B345" i="2" s="1"/>
  <c r="C345" i="2" a="1"/>
  <c r="C345" i="2" s="1"/>
  <c r="D345" i="2" a="1"/>
  <c r="D345" i="2" s="1"/>
  <c r="E345" i="2" a="1"/>
  <c r="E345" i="2" s="1"/>
  <c r="I345" i="2" a="1"/>
  <c r="I345" i="2" s="1"/>
  <c r="M345" i="2" a="1"/>
  <c r="M345" i="2" s="1"/>
  <c r="B346" i="2" a="1"/>
  <c r="B346" i="2" s="1"/>
  <c r="C346" i="2" a="1"/>
  <c r="C346" i="2" s="1"/>
  <c r="H346" i="2" a="1"/>
  <c r="H346" i="2" s="1"/>
  <c r="I346" i="2" a="1"/>
  <c r="I346" i="2" s="1"/>
  <c r="J346" i="2" a="1"/>
  <c r="J346" i="2" s="1"/>
  <c r="M346" i="2" a="1"/>
  <c r="M346" i="2" s="1"/>
  <c r="N346" i="2" a="1"/>
  <c r="N346" i="2" s="1"/>
  <c r="G347" i="2" a="1"/>
  <c r="G347" i="2" s="1"/>
  <c r="I347" i="2" a="1"/>
  <c r="I347" i="2" s="1"/>
  <c r="M347" i="2" a="1"/>
  <c r="M347" i="2" s="1"/>
  <c r="O347" i="2" a="1"/>
  <c r="O347" i="2" s="1"/>
  <c r="P347" i="2" a="1"/>
  <c r="P347" i="2" s="1"/>
  <c r="B348" i="2" a="1"/>
  <c r="B348" i="2" s="1"/>
  <c r="C348" i="2" a="1"/>
  <c r="C348" i="2" s="1"/>
  <c r="N348" i="2" a="1"/>
  <c r="N348" i="2" s="1"/>
  <c r="F349" i="2" a="1"/>
  <c r="F349" i="2" s="1"/>
  <c r="M349" i="2" a="1"/>
  <c r="M349" i="2" s="1"/>
  <c r="O349" i="2" a="1"/>
  <c r="O349" i="2" s="1"/>
  <c r="Q349" i="2" a="1"/>
  <c r="Q349" i="2" s="1"/>
  <c r="C350" i="2" a="1"/>
  <c r="C350" i="2" s="1"/>
  <c r="B351" i="2" a="1"/>
  <c r="B351" i="2" s="1"/>
  <c r="H351" i="2" a="1"/>
  <c r="H351" i="2" s="1"/>
  <c r="I351" i="2" a="1"/>
  <c r="I351" i="2" s="1"/>
  <c r="M351" i="2" a="1"/>
  <c r="M351" i="2" s="1"/>
  <c r="N351" i="2" a="1"/>
  <c r="N351" i="2" s="1"/>
  <c r="O351" i="2" a="1"/>
  <c r="O351" i="2" s="1"/>
  <c r="P351" i="2" a="1"/>
  <c r="P351" i="2" s="1"/>
  <c r="Q351" i="2" a="1"/>
  <c r="Q351" i="2" s="1"/>
  <c r="B352" i="2" a="1"/>
  <c r="B352" i="2" s="1"/>
  <c r="D352" i="2" a="1"/>
  <c r="D352" i="2" s="1"/>
  <c r="E352" i="2" a="1"/>
  <c r="E352" i="2" s="1"/>
  <c r="F352" i="2" a="1"/>
  <c r="F352" i="2" s="1"/>
  <c r="L352" i="2" a="1"/>
  <c r="L352" i="2" s="1"/>
  <c r="O352" i="2" a="1"/>
  <c r="O352" i="2" s="1"/>
  <c r="E353" i="2" a="1"/>
  <c r="E353" i="2" s="1"/>
  <c r="L353" i="2" a="1"/>
  <c r="L353" i="2" s="1"/>
  <c r="A354" i="2" a="1"/>
  <c r="A354" i="2" s="1"/>
  <c r="E354" i="2" a="1"/>
  <c r="E354" i="2" s="1"/>
  <c r="I354" i="2" a="1"/>
  <c r="I354" i="2" s="1"/>
  <c r="Q354" i="2" a="1"/>
  <c r="Q354" i="2" s="1"/>
  <c r="C355" i="2" a="1"/>
  <c r="C355" i="2" s="1"/>
  <c r="O355" i="2" a="1"/>
  <c r="O355" i="2" s="1"/>
  <c r="C356" i="2" a="1"/>
  <c r="C356" i="2" s="1"/>
  <c r="E356" i="2" a="1"/>
  <c r="E356" i="2" s="1"/>
  <c r="G356" i="2" a="1"/>
  <c r="G356" i="2" s="1"/>
  <c r="C357" i="2" a="1"/>
  <c r="C357" i="2" s="1"/>
  <c r="Q357" i="2" a="1"/>
  <c r="Q357" i="2" s="1"/>
  <c r="A358" i="2" a="1"/>
  <c r="A358" i="2" s="1"/>
  <c r="B358" i="2" a="1"/>
  <c r="B358" i="2" s="1"/>
  <c r="C358" i="2" a="1"/>
  <c r="C358" i="2" s="1"/>
  <c r="J358" i="2" a="1"/>
  <c r="J358" i="2" s="1"/>
  <c r="J359" i="2" a="1"/>
  <c r="J359" i="2" s="1"/>
  <c r="P359" i="2" a="1"/>
  <c r="P359" i="2" s="1"/>
  <c r="E360" i="2" a="1"/>
  <c r="E360" i="2" s="1"/>
  <c r="F360" i="2" a="1"/>
  <c r="F360" i="2" s="1"/>
  <c r="H360" i="2" a="1"/>
  <c r="H360" i="2" s="1"/>
  <c r="I360" i="2" a="1"/>
  <c r="I360" i="2" s="1"/>
  <c r="J360" i="2" a="1"/>
  <c r="J360" i="2" s="1"/>
  <c r="K360" i="2" a="1"/>
  <c r="K360" i="2" s="1"/>
  <c r="L360" i="2" a="1"/>
  <c r="L360" i="2" s="1"/>
  <c r="M360" i="2" a="1"/>
  <c r="M360" i="2" s="1"/>
  <c r="I361" i="2" a="1"/>
  <c r="I361" i="2" s="1"/>
  <c r="K361" i="2" a="1"/>
  <c r="K361" i="2" s="1"/>
  <c r="Q361" i="2" a="1"/>
  <c r="Q361" i="2" s="1"/>
  <c r="F362" i="2" a="1"/>
  <c r="F362" i="2" s="1"/>
  <c r="I362" i="2" a="1"/>
  <c r="I362" i="2" s="1"/>
  <c r="B363" i="2" a="1"/>
  <c r="B363" i="2" s="1"/>
  <c r="A364" i="2" a="1"/>
  <c r="A364" i="2" s="1"/>
  <c r="B364" i="2" a="1"/>
  <c r="B364" i="2" s="1"/>
  <c r="E364" i="2" a="1"/>
  <c r="E364" i="2" s="1"/>
  <c r="H364" i="2" a="1"/>
  <c r="H364" i="2" s="1"/>
  <c r="I364" i="2" a="1"/>
  <c r="I364" i="2" s="1"/>
  <c r="K364" i="2" a="1"/>
  <c r="K364" i="2" s="1"/>
  <c r="O364" i="2" a="1"/>
  <c r="O364" i="2" s="1"/>
  <c r="P364" i="2" a="1"/>
  <c r="P364" i="2" s="1"/>
  <c r="G365" i="2" a="1"/>
  <c r="G365" i="2" s="1"/>
  <c r="K366" i="2" a="1"/>
  <c r="K366" i="2" s="1"/>
  <c r="M366" i="2" a="1"/>
  <c r="M366" i="2" s="1"/>
  <c r="A367" i="2" a="1"/>
  <c r="A367" i="2" s="1"/>
  <c r="D367" i="2" a="1"/>
  <c r="D367" i="2" s="1"/>
  <c r="I367" i="2" a="1"/>
  <c r="I367" i="2" s="1"/>
  <c r="K367" i="2" a="1"/>
  <c r="K367" i="2" s="1"/>
  <c r="D368" i="2" a="1"/>
  <c r="D368" i="2" s="1"/>
  <c r="F368" i="2" a="1"/>
  <c r="F368" i="2" s="1"/>
  <c r="J368" i="2" a="1"/>
  <c r="J368" i="2" s="1"/>
  <c r="K368" i="2" a="1"/>
  <c r="K368" i="2" s="1"/>
  <c r="N368" i="2" a="1"/>
  <c r="N368" i="2" s="1"/>
  <c r="B369" i="2" a="1"/>
  <c r="B369" i="2" s="1"/>
  <c r="D369" i="2" a="1"/>
  <c r="D369" i="2" s="1"/>
  <c r="M369" i="2" a="1"/>
  <c r="M369" i="2" s="1"/>
  <c r="C370" i="2" a="1"/>
  <c r="C370" i="2" s="1"/>
  <c r="D370" i="2" a="1"/>
  <c r="D370" i="2" s="1"/>
  <c r="E370" i="2" a="1"/>
  <c r="E370" i="2" s="1"/>
  <c r="F370" i="2" a="1"/>
  <c r="F370" i="2" s="1"/>
  <c r="G370" i="2" a="1"/>
  <c r="G370" i="2" s="1"/>
  <c r="F371" i="2" a="1"/>
  <c r="F371" i="2" s="1"/>
  <c r="H371" i="2" a="1"/>
  <c r="H371" i="2" s="1"/>
  <c r="N371" i="2" a="1"/>
  <c r="N371" i="2" s="1"/>
  <c r="C372" i="2" a="1"/>
  <c r="C372" i="2" s="1"/>
  <c r="F372" i="2" a="1"/>
  <c r="F372" i="2" s="1"/>
  <c r="G372" i="2" a="1"/>
  <c r="G372" i="2" s="1"/>
  <c r="H372" i="2" a="1"/>
  <c r="H372" i="2" s="1"/>
  <c r="I372" i="2" a="1"/>
  <c r="I372" i="2" s="1"/>
  <c r="J372" i="2" a="1"/>
  <c r="J372" i="2" s="1"/>
  <c r="K372" i="2" a="1"/>
  <c r="K372" i="2" s="1"/>
  <c r="L372" i="2" a="1"/>
  <c r="L372" i="2" s="1"/>
  <c r="N372" i="2" a="1"/>
  <c r="N372" i="2" s="1"/>
  <c r="O372" i="2" a="1"/>
  <c r="O372" i="2" s="1"/>
  <c r="P372" i="2" a="1"/>
  <c r="P372" i="2" s="1"/>
  <c r="A373" i="2" a="1"/>
  <c r="A373" i="2" s="1"/>
  <c r="B373" i="2" a="1"/>
  <c r="B373" i="2" s="1"/>
  <c r="H373" i="2" a="1"/>
  <c r="H373" i="2" s="1"/>
  <c r="J373" i="2" a="1"/>
  <c r="J373" i="2" s="1"/>
  <c r="M373" i="2" a="1"/>
  <c r="M373" i="2" s="1"/>
  <c r="O373" i="2" a="1"/>
  <c r="O373" i="2" s="1"/>
  <c r="E446" i="2" a="1"/>
  <c r="E446" i="2" s="1"/>
  <c r="F446" i="2" a="1"/>
  <c r="F446" i="2" s="1"/>
  <c r="G446" i="2" a="1"/>
  <c r="G446" i="2" s="1"/>
  <c r="H446" i="2" a="1"/>
  <c r="H446" i="2" s="1"/>
  <c r="I446" i="2" a="1"/>
  <c r="I446" i="2" s="1"/>
  <c r="N446" i="2" a="1"/>
  <c r="N446" i="2" s="1"/>
  <c r="A447" i="2" a="1"/>
  <c r="A447" i="2" s="1"/>
  <c r="F447" i="2" a="1"/>
  <c r="F447" i="2" s="1"/>
  <c r="L447" i="2" a="1"/>
  <c r="L447" i="2" s="1"/>
  <c r="G448" i="2" a="1"/>
  <c r="G448" i="2" s="1"/>
  <c r="I448" i="2" a="1"/>
  <c r="I448" i="2" s="1"/>
  <c r="L448" i="2" a="1"/>
  <c r="L448" i="2" s="1"/>
  <c r="M448" i="2" a="1"/>
  <c r="M448" i="2" s="1"/>
  <c r="N448" i="2" a="1"/>
  <c r="N448" i="2" s="1"/>
  <c r="C449" i="2" a="1"/>
  <c r="C449" i="2" s="1"/>
  <c r="L449" i="2" a="1"/>
  <c r="L449" i="2" s="1"/>
  <c r="N449" i="2" a="1"/>
  <c r="N449" i="2" s="1"/>
  <c r="O449" i="2" a="1"/>
  <c r="O449" i="2" s="1"/>
  <c r="P449" i="2" a="1"/>
  <c r="P449" i="2" s="1"/>
  <c r="F450" i="2" a="1"/>
  <c r="F450" i="2" s="1"/>
  <c r="I450" i="2" a="1"/>
  <c r="I450" i="2" s="1"/>
  <c r="J450" i="2" a="1"/>
  <c r="J450" i="2" s="1"/>
  <c r="L450" i="2" a="1"/>
  <c r="L450" i="2" s="1"/>
  <c r="N450" i="2" a="1"/>
  <c r="N450" i="2" s="1"/>
  <c r="P450" i="2" a="1"/>
  <c r="P450" i="2" s="1"/>
  <c r="Q450" i="2" a="1"/>
  <c r="Q450" i="2" s="1"/>
  <c r="A451" i="2" a="1"/>
  <c r="A451" i="2" s="1"/>
  <c r="B451" i="2" a="1"/>
  <c r="B451" i="2" s="1"/>
  <c r="K451" i="2" a="1"/>
  <c r="K451" i="2" s="1"/>
  <c r="N451" i="2" a="1"/>
  <c r="N451" i="2" s="1"/>
  <c r="P451" i="2" a="1"/>
  <c r="P451" i="2" s="1"/>
  <c r="A452" i="2" a="1"/>
  <c r="A452" i="2" s="1"/>
  <c r="K452" i="2" a="1"/>
  <c r="K452" i="2" s="1"/>
  <c r="O452" i="2" a="1"/>
  <c r="O452" i="2" s="1"/>
  <c r="A453" i="2" a="1"/>
  <c r="A453" i="2" s="1"/>
  <c r="C453" i="2" a="1"/>
  <c r="C453" i="2" s="1"/>
  <c r="P453" i="2" a="1"/>
  <c r="P453" i="2" s="1"/>
  <c r="Q453" i="2" a="1"/>
  <c r="Q453" i="2" s="1"/>
  <c r="C454" i="2" a="1"/>
  <c r="C454" i="2" s="1"/>
  <c r="E454" i="2" a="1"/>
  <c r="E454" i="2" s="1"/>
  <c r="G454" i="2" a="1"/>
  <c r="G454" i="2" s="1"/>
  <c r="H454" i="2" a="1"/>
  <c r="H454" i="2" s="1"/>
  <c r="N454" i="2" a="1"/>
  <c r="N454" i="2" s="1"/>
  <c r="D455" i="2" a="1"/>
  <c r="D455" i="2" s="1"/>
  <c r="H455" i="2" a="1"/>
  <c r="H455" i="2" s="1"/>
  <c r="J455" i="2" a="1"/>
  <c r="J455" i="2" s="1"/>
  <c r="D456" i="2" a="1"/>
  <c r="D456" i="2" s="1"/>
  <c r="H457" i="2" a="1"/>
  <c r="H457" i="2" s="1"/>
  <c r="L457" i="2" a="1"/>
  <c r="L457" i="2" s="1"/>
  <c r="O457" i="2" a="1"/>
  <c r="O457" i="2" s="1"/>
  <c r="P457" i="2" a="1"/>
  <c r="P457" i="2" s="1"/>
  <c r="Q457" i="2" a="1"/>
  <c r="Q457" i="2" s="1"/>
  <c r="E458" i="2" a="1"/>
  <c r="E458" i="2" s="1"/>
  <c r="G458" i="2" a="1"/>
  <c r="G458" i="2" s="1"/>
  <c r="N458" i="2" a="1"/>
  <c r="N458" i="2" s="1"/>
  <c r="C459" i="2" a="1"/>
  <c r="C459" i="2" s="1"/>
  <c r="A460" i="2" a="1"/>
  <c r="A460" i="2" s="1"/>
  <c r="D460" i="2" a="1"/>
  <c r="D460" i="2" s="1"/>
  <c r="E460" i="2" a="1"/>
  <c r="E460" i="2" s="1"/>
  <c r="F460" i="2" a="1"/>
  <c r="F460" i="2" s="1"/>
  <c r="G460" i="2" a="1"/>
  <c r="G460" i="2" s="1"/>
  <c r="M460" i="2" a="1"/>
  <c r="M460" i="2" s="1"/>
  <c r="A461" i="2" a="1"/>
  <c r="A461" i="2" s="1"/>
  <c r="D461" i="2" a="1"/>
  <c r="D461" i="2" s="1"/>
  <c r="G461" i="2" a="1"/>
  <c r="G461" i="2" s="1"/>
  <c r="B465" i="2" a="1"/>
  <c r="B465" i="2" s="1"/>
  <c r="C465" i="2" a="1"/>
  <c r="C465" i="2" s="1"/>
  <c r="O465" i="2" a="1"/>
  <c r="O465" i="2" s="1"/>
  <c r="Q465" i="2" a="1"/>
  <c r="Q465" i="2" s="1"/>
  <c r="F466" i="2" a="1"/>
  <c r="F466" i="2" s="1"/>
  <c r="G466" i="2" a="1"/>
  <c r="G466" i="2" s="1"/>
  <c r="B467" i="2" a="1"/>
  <c r="B467" i="2" s="1"/>
  <c r="D468" i="2" a="1"/>
  <c r="D468" i="2" s="1"/>
  <c r="F468" i="2" a="1"/>
  <c r="F468" i="2" s="1"/>
  <c r="M468" i="2" a="1"/>
  <c r="M468" i="2" s="1"/>
  <c r="A469" i="2" a="1"/>
  <c r="A469" i="2" s="1"/>
  <c r="J469" i="2" a="1"/>
  <c r="J469" i="2" s="1"/>
  <c r="L469" i="2" a="1"/>
  <c r="L469" i="2" s="1"/>
  <c r="M469" i="2" a="1"/>
  <c r="M469" i="2" s="1"/>
  <c r="N469" i="2" a="1"/>
  <c r="N469" i="2" s="1"/>
  <c r="O469" i="2" a="1"/>
  <c r="O469" i="2" s="1"/>
  <c r="P469" i="2" a="1"/>
  <c r="P469" i="2" s="1"/>
  <c r="Q469" i="2" a="1"/>
  <c r="Q469" i="2" s="1"/>
  <c r="E470" i="2" a="1"/>
  <c r="E470" i="2" s="1"/>
  <c r="F470" i="2" a="1"/>
  <c r="F470" i="2" s="1"/>
  <c r="J470" i="2" a="1"/>
  <c r="J470" i="2" s="1"/>
  <c r="K470" i="2" a="1"/>
  <c r="K470" i="2" s="1"/>
  <c r="P470" i="2" a="1"/>
  <c r="P470" i="2" s="1"/>
  <c r="K471" i="2" a="1"/>
  <c r="K471" i="2" s="1"/>
  <c r="O471" i="2" a="1"/>
  <c r="O471" i="2" s="1"/>
  <c r="C472" i="2" a="1"/>
  <c r="C472" i="2" s="1"/>
  <c r="E472" i="2" a="1"/>
  <c r="E472" i="2" s="1"/>
  <c r="I472" i="2" a="1"/>
  <c r="I472" i="2" s="1"/>
  <c r="J472" i="2" a="1"/>
  <c r="J472" i="2" s="1"/>
  <c r="M472" i="2" a="1"/>
  <c r="M472" i="2" s="1"/>
  <c r="G473" i="2" a="1"/>
  <c r="G473" i="2" s="1"/>
  <c r="N473" i="2" a="1"/>
  <c r="N473" i="2" s="1"/>
  <c r="P473" i="2" a="1"/>
  <c r="P473" i="2" s="1"/>
  <c r="Q473" i="2" a="1"/>
  <c r="Q473" i="2" s="1"/>
  <c r="A474" i="2" a="1"/>
  <c r="A474" i="2" s="1"/>
  <c r="H474" i="2" a="1"/>
  <c r="H474" i="2" s="1"/>
  <c r="I474" i="2" a="1"/>
  <c r="I474" i="2" s="1"/>
  <c r="N474" i="2" a="1"/>
  <c r="N474" i="2" s="1"/>
  <c r="G475" i="2" a="1"/>
  <c r="G475" i="2" s="1"/>
  <c r="I475" i="2" a="1"/>
  <c r="I475" i="2" s="1"/>
  <c r="A476" i="2" a="1"/>
  <c r="A476" i="2" s="1"/>
  <c r="C476" i="2" a="1"/>
  <c r="C476" i="2" s="1"/>
  <c r="F476" i="2" a="1"/>
  <c r="F476" i="2" s="1"/>
  <c r="G476" i="2" a="1"/>
  <c r="G476" i="2" s="1"/>
  <c r="J476" i="2" a="1"/>
  <c r="J476" i="2" s="1"/>
  <c r="K476" i="2" a="1"/>
  <c r="K476" i="2" s="1"/>
  <c r="L476" i="2" a="1"/>
  <c r="L476" i="2" s="1"/>
  <c r="O476" i="2" a="1"/>
  <c r="O476" i="2" s="1"/>
  <c r="A478" i="2" a="1"/>
  <c r="A478" i="2" s="1"/>
  <c r="D478" i="2" a="1"/>
  <c r="D478" i="2" s="1"/>
  <c r="N478" i="2" a="1"/>
  <c r="N478" i="2" s="1"/>
  <c r="Q478" i="2" a="1"/>
  <c r="Q478" i="2" s="1"/>
  <c r="N479" i="2" a="1"/>
  <c r="N479" i="2" s="1"/>
  <c r="P479" i="2" a="1"/>
  <c r="P479" i="2" s="1"/>
  <c r="M480" i="2" a="1"/>
  <c r="M480" i="2" s="1"/>
  <c r="A481" i="2" a="1"/>
  <c r="A481" i="2" s="1"/>
  <c r="K481" i="2" a="1"/>
  <c r="K481" i="2" s="1"/>
  <c r="E482" i="2" a="1"/>
  <c r="E482" i="2" s="1"/>
  <c r="F482" i="2" a="1"/>
  <c r="F482" i="2" s="1"/>
  <c r="P482" i="2" a="1"/>
  <c r="P482" i="2" s="1"/>
  <c r="N483" i="2" a="1"/>
  <c r="N483" i="2" s="1"/>
  <c r="B484" i="2" a="1"/>
  <c r="B484" i="2" s="1"/>
  <c r="D484" i="2" a="1"/>
  <c r="D484" i="2" s="1"/>
  <c r="F484" i="2" a="1"/>
  <c r="F484" i="2" s="1"/>
  <c r="J484" i="2" a="1"/>
  <c r="J484" i="2" s="1"/>
  <c r="K484" i="2" a="1"/>
  <c r="K484" i="2" s="1"/>
  <c r="N484" i="2" a="1"/>
  <c r="N484" i="2" s="1"/>
  <c r="O484" i="2" a="1"/>
  <c r="O484" i="2" s="1"/>
  <c r="A485" i="2" a="1"/>
  <c r="A485" i="2" s="1"/>
  <c r="N485" i="2" a="1"/>
  <c r="N485" i="2" s="1"/>
  <c r="P485" i="2" a="1"/>
  <c r="P485" i="2" s="1"/>
  <c r="B486" i="2" a="1"/>
  <c r="B486" i="2" s="1"/>
  <c r="Q486" i="2" a="1"/>
  <c r="Q486" i="2" s="1"/>
  <c r="H487" i="2" a="1"/>
  <c r="H487" i="2" s="1"/>
  <c r="N487" i="2" a="1"/>
  <c r="N487" i="2" s="1"/>
  <c r="P487" i="2" a="1"/>
  <c r="P487" i="2" s="1"/>
  <c r="Q487" i="2" a="1"/>
  <c r="Q487" i="2" s="1"/>
  <c r="D488" i="2" a="1"/>
  <c r="D488" i="2" s="1"/>
  <c r="E488" i="2" a="1"/>
  <c r="E488" i="2" s="1"/>
  <c r="I488" i="2" a="1"/>
  <c r="I488" i="2" s="1"/>
  <c r="K488" i="2" a="1"/>
  <c r="K488" i="2" s="1"/>
  <c r="N488" i="2" a="1"/>
  <c r="N488" i="2" s="1"/>
  <c r="P488" i="2" a="1"/>
  <c r="P488" i="2" s="1"/>
  <c r="B489" i="2" a="1"/>
  <c r="B489" i="2" s="1"/>
  <c r="D489" i="2" a="1"/>
  <c r="D489" i="2" s="1"/>
  <c r="J489" i="2" a="1"/>
  <c r="J489" i="2" s="1"/>
  <c r="L489" i="2" a="1"/>
  <c r="L489" i="2" s="1"/>
  <c r="D490" i="2" a="1"/>
  <c r="D490" i="2" s="1"/>
  <c r="G490" i="2" a="1"/>
  <c r="G490" i="2" s="1"/>
  <c r="N490" i="2" a="1"/>
  <c r="N490" i="2" s="1"/>
  <c r="P491" i="2" a="1"/>
  <c r="P491" i="2" s="1"/>
  <c r="A492" i="2" a="1"/>
  <c r="A492" i="2" s="1"/>
  <c r="D492" i="2" a="1"/>
  <c r="D492" i="2" s="1"/>
  <c r="F492" i="2" a="1"/>
  <c r="F492" i="2" s="1"/>
  <c r="I492" i="2" a="1"/>
  <c r="I492" i="2" s="1"/>
  <c r="N492" i="2" a="1"/>
  <c r="N492" i="2" s="1"/>
  <c r="C493" i="2" a="1"/>
  <c r="C493" i="2" s="1"/>
  <c r="N493" i="2" a="1"/>
  <c r="N493" i="2" s="1"/>
  <c r="P493" i="2" a="1"/>
  <c r="P493" i="2" s="1"/>
  <c r="D494" i="2" a="1"/>
  <c r="D494" i="2" s="1"/>
  <c r="H494" i="2" a="1"/>
  <c r="H494" i="2" s="1"/>
  <c r="P494" i="2" a="1"/>
  <c r="P494" i="2" s="1"/>
  <c r="Q494" i="2" a="1"/>
  <c r="Q494" i="2" s="1"/>
  <c r="C495" i="2" a="1"/>
  <c r="C495" i="2" s="1"/>
  <c r="D495" i="2" a="1"/>
  <c r="D495" i="2" s="1"/>
  <c r="E495" i="2" a="1"/>
  <c r="E495" i="2" s="1"/>
  <c r="H495" i="2" a="1"/>
  <c r="H495" i="2" s="1"/>
  <c r="O495" i="2" a="1"/>
  <c r="O495" i="2" s="1"/>
  <c r="E496" i="2" a="1"/>
  <c r="E496" i="2" s="1"/>
  <c r="N496" i="2" a="1"/>
  <c r="N496" i="2" s="1"/>
  <c r="O496" i="2" a="1"/>
  <c r="O496" i="2" s="1"/>
  <c r="P496" i="2" a="1"/>
  <c r="P496" i="2" s="1"/>
  <c r="Q496" i="2" a="1"/>
  <c r="Q496" i="2" s="1"/>
  <c r="A498" i="2" a="1"/>
  <c r="A498" i="2" s="1"/>
  <c r="E498" i="2" a="1"/>
  <c r="E498" i="2" s="1"/>
  <c r="H498" i="2" a="1"/>
  <c r="H498" i="2" s="1"/>
  <c r="K498" i="2" a="1"/>
  <c r="K498" i="2" s="1"/>
  <c r="L498" i="2" a="1"/>
  <c r="L498" i="2" s="1"/>
  <c r="O498" i="2" a="1"/>
  <c r="O498" i="2" s="1"/>
  <c r="P498" i="2" a="1"/>
  <c r="P498" i="2" s="1"/>
  <c r="D499" i="2" a="1"/>
  <c r="D499" i="2" s="1"/>
  <c r="F499" i="2" a="1"/>
  <c r="F499" i="2" s="1"/>
  <c r="O499" i="2" a="1"/>
  <c r="O499" i="2" s="1"/>
  <c r="C500" i="2" a="1"/>
  <c r="C500" i="2" s="1"/>
  <c r="J500" i="2" a="1"/>
  <c r="J500" i="2" s="1"/>
  <c r="P500" i="2" a="1"/>
  <c r="P500" i="2" s="1"/>
  <c r="H501" i="2" a="1"/>
  <c r="H501" i="2" s="1"/>
  <c r="I501" i="2" a="1"/>
  <c r="I501" i="2" s="1"/>
  <c r="J501" i="2" a="1"/>
  <c r="J501" i="2" s="1"/>
  <c r="M501" i="2" a="1"/>
  <c r="M501" i="2" s="1"/>
  <c r="Q501" i="2" a="1"/>
  <c r="Q501" i="2" s="1"/>
  <c r="B502" i="2" a="1"/>
  <c r="B502" i="2" s="1"/>
  <c r="L502" i="2" a="1"/>
  <c r="L502" i="2" s="1"/>
  <c r="M502" i="2" a="1"/>
  <c r="M502" i="2" s="1"/>
  <c r="N502" i="2" a="1"/>
  <c r="N502" i="2" s="1"/>
  <c r="K503" i="2" a="1"/>
  <c r="K503" i="2" s="1"/>
  <c r="C504" i="2" a="1"/>
  <c r="C504" i="2" s="1"/>
  <c r="D504" i="2" a="1"/>
  <c r="D504" i="2" s="1"/>
  <c r="F504" i="2" a="1"/>
  <c r="F504" i="2" s="1"/>
  <c r="H504" i="2" a="1"/>
  <c r="H504" i="2" s="1"/>
  <c r="C505" i="2" a="1"/>
  <c r="C505" i="2" s="1"/>
  <c r="H505" i="2" a="1"/>
  <c r="H505" i="2" s="1"/>
  <c r="M505" i="2" a="1"/>
  <c r="M505" i="2" s="1"/>
  <c r="O505" i="2" a="1"/>
  <c r="O505" i="2" s="1"/>
  <c r="B506" i="2" a="1"/>
  <c r="B506" i="2" s="1"/>
  <c r="D506" i="2" a="1"/>
  <c r="D506" i="2" s="1"/>
  <c r="F506" i="2" a="1"/>
  <c r="F506" i="2" s="1"/>
  <c r="B507" i="2" a="1"/>
  <c r="B507" i="2" s="1"/>
  <c r="O507" i="2" a="1"/>
  <c r="O507" i="2" s="1"/>
  <c r="P507" i="2" a="1"/>
  <c r="P507" i="2" s="1"/>
  <c r="C508" i="2" a="1"/>
  <c r="C508" i="2" s="1"/>
  <c r="H508" i="2" a="1"/>
  <c r="H508" i="2" s="1"/>
  <c r="J508" i="2" a="1"/>
  <c r="J508" i="2" s="1"/>
  <c r="E509" i="2" a="1"/>
  <c r="E509" i="2" s="1"/>
  <c r="Q509" i="2" a="1"/>
  <c r="Q509" i="2" s="1"/>
  <c r="A510" i="2" a="1"/>
  <c r="A510" i="2" s="1"/>
  <c r="F510" i="2" a="1"/>
  <c r="F510" i="2" s="1"/>
  <c r="L510" i="2" a="1"/>
  <c r="L510" i="2" s="1"/>
  <c r="N510" i="2" a="1"/>
  <c r="N510" i="2" s="1"/>
  <c r="O510" i="2" a="1"/>
  <c r="O510" i="2" s="1"/>
  <c r="Q510" i="2" a="1"/>
  <c r="Q510" i="2" s="1"/>
  <c r="C511" i="2" a="1"/>
  <c r="C511" i="2" s="1"/>
  <c r="E511" i="2" a="1"/>
  <c r="E511" i="2" s="1"/>
  <c r="F511" i="2" a="1"/>
  <c r="F511" i="2" s="1"/>
  <c r="H511" i="2" a="1"/>
  <c r="H511" i="2" s="1"/>
  <c r="L511" i="2" a="1"/>
  <c r="L511" i="2" s="1"/>
  <c r="B512" i="2" a="1"/>
  <c r="B512" i="2" s="1"/>
  <c r="N512" i="2" a="1"/>
  <c r="N512" i="2" s="1"/>
  <c r="J513" i="2" a="1"/>
  <c r="J513" i="2" s="1"/>
  <c r="Q514" i="2" a="1"/>
  <c r="Q514" i="2" s="1"/>
  <c r="C515" i="2" a="1"/>
  <c r="C515" i="2" s="1"/>
  <c r="D515" i="2" a="1"/>
  <c r="D515" i="2" s="1"/>
  <c r="L515" i="2" a="1"/>
  <c r="L515" i="2" s="1"/>
  <c r="A516" i="2" a="1"/>
  <c r="A516" i="2" s="1"/>
  <c r="J516" i="2" a="1"/>
  <c r="J516" i="2" s="1"/>
  <c r="D517" i="2" a="1"/>
  <c r="D517" i="2" s="1"/>
  <c r="G517" i="2" a="1"/>
  <c r="G517" i="2" s="1"/>
  <c r="J517" i="2" a="1"/>
  <c r="J517" i="2" s="1"/>
  <c r="P517" i="2" a="1"/>
  <c r="P517" i="2" s="1"/>
  <c r="A518" i="2" a="1"/>
  <c r="A518" i="2" s="1"/>
  <c r="C518" i="2" a="1"/>
  <c r="C518" i="2" s="1"/>
  <c r="G518" i="2" a="1"/>
  <c r="G518" i="2" s="1"/>
  <c r="I518" i="2" a="1"/>
  <c r="I518" i="2" s="1"/>
  <c r="L518" i="2" a="1"/>
  <c r="L518" i="2" s="1"/>
  <c r="M518" i="2" a="1"/>
  <c r="M518" i="2" s="1"/>
  <c r="A519" i="2" a="1"/>
  <c r="A519" i="2" s="1"/>
  <c r="F519" i="2" a="1"/>
  <c r="F519" i="2" s="1"/>
  <c r="H519" i="2" a="1"/>
  <c r="H519" i="2" s="1"/>
  <c r="J519" i="2" a="1"/>
  <c r="J519" i="2" s="1"/>
  <c r="P519" i="2" a="1"/>
  <c r="P519" i="2" s="1"/>
  <c r="Q519" i="2" a="1"/>
  <c r="Q519" i="2" s="1"/>
  <c r="B520" i="2" a="1"/>
  <c r="B520" i="2" s="1"/>
  <c r="D520" i="2" a="1"/>
  <c r="D520" i="2" s="1"/>
  <c r="I520" i="2" a="1"/>
  <c r="I520" i="2" s="1"/>
  <c r="J520" i="2" a="1"/>
  <c r="J520" i="2" s="1"/>
  <c r="K520" i="2" a="1"/>
  <c r="K520" i="2" s="1"/>
  <c r="L520" i="2" a="1"/>
  <c r="L520" i="2" s="1"/>
  <c r="M520" i="2" a="1"/>
  <c r="M520" i="2" s="1"/>
  <c r="O520" i="2" a="1"/>
  <c r="O520" i="2" s="1"/>
  <c r="P520" i="2" a="1"/>
  <c r="P520" i="2" s="1"/>
  <c r="H521" i="2" a="1"/>
  <c r="H521" i="2" s="1"/>
  <c r="J521" i="2" a="1"/>
  <c r="J521" i="2" s="1"/>
  <c r="C522" i="2" a="1"/>
  <c r="C522" i="2" s="1"/>
  <c r="H522" i="2" a="1"/>
  <c r="H522" i="2" s="1"/>
  <c r="K522" i="2" a="1"/>
  <c r="K522" i="2" s="1"/>
  <c r="P522" i="2" a="1"/>
  <c r="P522" i="2" s="1"/>
  <c r="Q522" i="2" a="1"/>
  <c r="Q522" i="2" s="1"/>
  <c r="A523" i="2" a="1"/>
  <c r="A523" i="2" s="1"/>
  <c r="E523" i="2" a="1"/>
  <c r="E523" i="2" s="1"/>
  <c r="G523" i="2" a="1"/>
  <c r="G523" i="2" s="1"/>
  <c r="I523" i="2" a="1"/>
  <c r="I523" i="2" s="1"/>
  <c r="M523" i="2" a="1"/>
  <c r="M523" i="2" s="1"/>
  <c r="N523" i="2" a="1"/>
  <c r="N523" i="2" s="1"/>
  <c r="O523" i="2" a="1"/>
  <c r="O523" i="2" s="1"/>
  <c r="I524" i="2" a="1"/>
  <c r="I524" i="2" s="1"/>
  <c r="J524" i="2" a="1"/>
  <c r="J524" i="2" s="1"/>
  <c r="A525" i="2" a="1"/>
  <c r="A525" i="2" s="1"/>
  <c r="F525" i="2" a="1"/>
  <c r="F525" i="2" s="1"/>
  <c r="I525" i="2" a="1"/>
  <c r="I525" i="2" s="1"/>
  <c r="K525" i="2" a="1"/>
  <c r="K525" i="2" s="1"/>
  <c r="L525" i="2" a="1"/>
  <c r="L525" i="2" s="1"/>
  <c r="N525" i="2" a="1"/>
  <c r="N525" i="2" s="1"/>
  <c r="Q525" i="2" a="1"/>
  <c r="Q525" i="2" s="1"/>
  <c r="B526" i="2" a="1"/>
  <c r="B526" i="2" s="1"/>
  <c r="D526" i="2" a="1"/>
  <c r="D526" i="2" s="1"/>
  <c r="D527" i="2" a="1"/>
  <c r="D527" i="2" s="1"/>
  <c r="G527" i="2" a="1"/>
  <c r="G527" i="2" s="1"/>
  <c r="K527" i="2" a="1"/>
  <c r="K527" i="2" s="1"/>
  <c r="O527" i="2" a="1"/>
  <c r="O527" i="2" s="1"/>
  <c r="Q527" i="2" a="1"/>
  <c r="Q527" i="2" s="1"/>
  <c r="B528" i="2" a="1"/>
  <c r="B528" i="2" s="1"/>
  <c r="E528" i="2" a="1"/>
  <c r="E528" i="2" s="1"/>
  <c r="H528" i="2" a="1"/>
  <c r="H528" i="2" s="1"/>
  <c r="L528" i="2" a="1"/>
  <c r="L528" i="2" s="1"/>
  <c r="I529" i="2" a="1"/>
  <c r="I529" i="2" s="1"/>
  <c r="O529" i="2" a="1"/>
  <c r="O529" i="2" s="1"/>
  <c r="I530" i="2" a="1"/>
  <c r="I530" i="2" s="1"/>
  <c r="J530" i="2" a="1"/>
  <c r="J530" i="2" s="1"/>
  <c r="O530" i="2" a="1"/>
  <c r="O530" i="2" s="1"/>
  <c r="B531" i="2" a="1"/>
  <c r="B531" i="2" s="1"/>
  <c r="C531" i="2" a="1"/>
  <c r="C531" i="2" s="1"/>
  <c r="D531" i="2" a="1"/>
  <c r="D531" i="2" s="1"/>
  <c r="G531" i="2" a="1"/>
  <c r="G531" i="2" s="1"/>
  <c r="P531" i="2" a="1"/>
  <c r="P531" i="2" s="1"/>
  <c r="Q531" i="2" a="1"/>
  <c r="Q531" i="2" s="1"/>
  <c r="I532" i="2" a="1"/>
  <c r="I532" i="2" s="1"/>
  <c r="J532" i="2" a="1"/>
  <c r="J532" i="2" s="1"/>
  <c r="M532" i="2" a="1"/>
  <c r="M532" i="2" s="1"/>
  <c r="H533" i="2" a="1"/>
  <c r="H533" i="2" s="1"/>
  <c r="J533" i="2" a="1"/>
  <c r="J533" i="2" s="1"/>
  <c r="K533" i="2" a="1"/>
  <c r="K533" i="2" s="1"/>
  <c r="E534" i="2" a="1"/>
  <c r="E534" i="2" s="1"/>
  <c r="F534" i="2" a="1"/>
  <c r="F534" i="2" s="1"/>
  <c r="L534" i="2" a="1"/>
  <c r="L534" i="2" s="1"/>
  <c r="M534" i="2" a="1"/>
  <c r="M534" i="2" s="1"/>
  <c r="O534" i="2" a="1"/>
  <c r="O534" i="2" s="1"/>
  <c r="H535" i="2" a="1"/>
  <c r="H535" i="2" s="1"/>
  <c r="O535" i="2" a="1"/>
  <c r="O535" i="2" s="1"/>
  <c r="Q535" i="2" a="1"/>
  <c r="Q535" i="2" s="1"/>
  <c r="B536" i="2" a="1"/>
  <c r="B536" i="2" s="1"/>
  <c r="C536" i="2" a="1"/>
  <c r="C536" i="2" s="1"/>
  <c r="O536" i="2" a="1"/>
  <c r="O536" i="2" s="1"/>
  <c r="P536" i="2" a="1"/>
  <c r="P536" i="2" s="1"/>
  <c r="A537" i="2" a="1"/>
  <c r="A537" i="2" s="1"/>
  <c r="N537" i="2" a="1"/>
  <c r="N537" i="2" s="1"/>
  <c r="C538" i="2" a="1"/>
  <c r="C538" i="2" s="1"/>
  <c r="G538" i="2" a="1"/>
  <c r="G538" i="2" s="1"/>
  <c r="I538" i="2" a="1"/>
  <c r="I538" i="2" s="1"/>
  <c r="O538" i="2" a="1"/>
  <c r="O538" i="2" s="1"/>
  <c r="A539" i="2" a="1"/>
  <c r="A539" i="2" s="1"/>
  <c r="B539" i="2" a="1"/>
  <c r="B539" i="2" s="1"/>
  <c r="C539" i="2" a="1"/>
  <c r="C539" i="2" s="1"/>
  <c r="E539" i="2" a="1"/>
  <c r="E539" i="2" s="1"/>
  <c r="G539" i="2" a="1"/>
  <c r="G539" i="2" s="1"/>
  <c r="I539" i="2" a="1"/>
  <c r="I539" i="2" s="1"/>
  <c r="K539" i="2" a="1"/>
  <c r="K539" i="2" s="1"/>
  <c r="L539" i="2" a="1"/>
  <c r="L539" i="2" s="1"/>
  <c r="N539" i="2" a="1"/>
  <c r="N539" i="2" s="1"/>
  <c r="P539" i="2" a="1"/>
  <c r="P539" i="2" s="1"/>
  <c r="Q539" i="2" a="1"/>
  <c r="Q539" i="2" s="1"/>
  <c r="A540" i="2" a="1"/>
  <c r="A540" i="2" s="1"/>
  <c r="C540" i="2" a="1"/>
  <c r="C540" i="2" s="1"/>
  <c r="D540" i="2" a="1"/>
  <c r="D540" i="2" s="1"/>
  <c r="E540" i="2" a="1"/>
  <c r="E540" i="2" s="1"/>
  <c r="G540" i="2" a="1"/>
  <c r="G540" i="2" s="1"/>
  <c r="I540" i="2" a="1"/>
  <c r="I540" i="2" s="1"/>
  <c r="J540" i="2" a="1"/>
  <c r="J540" i="2" s="1"/>
  <c r="K540" i="2" a="1"/>
  <c r="K540" i="2" s="1"/>
  <c r="L540" i="2" a="1"/>
  <c r="L540" i="2" s="1"/>
  <c r="O540" i="2" a="1"/>
  <c r="O540" i="2" s="1"/>
  <c r="P540" i="2" a="1"/>
  <c r="P540" i="2" s="1"/>
  <c r="B541" i="2" a="1"/>
  <c r="B541" i="2" s="1"/>
  <c r="E541" i="2" a="1"/>
  <c r="E541" i="2" s="1"/>
  <c r="G541" i="2" a="1"/>
  <c r="G541" i="2" s="1"/>
  <c r="J541" i="2" a="1"/>
  <c r="J541" i="2" s="1"/>
  <c r="L541" i="2" a="1"/>
  <c r="L541" i="2" s="1"/>
  <c r="N541" i="2" a="1"/>
  <c r="N541" i="2" s="1"/>
  <c r="P541" i="2" a="1"/>
  <c r="P541" i="2" s="1"/>
  <c r="Q541" i="2" a="1"/>
  <c r="Q541" i="2" s="1"/>
  <c r="A542" i="2" a="1"/>
  <c r="A542" i="2" s="1"/>
  <c r="C542" i="2" a="1"/>
  <c r="C542" i="2" s="1"/>
  <c r="E542" i="2" a="1"/>
  <c r="E542" i="2" s="1"/>
  <c r="G542" i="2" a="1"/>
  <c r="G542" i="2" s="1"/>
  <c r="I542" i="2" a="1"/>
  <c r="I542" i="2" s="1"/>
  <c r="J542" i="2" a="1"/>
  <c r="J542" i="2" s="1"/>
  <c r="N542" i="2" a="1"/>
  <c r="N542" i="2" s="1"/>
  <c r="A543" i="2" a="1"/>
  <c r="A543" i="2" s="1"/>
  <c r="C543" i="2" a="1"/>
  <c r="C543" i="2" s="1"/>
  <c r="D543" i="2" a="1"/>
  <c r="D543" i="2" s="1"/>
  <c r="E543" i="2" a="1"/>
  <c r="E543" i="2" s="1"/>
  <c r="G543" i="2" a="1"/>
  <c r="G543" i="2" s="1"/>
  <c r="H543" i="2" a="1"/>
  <c r="H543" i="2" s="1"/>
  <c r="K543" i="2" a="1"/>
  <c r="K543" i="2" s="1"/>
  <c r="M543" i="2" a="1"/>
  <c r="M543" i="2" s="1"/>
  <c r="N543" i="2" a="1"/>
  <c r="N543" i="2" s="1"/>
  <c r="O543" i="2" a="1"/>
  <c r="O543" i="2" s="1"/>
  <c r="A544" i="2" a="1"/>
  <c r="A544" i="2" s="1"/>
  <c r="B544" i="2" a="1"/>
  <c r="B544" i="2" s="1"/>
  <c r="C544" i="2" a="1"/>
  <c r="C544" i="2" s="1"/>
  <c r="F544" i="2" a="1"/>
  <c r="F544" i="2" s="1"/>
  <c r="G544" i="2" a="1"/>
  <c r="G544" i="2" s="1"/>
  <c r="I544" i="2" a="1"/>
  <c r="I544" i="2" s="1"/>
  <c r="L544" i="2" a="1"/>
  <c r="L544" i="2" s="1"/>
  <c r="N544" i="2" a="1"/>
  <c r="N544" i="2" s="1"/>
  <c r="A545" i="2" a="1"/>
  <c r="A545" i="2" s="1"/>
  <c r="B545" i="2" a="1"/>
  <c r="B545" i="2" s="1"/>
  <c r="C545" i="2" a="1"/>
  <c r="C545" i="2" s="1"/>
  <c r="E545" i="2" a="1"/>
  <c r="E545" i="2" s="1"/>
  <c r="G545" i="2" a="1"/>
  <c r="G545" i="2" s="1"/>
  <c r="H545" i="2" a="1"/>
  <c r="H545" i="2" s="1"/>
  <c r="I545" i="2" a="1"/>
  <c r="I545" i="2" s="1"/>
  <c r="J545" i="2" a="1"/>
  <c r="J545" i="2" s="1"/>
  <c r="K545" i="2" a="1"/>
  <c r="K545" i="2" s="1"/>
  <c r="C546" i="2" a="1"/>
  <c r="C546" i="2" s="1"/>
  <c r="F546" i="2" a="1"/>
  <c r="F546" i="2" s="1"/>
  <c r="K546" i="2" a="1"/>
  <c r="K546" i="2" s="1"/>
  <c r="N546" i="2" a="1"/>
  <c r="N546" i="2" s="1"/>
  <c r="A547" i="2" a="1"/>
  <c r="A547" i="2" s="1"/>
  <c r="B547" i="2" a="1"/>
  <c r="B547" i="2" s="1"/>
  <c r="C547" i="2" a="1"/>
  <c r="C547" i="2" s="1"/>
  <c r="D547" i="2" a="1"/>
  <c r="D547" i="2" s="1"/>
  <c r="E547" i="2" a="1"/>
  <c r="E547" i="2" s="1"/>
  <c r="H547" i="2" a="1"/>
  <c r="H547" i="2" s="1"/>
  <c r="K547" i="2" a="1"/>
  <c r="K547" i="2" s="1"/>
  <c r="L547" i="2" a="1"/>
  <c r="L547" i="2" s="1"/>
  <c r="N547" i="2" a="1"/>
  <c r="N547" i="2" s="1"/>
  <c r="P547" i="2" a="1"/>
  <c r="P547" i="2" s="1"/>
  <c r="F548" i="2" a="1"/>
  <c r="F548" i="2" s="1"/>
  <c r="G548" i="2" a="1"/>
  <c r="G548" i="2" s="1"/>
  <c r="H548" i="2" a="1"/>
  <c r="H548" i="2" s="1"/>
  <c r="L548" i="2" a="1"/>
  <c r="L548" i="2" s="1"/>
  <c r="N548" i="2" a="1"/>
  <c r="N548" i="2" s="1"/>
  <c r="A549" i="2" a="1"/>
  <c r="A549" i="2" s="1"/>
  <c r="B549" i="2" a="1"/>
  <c r="B549" i="2" s="1"/>
  <c r="E549" i="2" a="1"/>
  <c r="E549" i="2" s="1"/>
  <c r="J549" i="2" a="1"/>
  <c r="J549" i="2" s="1"/>
  <c r="K549" i="2" a="1"/>
  <c r="K549" i="2" s="1"/>
  <c r="N549" i="2" a="1"/>
  <c r="N549" i="2" s="1"/>
  <c r="C550" i="2" a="1"/>
  <c r="C550" i="2" s="1"/>
  <c r="D550" i="2" a="1"/>
  <c r="D550" i="2" s="1"/>
  <c r="J550" i="2" a="1"/>
  <c r="J550" i="2" s="1"/>
  <c r="A551" i="2" a="1"/>
  <c r="A551" i="2" s="1"/>
  <c r="C551" i="2" a="1"/>
  <c r="C551" i="2" s="1"/>
  <c r="D551" i="2" a="1"/>
  <c r="D551" i="2" s="1"/>
  <c r="E551" i="2" a="1"/>
  <c r="E551" i="2" s="1"/>
  <c r="F551" i="2" a="1"/>
  <c r="F551" i="2" s="1"/>
  <c r="H551" i="2" a="1"/>
  <c r="H551" i="2" s="1"/>
  <c r="I551" i="2" a="1"/>
  <c r="I551" i="2" s="1"/>
  <c r="J551" i="2" a="1"/>
  <c r="J551" i="2" s="1"/>
  <c r="K551" i="2" a="1"/>
  <c r="K551" i="2" s="1"/>
  <c r="O551" i="2" a="1"/>
  <c r="O551" i="2" s="1"/>
  <c r="P551" i="2" a="1"/>
  <c r="P551" i="2" s="1"/>
  <c r="A552" i="2" a="1"/>
  <c r="A552" i="2" s="1"/>
  <c r="B552" i="2" a="1"/>
  <c r="B552" i="2" s="1"/>
  <c r="C552" i="2" a="1"/>
  <c r="C552" i="2" s="1"/>
  <c r="D552" i="2" a="1"/>
  <c r="D552" i="2" s="1"/>
  <c r="E552" i="2" a="1"/>
  <c r="E552" i="2" s="1"/>
  <c r="F552" i="2" a="1"/>
  <c r="F552" i="2" s="1"/>
  <c r="G552" i="2" a="1"/>
  <c r="G552" i="2" s="1"/>
  <c r="H552" i="2" a="1"/>
  <c r="H552" i="2" s="1"/>
  <c r="I552" i="2" a="1"/>
  <c r="I552" i="2" s="1"/>
  <c r="J552" i="2" a="1"/>
  <c r="J552" i="2" s="1"/>
  <c r="K552" i="2" a="1"/>
  <c r="K552" i="2" s="1"/>
  <c r="M552" i="2" a="1"/>
  <c r="M552" i="2" s="1"/>
  <c r="O552" i="2" a="1"/>
  <c r="O552" i="2" s="1"/>
  <c r="Q552" i="2" a="1"/>
  <c r="Q552" i="2" s="1"/>
  <c r="H553" i="2" a="1"/>
  <c r="H553" i="2" s="1"/>
  <c r="I553" i="2" a="1"/>
  <c r="I553" i="2" s="1"/>
  <c r="J553" i="2" a="1"/>
  <c r="J553" i="2" s="1"/>
  <c r="K553" i="2" a="1"/>
  <c r="K553" i="2" s="1"/>
  <c r="M553" i="2" a="1"/>
  <c r="M553" i="2" s="1"/>
  <c r="C554" i="2" a="1"/>
  <c r="C554" i="2" s="1"/>
  <c r="D554" i="2" a="1"/>
  <c r="D554" i="2" s="1"/>
  <c r="E554" i="2" a="1"/>
  <c r="E554" i="2" s="1"/>
  <c r="F554" i="2" a="1"/>
  <c r="F554" i="2" s="1"/>
  <c r="H554" i="2" a="1"/>
  <c r="H554" i="2" s="1"/>
  <c r="K554" i="2" a="1"/>
  <c r="K554" i="2" s="1"/>
  <c r="M554" i="2" a="1"/>
  <c r="M554" i="2" s="1"/>
  <c r="O554" i="2" a="1"/>
  <c r="O554" i="2" s="1"/>
  <c r="P554" i="2" a="1"/>
  <c r="P554" i="2" s="1"/>
  <c r="B555" i="2" a="1"/>
  <c r="B555" i="2" s="1"/>
  <c r="H555" i="2" a="1"/>
  <c r="H555" i="2" s="1"/>
  <c r="K555" i="2" a="1"/>
  <c r="K555" i="2" s="1"/>
  <c r="B556" i="2" a="1"/>
  <c r="B556" i="2" s="1"/>
  <c r="C556" i="2" a="1"/>
  <c r="C556" i="2" s="1"/>
  <c r="E556" i="2" a="1"/>
  <c r="E556" i="2" s="1"/>
  <c r="G556" i="2" a="1"/>
  <c r="G556" i="2" s="1"/>
  <c r="I556" i="2" a="1"/>
  <c r="I556" i="2" s="1"/>
  <c r="J556" i="2" a="1"/>
  <c r="J556" i="2" s="1"/>
  <c r="L556" i="2" a="1"/>
  <c r="L556" i="2" s="1"/>
  <c r="M556" i="2" a="1"/>
  <c r="M556" i="2" s="1"/>
  <c r="O556" i="2" a="1"/>
  <c r="O556" i="2" s="1"/>
  <c r="Q556" i="2" a="1"/>
  <c r="Q556" i="2" s="1"/>
  <c r="C557" i="2" a="1"/>
  <c r="C557" i="2" s="1"/>
  <c r="E557" i="2" a="1"/>
  <c r="E557" i="2" s="1"/>
  <c r="M557" i="2" a="1"/>
  <c r="M557" i="2" s="1"/>
  <c r="O557" i="2" a="1"/>
  <c r="O557" i="2" s="1"/>
  <c r="A558" i="2" a="1"/>
  <c r="A558" i="2" s="1"/>
  <c r="B558" i="2" a="1"/>
  <c r="B558" i="2" s="1"/>
  <c r="C558" i="2" a="1"/>
  <c r="C558" i="2" s="1"/>
  <c r="D558" i="2" a="1"/>
  <c r="D558" i="2" s="1"/>
  <c r="F558" i="2" a="1"/>
  <c r="F558" i="2" s="1"/>
  <c r="G558" i="2" a="1"/>
  <c r="G558" i="2" s="1"/>
  <c r="I558" i="2" a="1"/>
  <c r="I558" i="2" s="1"/>
  <c r="J558" i="2" a="1"/>
  <c r="J558" i="2" s="1"/>
  <c r="L558" i="2" a="1"/>
  <c r="L558" i="2" s="1"/>
  <c r="M558" i="2" a="1"/>
  <c r="M558" i="2" s="1"/>
  <c r="N558" i="2" a="1"/>
  <c r="N558" i="2" s="1"/>
  <c r="D559" i="2" a="1"/>
  <c r="D559" i="2" s="1"/>
  <c r="H559" i="2" a="1"/>
  <c r="H559" i="2" s="1"/>
  <c r="I559" i="2" a="1"/>
  <c r="I559" i="2" s="1"/>
  <c r="J559" i="2" a="1"/>
  <c r="J559" i="2" s="1"/>
  <c r="K559" i="2" a="1"/>
  <c r="K559" i="2" s="1"/>
  <c r="N559" i="2" a="1"/>
  <c r="N559" i="2" s="1"/>
  <c r="P559" i="2" a="1"/>
  <c r="P559" i="2" s="1"/>
  <c r="Q559" i="2" a="1"/>
  <c r="Q559" i="2" s="1"/>
  <c r="C560" i="2" a="1"/>
  <c r="C560" i="2" s="1"/>
  <c r="F560" i="2" a="1"/>
  <c r="F560" i="2" s="1"/>
  <c r="G560" i="2" a="1"/>
  <c r="G560" i="2" s="1"/>
  <c r="J560" i="2" a="1"/>
  <c r="J560" i="2" s="1"/>
  <c r="L560" i="2" a="1"/>
  <c r="L560" i="2" s="1"/>
  <c r="N560" i="2" a="1"/>
  <c r="N560" i="2" s="1"/>
  <c r="O560" i="2" a="1"/>
  <c r="O560" i="2" s="1"/>
  <c r="Q560" i="2" a="1"/>
  <c r="Q560" i="2" s="1"/>
  <c r="B561" i="2" a="1"/>
  <c r="B561" i="2" s="1"/>
  <c r="C561" i="2" a="1"/>
  <c r="C561" i="2" s="1"/>
  <c r="D561" i="2" a="1"/>
  <c r="D561" i="2" s="1"/>
  <c r="H561" i="2" a="1"/>
  <c r="H561" i="2" s="1"/>
  <c r="L561" i="2" a="1"/>
  <c r="L561" i="2" s="1"/>
  <c r="N561" i="2" a="1"/>
  <c r="N561" i="2" s="1"/>
  <c r="O561" i="2" a="1"/>
  <c r="O561" i="2" s="1"/>
  <c r="P561" i="2" a="1"/>
  <c r="P561" i="2" s="1"/>
  <c r="Q561" i="2" a="1"/>
  <c r="Q561" i="2" s="1"/>
  <c r="A562" i="2" a="1"/>
  <c r="A562" i="2" s="1"/>
  <c r="B562" i="2" a="1"/>
  <c r="B562" i="2" s="1"/>
  <c r="C562" i="2" a="1"/>
  <c r="C562" i="2" s="1"/>
  <c r="D562" i="2" a="1"/>
  <c r="D562" i="2" s="1"/>
  <c r="E562" i="2" a="1"/>
  <c r="E562" i="2" s="1"/>
  <c r="F562" i="2" a="1"/>
  <c r="F562" i="2" s="1"/>
  <c r="G562" i="2" a="1"/>
  <c r="G562" i="2" s="1"/>
  <c r="H562" i="2" a="1"/>
  <c r="H562" i="2" s="1"/>
  <c r="I562" i="2" a="1"/>
  <c r="I562" i="2" s="1"/>
  <c r="J562" i="2" a="1"/>
  <c r="J562" i="2" s="1"/>
  <c r="K562" i="2" a="1"/>
  <c r="K562" i="2" s="1"/>
  <c r="L562" i="2" a="1"/>
  <c r="L562" i="2" s="1"/>
  <c r="M562" i="2" a="1"/>
  <c r="M562" i="2" s="1"/>
  <c r="N562" i="2" a="1"/>
  <c r="N562" i="2" s="1"/>
  <c r="O562" i="2" a="1"/>
  <c r="O562" i="2" s="1"/>
  <c r="P562" i="2" a="1"/>
  <c r="P562" i="2" s="1"/>
  <c r="Q562" i="2" a="1"/>
  <c r="Q562" i="2" s="1"/>
  <c r="A563" i="2" a="1"/>
  <c r="A563" i="2" s="1"/>
  <c r="B563" i="2" a="1"/>
  <c r="B563" i="2" s="1"/>
  <c r="C563" i="2" a="1"/>
  <c r="C563" i="2" s="1"/>
  <c r="D563" i="2" a="1"/>
  <c r="D563" i="2" s="1"/>
  <c r="E563" i="2" a="1"/>
  <c r="E563" i="2" s="1"/>
  <c r="F563" i="2" a="1"/>
  <c r="F563" i="2" s="1"/>
  <c r="G563" i="2" a="1"/>
  <c r="G563" i="2" s="1"/>
  <c r="H563" i="2" a="1"/>
  <c r="H563" i="2" s="1"/>
  <c r="I563" i="2" a="1"/>
  <c r="I563" i="2" s="1"/>
  <c r="J563" i="2" a="1"/>
  <c r="J563" i="2" s="1"/>
  <c r="K563" i="2" a="1"/>
  <c r="K563" i="2" s="1"/>
  <c r="L563" i="2" a="1"/>
  <c r="L563" i="2" s="1"/>
  <c r="M563" i="2" a="1"/>
  <c r="M563" i="2" s="1"/>
  <c r="N563" i="2" a="1"/>
  <c r="N563" i="2" s="1"/>
  <c r="O563" i="2" a="1"/>
  <c r="O563" i="2" s="1"/>
  <c r="P563" i="2" a="1"/>
  <c r="P563" i="2" s="1"/>
  <c r="Q563" i="2" a="1"/>
  <c r="Q563" i="2" s="1"/>
  <c r="A564" i="2" a="1"/>
  <c r="A564" i="2" s="1"/>
  <c r="B564" i="2" a="1"/>
  <c r="B564" i="2" s="1"/>
  <c r="C564" i="2" a="1"/>
  <c r="C564" i="2" s="1"/>
  <c r="D564" i="2" a="1"/>
  <c r="D564" i="2" s="1"/>
  <c r="E564" i="2" a="1"/>
  <c r="E564" i="2" s="1"/>
  <c r="F564" i="2" a="1"/>
  <c r="F564" i="2" s="1"/>
  <c r="G564" i="2" a="1"/>
  <c r="G564" i="2" s="1"/>
  <c r="H564" i="2" a="1"/>
  <c r="H564" i="2" s="1"/>
  <c r="I564" i="2" a="1"/>
  <c r="I564" i="2" s="1"/>
  <c r="J564" i="2" a="1"/>
  <c r="J564" i="2" s="1"/>
  <c r="K564" i="2" a="1"/>
  <c r="K564" i="2" s="1"/>
  <c r="L564" i="2" a="1"/>
  <c r="L564" i="2" s="1"/>
  <c r="M564" i="2" a="1"/>
  <c r="M564" i="2" s="1"/>
  <c r="N564" i="2" a="1"/>
  <c r="N564" i="2" s="1"/>
  <c r="O564" i="2" a="1"/>
  <c r="O564" i="2" s="1"/>
  <c r="P564" i="2" a="1"/>
  <c r="P564" i="2" s="1"/>
  <c r="Q564" i="2" a="1"/>
  <c r="Q564" i="2" s="1"/>
  <c r="A565" i="2" a="1"/>
  <c r="A565" i="2" s="1"/>
  <c r="B565" i="2" a="1"/>
  <c r="B565" i="2" s="1"/>
  <c r="C565" i="2" a="1"/>
  <c r="C565" i="2" s="1"/>
  <c r="D565" i="2" a="1"/>
  <c r="D565" i="2" s="1"/>
  <c r="E565" i="2" a="1"/>
  <c r="E565" i="2" s="1"/>
  <c r="F565" i="2" a="1"/>
  <c r="F565" i="2" s="1"/>
  <c r="G565" i="2" a="1"/>
  <c r="G565" i="2" s="1"/>
  <c r="H565" i="2" a="1"/>
  <c r="H565" i="2" s="1"/>
  <c r="I565" i="2" a="1"/>
  <c r="I565" i="2" s="1"/>
  <c r="J565" i="2" a="1"/>
  <c r="J565" i="2" s="1"/>
  <c r="K565" i="2" a="1"/>
  <c r="K565" i="2" s="1"/>
  <c r="L565" i="2" a="1"/>
  <c r="L565" i="2" s="1"/>
  <c r="M565" i="2" a="1"/>
  <c r="M565" i="2" s="1"/>
  <c r="N565" i="2" a="1"/>
  <c r="N565" i="2" s="1"/>
  <c r="O565" i="2" a="1"/>
  <c r="O565" i="2" s="1"/>
  <c r="P565" i="2" a="1"/>
  <c r="P565" i="2" s="1"/>
  <c r="E566" i="2" a="1"/>
  <c r="E566" i="2" s="1"/>
  <c r="F566" i="2" a="1"/>
  <c r="F566" i="2" s="1"/>
  <c r="G566" i="2" a="1"/>
  <c r="G566" i="2" s="1"/>
  <c r="H566" i="2" a="1"/>
  <c r="H566" i="2" s="1"/>
  <c r="I566" i="2" a="1"/>
  <c r="I566" i="2" s="1"/>
  <c r="J566" i="2" a="1"/>
  <c r="J566" i="2" s="1"/>
  <c r="K566" i="2" a="1"/>
  <c r="K566" i="2" s="1"/>
  <c r="L566" i="2" a="1"/>
  <c r="L566" i="2" s="1"/>
  <c r="M566" i="2" a="1"/>
  <c r="M566" i="2" s="1"/>
  <c r="N566" i="2" a="1"/>
  <c r="N566" i="2" s="1"/>
  <c r="O566" i="2" a="1"/>
  <c r="O566" i="2" s="1"/>
  <c r="Q566" i="2" a="1"/>
  <c r="Q566" i="2" s="1"/>
  <c r="A567" i="2" a="1"/>
  <c r="A567" i="2" s="1"/>
  <c r="B567" i="2" a="1"/>
  <c r="B567" i="2" s="1"/>
  <c r="C567" i="2" a="1"/>
  <c r="C567" i="2" s="1"/>
  <c r="D567" i="2" a="1"/>
  <c r="D567" i="2" s="1"/>
  <c r="E567" i="2" a="1"/>
  <c r="E567" i="2" s="1"/>
  <c r="F567" i="2" a="1"/>
  <c r="F567" i="2" s="1"/>
  <c r="G567" i="2" a="1"/>
  <c r="G567" i="2" s="1"/>
  <c r="H567" i="2" a="1"/>
  <c r="H567" i="2" s="1"/>
  <c r="I567" i="2" a="1"/>
  <c r="I567" i="2" s="1"/>
  <c r="J567" i="2" a="1"/>
  <c r="J567" i="2" s="1"/>
  <c r="K567" i="2" a="1"/>
  <c r="K567" i="2" s="1"/>
  <c r="L567" i="2" a="1"/>
  <c r="L567" i="2" s="1"/>
  <c r="M567" i="2" a="1"/>
  <c r="M567" i="2" s="1"/>
  <c r="N567" i="2" a="1"/>
  <c r="N567" i="2" s="1"/>
  <c r="O567" i="2" a="1"/>
  <c r="O567" i="2" s="1"/>
  <c r="P567" i="2" a="1"/>
  <c r="P567" i="2" s="1"/>
  <c r="Q567" i="2" a="1"/>
  <c r="Q567" i="2" s="1"/>
  <c r="A568" i="2" a="1"/>
  <c r="A568" i="2" s="1"/>
  <c r="B568" i="2" a="1"/>
  <c r="B568" i="2" s="1"/>
  <c r="C568" i="2" a="1"/>
  <c r="C568" i="2" s="1"/>
  <c r="D568" i="2" a="1"/>
  <c r="D568" i="2" s="1"/>
  <c r="E568" i="2" a="1"/>
  <c r="E568" i="2" s="1"/>
  <c r="F568" i="2" a="1"/>
  <c r="F568" i="2" s="1"/>
  <c r="G568" i="2" a="1"/>
  <c r="G568" i="2" s="1"/>
  <c r="I568" i="2" a="1"/>
  <c r="I568" i="2" s="1"/>
  <c r="K568" i="2" a="1"/>
  <c r="K568" i="2" s="1"/>
  <c r="L568" i="2" a="1"/>
  <c r="L568" i="2" s="1"/>
  <c r="N568" i="2" a="1"/>
  <c r="N568" i="2" s="1"/>
  <c r="P568" i="2" a="1"/>
  <c r="P568" i="2" s="1"/>
  <c r="Q568" i="2" a="1"/>
  <c r="Q568" i="2" s="1"/>
  <c r="B569" i="2" a="1"/>
  <c r="B569" i="2" s="1"/>
  <c r="E569" i="2" a="1"/>
  <c r="E569" i="2" s="1"/>
  <c r="F569" i="2" a="1"/>
  <c r="F569" i="2" s="1"/>
  <c r="L569" i="2" a="1"/>
  <c r="L569" i="2" s="1"/>
  <c r="N569" i="2" a="1"/>
  <c r="N569" i="2" s="1"/>
  <c r="P569" i="2" a="1"/>
  <c r="P569" i="2" s="1"/>
  <c r="Q569" i="2" a="1"/>
  <c r="Q569" i="2" s="1"/>
  <c r="B570" i="2" a="1"/>
  <c r="B570" i="2" s="1"/>
  <c r="C570" i="2" a="1"/>
  <c r="C570" i="2" s="1"/>
  <c r="D570" i="2" a="1"/>
  <c r="D570" i="2" s="1"/>
  <c r="F570" i="2" a="1"/>
  <c r="F570" i="2" s="1"/>
  <c r="H570" i="2" a="1"/>
  <c r="H570" i="2" s="1"/>
  <c r="J570" i="2" a="1"/>
  <c r="J570" i="2" s="1"/>
  <c r="L570" i="2" a="1"/>
  <c r="L570" i="2" s="1"/>
  <c r="N570" i="2" a="1"/>
  <c r="N570" i="2" s="1"/>
  <c r="O570" i="2" a="1"/>
  <c r="O570" i="2" s="1"/>
  <c r="P570" i="2" a="1"/>
  <c r="P570" i="2" s="1"/>
  <c r="Q570" i="2" a="1"/>
  <c r="Q570" i="2" s="1"/>
  <c r="C571" i="2" a="1"/>
  <c r="C571" i="2" s="1"/>
  <c r="D571" i="2" a="1"/>
  <c r="D571" i="2" s="1"/>
  <c r="F571" i="2" a="1"/>
  <c r="F571" i="2" s="1"/>
  <c r="H571" i="2" a="1"/>
  <c r="H571" i="2" s="1"/>
  <c r="K571" i="2" a="1"/>
  <c r="K571" i="2" s="1"/>
  <c r="L571" i="2" a="1"/>
  <c r="L571" i="2" s="1"/>
  <c r="N571" i="2" a="1"/>
  <c r="N571" i="2" s="1"/>
  <c r="O571" i="2" a="1"/>
  <c r="O571" i="2" s="1"/>
  <c r="P571" i="2" a="1"/>
  <c r="P571" i="2" s="1"/>
  <c r="Q571" i="2" a="1"/>
  <c r="Q571" i="2" s="1"/>
  <c r="A572" i="2" a="1"/>
  <c r="A572" i="2" s="1"/>
  <c r="B572" i="2" a="1"/>
  <c r="B572" i="2" s="1"/>
  <c r="C572" i="2" a="1"/>
  <c r="C572" i="2" s="1"/>
  <c r="D572" i="2" a="1"/>
  <c r="D572" i="2" s="1"/>
  <c r="E572" i="2" a="1"/>
  <c r="E572" i="2" s="1"/>
  <c r="F572" i="2" a="1"/>
  <c r="F572" i="2" s="1"/>
  <c r="G572" i="2" a="1"/>
  <c r="G572" i="2" s="1"/>
  <c r="H572" i="2" a="1"/>
  <c r="H572" i="2" s="1"/>
  <c r="I572" i="2" a="1"/>
  <c r="I572" i="2" s="1"/>
  <c r="J572" i="2" a="1"/>
  <c r="J572" i="2" s="1"/>
  <c r="K572" i="2" a="1"/>
  <c r="K572" i="2" s="1"/>
  <c r="L572" i="2" a="1"/>
  <c r="L572" i="2" s="1"/>
  <c r="M572" i="2" a="1"/>
  <c r="M572" i="2" s="1"/>
  <c r="N572" i="2" a="1"/>
  <c r="N572" i="2" s="1"/>
  <c r="O572" i="2" a="1"/>
  <c r="O572" i="2" s="1"/>
  <c r="P572" i="2" a="1"/>
  <c r="P572" i="2" s="1"/>
  <c r="Q572" i="2" a="1"/>
  <c r="Q572" i="2" s="1"/>
  <c r="A573" i="2" a="1"/>
  <c r="A573" i="2" s="1"/>
  <c r="B573" i="2" a="1"/>
  <c r="B573" i="2" s="1"/>
  <c r="C573" i="2" a="1"/>
  <c r="C573" i="2" s="1"/>
  <c r="D573" i="2" a="1"/>
  <c r="D573" i="2" s="1"/>
  <c r="E573" i="2" a="1"/>
  <c r="E573" i="2" s="1"/>
  <c r="F573" i="2" a="1"/>
  <c r="F573" i="2" s="1"/>
  <c r="G573" i="2" a="1"/>
  <c r="G573" i="2" s="1"/>
  <c r="H573" i="2" a="1"/>
  <c r="H573" i="2" s="1"/>
  <c r="I573" i="2" a="1"/>
  <c r="I573" i="2" s="1"/>
  <c r="J573" i="2" a="1"/>
  <c r="J573" i="2" s="1"/>
  <c r="K573" i="2" a="1"/>
  <c r="K573" i="2" s="1"/>
  <c r="L573" i="2" a="1"/>
  <c r="L573" i="2" s="1"/>
  <c r="M573" i="2" a="1"/>
  <c r="M573" i="2" s="1"/>
  <c r="N573" i="2" a="1"/>
  <c r="N573" i="2" s="1"/>
  <c r="O573" i="2" a="1"/>
  <c r="O573" i="2" s="1"/>
  <c r="P573" i="2" a="1"/>
  <c r="P573" i="2" s="1"/>
  <c r="Q573" i="2" a="1"/>
  <c r="Q573" i="2" s="1"/>
  <c r="A574" i="2" a="1"/>
  <c r="A574" i="2" s="1"/>
  <c r="B574" i="2" a="1"/>
  <c r="B574" i="2" s="1"/>
  <c r="C574" i="2" a="1"/>
  <c r="C574" i="2" s="1"/>
  <c r="D574" i="2" a="1"/>
  <c r="D574" i="2" s="1"/>
  <c r="E574" i="2" a="1"/>
  <c r="E574" i="2" s="1"/>
  <c r="F574" i="2" a="1"/>
  <c r="F574" i="2" s="1"/>
  <c r="G574" i="2" a="1"/>
  <c r="G574" i="2" s="1"/>
  <c r="H574" i="2" a="1"/>
  <c r="H574" i="2" s="1"/>
  <c r="I574" i="2" a="1"/>
  <c r="I574" i="2" s="1"/>
  <c r="J574" i="2" a="1"/>
  <c r="J574" i="2" s="1"/>
  <c r="K574" i="2" a="1"/>
  <c r="K574" i="2" s="1"/>
  <c r="L574" i="2" a="1"/>
  <c r="L574" i="2" s="1"/>
  <c r="M574" i="2" a="1"/>
  <c r="M574" i="2" s="1"/>
  <c r="N574" i="2" a="1"/>
  <c r="N574" i="2" s="1"/>
  <c r="O574" i="2" a="1"/>
  <c r="O574" i="2" s="1"/>
  <c r="P574" i="2" a="1"/>
  <c r="P574" i="2" s="1"/>
  <c r="Q574" i="2" a="1"/>
  <c r="Q574" i="2" s="1"/>
  <c r="A575" i="2" a="1"/>
  <c r="A575" i="2" s="1"/>
  <c r="B575" i="2" a="1"/>
  <c r="B575" i="2" s="1"/>
  <c r="C575" i="2" a="1"/>
  <c r="C575" i="2" s="1"/>
  <c r="D575" i="2" a="1"/>
  <c r="D575" i="2" s="1"/>
  <c r="E575" i="2" a="1"/>
  <c r="E575" i="2" s="1"/>
  <c r="F575" i="2" a="1"/>
  <c r="F575" i="2" s="1"/>
  <c r="G575" i="2" a="1"/>
  <c r="G575" i="2" s="1"/>
  <c r="H575" i="2" a="1"/>
  <c r="H575" i="2" s="1"/>
  <c r="I575" i="2" a="1"/>
  <c r="I575" i="2" s="1"/>
  <c r="J575" i="2" a="1"/>
  <c r="J575" i="2" s="1"/>
  <c r="K575" i="2" a="1"/>
  <c r="K575" i="2" s="1"/>
  <c r="L575" i="2" a="1"/>
  <c r="L575" i="2" s="1"/>
  <c r="M575" i="2" a="1"/>
  <c r="M575" i="2" s="1"/>
  <c r="N575" i="2" a="1"/>
  <c r="N575" i="2" s="1"/>
  <c r="O575" i="2" a="1"/>
  <c r="O575" i="2" s="1"/>
  <c r="P575" i="2" a="1"/>
  <c r="P575" i="2" s="1"/>
  <c r="Q575" i="2" a="1"/>
  <c r="Q575" i="2" s="1"/>
  <c r="A576" i="2" a="1"/>
  <c r="A576" i="2" s="1"/>
  <c r="B576" i="2" a="1"/>
  <c r="B576" i="2" s="1"/>
  <c r="C576" i="2" a="1"/>
  <c r="C576" i="2" s="1"/>
  <c r="D576" i="2" a="1"/>
  <c r="D576" i="2" s="1"/>
  <c r="E576" i="2" a="1"/>
  <c r="E576" i="2" s="1"/>
  <c r="F576" i="2" a="1"/>
  <c r="F576" i="2" s="1"/>
  <c r="G576" i="2" a="1"/>
  <c r="G576" i="2" s="1"/>
  <c r="H576" i="2" a="1"/>
  <c r="H576" i="2" s="1"/>
  <c r="I576" i="2" a="1"/>
  <c r="I576" i="2" s="1"/>
  <c r="J576" i="2" a="1"/>
  <c r="J576" i="2" s="1"/>
  <c r="K576" i="2" a="1"/>
  <c r="K576" i="2" s="1"/>
  <c r="L576" i="2" a="1"/>
  <c r="L576" i="2" s="1"/>
  <c r="M576" i="2" a="1"/>
  <c r="M576" i="2" s="1"/>
  <c r="N576" i="2" a="1"/>
  <c r="N576" i="2" s="1"/>
  <c r="O576" i="2" a="1"/>
  <c r="O576" i="2" s="1"/>
  <c r="P576" i="2" a="1"/>
  <c r="P576" i="2" s="1"/>
  <c r="Q576" i="2" a="1"/>
  <c r="Q576" i="2" s="1"/>
  <c r="A577" i="2" a="1"/>
  <c r="A577" i="2" s="1"/>
  <c r="B577" i="2" a="1"/>
  <c r="B577" i="2" s="1"/>
  <c r="C577" i="2" a="1"/>
  <c r="C577" i="2" s="1"/>
  <c r="D577" i="2" a="1"/>
  <c r="D577" i="2" s="1"/>
  <c r="E577" i="2" a="1"/>
  <c r="E577" i="2" s="1"/>
  <c r="F577" i="2" a="1"/>
  <c r="F577" i="2" s="1"/>
  <c r="G577" i="2" a="1"/>
  <c r="G577" i="2" s="1"/>
  <c r="H577" i="2" a="1"/>
  <c r="H577" i="2" s="1"/>
  <c r="I577" i="2" a="1"/>
  <c r="I577" i="2" s="1"/>
  <c r="J577" i="2" a="1"/>
  <c r="J577" i="2" s="1"/>
  <c r="K577" i="2" a="1"/>
  <c r="K577" i="2" s="1"/>
  <c r="L577" i="2" a="1"/>
  <c r="L577" i="2" s="1"/>
  <c r="M577" i="2" a="1"/>
  <c r="M577" i="2" s="1"/>
  <c r="N577" i="2" a="1"/>
  <c r="N577" i="2" s="1"/>
  <c r="O577" i="2" a="1"/>
  <c r="O577" i="2" s="1"/>
  <c r="P577" i="2" a="1"/>
  <c r="P577" i="2" s="1"/>
  <c r="Q577" i="2" a="1"/>
  <c r="Q577" i="2" s="1"/>
  <c r="A578" i="2" a="1"/>
  <c r="A578" i="2" s="1"/>
  <c r="B578" i="2" a="1"/>
  <c r="B578" i="2" s="1"/>
  <c r="C578" i="2" a="1"/>
  <c r="C578" i="2" s="1"/>
  <c r="D578" i="2" a="1"/>
  <c r="D578" i="2" s="1"/>
  <c r="E578" i="2" a="1"/>
  <c r="E578" i="2" s="1"/>
  <c r="F578" i="2" a="1"/>
  <c r="F578" i="2" s="1"/>
  <c r="G578" i="2" a="1"/>
  <c r="G578" i="2" s="1"/>
  <c r="H578" i="2" a="1"/>
  <c r="H578" i="2" s="1"/>
  <c r="I578" i="2" a="1"/>
  <c r="I578" i="2" s="1"/>
  <c r="J578" i="2" a="1"/>
  <c r="J578" i="2" s="1"/>
  <c r="K578" i="2" a="1"/>
  <c r="K578" i="2" s="1"/>
  <c r="L578" i="2" a="1"/>
  <c r="L578" i="2" s="1"/>
  <c r="M578" i="2" a="1"/>
  <c r="M578" i="2" s="1"/>
  <c r="N578" i="2" a="1"/>
  <c r="N578" i="2" s="1"/>
  <c r="O578" i="2" a="1"/>
  <c r="O578" i="2" s="1"/>
  <c r="P578" i="2" a="1"/>
  <c r="P578" i="2" s="1"/>
  <c r="Q578" i="2" a="1"/>
  <c r="Q578" i="2" s="1"/>
  <c r="A579" i="2" a="1"/>
  <c r="A579" i="2" s="1"/>
  <c r="B579" i="2" a="1"/>
  <c r="B579" i="2" s="1"/>
  <c r="C579" i="2" a="1"/>
  <c r="C579" i="2" s="1"/>
  <c r="D579" i="2" a="1"/>
  <c r="D579" i="2" s="1"/>
  <c r="E579" i="2" a="1"/>
  <c r="E579" i="2" s="1"/>
  <c r="F579" i="2" a="1"/>
  <c r="F579" i="2" s="1"/>
  <c r="G579" i="2" a="1"/>
  <c r="G579" i="2" s="1"/>
  <c r="H579" i="2" a="1"/>
  <c r="H579" i="2" s="1"/>
  <c r="I579" i="2" a="1"/>
  <c r="I579" i="2" s="1"/>
  <c r="J579" i="2" a="1"/>
  <c r="J579" i="2" s="1"/>
  <c r="K579" i="2" a="1"/>
  <c r="K579" i="2" s="1"/>
  <c r="L579" i="2" a="1"/>
  <c r="L579" i="2" s="1"/>
  <c r="M579" i="2" a="1"/>
  <c r="M579" i="2" s="1"/>
  <c r="N579" i="2" a="1"/>
  <c r="N579" i="2" s="1"/>
  <c r="O579" i="2" a="1"/>
  <c r="O579" i="2" s="1"/>
  <c r="P579" i="2" a="1"/>
  <c r="P579" i="2" s="1"/>
  <c r="Q579" i="2" a="1"/>
  <c r="Q579" i="2" s="1"/>
  <c r="A580" i="2" a="1"/>
  <c r="A580" i="2" s="1"/>
  <c r="B580" i="2" a="1"/>
  <c r="B580" i="2" s="1"/>
  <c r="C580" i="2" a="1"/>
  <c r="C580" i="2" s="1"/>
  <c r="D580" i="2" a="1"/>
  <c r="D580" i="2" s="1"/>
  <c r="E580" i="2" a="1"/>
  <c r="E580" i="2" s="1"/>
  <c r="F580" i="2" a="1"/>
  <c r="F580" i="2" s="1"/>
  <c r="G580" i="2" a="1"/>
  <c r="G580" i="2" s="1"/>
  <c r="H580" i="2" a="1"/>
  <c r="H580" i="2" s="1"/>
  <c r="I580" i="2" a="1"/>
  <c r="I580" i="2" s="1"/>
  <c r="J580" i="2" a="1"/>
  <c r="J580" i="2" s="1"/>
  <c r="K580" i="2" a="1"/>
  <c r="K580" i="2" s="1"/>
  <c r="L580" i="2" a="1"/>
  <c r="L580" i="2" s="1"/>
  <c r="M580" i="2" a="1"/>
  <c r="M580" i="2" s="1"/>
  <c r="N580" i="2" a="1"/>
  <c r="N580" i="2" s="1"/>
  <c r="O580" i="2" a="1"/>
  <c r="O580" i="2" s="1"/>
  <c r="P580" i="2" a="1"/>
  <c r="P580" i="2" s="1"/>
  <c r="Q580" i="2" a="1"/>
  <c r="Q580" i="2" s="1"/>
  <c r="A581" i="2" a="1"/>
  <c r="A581" i="2" s="1"/>
  <c r="B581" i="2" a="1"/>
  <c r="B581" i="2" s="1"/>
  <c r="C581" i="2" a="1"/>
  <c r="C581" i="2" s="1"/>
  <c r="D581" i="2" a="1"/>
  <c r="D581" i="2" s="1"/>
  <c r="E581" i="2" a="1"/>
  <c r="E581" i="2" s="1"/>
  <c r="F581" i="2" a="1"/>
  <c r="F581" i="2" s="1"/>
  <c r="G581" i="2" a="1"/>
  <c r="G581" i="2" s="1"/>
  <c r="H581" i="2" a="1"/>
  <c r="H581" i="2" s="1"/>
  <c r="I581" i="2" a="1"/>
  <c r="I581" i="2" s="1"/>
  <c r="J581" i="2" a="1"/>
  <c r="J581" i="2" s="1"/>
  <c r="K581" i="2" a="1"/>
  <c r="K581" i="2" s="1"/>
  <c r="L581" i="2" a="1"/>
  <c r="L581" i="2" s="1"/>
  <c r="M581" i="2" a="1"/>
  <c r="M581" i="2" s="1"/>
  <c r="N581" i="2" a="1"/>
  <c r="N581" i="2" s="1"/>
  <c r="O581" i="2" a="1"/>
  <c r="O581" i="2" s="1"/>
  <c r="P581" i="2" a="1"/>
  <c r="P581" i="2" s="1"/>
  <c r="Q581" i="2" a="1"/>
  <c r="Q581" i="2" s="1"/>
  <c r="A582" i="2" a="1"/>
  <c r="A582" i="2" s="1"/>
  <c r="B582" i="2" a="1"/>
  <c r="B582" i="2" s="1"/>
  <c r="C582" i="2" a="1"/>
  <c r="C582" i="2" s="1"/>
  <c r="D582" i="2" a="1"/>
  <c r="D582" i="2" s="1"/>
  <c r="E582" i="2" a="1"/>
  <c r="E582" i="2" s="1"/>
  <c r="F582" i="2" a="1"/>
  <c r="F582" i="2" s="1"/>
  <c r="G582" i="2" a="1"/>
  <c r="G582" i="2" s="1"/>
  <c r="H582" i="2" a="1"/>
  <c r="H582" i="2" s="1"/>
  <c r="I582" i="2" a="1"/>
  <c r="I582" i="2" s="1"/>
  <c r="J582" i="2" a="1"/>
  <c r="J582" i="2" s="1"/>
  <c r="K582" i="2" a="1"/>
  <c r="K582" i="2" s="1"/>
  <c r="L582" i="2" a="1"/>
  <c r="L582" i="2" s="1"/>
  <c r="M582" i="2" a="1"/>
  <c r="M582" i="2" s="1"/>
  <c r="N582" i="2" a="1"/>
  <c r="N582" i="2" s="1"/>
  <c r="O582" i="2" a="1"/>
  <c r="O582" i="2" s="1"/>
  <c r="P582" i="2" a="1"/>
  <c r="P582" i="2" s="1"/>
  <c r="Q582" i="2" a="1"/>
  <c r="Q582" i="2" s="1"/>
  <c r="A583" i="2" a="1"/>
  <c r="A583" i="2" s="1"/>
  <c r="B583" i="2" a="1"/>
  <c r="B583" i="2" s="1"/>
  <c r="C583" i="2" a="1"/>
  <c r="C583" i="2" s="1"/>
  <c r="D583" i="2" a="1"/>
  <c r="D583" i="2" s="1"/>
  <c r="E583" i="2" a="1"/>
  <c r="E583" i="2" s="1"/>
  <c r="F583" i="2" a="1"/>
  <c r="F583" i="2" s="1"/>
  <c r="G583" i="2" a="1"/>
  <c r="G583" i="2" s="1"/>
  <c r="H583" i="2" a="1"/>
  <c r="H583" i="2" s="1"/>
  <c r="I583" i="2" a="1"/>
  <c r="I583" i="2" s="1"/>
  <c r="J583" i="2" a="1"/>
  <c r="J583" i="2" s="1"/>
  <c r="K583" i="2" a="1"/>
  <c r="K583" i="2" s="1"/>
  <c r="L583" i="2" a="1"/>
  <c r="L583" i="2" s="1"/>
  <c r="M583" i="2" a="1"/>
  <c r="M583" i="2" s="1"/>
  <c r="N583" i="2" a="1"/>
  <c r="N583" i="2" s="1"/>
  <c r="O583" i="2" a="1"/>
  <c r="O583" i="2" s="1"/>
  <c r="P583" i="2" a="1"/>
  <c r="P583" i="2" s="1"/>
  <c r="Q583" i="2" a="1"/>
  <c r="Q583" i="2" s="1"/>
  <c r="A584" i="2" a="1"/>
  <c r="A584" i="2" s="1"/>
  <c r="B584" i="2" a="1"/>
  <c r="B584" i="2" s="1"/>
  <c r="C584" i="2" a="1"/>
  <c r="C584" i="2" s="1"/>
  <c r="D584" i="2" a="1"/>
  <c r="D584" i="2" s="1"/>
  <c r="E584" i="2" a="1"/>
  <c r="E584" i="2" s="1"/>
  <c r="F584" i="2" a="1"/>
  <c r="F584" i="2" s="1"/>
  <c r="G584" i="2" a="1"/>
  <c r="G584" i="2" s="1"/>
  <c r="H584" i="2" a="1"/>
  <c r="H584" i="2" s="1"/>
  <c r="I584" i="2" a="1"/>
  <c r="I584" i="2" s="1"/>
  <c r="J584" i="2" a="1"/>
  <c r="J584" i="2" s="1"/>
  <c r="K584" i="2" a="1"/>
  <c r="K584" i="2" s="1"/>
  <c r="L584" i="2" a="1"/>
  <c r="L584" i="2" s="1"/>
  <c r="M584" i="2" a="1"/>
  <c r="M584" i="2" s="1"/>
  <c r="N584" i="2" a="1"/>
  <c r="N584" i="2" s="1"/>
  <c r="O584" i="2" a="1"/>
  <c r="O584" i="2" s="1"/>
  <c r="P584" i="2" a="1"/>
  <c r="P584" i="2" s="1"/>
  <c r="Q584" i="2" a="1"/>
  <c r="Q584" i="2" s="1"/>
  <c r="A585" i="2" a="1"/>
  <c r="A585" i="2" s="1"/>
  <c r="B585" i="2" a="1"/>
  <c r="B585" i="2" s="1"/>
  <c r="C585" i="2" a="1"/>
  <c r="C585" i="2" s="1"/>
  <c r="D585" i="2" a="1"/>
  <c r="D585" i="2" s="1"/>
  <c r="E585" i="2" a="1"/>
  <c r="E585" i="2" s="1"/>
  <c r="F585" i="2" a="1"/>
  <c r="F585" i="2" s="1"/>
  <c r="G585" i="2" a="1"/>
  <c r="G585" i="2" s="1"/>
  <c r="H585" i="2" a="1"/>
  <c r="H585" i="2" s="1"/>
  <c r="I585" i="2" a="1"/>
  <c r="I585" i="2" s="1"/>
  <c r="J585" i="2" a="1"/>
  <c r="J585" i="2" s="1"/>
  <c r="K585" i="2" a="1"/>
  <c r="K585" i="2" s="1"/>
  <c r="L585" i="2" a="1"/>
  <c r="L585" i="2" s="1"/>
  <c r="M585" i="2" a="1"/>
  <c r="M585" i="2" s="1"/>
  <c r="N585" i="2" a="1"/>
  <c r="N585" i="2" s="1"/>
  <c r="O585" i="2" a="1"/>
  <c r="O585" i="2" s="1"/>
  <c r="P585" i="2" a="1"/>
  <c r="P585" i="2" s="1"/>
  <c r="Q585" i="2" a="1"/>
  <c r="Q585" i="2" s="1"/>
  <c r="A586" i="2" a="1"/>
  <c r="A586" i="2" s="1"/>
  <c r="B586" i="2" a="1"/>
  <c r="B586" i="2" s="1"/>
  <c r="C586" i="2" a="1"/>
  <c r="C586" i="2" s="1"/>
  <c r="D586" i="2" a="1"/>
  <c r="D586" i="2" s="1"/>
  <c r="E586" i="2" a="1"/>
  <c r="E586" i="2" s="1"/>
  <c r="F586" i="2" a="1"/>
  <c r="F586" i="2" s="1"/>
  <c r="G586" i="2" a="1"/>
  <c r="G586" i="2" s="1"/>
  <c r="H586" i="2" a="1"/>
  <c r="H586" i="2" s="1"/>
  <c r="I586" i="2" a="1"/>
  <c r="I586" i="2" s="1"/>
  <c r="J586" i="2" a="1"/>
  <c r="J586" i="2" s="1"/>
  <c r="K586" i="2" a="1"/>
  <c r="K586" i="2" s="1"/>
  <c r="L586" i="2" a="1"/>
  <c r="L586" i="2" s="1"/>
  <c r="M586" i="2" a="1"/>
  <c r="M586" i="2" s="1"/>
  <c r="N586" i="2" a="1"/>
  <c r="N586" i="2" s="1"/>
  <c r="O586" i="2" a="1"/>
  <c r="O586" i="2" s="1"/>
  <c r="P586" i="2" a="1"/>
  <c r="P586" i="2" s="1"/>
  <c r="Q586" i="2" a="1"/>
  <c r="Q586" i="2" s="1"/>
  <c r="A587" i="2" a="1"/>
  <c r="A587" i="2" s="1"/>
  <c r="B587" i="2" a="1"/>
  <c r="B587" i="2" s="1"/>
  <c r="C587" i="2" a="1"/>
  <c r="C587" i="2" s="1"/>
  <c r="D587" i="2" a="1"/>
  <c r="D587" i="2" s="1"/>
  <c r="E587" i="2" a="1"/>
  <c r="E587" i="2" s="1"/>
  <c r="F587" i="2" a="1"/>
  <c r="F587" i="2" s="1"/>
  <c r="G587" i="2" a="1"/>
  <c r="G587" i="2" s="1"/>
  <c r="H587" i="2" a="1"/>
  <c r="H587" i="2" s="1"/>
  <c r="I587" i="2" a="1"/>
  <c r="I587" i="2" s="1"/>
  <c r="J587" i="2" a="1"/>
  <c r="J587" i="2" s="1"/>
  <c r="K587" i="2" a="1"/>
  <c r="K587" i="2" s="1"/>
  <c r="L587" i="2" a="1"/>
  <c r="L587" i="2" s="1"/>
  <c r="M587" i="2" a="1"/>
  <c r="M587" i="2" s="1"/>
  <c r="N587" i="2" a="1"/>
  <c r="N587" i="2" s="1"/>
  <c r="O587" i="2" a="1"/>
  <c r="O587" i="2" s="1"/>
  <c r="P587" i="2" a="1"/>
  <c r="P587" i="2" s="1"/>
  <c r="Q587" i="2" a="1"/>
  <c r="Q587" i="2" s="1"/>
  <c r="A588" i="2" a="1"/>
  <c r="A588" i="2" s="1"/>
  <c r="B588" i="2" a="1"/>
  <c r="B588" i="2" s="1"/>
  <c r="C588" i="2" a="1"/>
  <c r="C588" i="2" s="1"/>
  <c r="D588" i="2" a="1"/>
  <c r="D588" i="2" s="1"/>
  <c r="E588" i="2" a="1"/>
  <c r="E588" i="2" s="1"/>
  <c r="F588" i="2" a="1"/>
  <c r="F588" i="2" s="1"/>
  <c r="G588" i="2" a="1"/>
  <c r="G588" i="2" s="1"/>
  <c r="H588" i="2" a="1"/>
  <c r="H588" i="2" s="1"/>
  <c r="I588" i="2" a="1"/>
  <c r="I588" i="2" s="1"/>
  <c r="J588" i="2" a="1"/>
  <c r="J588" i="2" s="1"/>
  <c r="K588" i="2" a="1"/>
  <c r="K588" i="2" s="1"/>
  <c r="L588" i="2" a="1"/>
  <c r="L588" i="2" s="1"/>
  <c r="M588" i="2" a="1"/>
  <c r="M588" i="2" s="1"/>
  <c r="N588" i="2" a="1"/>
  <c r="N588" i="2" s="1"/>
  <c r="O588" i="2" a="1"/>
  <c r="O588" i="2" s="1"/>
  <c r="P588" i="2" a="1"/>
  <c r="P588" i="2" s="1"/>
  <c r="Q588" i="2" a="1"/>
  <c r="Q588" i="2" s="1"/>
  <c r="A589" i="2" a="1"/>
  <c r="A589" i="2" s="1"/>
  <c r="B589" i="2" a="1"/>
  <c r="B589" i="2" s="1"/>
  <c r="C589" i="2" a="1"/>
  <c r="C589" i="2" s="1"/>
  <c r="D589" i="2" a="1"/>
  <c r="D589" i="2" s="1"/>
  <c r="E589" i="2" a="1"/>
  <c r="E589" i="2" s="1"/>
  <c r="F589" i="2" a="1"/>
  <c r="F589" i="2" s="1"/>
  <c r="G589" i="2" a="1"/>
  <c r="G589" i="2" s="1"/>
  <c r="H589" i="2" a="1"/>
  <c r="H589" i="2" s="1"/>
  <c r="I589" i="2" a="1"/>
  <c r="I589" i="2" s="1"/>
  <c r="J589" i="2" a="1"/>
  <c r="J589" i="2" s="1"/>
  <c r="K589" i="2" a="1"/>
  <c r="K589" i="2" s="1"/>
  <c r="L589" i="2" a="1"/>
  <c r="L589" i="2" s="1"/>
  <c r="M589" i="2" a="1"/>
  <c r="M589" i="2" s="1"/>
  <c r="N589" i="2" a="1"/>
  <c r="N589" i="2" s="1"/>
  <c r="O589" i="2" a="1"/>
  <c r="O589" i="2" s="1"/>
  <c r="P589" i="2" a="1"/>
  <c r="P589" i="2" s="1"/>
  <c r="Q589" i="2" a="1"/>
  <c r="Q589" i="2" s="1"/>
  <c r="A590" i="2" a="1"/>
  <c r="A590" i="2" s="1"/>
  <c r="B590" i="2" a="1"/>
  <c r="B590" i="2" s="1"/>
  <c r="C590" i="2" a="1"/>
  <c r="C590" i="2" s="1"/>
  <c r="D590" i="2" a="1"/>
  <c r="D590" i="2" s="1"/>
  <c r="E590" i="2" a="1"/>
  <c r="E590" i="2" s="1"/>
  <c r="F590" i="2" a="1"/>
  <c r="F590" i="2" s="1"/>
  <c r="G590" i="2" a="1"/>
  <c r="G590" i="2" s="1"/>
  <c r="H590" i="2" a="1"/>
  <c r="H590" i="2" s="1"/>
  <c r="I590" i="2" a="1"/>
  <c r="I590" i="2" s="1"/>
  <c r="J590" i="2" a="1"/>
  <c r="J590" i="2" s="1"/>
  <c r="K590" i="2" a="1"/>
  <c r="K590" i="2" s="1"/>
  <c r="L590" i="2" a="1"/>
  <c r="L590" i="2" s="1"/>
  <c r="M590" i="2" a="1"/>
  <c r="M590" i="2" s="1"/>
  <c r="N590" i="2" a="1"/>
  <c r="N590" i="2" s="1"/>
  <c r="O590" i="2" a="1"/>
  <c r="O590" i="2" s="1"/>
  <c r="P590" i="2" a="1"/>
  <c r="P590" i="2" s="1"/>
  <c r="Q590" i="2" a="1"/>
  <c r="Q590" i="2" s="1"/>
  <c r="A591" i="2" a="1"/>
  <c r="A591" i="2" s="1"/>
  <c r="B591" i="2" a="1"/>
  <c r="B591" i="2" s="1"/>
  <c r="C591" i="2" a="1"/>
  <c r="C591" i="2" s="1"/>
  <c r="D591" i="2" a="1"/>
  <c r="D591" i="2" s="1"/>
  <c r="E591" i="2" a="1"/>
  <c r="E591" i="2" s="1"/>
  <c r="F591" i="2" a="1"/>
  <c r="F591" i="2" s="1"/>
  <c r="G591" i="2" a="1"/>
  <c r="G591" i="2" s="1"/>
  <c r="H591" i="2" a="1"/>
  <c r="H591" i="2" s="1"/>
  <c r="I591" i="2" a="1"/>
  <c r="I591" i="2" s="1"/>
  <c r="J591" i="2" a="1"/>
  <c r="J591" i="2" s="1"/>
  <c r="K591" i="2" a="1"/>
  <c r="K591" i="2" s="1"/>
  <c r="L591" i="2" a="1"/>
  <c r="L591" i="2" s="1"/>
  <c r="M591" i="2" a="1"/>
  <c r="M591" i="2" s="1"/>
  <c r="N591" i="2" a="1"/>
  <c r="N591" i="2" s="1"/>
  <c r="O591" i="2" a="1"/>
  <c r="O591" i="2" s="1"/>
  <c r="P591" i="2" a="1"/>
  <c r="P591" i="2" s="1"/>
  <c r="Q591" i="2" a="1"/>
  <c r="Q591" i="2" s="1"/>
  <c r="A592" i="2" a="1"/>
  <c r="A592" i="2" s="1"/>
  <c r="B592" i="2" a="1"/>
  <c r="B592" i="2" s="1"/>
  <c r="C592" i="2" a="1"/>
  <c r="C592" i="2" s="1"/>
  <c r="D592" i="2" a="1"/>
  <c r="D592" i="2" s="1"/>
  <c r="E592" i="2" a="1"/>
  <c r="E592" i="2" s="1"/>
  <c r="F592" i="2" a="1"/>
  <c r="F592" i="2" s="1"/>
  <c r="G592" i="2" a="1"/>
  <c r="G592" i="2" s="1"/>
  <c r="H592" i="2" a="1"/>
  <c r="H592" i="2" s="1"/>
  <c r="I592" i="2" a="1"/>
  <c r="I592" i="2" s="1"/>
  <c r="J592" i="2" a="1"/>
  <c r="J592" i="2" s="1"/>
  <c r="K592" i="2" a="1"/>
  <c r="K592" i="2" s="1"/>
  <c r="L592" i="2" a="1"/>
  <c r="L592" i="2" s="1"/>
  <c r="M592" i="2" a="1"/>
  <c r="M592" i="2" s="1"/>
  <c r="N592" i="2" a="1"/>
  <c r="N592" i="2" s="1"/>
  <c r="O592" i="2" a="1"/>
  <c r="O592" i="2" s="1"/>
  <c r="P592" i="2" a="1"/>
  <c r="P592" i="2" s="1"/>
  <c r="Q592" i="2" a="1"/>
  <c r="Q592" i="2" s="1"/>
  <c r="A593" i="2" a="1"/>
  <c r="A593" i="2" s="1"/>
  <c r="B593" i="2" a="1"/>
  <c r="B593" i="2" s="1"/>
  <c r="C593" i="2" a="1"/>
  <c r="C593" i="2" s="1"/>
  <c r="D593" i="2" a="1"/>
  <c r="D593" i="2" s="1"/>
  <c r="E593" i="2" a="1"/>
  <c r="E593" i="2" s="1"/>
  <c r="F593" i="2" a="1"/>
  <c r="F593" i="2" s="1"/>
  <c r="G593" i="2" a="1"/>
  <c r="G593" i="2" s="1"/>
  <c r="H593" i="2" a="1"/>
  <c r="H593" i="2" s="1"/>
  <c r="I593" i="2" a="1"/>
  <c r="I593" i="2" s="1"/>
  <c r="J593" i="2" a="1"/>
  <c r="J593" i="2" s="1"/>
  <c r="K593" i="2" a="1"/>
  <c r="K593" i="2" s="1"/>
  <c r="L593" i="2" a="1"/>
  <c r="L593" i="2" s="1"/>
  <c r="M593" i="2" a="1"/>
  <c r="M593" i="2" s="1"/>
  <c r="N593" i="2" a="1"/>
  <c r="N593" i="2" s="1"/>
  <c r="O593" i="2" a="1"/>
  <c r="O593" i="2" s="1"/>
  <c r="P593" i="2" a="1"/>
  <c r="P593" i="2" s="1"/>
  <c r="Q593" i="2" a="1"/>
  <c r="Q593" i="2" s="1"/>
  <c r="A594" i="2" a="1"/>
  <c r="A594" i="2" s="1"/>
  <c r="B594" i="2" a="1"/>
  <c r="B594" i="2" s="1"/>
  <c r="C594" i="2" a="1"/>
  <c r="C594" i="2" s="1"/>
  <c r="D594" i="2" a="1"/>
  <c r="D594" i="2" s="1"/>
  <c r="E594" i="2" a="1"/>
  <c r="E594" i="2" s="1"/>
  <c r="F594" i="2" a="1"/>
  <c r="F594" i="2" s="1"/>
  <c r="G594" i="2" a="1"/>
  <c r="G594" i="2" s="1"/>
  <c r="H594" i="2" a="1"/>
  <c r="H594" i="2" s="1"/>
  <c r="I594" i="2" a="1"/>
  <c r="I594" i="2" s="1"/>
  <c r="J594" i="2" a="1"/>
  <c r="J594" i="2" s="1"/>
  <c r="K594" i="2" a="1"/>
  <c r="K594" i="2" s="1"/>
  <c r="L594" i="2" a="1"/>
  <c r="L594" i="2" s="1"/>
  <c r="M594" i="2" a="1"/>
  <c r="M594" i="2" s="1"/>
  <c r="N594" i="2" a="1"/>
  <c r="N594" i="2" s="1"/>
  <c r="O594" i="2" a="1"/>
  <c r="O594" i="2" s="1"/>
  <c r="P594" i="2" a="1"/>
  <c r="P594" i="2" s="1"/>
  <c r="Q594" i="2" a="1"/>
  <c r="Q594" i="2" s="1"/>
  <c r="A595" i="2" a="1"/>
  <c r="A595" i="2" s="1"/>
  <c r="B595" i="2" a="1"/>
  <c r="B595" i="2" s="1"/>
  <c r="C595" i="2" a="1"/>
  <c r="C595" i="2" s="1"/>
  <c r="D595" i="2" a="1"/>
  <c r="D595" i="2" s="1"/>
  <c r="E595" i="2" a="1"/>
  <c r="E595" i="2" s="1"/>
  <c r="F595" i="2" a="1"/>
  <c r="F595" i="2" s="1"/>
  <c r="G595" i="2" a="1"/>
  <c r="G595" i="2" s="1"/>
  <c r="H595" i="2" a="1"/>
  <c r="H595" i="2" s="1"/>
  <c r="I595" i="2" a="1"/>
  <c r="I595" i="2" s="1"/>
  <c r="J595" i="2" a="1"/>
  <c r="J595" i="2" s="1"/>
  <c r="K595" i="2" a="1"/>
  <c r="K595" i="2" s="1"/>
  <c r="L595" i="2" a="1"/>
  <c r="L595" i="2" s="1"/>
  <c r="M595" i="2" a="1"/>
  <c r="M595" i="2" s="1"/>
  <c r="N595" i="2" a="1"/>
  <c r="N595" i="2" s="1"/>
  <c r="O595" i="2" a="1"/>
  <c r="O595" i="2" s="1"/>
  <c r="P595" i="2" a="1"/>
  <c r="P595" i="2" s="1"/>
  <c r="Q595" i="2" a="1"/>
  <c r="Q595" i="2" s="1"/>
  <c r="A596" i="2" a="1"/>
  <c r="A596" i="2" s="1"/>
  <c r="B596" i="2" a="1"/>
  <c r="B596" i="2" s="1"/>
  <c r="C596" i="2" a="1"/>
  <c r="C596" i="2" s="1"/>
  <c r="D596" i="2" a="1"/>
  <c r="D596" i="2" s="1"/>
  <c r="E596" i="2" a="1"/>
  <c r="E596" i="2" s="1"/>
  <c r="F596" i="2" a="1"/>
  <c r="F596" i="2" s="1"/>
  <c r="G596" i="2" a="1"/>
  <c r="G596" i="2" s="1"/>
  <c r="H596" i="2" a="1"/>
  <c r="H596" i="2" s="1"/>
  <c r="I596" i="2" a="1"/>
  <c r="I596" i="2" s="1"/>
  <c r="J596" i="2" a="1"/>
  <c r="J596" i="2" s="1"/>
  <c r="K596" i="2" a="1"/>
  <c r="K596" i="2" s="1"/>
  <c r="L596" i="2" a="1"/>
  <c r="L596" i="2" s="1"/>
  <c r="M596" i="2" a="1"/>
  <c r="M596" i="2" s="1"/>
  <c r="N596" i="2" a="1"/>
  <c r="N596" i="2" s="1"/>
  <c r="O596" i="2" a="1"/>
  <c r="O596" i="2" s="1"/>
  <c r="P596" i="2" a="1"/>
  <c r="P596" i="2" s="1"/>
  <c r="Q596" i="2" a="1"/>
  <c r="Q596" i="2" s="1"/>
  <c r="A597" i="2" a="1"/>
  <c r="A597" i="2" s="1"/>
  <c r="B597" i="2" a="1"/>
  <c r="B597" i="2" s="1"/>
  <c r="C597" i="2" a="1"/>
  <c r="C597" i="2" s="1"/>
  <c r="D597" i="2" a="1"/>
  <c r="D597" i="2" s="1"/>
  <c r="E597" i="2" a="1"/>
  <c r="E597" i="2" s="1"/>
  <c r="F597" i="2" a="1"/>
  <c r="F597" i="2" s="1"/>
  <c r="G597" i="2" a="1"/>
  <c r="G597" i="2" s="1"/>
  <c r="H597" i="2" a="1"/>
  <c r="H597" i="2" s="1"/>
  <c r="I597" i="2" a="1"/>
  <c r="I597" i="2" s="1"/>
  <c r="J597" i="2" a="1"/>
  <c r="J597" i="2" s="1"/>
  <c r="K597" i="2" a="1"/>
  <c r="K597" i="2" s="1"/>
  <c r="L597" i="2" a="1"/>
  <c r="L597" i="2" s="1"/>
  <c r="M597" i="2" a="1"/>
  <c r="M597" i="2" s="1"/>
  <c r="N597" i="2" a="1"/>
  <c r="N597" i="2" s="1"/>
  <c r="O597" i="2" a="1"/>
  <c r="O597" i="2" s="1"/>
  <c r="P597" i="2" a="1"/>
  <c r="P597" i="2" s="1"/>
  <c r="Q597" i="2" a="1"/>
  <c r="Q597" i="2" s="1"/>
  <c r="A598" i="2" a="1"/>
  <c r="A598" i="2" s="1"/>
  <c r="B598" i="2" a="1"/>
  <c r="B598" i="2" s="1"/>
  <c r="C598" i="2" a="1"/>
  <c r="C598" i="2" s="1"/>
  <c r="D598" i="2" a="1"/>
  <c r="D598" i="2" s="1"/>
  <c r="E598" i="2" a="1"/>
  <c r="E598" i="2" s="1"/>
  <c r="F598" i="2" a="1"/>
  <c r="F598" i="2" s="1"/>
  <c r="G598" i="2" a="1"/>
  <c r="G598" i="2" s="1"/>
  <c r="H598" i="2" a="1"/>
  <c r="H598" i="2" s="1"/>
  <c r="I598" i="2" a="1"/>
  <c r="I598" i="2" s="1"/>
  <c r="J598" i="2" a="1"/>
  <c r="J598" i="2" s="1"/>
  <c r="K598" i="2" a="1"/>
  <c r="K598" i="2" s="1"/>
  <c r="L598" i="2" a="1"/>
  <c r="L598" i="2" s="1"/>
  <c r="M598" i="2" a="1"/>
  <c r="M598" i="2" s="1"/>
  <c r="N598" i="2" a="1"/>
  <c r="N598" i="2" s="1"/>
  <c r="O598" i="2" a="1"/>
  <c r="O598" i="2" s="1"/>
  <c r="P598" i="2" a="1"/>
  <c r="P598" i="2" s="1"/>
  <c r="Q598" i="2" a="1"/>
  <c r="Q598" i="2" s="1"/>
  <c r="A599" i="2" a="1"/>
  <c r="A599" i="2" s="1"/>
  <c r="B599" i="2" a="1"/>
  <c r="B599" i="2" s="1"/>
  <c r="C599" i="2" a="1"/>
  <c r="C599" i="2" s="1"/>
  <c r="D599" i="2" a="1"/>
  <c r="D599" i="2" s="1"/>
  <c r="E599" i="2" a="1"/>
  <c r="E599" i="2" s="1"/>
  <c r="F599" i="2" a="1"/>
  <c r="F599" i="2" s="1"/>
  <c r="G599" i="2" a="1"/>
  <c r="G599" i="2" s="1"/>
  <c r="H599" i="2" a="1"/>
  <c r="H599" i="2" s="1"/>
  <c r="I599" i="2" a="1"/>
  <c r="I599" i="2" s="1"/>
  <c r="J599" i="2" a="1"/>
  <c r="J599" i="2" s="1"/>
  <c r="K599" i="2" a="1"/>
  <c r="K599" i="2" s="1"/>
  <c r="L599" i="2" a="1"/>
  <c r="L599" i="2" s="1"/>
  <c r="M599" i="2" a="1"/>
  <c r="M599" i="2" s="1"/>
  <c r="N599" i="2" a="1"/>
  <c r="N599" i="2" s="1"/>
  <c r="O599" i="2" a="1"/>
  <c r="O599" i="2" s="1"/>
  <c r="P599" i="2" a="1"/>
  <c r="P599" i="2" s="1"/>
  <c r="Q599" i="2" a="1"/>
  <c r="Q599" i="2" s="1"/>
  <c r="A600" i="2" a="1"/>
  <c r="A600" i="2" s="1"/>
  <c r="B600" i="2" a="1"/>
  <c r="B600" i="2" s="1"/>
  <c r="C600" i="2" a="1"/>
  <c r="C600" i="2" s="1"/>
  <c r="D600" i="2" a="1"/>
  <c r="D600" i="2" s="1"/>
  <c r="E600" i="2" a="1"/>
  <c r="E600" i="2" s="1"/>
  <c r="F600" i="2" a="1"/>
  <c r="F600" i="2" s="1"/>
  <c r="G600" i="2" a="1"/>
  <c r="G600" i="2" s="1"/>
  <c r="H600" i="2" a="1"/>
  <c r="H600" i="2" s="1"/>
  <c r="I600" i="2" a="1"/>
  <c r="I600" i="2" s="1"/>
  <c r="J600" i="2" a="1"/>
  <c r="J600" i="2" s="1"/>
  <c r="K600" i="2" a="1"/>
  <c r="K600" i="2" s="1"/>
  <c r="L600" i="2" a="1"/>
  <c r="L600" i="2" s="1"/>
  <c r="M600" i="2" a="1"/>
  <c r="M600" i="2" s="1"/>
  <c r="N600" i="2" a="1"/>
  <c r="N600" i="2" s="1"/>
  <c r="O600" i="2" a="1"/>
  <c r="O600" i="2" s="1"/>
  <c r="P600" i="2" a="1"/>
  <c r="P600" i="2" s="1"/>
  <c r="Q600" i="2" a="1"/>
  <c r="Q600" i="2" s="1"/>
  <c r="A601" i="2" a="1"/>
  <c r="A601" i="2" s="1"/>
  <c r="B601" i="2" a="1"/>
  <c r="B601" i="2" s="1"/>
  <c r="C601" i="2" a="1"/>
  <c r="C601" i="2" s="1"/>
  <c r="D601" i="2" a="1"/>
  <c r="D601" i="2" s="1"/>
  <c r="E601" i="2" a="1"/>
  <c r="E601" i="2" s="1"/>
  <c r="F601" i="2" a="1"/>
  <c r="F601" i="2" s="1"/>
  <c r="G601" i="2" a="1"/>
  <c r="G601" i="2" s="1"/>
  <c r="H601" i="2" a="1"/>
  <c r="H601" i="2" s="1"/>
  <c r="I601" i="2" a="1"/>
  <c r="I601" i="2" s="1"/>
  <c r="J601" i="2" a="1"/>
  <c r="J601" i="2" s="1"/>
  <c r="K601" i="2" a="1"/>
  <c r="K601" i="2" s="1"/>
  <c r="L601" i="2" a="1"/>
  <c r="L601" i="2" s="1"/>
  <c r="M601" i="2" a="1"/>
  <c r="M601" i="2" s="1"/>
  <c r="N601" i="2" a="1"/>
  <c r="N601" i="2" s="1"/>
  <c r="O601" i="2" a="1"/>
  <c r="O601" i="2" s="1"/>
  <c r="P601" i="2" a="1"/>
  <c r="P601" i="2" s="1"/>
  <c r="Q601" i="2" a="1"/>
  <c r="Q601" i="2" s="1"/>
  <c r="A602" i="2" a="1"/>
  <c r="A602" i="2" s="1"/>
  <c r="B602" i="2" a="1"/>
  <c r="B602" i="2" s="1"/>
  <c r="C602" i="2" a="1"/>
  <c r="C602" i="2" s="1"/>
  <c r="D602" i="2" a="1"/>
  <c r="D602" i="2" s="1"/>
  <c r="E602" i="2" a="1"/>
  <c r="E602" i="2" s="1"/>
  <c r="F602" i="2" a="1"/>
  <c r="F602" i="2" s="1"/>
  <c r="G602" i="2" a="1"/>
  <c r="G602" i="2" s="1"/>
  <c r="H602" i="2" a="1"/>
  <c r="H602" i="2" s="1"/>
  <c r="I602" i="2" a="1"/>
  <c r="I602" i="2" s="1"/>
  <c r="J602" i="2" a="1"/>
  <c r="J602" i="2" s="1"/>
  <c r="K602" i="2" a="1"/>
  <c r="K602" i="2" s="1"/>
  <c r="L602" i="2" a="1"/>
  <c r="L602" i="2" s="1"/>
  <c r="M602" i="2" a="1"/>
  <c r="M602" i="2" s="1"/>
  <c r="N602" i="2" a="1"/>
  <c r="N602" i="2" s="1"/>
  <c r="O602" i="2" a="1"/>
  <c r="O602" i="2" s="1"/>
  <c r="P602" i="2" a="1"/>
  <c r="P602" i="2" s="1"/>
  <c r="Q602" i="2" a="1"/>
  <c r="Q602" i="2" s="1"/>
  <c r="A603" i="2" a="1"/>
  <c r="A603" i="2" s="1"/>
  <c r="B603" i="2" a="1"/>
  <c r="B603" i="2" s="1"/>
  <c r="C603" i="2" a="1"/>
  <c r="C603" i="2" s="1"/>
  <c r="D603" i="2" a="1"/>
  <c r="D603" i="2" s="1"/>
  <c r="E603" i="2" a="1"/>
  <c r="E603" i="2" s="1"/>
  <c r="F603" i="2" a="1"/>
  <c r="F603" i="2" s="1"/>
  <c r="G603" i="2" a="1"/>
  <c r="G603" i="2" s="1"/>
  <c r="H603" i="2" a="1"/>
  <c r="H603" i="2" s="1"/>
  <c r="I603" i="2" a="1"/>
  <c r="I603" i="2" s="1"/>
  <c r="J603" i="2" a="1"/>
  <c r="J603" i="2" s="1"/>
  <c r="K603" i="2" a="1"/>
  <c r="K603" i="2" s="1"/>
  <c r="L603" i="2" a="1"/>
  <c r="L603" i="2" s="1"/>
  <c r="M603" i="2" a="1"/>
  <c r="M603" i="2" s="1"/>
  <c r="N603" i="2" a="1"/>
  <c r="N603" i="2" s="1"/>
  <c r="O603" i="2" a="1"/>
  <c r="O603" i="2" s="1"/>
  <c r="P603" i="2" a="1"/>
  <c r="P603" i="2" s="1"/>
  <c r="Q603" i="2" a="1"/>
  <c r="Q603" i="2" s="1"/>
  <c r="A604" i="2" a="1"/>
  <c r="A604" i="2" s="1"/>
  <c r="B604" i="2" a="1"/>
  <c r="B604" i="2" s="1"/>
  <c r="C604" i="2" a="1"/>
  <c r="C604" i="2" s="1"/>
  <c r="D604" i="2" a="1"/>
  <c r="D604" i="2" s="1"/>
  <c r="E604" i="2" a="1"/>
  <c r="E604" i="2" s="1"/>
  <c r="F604" i="2" a="1"/>
  <c r="F604" i="2" s="1"/>
  <c r="G604" i="2" a="1"/>
  <c r="G604" i="2" s="1"/>
  <c r="H604" i="2" a="1"/>
  <c r="H604" i="2" s="1"/>
  <c r="I604" i="2" a="1"/>
  <c r="I604" i="2" s="1"/>
  <c r="J604" i="2" a="1"/>
  <c r="J604" i="2" s="1"/>
  <c r="K604" i="2" a="1"/>
  <c r="K604" i="2" s="1"/>
  <c r="L604" i="2" a="1"/>
  <c r="L604" i="2" s="1"/>
  <c r="M604" i="2" a="1"/>
  <c r="M604" i="2" s="1"/>
  <c r="N604" i="2" a="1"/>
  <c r="N604" i="2" s="1"/>
  <c r="O604" i="2" a="1"/>
  <c r="O604" i="2" s="1"/>
  <c r="P604" i="2" a="1"/>
  <c r="P604" i="2" s="1"/>
  <c r="Q604" i="2" a="1"/>
  <c r="Q604" i="2" s="1"/>
  <c r="A605" i="2" a="1"/>
  <c r="A605" i="2" s="1"/>
  <c r="B605" i="2" a="1"/>
  <c r="B605" i="2" s="1"/>
  <c r="C605" i="2" a="1"/>
  <c r="C605" i="2" s="1"/>
  <c r="D605" i="2" a="1"/>
  <c r="D605" i="2" s="1"/>
  <c r="E605" i="2" a="1"/>
  <c r="E605" i="2" s="1"/>
  <c r="F605" i="2" a="1"/>
  <c r="F605" i="2" s="1"/>
  <c r="G605" i="2" a="1"/>
  <c r="G605" i="2" s="1"/>
  <c r="H605" i="2" a="1"/>
  <c r="H605" i="2" s="1"/>
  <c r="I605" i="2" a="1"/>
  <c r="I605" i="2" s="1"/>
  <c r="J605" i="2" a="1"/>
  <c r="J605" i="2" s="1"/>
  <c r="K605" i="2" a="1"/>
  <c r="K605" i="2" s="1"/>
  <c r="L605" i="2" a="1"/>
  <c r="L605" i="2" s="1"/>
  <c r="M605" i="2" a="1"/>
  <c r="M605" i="2" s="1"/>
  <c r="N605" i="2" a="1"/>
  <c r="N605" i="2" s="1"/>
  <c r="O605" i="2" a="1"/>
  <c r="O605" i="2" s="1"/>
  <c r="P605" i="2" a="1"/>
  <c r="P605" i="2" s="1"/>
  <c r="Q605" i="2" a="1"/>
  <c r="Q605" i="2" s="1"/>
  <c r="A606" i="2" a="1"/>
  <c r="A606" i="2" s="1"/>
  <c r="B606" i="2" a="1"/>
  <c r="B606" i="2" s="1"/>
  <c r="C606" i="2" a="1"/>
  <c r="C606" i="2" s="1"/>
  <c r="D606" i="2" a="1"/>
  <c r="D606" i="2" s="1"/>
  <c r="E606" i="2" a="1"/>
  <c r="E606" i="2" s="1"/>
  <c r="F606" i="2" a="1"/>
  <c r="F606" i="2" s="1"/>
  <c r="G606" i="2" a="1"/>
  <c r="G606" i="2" s="1"/>
  <c r="H606" i="2" a="1"/>
  <c r="H606" i="2" s="1"/>
  <c r="I606" i="2" a="1"/>
  <c r="I606" i="2" s="1"/>
  <c r="J606" i="2" a="1"/>
  <c r="J606" i="2" s="1"/>
  <c r="K606" i="2" a="1"/>
  <c r="K606" i="2" s="1"/>
  <c r="L606" i="2" a="1"/>
  <c r="L606" i="2" s="1"/>
  <c r="M606" i="2" a="1"/>
  <c r="M606" i="2" s="1"/>
  <c r="N606" i="2" a="1"/>
  <c r="N606" i="2" s="1"/>
  <c r="O606" i="2" a="1"/>
  <c r="O606" i="2" s="1"/>
  <c r="P606" i="2" a="1"/>
  <c r="P606" i="2" s="1"/>
  <c r="Q606" i="2" a="1"/>
  <c r="Q606" i="2" s="1"/>
  <c r="A607" i="2" a="1"/>
  <c r="A607" i="2" s="1"/>
  <c r="B607" i="2" a="1"/>
  <c r="B607" i="2" s="1"/>
  <c r="C607" i="2" a="1"/>
  <c r="C607" i="2" s="1"/>
  <c r="D607" i="2" a="1"/>
  <c r="D607" i="2" s="1"/>
  <c r="E607" i="2" a="1"/>
  <c r="E607" i="2" s="1"/>
  <c r="F607" i="2" a="1"/>
  <c r="F607" i="2" s="1"/>
  <c r="G607" i="2" a="1"/>
  <c r="G607" i="2" s="1"/>
  <c r="H607" i="2" a="1"/>
  <c r="H607" i="2" s="1"/>
  <c r="I607" i="2" a="1"/>
  <c r="I607" i="2" s="1"/>
  <c r="J607" i="2" a="1"/>
  <c r="J607" i="2" s="1"/>
  <c r="K607" i="2" a="1"/>
  <c r="K607" i="2" s="1"/>
  <c r="L607" i="2" a="1"/>
  <c r="L607" i="2" s="1"/>
  <c r="M607" i="2" a="1"/>
  <c r="M607" i="2" s="1"/>
  <c r="N607" i="2" a="1"/>
  <c r="N607" i="2" s="1"/>
  <c r="O607" i="2" a="1"/>
  <c r="O607" i="2" s="1"/>
  <c r="P607" i="2" a="1"/>
  <c r="P607" i="2" s="1"/>
  <c r="Q607" i="2" a="1"/>
  <c r="Q607" i="2" s="1"/>
  <c r="A608" i="2" a="1"/>
  <c r="A608" i="2" s="1"/>
  <c r="B608" i="2" a="1"/>
  <c r="B608" i="2" s="1"/>
  <c r="C608" i="2" a="1"/>
  <c r="C608" i="2" s="1"/>
  <c r="D608" i="2" a="1"/>
  <c r="D608" i="2" s="1"/>
  <c r="E608" i="2" a="1"/>
  <c r="E608" i="2" s="1"/>
  <c r="F608" i="2" a="1"/>
  <c r="F608" i="2" s="1"/>
  <c r="G608" i="2" a="1"/>
  <c r="G608" i="2" s="1"/>
  <c r="H608" i="2" a="1"/>
  <c r="H608" i="2" s="1"/>
  <c r="I608" i="2" a="1"/>
  <c r="I608" i="2" s="1"/>
  <c r="J608" i="2" a="1"/>
  <c r="J608" i="2" s="1"/>
  <c r="K608" i="2" a="1"/>
  <c r="K608" i="2" s="1"/>
  <c r="L608" i="2" a="1"/>
  <c r="L608" i="2" s="1"/>
  <c r="M608" i="2" a="1"/>
  <c r="M608" i="2" s="1"/>
  <c r="N608" i="2" a="1"/>
  <c r="N608" i="2" s="1"/>
  <c r="O608" i="2" a="1"/>
  <c r="O608" i="2" s="1"/>
  <c r="P608" i="2" a="1"/>
  <c r="P608" i="2" s="1"/>
  <c r="Q608" i="2" a="1"/>
  <c r="Q608" i="2" s="1"/>
  <c r="A609" i="2" a="1"/>
  <c r="A609" i="2" s="1"/>
  <c r="B609" i="2" a="1"/>
  <c r="B609" i="2" s="1"/>
  <c r="C609" i="2" a="1"/>
  <c r="C609" i="2" s="1"/>
  <c r="D609" i="2" a="1"/>
  <c r="D609" i="2" s="1"/>
  <c r="E609" i="2" a="1"/>
  <c r="E609" i="2" s="1"/>
  <c r="F609" i="2" a="1"/>
  <c r="F609" i="2" s="1"/>
  <c r="G609" i="2" a="1"/>
  <c r="G609" i="2" s="1"/>
  <c r="H609" i="2" a="1"/>
  <c r="H609" i="2" s="1"/>
  <c r="I609" i="2" a="1"/>
  <c r="I609" i="2" s="1"/>
  <c r="J609" i="2" a="1"/>
  <c r="J609" i="2" s="1"/>
  <c r="K609" i="2" a="1"/>
  <c r="K609" i="2" s="1"/>
  <c r="L609" i="2" a="1"/>
  <c r="L609" i="2" s="1"/>
  <c r="M609" i="2" a="1"/>
  <c r="M609" i="2" s="1"/>
  <c r="N609" i="2" a="1"/>
  <c r="N609" i="2" s="1"/>
  <c r="O609" i="2" a="1"/>
  <c r="O609" i="2" s="1"/>
  <c r="P609" i="2" a="1"/>
  <c r="P609" i="2" s="1"/>
  <c r="Q609" i="2" a="1"/>
  <c r="Q609" i="2" s="1"/>
  <c r="A610" i="2" a="1"/>
  <c r="A610" i="2" s="1"/>
  <c r="B610" i="2" a="1"/>
  <c r="B610" i="2" s="1"/>
  <c r="C610" i="2" a="1"/>
  <c r="C610" i="2" s="1"/>
  <c r="D610" i="2" a="1"/>
  <c r="D610" i="2" s="1"/>
  <c r="E610" i="2" a="1"/>
  <c r="E610" i="2" s="1"/>
  <c r="F610" i="2" a="1"/>
  <c r="F610" i="2" s="1"/>
  <c r="G610" i="2" a="1"/>
  <c r="G610" i="2" s="1"/>
  <c r="H610" i="2" a="1"/>
  <c r="H610" i="2" s="1"/>
  <c r="I610" i="2" a="1"/>
  <c r="I610" i="2" s="1"/>
  <c r="J610" i="2" a="1"/>
  <c r="J610" i="2" s="1"/>
  <c r="K610" i="2" a="1"/>
  <c r="K610" i="2" s="1"/>
  <c r="L610" i="2" a="1"/>
  <c r="L610" i="2" s="1"/>
  <c r="M610" i="2" a="1"/>
  <c r="M610" i="2" s="1"/>
  <c r="N610" i="2" a="1"/>
  <c r="N610" i="2" s="1"/>
  <c r="O610" i="2" a="1"/>
  <c r="O610" i="2" s="1"/>
  <c r="P610" i="2" a="1"/>
  <c r="P610" i="2" s="1"/>
  <c r="Q610" i="2" a="1"/>
  <c r="Q610" i="2" s="1"/>
  <c r="A611" i="2" a="1"/>
  <c r="A611" i="2" s="1"/>
  <c r="B611" i="2" a="1"/>
  <c r="B611" i="2" s="1"/>
  <c r="C611" i="2" a="1"/>
  <c r="C611" i="2" s="1"/>
  <c r="D611" i="2" a="1"/>
  <c r="D611" i="2" s="1"/>
  <c r="E611" i="2" a="1"/>
  <c r="E611" i="2" s="1"/>
  <c r="F611" i="2" a="1"/>
  <c r="F611" i="2" s="1"/>
  <c r="G611" i="2" a="1"/>
  <c r="G611" i="2" s="1"/>
  <c r="H611" i="2" a="1"/>
  <c r="H611" i="2" s="1"/>
  <c r="I611" i="2" a="1"/>
  <c r="I611" i="2" s="1"/>
  <c r="J611" i="2" a="1"/>
  <c r="J611" i="2" s="1"/>
  <c r="K611" i="2" a="1"/>
  <c r="K611" i="2" s="1"/>
  <c r="L611" i="2" a="1"/>
  <c r="L611" i="2" s="1"/>
  <c r="M611" i="2" a="1"/>
  <c r="M611" i="2" s="1"/>
  <c r="N611" i="2" a="1"/>
  <c r="N611" i="2" s="1"/>
  <c r="O611" i="2" a="1"/>
  <c r="O611" i="2" s="1"/>
  <c r="P611" i="2" a="1"/>
  <c r="P611" i="2" s="1"/>
  <c r="Q611" i="2" a="1"/>
  <c r="Q611" i="2" s="1"/>
  <c r="A612" i="2" a="1"/>
  <c r="A612" i="2" s="1"/>
  <c r="B612" i="2" a="1"/>
  <c r="B612" i="2" s="1"/>
  <c r="C612" i="2" a="1"/>
  <c r="C612" i="2" s="1"/>
  <c r="D612" i="2" a="1"/>
  <c r="D612" i="2" s="1"/>
  <c r="E612" i="2" a="1"/>
  <c r="E612" i="2" s="1"/>
  <c r="F612" i="2" a="1"/>
  <c r="F612" i="2" s="1"/>
  <c r="G612" i="2" a="1"/>
  <c r="G612" i="2" s="1"/>
  <c r="H612" i="2" a="1"/>
  <c r="H612" i="2" s="1"/>
  <c r="I612" i="2" a="1"/>
  <c r="I612" i="2" s="1"/>
  <c r="J612" i="2" a="1"/>
  <c r="J612" i="2" s="1"/>
  <c r="K612" i="2" a="1"/>
  <c r="K612" i="2" s="1"/>
  <c r="L612" i="2" a="1"/>
  <c r="L612" i="2" s="1"/>
  <c r="M612" i="2" a="1"/>
  <c r="M612" i="2" s="1"/>
  <c r="N612" i="2" a="1"/>
  <c r="N612" i="2" s="1"/>
  <c r="O612" i="2" a="1"/>
  <c r="O612" i="2" s="1"/>
  <c r="P612" i="2" a="1"/>
  <c r="P612" i="2" s="1"/>
  <c r="Q612" i="2" a="1"/>
  <c r="Q612" i="2" s="1"/>
  <c r="A613" i="2" a="1"/>
  <c r="A613" i="2" s="1"/>
  <c r="B613" i="2" a="1"/>
  <c r="B613" i="2" s="1"/>
  <c r="C613" i="2" a="1"/>
  <c r="C613" i="2" s="1"/>
  <c r="D613" i="2" a="1"/>
  <c r="D613" i="2" s="1"/>
  <c r="E613" i="2" a="1"/>
  <c r="E613" i="2" s="1"/>
  <c r="F613" i="2" a="1"/>
  <c r="F613" i="2" s="1"/>
  <c r="G613" i="2" a="1"/>
  <c r="G613" i="2" s="1"/>
  <c r="H613" i="2" a="1"/>
  <c r="H613" i="2" s="1"/>
  <c r="I613" i="2" a="1"/>
  <c r="I613" i="2" s="1"/>
  <c r="J613" i="2" a="1"/>
  <c r="J613" i="2" s="1"/>
  <c r="K613" i="2" a="1"/>
  <c r="K613" i="2" s="1"/>
  <c r="L613" i="2" a="1"/>
  <c r="L613" i="2" s="1"/>
  <c r="M613" i="2" a="1"/>
  <c r="M613" i="2" s="1"/>
  <c r="N613" i="2" a="1"/>
  <c r="N613" i="2" s="1"/>
  <c r="O613" i="2" a="1"/>
  <c r="O613" i="2" s="1"/>
  <c r="P613" i="2" a="1"/>
  <c r="P613" i="2" s="1"/>
  <c r="Q613" i="2" a="1"/>
  <c r="Q613" i="2" s="1"/>
  <c r="A614" i="2" a="1"/>
  <c r="A614" i="2" s="1"/>
  <c r="B614" i="2" a="1"/>
  <c r="B614" i="2" s="1"/>
  <c r="C614" i="2" a="1"/>
  <c r="C614" i="2" s="1"/>
  <c r="D614" i="2" a="1"/>
  <c r="D614" i="2" s="1"/>
  <c r="E614" i="2" a="1"/>
  <c r="E614" i="2" s="1"/>
  <c r="F614" i="2" a="1"/>
  <c r="F614" i="2" s="1"/>
  <c r="G614" i="2" a="1"/>
  <c r="G614" i="2" s="1"/>
  <c r="H614" i="2" a="1"/>
  <c r="H614" i="2" s="1"/>
  <c r="I614" i="2" a="1"/>
  <c r="I614" i="2" s="1"/>
  <c r="J614" i="2" a="1"/>
  <c r="J614" i="2" s="1"/>
  <c r="K614" i="2" a="1"/>
  <c r="K614" i="2" s="1"/>
  <c r="L614" i="2" a="1"/>
  <c r="L614" i="2" s="1"/>
  <c r="M614" i="2" a="1"/>
  <c r="M614" i="2" s="1"/>
  <c r="N614" i="2" a="1"/>
  <c r="N614" i="2" s="1"/>
  <c r="O614" i="2" a="1"/>
  <c r="O614" i="2" s="1"/>
  <c r="P614" i="2" a="1"/>
  <c r="P614" i="2" s="1"/>
  <c r="Q614" i="2" a="1"/>
  <c r="Q614" i="2" s="1"/>
  <c r="A615" i="2" a="1"/>
  <c r="A615" i="2" s="1"/>
  <c r="B615" i="2" a="1"/>
  <c r="B615" i="2" s="1"/>
  <c r="C615" i="2" a="1"/>
  <c r="C615" i="2" s="1"/>
  <c r="D615" i="2" a="1"/>
  <c r="D615" i="2" s="1"/>
  <c r="E615" i="2" a="1"/>
  <c r="E615" i="2" s="1"/>
  <c r="F615" i="2" a="1"/>
  <c r="F615" i="2" s="1"/>
  <c r="G615" i="2" a="1"/>
  <c r="G615" i="2" s="1"/>
  <c r="H615" i="2" a="1"/>
  <c r="H615" i="2" s="1"/>
  <c r="I615" i="2" a="1"/>
  <c r="I615" i="2" s="1"/>
  <c r="J615" i="2" a="1"/>
  <c r="J615" i="2" s="1"/>
  <c r="K615" i="2" a="1"/>
  <c r="K615" i="2" s="1"/>
  <c r="L615" i="2" a="1"/>
  <c r="L615" i="2" s="1"/>
  <c r="M615" i="2" a="1"/>
  <c r="M615" i="2" s="1"/>
  <c r="N615" i="2" a="1"/>
  <c r="N615" i="2" s="1"/>
  <c r="O615" i="2" a="1"/>
  <c r="O615" i="2" s="1"/>
  <c r="P615" i="2" a="1"/>
  <c r="P615" i="2" s="1"/>
  <c r="Q615" i="2" a="1"/>
  <c r="Q615" i="2" s="1"/>
  <c r="A616" i="2" a="1"/>
  <c r="A616" i="2" s="1"/>
  <c r="B616" i="2" a="1"/>
  <c r="B616" i="2" s="1"/>
  <c r="C616" i="2" a="1"/>
  <c r="C616" i="2" s="1"/>
  <c r="D616" i="2" a="1"/>
  <c r="D616" i="2" s="1"/>
  <c r="E616" i="2" a="1"/>
  <c r="E616" i="2" s="1"/>
  <c r="F616" i="2" a="1"/>
  <c r="F616" i="2" s="1"/>
  <c r="G616" i="2" a="1"/>
  <c r="G616" i="2" s="1"/>
  <c r="H616" i="2" a="1"/>
  <c r="H616" i="2" s="1"/>
  <c r="I616" i="2" a="1"/>
  <c r="I616" i="2" s="1"/>
  <c r="J616" i="2" a="1"/>
  <c r="J616" i="2" s="1"/>
  <c r="K616" i="2" a="1"/>
  <c r="K616" i="2" s="1"/>
  <c r="L616" i="2" a="1"/>
  <c r="L616" i="2" s="1"/>
  <c r="E88" i="2" a="1"/>
  <c r="E88" i="2" s="1"/>
  <c r="L88" i="2" a="1"/>
  <c r="L88" i="2" s="1"/>
  <c r="N88" i="2" a="1"/>
  <c r="N88" i="2" s="1"/>
  <c r="Q88" i="2" a="1"/>
  <c r="Q88" i="2" s="1"/>
  <c r="C89" i="2" a="1"/>
  <c r="C89" i="2" s="1"/>
  <c r="M89" i="2" a="1"/>
  <c r="M89" i="2" s="1"/>
  <c r="A90" i="2" a="1"/>
  <c r="A90" i="2" s="1"/>
  <c r="B90" i="2" a="1"/>
  <c r="B90" i="2" s="1"/>
  <c r="D90" i="2" a="1"/>
  <c r="D90" i="2" s="1"/>
  <c r="L90" i="2" a="1"/>
  <c r="L90" i="2" s="1"/>
  <c r="Q90" i="2" a="1"/>
  <c r="Q90" i="2" s="1"/>
  <c r="C91" i="2" a="1"/>
  <c r="C91" i="2" s="1"/>
  <c r="H91" i="2" a="1"/>
  <c r="H91" i="2" s="1"/>
  <c r="I91" i="2" a="1"/>
  <c r="I91" i="2" s="1"/>
  <c r="J91" i="2" a="1"/>
  <c r="J91" i="2" s="1"/>
  <c r="M91" i="2" a="1"/>
  <c r="M91" i="2" s="1"/>
  <c r="N91" i="2" a="1"/>
  <c r="N91" i="2" s="1"/>
  <c r="P91" i="2" a="1"/>
  <c r="P91" i="2" s="1"/>
  <c r="Q91" i="2" a="1"/>
  <c r="Q91" i="2" s="1"/>
  <c r="B92" i="2" a="1"/>
  <c r="B92" i="2" s="1"/>
  <c r="F92" i="2" a="1"/>
  <c r="F92" i="2" s="1"/>
  <c r="H92" i="2" a="1"/>
  <c r="H92" i="2" s="1"/>
  <c r="N92" i="2" a="1"/>
  <c r="N92" i="2" s="1"/>
  <c r="B93" i="2" a="1"/>
  <c r="B93" i="2" s="1"/>
  <c r="G93" i="2" a="1"/>
  <c r="G93" i="2" s="1"/>
  <c r="H93" i="2" a="1"/>
  <c r="H93" i="2" s="1"/>
  <c r="M93" i="2" a="1"/>
  <c r="M93" i="2" s="1"/>
  <c r="Q93" i="2" a="1"/>
  <c r="Q93" i="2" s="1"/>
  <c r="A94" i="2" a="1"/>
  <c r="A94" i="2" s="1"/>
  <c r="H94" i="2" a="1"/>
  <c r="H94" i="2" s="1"/>
  <c r="I94" i="2" a="1"/>
  <c r="I94" i="2" s="1"/>
  <c r="M94" i="2" a="1"/>
  <c r="M94" i="2" s="1"/>
  <c r="J95" i="2" a="1"/>
  <c r="J95" i="2" s="1"/>
  <c r="P95" i="2" a="1"/>
  <c r="P95" i="2" s="1"/>
  <c r="Q95" i="2" a="1"/>
  <c r="Q95" i="2" s="1"/>
  <c r="K96" i="2" a="1"/>
  <c r="K96" i="2" s="1"/>
  <c r="F97" i="2" a="1"/>
  <c r="F97" i="2" s="1"/>
  <c r="M97" i="2" a="1"/>
  <c r="M97" i="2" s="1"/>
  <c r="B98" i="2" a="1"/>
  <c r="B98" i="2" s="1"/>
  <c r="E98" i="2" a="1"/>
  <c r="E98" i="2" s="1"/>
  <c r="G98" i="2" a="1"/>
  <c r="G98" i="2" s="1"/>
  <c r="H98" i="2" a="1"/>
  <c r="H98" i="2" s="1"/>
  <c r="I98" i="2" a="1"/>
  <c r="I98" i="2" s="1"/>
  <c r="L98" i="2" a="1"/>
  <c r="L98" i="2" s="1"/>
  <c r="N98" i="2" a="1"/>
  <c r="N98" i="2" s="1"/>
  <c r="A99" i="2" a="1"/>
  <c r="A99" i="2" s="1"/>
  <c r="B99" i="2" a="1"/>
  <c r="B99" i="2" s="1"/>
  <c r="C99" i="2" a="1"/>
  <c r="C99" i="2" s="1"/>
  <c r="D99" i="2" a="1"/>
  <c r="D99" i="2" s="1"/>
  <c r="E99" i="2" a="1"/>
  <c r="E99" i="2" s="1"/>
  <c r="H99" i="2" a="1"/>
  <c r="H99" i="2" s="1"/>
  <c r="J99" i="2" a="1"/>
  <c r="J99" i="2" s="1"/>
  <c r="K99" i="2" a="1"/>
  <c r="K99" i="2" s="1"/>
  <c r="E100" i="2" a="1"/>
  <c r="E100" i="2" s="1"/>
  <c r="G100" i="2" a="1"/>
  <c r="G100" i="2" s="1"/>
  <c r="H100" i="2" a="1"/>
  <c r="H100" i="2" s="1"/>
  <c r="K100" i="2" a="1"/>
  <c r="K100" i="2" s="1"/>
  <c r="L100" i="2" a="1"/>
  <c r="L100" i="2" s="1"/>
  <c r="M100" i="2" a="1"/>
  <c r="M100" i="2" s="1"/>
  <c r="A101" i="2" a="1"/>
  <c r="A101" i="2" s="1"/>
  <c r="B101" i="2" a="1"/>
  <c r="B101" i="2" s="1"/>
  <c r="C101" i="2" a="1"/>
  <c r="C101" i="2" s="1"/>
  <c r="D101" i="2" a="1"/>
  <c r="D101" i="2" s="1"/>
  <c r="E101" i="2" a="1"/>
  <c r="E101" i="2" s="1"/>
  <c r="F101" i="2" a="1"/>
  <c r="F101" i="2" s="1"/>
  <c r="G101" i="2" a="1"/>
  <c r="G101" i="2" s="1"/>
  <c r="N101" i="2" a="1"/>
  <c r="N101" i="2" s="1"/>
  <c r="O101" i="2" a="1"/>
  <c r="O101" i="2" s="1"/>
  <c r="P101" i="2" a="1"/>
  <c r="P101" i="2" s="1"/>
  <c r="Q101" i="2" a="1"/>
  <c r="Q101" i="2" s="1"/>
  <c r="B102" i="2" a="1"/>
  <c r="B102" i="2" s="1"/>
  <c r="J102" i="2" a="1"/>
  <c r="J102" i="2" s="1"/>
  <c r="N102" i="2" a="1"/>
  <c r="N102" i="2" s="1"/>
  <c r="G103" i="2" a="1"/>
  <c r="G103" i="2" s="1"/>
  <c r="K103" i="2" a="1"/>
  <c r="K103" i="2" s="1"/>
  <c r="D104" i="2" a="1"/>
  <c r="D104" i="2" s="1"/>
  <c r="I104" i="2" a="1"/>
  <c r="I104" i="2" s="1"/>
  <c r="Q104" i="2" a="1"/>
  <c r="Q104" i="2" s="1"/>
  <c r="C105" i="2" a="1"/>
  <c r="C105" i="2" s="1"/>
  <c r="D105" i="2" a="1"/>
  <c r="D105" i="2" s="1"/>
  <c r="F105" i="2" a="1"/>
  <c r="F105" i="2" s="1"/>
  <c r="J105" i="2" a="1"/>
  <c r="J105" i="2" s="1"/>
  <c r="K105" i="2" a="1"/>
  <c r="K105" i="2" s="1"/>
  <c r="N105" i="2" a="1"/>
  <c r="N105" i="2" s="1"/>
  <c r="O105" i="2" a="1"/>
  <c r="O105" i="2" s="1"/>
  <c r="A106" i="2" a="1"/>
  <c r="A106" i="2" s="1"/>
  <c r="D106" i="2" a="1"/>
  <c r="D106" i="2" s="1"/>
  <c r="H106" i="2" a="1"/>
  <c r="H106" i="2" s="1"/>
  <c r="M106" i="2" a="1"/>
  <c r="M106" i="2" s="1"/>
  <c r="N106" i="2" a="1"/>
  <c r="N106" i="2" s="1"/>
  <c r="O106" i="2" a="1"/>
  <c r="O106" i="2" s="1"/>
  <c r="C107" i="2" a="1"/>
  <c r="C107" i="2" s="1"/>
  <c r="D107" i="2" a="1"/>
  <c r="D107" i="2" s="1"/>
  <c r="F107" i="2" a="1"/>
  <c r="F107" i="2" s="1"/>
  <c r="G107" i="2" a="1"/>
  <c r="G107" i="2" s="1"/>
  <c r="H107" i="2" a="1"/>
  <c r="H107" i="2" s="1"/>
  <c r="N107" i="2" a="1"/>
  <c r="N107" i="2" s="1"/>
  <c r="P107" i="2" a="1"/>
  <c r="P107" i="2" s="1"/>
  <c r="B108" i="2" a="1"/>
  <c r="B108" i="2" s="1"/>
  <c r="C108" i="2" a="1"/>
  <c r="C108" i="2" s="1"/>
  <c r="D108" i="2" a="1"/>
  <c r="D108" i="2" s="1"/>
  <c r="H108" i="2" a="1"/>
  <c r="H108" i="2" s="1"/>
  <c r="L108" i="2" a="1"/>
  <c r="L108" i="2" s="1"/>
  <c r="O108" i="2" a="1"/>
  <c r="O108" i="2" s="1"/>
  <c r="A109" i="2" a="1"/>
  <c r="A109" i="2" s="1"/>
  <c r="C109" i="2" a="1"/>
  <c r="C109" i="2" s="1"/>
  <c r="D109" i="2" a="1"/>
  <c r="D109" i="2" s="1"/>
  <c r="H109" i="2" a="1"/>
  <c r="H109" i="2" s="1"/>
  <c r="J109" i="2" a="1"/>
  <c r="J109" i="2" s="1"/>
  <c r="O109" i="2" a="1"/>
  <c r="O109" i="2" s="1"/>
  <c r="A110" i="2" a="1"/>
  <c r="A110" i="2" s="1"/>
  <c r="C110" i="2" a="1"/>
  <c r="C110" i="2" s="1"/>
  <c r="G110" i="2" a="1"/>
  <c r="G110" i="2" s="1"/>
  <c r="K110" i="2" a="1"/>
  <c r="K110" i="2" s="1"/>
  <c r="A111" i="2" a="1"/>
  <c r="A111" i="2" s="1"/>
  <c r="E111" i="2" a="1"/>
  <c r="E111" i="2" s="1"/>
  <c r="G111" i="2" a="1"/>
  <c r="G111" i="2" s="1"/>
  <c r="H111" i="2" a="1"/>
  <c r="H111" i="2" s="1"/>
  <c r="J111" i="2" a="1"/>
  <c r="J111" i="2" s="1"/>
  <c r="M111" i="2" a="1"/>
  <c r="M111" i="2" s="1"/>
  <c r="N111" i="2" a="1"/>
  <c r="N111" i="2" s="1"/>
  <c r="P111" i="2" a="1"/>
  <c r="P111" i="2" s="1"/>
  <c r="Q111" i="2" a="1"/>
  <c r="Q111" i="2" s="1"/>
  <c r="A112" i="2" a="1"/>
  <c r="A112" i="2" s="1"/>
  <c r="C112" i="2" a="1"/>
  <c r="C112" i="2" s="1"/>
  <c r="E112" i="2" a="1"/>
  <c r="E112" i="2" s="1"/>
  <c r="J112" i="2" a="1"/>
  <c r="J112" i="2" s="1"/>
  <c r="K112" i="2" a="1"/>
  <c r="K112" i="2" s="1"/>
  <c r="P112" i="2" a="1"/>
  <c r="P112" i="2" s="1"/>
  <c r="B113" i="2" a="1"/>
  <c r="B113" i="2" s="1"/>
  <c r="E113" i="2" a="1"/>
  <c r="E113" i="2" s="1"/>
  <c r="F113" i="2" a="1"/>
  <c r="F113" i="2" s="1"/>
  <c r="M113" i="2" a="1"/>
  <c r="M113" i="2" s="1"/>
  <c r="B114" i="2" a="1"/>
  <c r="B114" i="2" s="1"/>
  <c r="J114" i="2" a="1"/>
  <c r="J114" i="2" s="1"/>
  <c r="K114" i="2" a="1"/>
  <c r="K114" i="2" s="1"/>
  <c r="N114" i="2" a="1"/>
  <c r="N114" i="2" s="1"/>
  <c r="P114" i="2" a="1"/>
  <c r="P114" i="2" s="1"/>
  <c r="Q114" i="2" a="1"/>
  <c r="Q114" i="2" s="1"/>
  <c r="F115" i="2" a="1"/>
  <c r="F115" i="2" s="1"/>
  <c r="N115" i="2" a="1"/>
  <c r="N115" i="2" s="1"/>
  <c r="A116" i="2" a="1"/>
  <c r="A116" i="2" s="1"/>
  <c r="C116" i="2" a="1"/>
  <c r="C116" i="2" s="1"/>
  <c r="I116" i="2" a="1"/>
  <c r="I116" i="2" s="1"/>
  <c r="Q116" i="2" a="1"/>
  <c r="Q116" i="2" s="1"/>
  <c r="A117" i="2" a="1"/>
  <c r="A117" i="2" s="1"/>
  <c r="E117" i="2" a="1"/>
  <c r="E117" i="2" s="1"/>
  <c r="G117" i="2" a="1"/>
  <c r="G117" i="2" s="1"/>
  <c r="K117" i="2" a="1"/>
  <c r="K117" i="2" s="1"/>
  <c r="N117" i="2" a="1"/>
  <c r="N117" i="2" s="1"/>
  <c r="J118" i="2" a="1"/>
  <c r="J118" i="2" s="1"/>
  <c r="O118" i="2" a="1"/>
  <c r="O118" i="2" s="1"/>
  <c r="Q118" i="2" a="1"/>
  <c r="Q118" i="2" s="1"/>
  <c r="B120" i="2" a="1"/>
  <c r="B120" i="2" s="1"/>
  <c r="K120" i="2" a="1"/>
  <c r="K120" i="2" s="1"/>
  <c r="D121" i="2" a="1"/>
  <c r="D121" i="2" s="1"/>
  <c r="F121" i="2" a="1"/>
  <c r="F121" i="2" s="1"/>
  <c r="I121" i="2" a="1"/>
  <c r="I121" i="2" s="1"/>
  <c r="K121" i="2" a="1"/>
  <c r="K121" i="2" s="1"/>
  <c r="A122" i="2" a="1"/>
  <c r="A122" i="2" s="1"/>
  <c r="C122" i="2" a="1"/>
  <c r="C122" i="2" s="1"/>
  <c r="F122" i="2" a="1"/>
  <c r="F122" i="2" s="1"/>
  <c r="H122" i="2" a="1"/>
  <c r="H122" i="2" s="1"/>
  <c r="K122" i="2" a="1"/>
  <c r="K122" i="2" s="1"/>
  <c r="P122" i="2" a="1"/>
  <c r="P122" i="2" s="1"/>
  <c r="E123" i="2" a="1"/>
  <c r="E123" i="2" s="1"/>
  <c r="K123" i="2" a="1"/>
  <c r="K123" i="2" s="1"/>
  <c r="O123" i="2" a="1"/>
  <c r="O123" i="2" s="1"/>
  <c r="P123" i="2" a="1"/>
  <c r="P123" i="2" s="1"/>
  <c r="C124" i="2" a="1"/>
  <c r="C124" i="2" s="1"/>
  <c r="E124" i="2" a="1"/>
  <c r="E124" i="2" s="1"/>
  <c r="A125" i="2" a="1"/>
  <c r="A125" i="2" s="1"/>
  <c r="G125" i="2" a="1"/>
  <c r="G125" i="2" s="1"/>
  <c r="I125" i="2" a="1"/>
  <c r="I125" i="2" s="1"/>
  <c r="K125" i="2" a="1"/>
  <c r="K125" i="2" s="1"/>
  <c r="A126" i="2" a="1"/>
  <c r="A126" i="2" s="1"/>
  <c r="E126" i="2" a="1"/>
  <c r="E126" i="2" s="1"/>
  <c r="F126" i="2" a="1"/>
  <c r="F126" i="2" s="1"/>
  <c r="I126" i="2" a="1"/>
  <c r="I126" i="2" s="1"/>
  <c r="N126" i="2" a="1"/>
  <c r="N126" i="2" s="1"/>
  <c r="C127" i="2" a="1"/>
  <c r="C127" i="2" s="1"/>
  <c r="E127" i="2" a="1"/>
  <c r="E127" i="2" s="1"/>
  <c r="N127" i="2" a="1"/>
  <c r="N127" i="2" s="1"/>
  <c r="P127" i="2" a="1"/>
  <c r="P127" i="2" s="1"/>
  <c r="G128" i="2" a="1"/>
  <c r="G128" i="2" s="1"/>
  <c r="B129" i="2" a="1"/>
  <c r="B129" i="2" s="1"/>
  <c r="D129" i="2" a="1"/>
  <c r="D129" i="2" s="1"/>
  <c r="G129" i="2" a="1"/>
  <c r="G129" i="2" s="1"/>
  <c r="K129" i="2" a="1"/>
  <c r="K129" i="2" s="1"/>
  <c r="M129" i="2" a="1"/>
  <c r="M129" i="2" s="1"/>
  <c r="O129" i="2" a="1"/>
  <c r="O129" i="2" s="1"/>
  <c r="H130" i="2" a="1"/>
  <c r="H130" i="2" s="1"/>
  <c r="A131" i="2" a="1"/>
  <c r="A131" i="2" s="1"/>
  <c r="E131" i="2" a="1"/>
  <c r="E131" i="2" s="1"/>
  <c r="I131" i="2" a="1"/>
  <c r="I131" i="2" s="1"/>
  <c r="C132" i="2" a="1"/>
  <c r="C132" i="2" s="1"/>
  <c r="K132" i="2" a="1"/>
  <c r="K132" i="2" s="1"/>
  <c r="N132" i="2" a="1"/>
  <c r="N132" i="2" s="1"/>
  <c r="Q132" i="2" a="1"/>
  <c r="Q132" i="2" s="1"/>
  <c r="C133" i="2" a="1"/>
  <c r="C133" i="2" s="1"/>
  <c r="D133" i="2" a="1"/>
  <c r="D133" i="2" s="1"/>
  <c r="F133" i="2" a="1"/>
  <c r="F133" i="2" s="1"/>
  <c r="J133" i="2" a="1"/>
  <c r="J133" i="2" s="1"/>
  <c r="O133" i="2" a="1"/>
  <c r="O133" i="2" s="1"/>
  <c r="A134" i="2" a="1"/>
  <c r="A134" i="2" s="1"/>
  <c r="B134" i="2" a="1"/>
  <c r="B134" i="2" s="1"/>
  <c r="D134" i="2" a="1"/>
  <c r="D134" i="2" s="1"/>
  <c r="F134" i="2" a="1"/>
  <c r="F134" i="2" s="1"/>
  <c r="G134" i="2" a="1"/>
  <c r="G134" i="2" s="1"/>
  <c r="K134" i="2" a="1"/>
  <c r="K134" i="2" s="1"/>
  <c r="M134" i="2" a="1"/>
  <c r="M134" i="2" s="1"/>
  <c r="P134" i="2" a="1"/>
  <c r="P134" i="2" s="1"/>
  <c r="C135" i="2" a="1"/>
  <c r="C135" i="2" s="1"/>
  <c r="G135" i="2" a="1"/>
  <c r="G135" i="2" s="1"/>
  <c r="L135" i="2" a="1"/>
  <c r="L135" i="2" s="1"/>
  <c r="P135" i="2" a="1"/>
  <c r="P135" i="2" s="1"/>
  <c r="C136" i="2" a="1"/>
  <c r="C136" i="2" s="1"/>
  <c r="G136" i="2" a="1"/>
  <c r="G136" i="2" s="1"/>
  <c r="J136" i="2" a="1"/>
  <c r="J136" i="2" s="1"/>
  <c r="M136" i="2" a="1"/>
  <c r="M136" i="2" s="1"/>
  <c r="P136" i="2" a="1"/>
  <c r="P136" i="2" s="1"/>
  <c r="G137" i="2" a="1"/>
  <c r="G137" i="2" s="1"/>
  <c r="K137" i="2" a="1"/>
  <c r="K137" i="2" s="1"/>
  <c r="O137" i="2" a="1"/>
  <c r="O137" i="2" s="1"/>
  <c r="Q137" i="2" a="1"/>
  <c r="Q137" i="2" s="1"/>
  <c r="D138" i="2" a="1"/>
  <c r="D138" i="2" s="1"/>
  <c r="F138" i="2" a="1"/>
  <c r="F138" i="2" s="1"/>
  <c r="G138" i="2" a="1"/>
  <c r="G138" i="2" s="1"/>
  <c r="K138" i="2" a="1"/>
  <c r="K138" i="2" s="1"/>
  <c r="N138" i="2" a="1"/>
  <c r="N138" i="2" s="1"/>
  <c r="A139" i="2" a="1"/>
  <c r="A139" i="2" s="1"/>
  <c r="I139" i="2" a="1"/>
  <c r="I139" i="2" s="1"/>
  <c r="M139" i="2" a="1"/>
  <c r="M139" i="2" s="1"/>
  <c r="N139" i="2" a="1"/>
  <c r="N139" i="2" s="1"/>
  <c r="O139" i="2" a="1"/>
  <c r="O139" i="2" s="1"/>
  <c r="P139" i="2" a="1"/>
  <c r="P139" i="2" s="1"/>
  <c r="C140" i="2" a="1"/>
  <c r="C140" i="2" s="1"/>
  <c r="J140" i="2" a="1"/>
  <c r="J140" i="2" s="1"/>
  <c r="M140" i="2" a="1"/>
  <c r="M140" i="2" s="1"/>
  <c r="N140" i="2" a="1"/>
  <c r="N140" i="2" s="1"/>
  <c r="O140" i="2" a="1"/>
  <c r="O140" i="2" s="1"/>
  <c r="P140" i="2" a="1"/>
  <c r="P140" i="2" s="1"/>
  <c r="H141" i="2" a="1"/>
  <c r="H141" i="2" s="1"/>
  <c r="L141" i="2" a="1"/>
  <c r="L141" i="2" s="1"/>
  <c r="D142" i="2" a="1"/>
  <c r="D142" i="2" s="1"/>
  <c r="E142" i="2" a="1"/>
  <c r="E142" i="2" s="1"/>
  <c r="F142" i="2" a="1"/>
  <c r="F142" i="2" s="1"/>
  <c r="H142" i="2" a="1"/>
  <c r="H142" i="2" s="1"/>
  <c r="I142" i="2" a="1"/>
  <c r="I142" i="2" s="1"/>
  <c r="M142" i="2" a="1"/>
  <c r="M142" i="2" s="1"/>
  <c r="F143" i="2" a="1"/>
  <c r="F143" i="2" s="1"/>
  <c r="N143" i="2" a="1"/>
  <c r="N143" i="2" s="1"/>
  <c r="A144" i="2" a="1"/>
  <c r="A144" i="2" s="1"/>
  <c r="H144" i="2" a="1"/>
  <c r="H144" i="2" s="1"/>
  <c r="K144" i="2" a="1"/>
  <c r="K144" i="2" s="1"/>
  <c r="M144" i="2" a="1"/>
  <c r="M144" i="2" s="1"/>
  <c r="N144" i="2" a="1"/>
  <c r="N144" i="2" s="1"/>
  <c r="Q144" i="2" a="1"/>
  <c r="Q144" i="2" s="1"/>
  <c r="F145" i="2" a="1"/>
  <c r="F145" i="2" s="1"/>
  <c r="I145" i="2" a="1"/>
  <c r="I145" i="2" s="1"/>
  <c r="B146" i="2" a="1"/>
  <c r="B146" i="2" s="1"/>
  <c r="C146" i="2" a="1"/>
  <c r="C146" i="2" s="1"/>
  <c r="D146" i="2" a="1"/>
  <c r="D146" i="2" s="1"/>
  <c r="G146" i="2" a="1"/>
  <c r="G146" i="2" s="1"/>
  <c r="H146" i="2" a="1"/>
  <c r="H146" i="2" s="1"/>
  <c r="I146" i="2" a="1"/>
  <c r="I146" i="2" s="1"/>
  <c r="J146" i="2" a="1"/>
  <c r="J146" i="2" s="1"/>
  <c r="P146" i="2" a="1"/>
  <c r="P146" i="2" s="1"/>
  <c r="Q146" i="2" a="1"/>
  <c r="Q146" i="2" s="1"/>
  <c r="E147" i="2" a="1"/>
  <c r="E147" i="2" s="1"/>
  <c r="G147" i="2" a="1"/>
  <c r="G147" i="2" s="1"/>
  <c r="H147" i="2" a="1"/>
  <c r="H147" i="2" s="1"/>
  <c r="I147" i="2" a="1"/>
  <c r="I147" i="2" s="1"/>
  <c r="B148" i="2" a="1"/>
  <c r="B148" i="2" s="1"/>
  <c r="D148" i="2" a="1"/>
  <c r="D148" i="2" s="1"/>
  <c r="H148" i="2" a="1"/>
  <c r="H148" i="2" s="1"/>
  <c r="K148" i="2" a="1"/>
  <c r="K148" i="2" s="1"/>
  <c r="C149" i="2" a="1"/>
  <c r="C149" i="2" s="1"/>
  <c r="H149" i="2" a="1"/>
  <c r="H149" i="2" s="1"/>
  <c r="P149" i="2" a="1"/>
  <c r="P149" i="2" s="1"/>
  <c r="C150" i="2" a="1"/>
  <c r="C150" i="2" s="1"/>
  <c r="I150" i="2" a="1"/>
  <c r="I150" i="2" s="1"/>
  <c r="K150" i="2" a="1"/>
  <c r="K150" i="2" s="1"/>
  <c r="N150" i="2" a="1"/>
  <c r="N150" i="2" s="1"/>
  <c r="C151" i="2" a="1"/>
  <c r="C151" i="2" s="1"/>
  <c r="D151" i="2" a="1"/>
  <c r="D151" i="2" s="1"/>
  <c r="J151" i="2" a="1"/>
  <c r="J151" i="2" s="1"/>
  <c r="H152" i="2" a="1"/>
  <c r="H152" i="2" s="1"/>
  <c r="M152" i="2" a="1"/>
  <c r="M152" i="2" s="1"/>
  <c r="Q152" i="2" a="1"/>
  <c r="Q152" i="2" s="1"/>
  <c r="E153" i="2" a="1"/>
  <c r="E153" i="2" s="1"/>
  <c r="I153" i="2" a="1"/>
  <c r="I153" i="2" s="1"/>
  <c r="K153" i="2" a="1"/>
  <c r="K153" i="2" s="1"/>
  <c r="N153" i="2" a="1"/>
  <c r="N153" i="2" s="1"/>
  <c r="A154" i="2" a="1"/>
  <c r="A154" i="2" s="1"/>
  <c r="B154" i="2" a="1"/>
  <c r="B154" i="2" s="1"/>
  <c r="N154" i="2" a="1"/>
  <c r="N154" i="2" s="1"/>
  <c r="Q154" i="2" a="1"/>
  <c r="Q154" i="2" s="1"/>
  <c r="D155" i="2" a="1"/>
  <c r="D155" i="2" s="1"/>
  <c r="D156" i="2" a="1"/>
  <c r="D156" i="2" s="1"/>
  <c r="E156" i="2" a="1"/>
  <c r="E156" i="2" s="1"/>
  <c r="F156" i="2" a="1"/>
  <c r="F156" i="2" s="1"/>
  <c r="I156" i="2" a="1"/>
  <c r="I156" i="2" s="1"/>
  <c r="A157" i="2" a="1"/>
  <c r="A157" i="2" s="1"/>
  <c r="B157" i="2" a="1"/>
  <c r="B157" i="2" s="1"/>
  <c r="C157" i="2" a="1"/>
  <c r="C157" i="2" s="1"/>
  <c r="D157" i="2" a="1"/>
  <c r="D157" i="2" s="1"/>
  <c r="F157" i="2" a="1"/>
  <c r="F157" i="2" s="1"/>
  <c r="G157" i="2" a="1"/>
  <c r="G157" i="2" s="1"/>
  <c r="H157" i="2" a="1"/>
  <c r="H157" i="2" s="1"/>
  <c r="J157" i="2" a="1"/>
  <c r="J157" i="2" s="1"/>
  <c r="L157" i="2" a="1"/>
  <c r="L157" i="2" s="1"/>
  <c r="Q157" i="2" a="1"/>
  <c r="Q157" i="2" s="1"/>
  <c r="C158" i="2" a="1"/>
  <c r="C158" i="2" s="1"/>
  <c r="F158" i="2" a="1"/>
  <c r="F158" i="2" s="1"/>
  <c r="K158" i="2" a="1"/>
  <c r="K158" i="2" s="1"/>
  <c r="P158" i="2" a="1"/>
  <c r="P158" i="2" s="1"/>
  <c r="A159" i="2" a="1"/>
  <c r="A159" i="2" s="1"/>
  <c r="B159" i="2" a="1"/>
  <c r="B159" i="2" s="1"/>
  <c r="C159" i="2" a="1"/>
  <c r="C159" i="2" s="1"/>
  <c r="F159" i="2" a="1"/>
  <c r="F159" i="2" s="1"/>
  <c r="O159" i="2" a="1"/>
  <c r="O159" i="2" s="1"/>
  <c r="E160" i="2" a="1"/>
  <c r="E160" i="2" s="1"/>
  <c r="H160" i="2" a="1"/>
  <c r="H160" i="2" s="1"/>
  <c r="O160" i="2" a="1"/>
  <c r="O160" i="2" s="1"/>
  <c r="P160" i="2" a="1"/>
  <c r="P160" i="2" s="1"/>
  <c r="G161" i="2" a="1"/>
  <c r="G161" i="2" s="1"/>
  <c r="K161" i="2" a="1"/>
  <c r="K161" i="2" s="1"/>
  <c r="L161" i="2" a="1"/>
  <c r="L161" i="2" s="1"/>
  <c r="K162" i="2" a="1"/>
  <c r="K162" i="2" s="1"/>
  <c r="C163" i="2" a="1"/>
  <c r="C163" i="2" s="1"/>
  <c r="G163" i="2" a="1"/>
  <c r="G163" i="2" s="1"/>
  <c r="P163" i="2" a="1"/>
  <c r="P163" i="2" s="1"/>
  <c r="B164" i="2" a="1"/>
  <c r="B164" i="2" s="1"/>
  <c r="D164" i="2" a="1"/>
  <c r="D164" i="2" s="1"/>
  <c r="E164" i="2" a="1"/>
  <c r="E164" i="2" s="1"/>
  <c r="G164" i="2" a="1"/>
  <c r="G164" i="2" s="1"/>
  <c r="H164" i="2" a="1"/>
  <c r="H164" i="2" s="1"/>
  <c r="I164" i="2" a="1"/>
  <c r="I164" i="2" s="1"/>
  <c r="J164" i="2" a="1"/>
  <c r="J164" i="2" s="1"/>
  <c r="M164" i="2" a="1"/>
  <c r="M164" i="2" s="1"/>
  <c r="N164" i="2" a="1"/>
  <c r="N164" i="2" s="1"/>
  <c r="Q164" i="2" a="1"/>
  <c r="Q164" i="2" s="1"/>
  <c r="A165" i="2" a="1"/>
  <c r="A165" i="2" s="1"/>
  <c r="B165" i="2" a="1"/>
  <c r="B165" i="2" s="1"/>
  <c r="F165" i="2" a="1"/>
  <c r="F165" i="2" s="1"/>
  <c r="O165" i="2" a="1"/>
  <c r="O165" i="2" s="1"/>
  <c r="C166" i="2" a="1"/>
  <c r="C166" i="2" s="1"/>
  <c r="D166" i="2" a="1"/>
  <c r="D166" i="2" s="1"/>
  <c r="G166" i="2" a="1"/>
  <c r="G166" i="2" s="1"/>
  <c r="L166" i="2" a="1"/>
  <c r="L166" i="2" s="1"/>
  <c r="N166" i="2" a="1"/>
  <c r="N166" i="2" s="1"/>
  <c r="O166" i="2" a="1"/>
  <c r="O166" i="2" s="1"/>
  <c r="E167" i="2" a="1"/>
  <c r="E167" i="2" s="1"/>
  <c r="N167" i="2" a="1"/>
  <c r="N167" i="2" s="1"/>
  <c r="H168" i="2" a="1"/>
  <c r="H168" i="2" s="1"/>
  <c r="J168" i="2" a="1"/>
  <c r="J168" i="2" s="1"/>
  <c r="M168" i="2" a="1"/>
  <c r="M168" i="2" s="1"/>
  <c r="O168" i="2" a="1"/>
  <c r="O168" i="2" s="1"/>
  <c r="P168" i="2" a="1"/>
  <c r="P168" i="2" s="1"/>
  <c r="Q168" i="2" a="1"/>
  <c r="Q168" i="2" s="1"/>
  <c r="A169" i="2" a="1"/>
  <c r="A169" i="2" s="1"/>
  <c r="G169" i="2" a="1"/>
  <c r="G169" i="2" s="1"/>
  <c r="J169" i="2" a="1"/>
  <c r="J169" i="2" s="1"/>
  <c r="O169" i="2" a="1"/>
  <c r="O169" i="2" s="1"/>
  <c r="P169" i="2" a="1"/>
  <c r="P169" i="2" s="1"/>
  <c r="G170" i="2" a="1"/>
  <c r="G170" i="2" s="1"/>
  <c r="A171" i="2" a="1"/>
  <c r="A171" i="2" s="1"/>
  <c r="E171" i="2" a="1"/>
  <c r="E171" i="2" s="1"/>
  <c r="K171" i="2" a="1"/>
  <c r="K171" i="2" s="1"/>
  <c r="P171" i="2" a="1"/>
  <c r="P171" i="2" s="1"/>
  <c r="A172" i="2" a="1"/>
  <c r="A172" i="2" s="1"/>
  <c r="N172" i="2" a="1"/>
  <c r="N172" i="2" s="1"/>
  <c r="C173" i="2" a="1"/>
  <c r="C173" i="2" s="1"/>
  <c r="E173" i="2" a="1"/>
  <c r="E173" i="2" s="1"/>
  <c r="G173" i="2" a="1"/>
  <c r="G173" i="2" s="1"/>
  <c r="I173" i="2" a="1"/>
  <c r="I173" i="2" s="1"/>
  <c r="J173" i="2" a="1"/>
  <c r="J173" i="2" s="1"/>
  <c r="K173" i="2" a="1"/>
  <c r="K173" i="2" s="1"/>
  <c r="L173" i="2" a="1"/>
  <c r="L173" i="2" s="1"/>
  <c r="O173" i="2" a="1"/>
  <c r="O173" i="2" s="1"/>
  <c r="A174" i="2" a="1"/>
  <c r="A174" i="2" s="1"/>
  <c r="D174" i="2" a="1"/>
  <c r="D174" i="2" s="1"/>
  <c r="M174" i="2" a="1"/>
  <c r="M174" i="2" s="1"/>
  <c r="A175" i="2" a="1"/>
  <c r="A175" i="2" s="1"/>
  <c r="K175" i="2" a="1"/>
  <c r="K175" i="2" s="1"/>
  <c r="L175" i="2" a="1"/>
  <c r="L175" i="2" s="1"/>
  <c r="A176" i="2" a="1"/>
  <c r="A176" i="2" s="1"/>
  <c r="B176" i="2" a="1"/>
  <c r="B176" i="2" s="1"/>
  <c r="G176" i="2" a="1"/>
  <c r="G176" i="2" s="1"/>
  <c r="J176" i="2" a="1"/>
  <c r="J176" i="2" s="1"/>
  <c r="L176" i="2" a="1"/>
  <c r="L176" i="2" s="1"/>
  <c r="B177" i="2" a="1"/>
  <c r="B177" i="2" s="1"/>
  <c r="C177" i="2" a="1"/>
  <c r="C177" i="2" s="1"/>
  <c r="P177" i="2" a="1"/>
  <c r="P177" i="2" s="1"/>
  <c r="E178" i="2" a="1"/>
  <c r="E178" i="2" s="1"/>
  <c r="G178" i="2" a="1"/>
  <c r="G178" i="2" s="1"/>
  <c r="H178" i="2" a="1"/>
  <c r="H178" i="2" s="1"/>
  <c r="I178" i="2" a="1"/>
  <c r="I178" i="2" s="1"/>
  <c r="J178" i="2" a="1"/>
  <c r="J178" i="2" s="1"/>
  <c r="K178" i="2" a="1"/>
  <c r="K178" i="2" s="1"/>
  <c r="L178" i="2" a="1"/>
  <c r="L178" i="2" s="1"/>
  <c r="M178" i="2" a="1"/>
  <c r="M178" i="2" s="1"/>
  <c r="N178" i="2" a="1"/>
  <c r="N178" i="2" s="1"/>
  <c r="L179" i="2" a="1"/>
  <c r="L179" i="2" s="1"/>
  <c r="P179" i="2" a="1"/>
  <c r="P179" i="2" s="1"/>
  <c r="C180" i="2" a="1"/>
  <c r="C180" i="2" s="1"/>
  <c r="E180" i="2" a="1"/>
  <c r="E180" i="2" s="1"/>
  <c r="I180" i="2" a="1"/>
  <c r="I180" i="2" s="1"/>
  <c r="J180" i="2" a="1"/>
  <c r="J180" i="2" s="1"/>
  <c r="L180" i="2" a="1"/>
  <c r="L180" i="2" s="1"/>
  <c r="A181" i="2" a="1"/>
  <c r="A181" i="2" s="1"/>
  <c r="Q181" i="2" a="1"/>
  <c r="Q181" i="2" s="1"/>
  <c r="B182" i="2" a="1"/>
  <c r="B182" i="2" s="1"/>
  <c r="C182" i="2" a="1"/>
  <c r="C182" i="2" s="1"/>
  <c r="E182" i="2" a="1"/>
  <c r="E182" i="2" s="1"/>
  <c r="L182" i="2" a="1"/>
  <c r="L182" i="2" s="1"/>
  <c r="M182" i="2" a="1"/>
  <c r="M182" i="2" s="1"/>
  <c r="G183" i="2" a="1"/>
  <c r="G183" i="2" s="1"/>
  <c r="L183" i="2" a="1"/>
  <c r="L183" i="2" s="1"/>
  <c r="N183" i="2" a="1"/>
  <c r="N183" i="2" s="1"/>
  <c r="E184" i="2" a="1"/>
  <c r="E184" i="2" s="1"/>
  <c r="F184" i="2" a="1"/>
  <c r="F184" i="2" s="1"/>
  <c r="L184" i="2" a="1"/>
  <c r="L184" i="2" s="1"/>
  <c r="P184" i="2" a="1"/>
  <c r="P184" i="2" s="1"/>
  <c r="B185" i="2" a="1"/>
  <c r="B185" i="2" s="1"/>
  <c r="C185" i="2" a="1"/>
  <c r="C185" i="2" s="1"/>
  <c r="D185" i="2" a="1"/>
  <c r="D185" i="2" s="1"/>
  <c r="E185" i="2" a="1"/>
  <c r="E185" i="2" s="1"/>
  <c r="K185" i="2" a="1"/>
  <c r="K185" i="2" s="1"/>
  <c r="B186" i="2" a="1"/>
  <c r="B186" i="2" s="1"/>
  <c r="I186" i="2" a="1"/>
  <c r="I186" i="2" s="1"/>
  <c r="K186" i="2" a="1"/>
  <c r="K186" i="2" s="1"/>
  <c r="P186" i="2" a="1"/>
  <c r="P186" i="2" s="1"/>
  <c r="H187" i="2" a="1"/>
  <c r="H187" i="2" s="1"/>
  <c r="L187" i="2" a="1"/>
  <c r="L187" i="2" s="1"/>
  <c r="D190" i="2" a="1"/>
  <c r="D190" i="2" s="1"/>
  <c r="G190" i="2" a="1"/>
  <c r="G190" i="2" s="1"/>
  <c r="I191" i="2" a="1"/>
  <c r="I191" i="2" s="1"/>
  <c r="E192" i="2" a="1"/>
  <c r="E192" i="2" s="1"/>
  <c r="M192" i="2" a="1"/>
  <c r="M192" i="2" s="1"/>
  <c r="H193" i="2" a="1"/>
  <c r="H193" i="2" s="1"/>
  <c r="J193" i="2" a="1"/>
  <c r="J193" i="2" s="1"/>
  <c r="K193" i="2" a="1"/>
  <c r="K193" i="2" s="1"/>
  <c r="I194" i="2" a="1"/>
  <c r="I194" i="2" s="1"/>
  <c r="N194" i="2" a="1"/>
  <c r="N194" i="2" s="1"/>
  <c r="Q194" i="2" a="1"/>
  <c r="Q194" i="2" s="1"/>
  <c r="E196" i="2" a="1"/>
  <c r="E196" i="2" s="1"/>
  <c r="G196" i="2" a="1"/>
  <c r="G196" i="2" s="1"/>
  <c r="K196" i="2" a="1"/>
  <c r="K196" i="2" s="1"/>
  <c r="C197" i="2" a="1"/>
  <c r="C197" i="2" s="1"/>
  <c r="N197" i="2" a="1"/>
  <c r="N197" i="2" s="1"/>
  <c r="J198" i="2" a="1"/>
  <c r="J198" i="2" s="1"/>
  <c r="L198" i="2" a="1"/>
  <c r="L198" i="2" s="1"/>
  <c r="N198" i="2" a="1"/>
  <c r="N198" i="2" s="1"/>
  <c r="O198" i="2" a="1"/>
  <c r="O198" i="2" s="1"/>
  <c r="P198" i="2" a="1"/>
  <c r="P198" i="2" s="1"/>
  <c r="Q198" i="2" a="1"/>
  <c r="Q198" i="2" s="1"/>
  <c r="O199" i="2" a="1"/>
  <c r="O199" i="2" s="1"/>
  <c r="M200" i="2" a="1"/>
  <c r="M200" i="2" s="1"/>
  <c r="B201" i="2" a="1"/>
  <c r="B201" i="2" s="1"/>
  <c r="D201" i="2" a="1"/>
  <c r="D201" i="2" s="1"/>
  <c r="H201" i="2" a="1"/>
  <c r="H201" i="2" s="1"/>
  <c r="A202" i="2" a="1"/>
  <c r="A202" i="2" s="1"/>
  <c r="D202" i="2" a="1"/>
  <c r="D202" i="2" s="1"/>
  <c r="F202" i="2" a="1"/>
  <c r="F202" i="2" s="1"/>
  <c r="I202" i="2" a="1"/>
  <c r="I202" i="2" s="1"/>
  <c r="A203" i="2" a="1"/>
  <c r="A203" i="2" s="1"/>
  <c r="B203" i="2" a="1"/>
  <c r="B203" i="2" s="1"/>
  <c r="F203" i="2" a="1"/>
  <c r="F203" i="2" s="1"/>
  <c r="G203" i="2" a="1"/>
  <c r="G203" i="2" s="1"/>
  <c r="J203" i="2" a="1"/>
  <c r="J203" i="2" s="1"/>
  <c r="K203" i="2" a="1"/>
  <c r="K203" i="2" s="1"/>
  <c r="C204" i="2" a="1"/>
  <c r="C204" i="2" s="1"/>
  <c r="H204" i="2" a="1"/>
  <c r="H204" i="2" s="1"/>
  <c r="L204" i="2" a="1"/>
  <c r="L204" i="2" s="1"/>
  <c r="N204" i="2" a="1"/>
  <c r="N204" i="2" s="1"/>
  <c r="D205" i="2" a="1"/>
  <c r="D205" i="2" s="1"/>
  <c r="E206" i="2" a="1"/>
  <c r="E206" i="2" s="1"/>
  <c r="I206" i="2" a="1"/>
  <c r="I206" i="2" s="1"/>
  <c r="K206" i="2" a="1"/>
  <c r="K206" i="2" s="1"/>
  <c r="G208" i="2" a="1"/>
  <c r="G208" i="2" s="1"/>
  <c r="F209" i="2" a="1"/>
  <c r="F209" i="2" s="1"/>
  <c r="G209" i="2" a="1"/>
  <c r="G209" i="2" s="1"/>
  <c r="H209" i="2" a="1"/>
  <c r="H209" i="2" s="1"/>
  <c r="I209" i="2" a="1"/>
  <c r="I209" i="2" s="1"/>
  <c r="P209" i="2" a="1"/>
  <c r="P209" i="2" s="1"/>
  <c r="H210" i="2" a="1"/>
  <c r="H210" i="2" s="1"/>
  <c r="J210" i="2" a="1"/>
  <c r="J210" i="2" s="1"/>
  <c r="P210" i="2" a="1"/>
  <c r="P210" i="2" s="1"/>
  <c r="E211" i="2" a="1"/>
  <c r="E211" i="2" s="1"/>
  <c r="J211" i="2" a="1"/>
  <c r="J211" i="2" s="1"/>
  <c r="E212" i="2" a="1"/>
  <c r="E212" i="2" s="1"/>
  <c r="I212" i="2" a="1"/>
  <c r="I212" i="2" s="1"/>
  <c r="J212" i="2" a="1"/>
  <c r="J212" i="2" s="1"/>
  <c r="K212" i="2" a="1"/>
  <c r="K212" i="2" s="1"/>
  <c r="B213" i="2" a="1"/>
  <c r="B213" i="2" s="1"/>
  <c r="G213" i="2" a="1"/>
  <c r="G213" i="2" s="1"/>
  <c r="I213" i="2" a="1"/>
  <c r="I213" i="2" s="1"/>
  <c r="O213" i="2" a="1"/>
  <c r="O213" i="2" s="1"/>
  <c r="E214" i="2" a="1"/>
  <c r="E214" i="2" s="1"/>
  <c r="F214" i="2" a="1"/>
  <c r="F214" i="2" s="1"/>
  <c r="J214" i="2" a="1"/>
  <c r="J214" i="2" s="1"/>
  <c r="M214" i="2" a="1"/>
  <c r="M214" i="2" s="1"/>
  <c r="O214" i="2" a="1"/>
  <c r="O214" i="2" s="1"/>
  <c r="A215" i="2" a="1"/>
  <c r="A215" i="2" s="1"/>
  <c r="J215" i="2" a="1"/>
  <c r="J215" i="2" s="1"/>
  <c r="N215" i="2" a="1"/>
  <c r="N215" i="2" s="1"/>
  <c r="Q215" i="2" a="1"/>
  <c r="Q215" i="2" s="1"/>
  <c r="C216" i="2" a="1"/>
  <c r="C216" i="2" s="1"/>
  <c r="J216" i="2" a="1"/>
  <c r="J216" i="2" s="1"/>
  <c r="Q216" i="2" a="1"/>
  <c r="Q216" i="2" s="1"/>
  <c r="C217" i="2" a="1"/>
  <c r="C217" i="2" s="1"/>
  <c r="J217" i="2" a="1"/>
  <c r="J217" i="2" s="1"/>
  <c r="K217" i="2" a="1"/>
  <c r="K217" i="2" s="1"/>
  <c r="P217" i="2" a="1"/>
  <c r="P217" i="2" s="1"/>
  <c r="E218" i="2" a="1"/>
  <c r="E218" i="2" s="1"/>
  <c r="I218" i="2" a="1"/>
  <c r="I218" i="2" s="1"/>
  <c r="N218" i="2" a="1"/>
  <c r="N218" i="2" s="1"/>
  <c r="J219" i="2" a="1"/>
  <c r="J219" i="2" s="1"/>
  <c r="L219" i="2" a="1"/>
  <c r="L219" i="2" s="1"/>
  <c r="F220" i="2" a="1"/>
  <c r="F220" i="2" s="1"/>
  <c r="M220" i="2" a="1"/>
  <c r="M220" i="2" s="1"/>
  <c r="O220" i="2" a="1"/>
  <c r="O220" i="2" s="1"/>
  <c r="D221" i="2" a="1"/>
  <c r="D221" i="2" s="1"/>
  <c r="O221" i="2" a="1"/>
  <c r="O221" i="2" s="1"/>
  <c r="Q221" i="2" a="1"/>
  <c r="Q221" i="2" s="1"/>
  <c r="B222" i="2" a="1"/>
  <c r="B222" i="2" s="1"/>
  <c r="C222" i="2" a="1"/>
  <c r="C222" i="2" s="1"/>
  <c r="E222" i="2" a="1"/>
  <c r="E222" i="2" s="1"/>
  <c r="F222" i="2" a="1"/>
  <c r="F222" i="2" s="1"/>
  <c r="P222" i="2" a="1"/>
  <c r="P222" i="2" s="1"/>
  <c r="D223" i="2" a="1"/>
  <c r="D223" i="2" s="1"/>
  <c r="G223" i="2" a="1"/>
  <c r="G223" i="2" s="1"/>
  <c r="K223" i="2" a="1"/>
  <c r="K223" i="2" s="1"/>
  <c r="Q223" i="2" a="1"/>
  <c r="Q223" i="2" s="1"/>
  <c r="E224" i="2" a="1"/>
  <c r="E224" i="2" s="1"/>
  <c r="J224" i="2" a="1"/>
  <c r="J224" i="2" s="1"/>
  <c r="M224" i="2" a="1"/>
  <c r="M224" i="2" s="1"/>
  <c r="O224" i="2" a="1"/>
  <c r="O224" i="2" s="1"/>
  <c r="E225" i="2" a="1"/>
  <c r="E225" i="2" s="1"/>
  <c r="L225" i="2" a="1"/>
  <c r="L225" i="2" s="1"/>
  <c r="Q225" i="2" a="1"/>
  <c r="Q225" i="2" s="1"/>
  <c r="E226" i="2" a="1"/>
  <c r="E226" i="2" s="1"/>
  <c r="J226" i="2" a="1"/>
  <c r="J226" i="2" s="1"/>
  <c r="L226" i="2" a="1"/>
  <c r="L226" i="2" s="1"/>
  <c r="B227" i="2" a="1"/>
  <c r="B227" i="2" s="1"/>
  <c r="A228" i="2" a="1"/>
  <c r="A228" i="2" s="1"/>
  <c r="F228" i="2" a="1"/>
  <c r="F228" i="2" s="1"/>
  <c r="J228" i="2" a="1"/>
  <c r="J228" i="2" s="1"/>
  <c r="O228" i="2" a="1"/>
  <c r="O228" i="2" s="1"/>
  <c r="Q228" i="2" a="1"/>
  <c r="Q228" i="2" s="1"/>
  <c r="A229" i="2" a="1"/>
  <c r="A229" i="2" s="1"/>
  <c r="H229" i="2" a="1"/>
  <c r="H229" i="2" s="1"/>
  <c r="L229" i="2" a="1"/>
  <c r="L229" i="2" s="1"/>
  <c r="P229" i="2" a="1"/>
  <c r="P229" i="2" s="1"/>
  <c r="Q229" i="2" a="1"/>
  <c r="Q229" i="2" s="1"/>
  <c r="F230" i="2" a="1"/>
  <c r="F230" i="2" s="1"/>
  <c r="H230" i="2" a="1"/>
  <c r="H230" i="2" s="1"/>
  <c r="K231" i="2" a="1"/>
  <c r="K231" i="2" s="1"/>
  <c r="H232" i="2" a="1"/>
  <c r="H232" i="2" s="1"/>
  <c r="A233" i="2" a="1"/>
  <c r="A233" i="2" s="1"/>
  <c r="N233" i="2" a="1"/>
  <c r="N233" i="2" s="1"/>
  <c r="Q233" i="2" a="1"/>
  <c r="Q233" i="2" s="1"/>
  <c r="F234" i="2" a="1"/>
  <c r="F234" i="2" s="1"/>
  <c r="H234" i="2" a="1"/>
  <c r="H234" i="2" s="1"/>
  <c r="K234" i="2" a="1"/>
  <c r="K234" i="2" s="1"/>
  <c r="L234" i="2" a="1"/>
  <c r="L234" i="2" s="1"/>
  <c r="O234" i="2" a="1"/>
  <c r="O234" i="2" s="1"/>
  <c r="A235" i="2" a="1"/>
  <c r="A235" i="2" s="1"/>
  <c r="G235" i="2" a="1"/>
  <c r="G235" i="2" s="1"/>
  <c r="K235" i="2" a="1"/>
  <c r="K235" i="2" s="1"/>
  <c r="Q235" i="2" a="1"/>
  <c r="Q235" i="2" s="1"/>
  <c r="E236" i="2" a="1"/>
  <c r="E236" i="2" s="1"/>
  <c r="F236" i="2" a="1"/>
  <c r="F236" i="2" s="1"/>
  <c r="D237" i="2" a="1"/>
  <c r="D237" i="2" s="1"/>
  <c r="I237" i="2" a="1"/>
  <c r="I237" i="2" s="1"/>
  <c r="L237" i="2" a="1"/>
  <c r="L237" i="2" s="1"/>
  <c r="M237" i="2" a="1"/>
  <c r="M237" i="2" s="1"/>
  <c r="I238" i="2" a="1"/>
  <c r="I238" i="2" s="1"/>
  <c r="J238" i="2" a="1"/>
  <c r="J238" i="2" s="1"/>
  <c r="K238" i="2" a="1"/>
  <c r="K238" i="2" s="1"/>
  <c r="I246" i="2" a="1"/>
  <c r="I246" i="2" s="1"/>
  <c r="F247" i="2" a="1"/>
  <c r="F247" i="2" s="1"/>
  <c r="G247" i="2" a="1"/>
  <c r="G247" i="2" s="1"/>
  <c r="L247" i="2" a="1"/>
  <c r="L247" i="2" s="1"/>
  <c r="N247" i="2" a="1"/>
  <c r="N247" i="2" s="1"/>
  <c r="Q247" i="2" a="1"/>
  <c r="Q247" i="2" s="1"/>
  <c r="H248" i="2" a="1"/>
  <c r="H248" i="2" s="1"/>
  <c r="J248" i="2" a="1"/>
  <c r="J248" i="2" s="1"/>
  <c r="K248" i="2" a="1"/>
  <c r="K248" i="2" s="1"/>
  <c r="L248" i="2" a="1"/>
  <c r="L248" i="2" s="1"/>
  <c r="M248" i="2" a="1"/>
  <c r="M248" i="2" s="1"/>
  <c r="O248" i="2" a="1"/>
  <c r="O248" i="2" s="1"/>
  <c r="M249" i="2" a="1"/>
  <c r="M249" i="2" s="1"/>
  <c r="N249" i="2" a="1"/>
  <c r="N249" i="2" s="1"/>
  <c r="G250" i="2" a="1"/>
  <c r="G250" i="2" s="1"/>
  <c r="J250" i="2" a="1"/>
  <c r="J250" i="2" s="1"/>
  <c r="O250" i="2" a="1"/>
  <c r="O250" i="2" s="1"/>
  <c r="A251" i="2" a="1"/>
  <c r="A251" i="2" s="1"/>
  <c r="C251" i="2" a="1"/>
  <c r="C251" i="2" s="1"/>
  <c r="H251" i="2" a="1"/>
  <c r="H251" i="2" s="1"/>
  <c r="J251" i="2" a="1"/>
  <c r="J251" i="2" s="1"/>
  <c r="L251" i="2" a="1"/>
  <c r="L251" i="2" s="1"/>
  <c r="P251" i="2" a="1"/>
  <c r="P251" i="2" s="1"/>
  <c r="Q251" i="2" a="1"/>
  <c r="Q251" i="2" s="1"/>
  <c r="L252" i="2" a="1"/>
  <c r="L252" i="2" s="1"/>
  <c r="E254" i="2" a="1"/>
  <c r="E254" i="2" s="1"/>
  <c r="H254" i="2" a="1"/>
  <c r="H254" i="2" s="1"/>
  <c r="I254" i="2" a="1"/>
  <c r="I254" i="2" s="1"/>
  <c r="M254" i="2" a="1"/>
  <c r="M254" i="2" s="1"/>
  <c r="A255" i="2" a="1"/>
  <c r="A255" i="2" s="1"/>
  <c r="E255" i="2" a="1"/>
  <c r="E255" i="2" s="1"/>
  <c r="F255" i="2" a="1"/>
  <c r="F255" i="2" s="1"/>
  <c r="H255" i="2" a="1"/>
  <c r="H255" i="2" s="1"/>
  <c r="J255" i="2" a="1"/>
  <c r="J255" i="2" s="1"/>
  <c r="L255" i="2" a="1"/>
  <c r="L255" i="2" s="1"/>
  <c r="P255" i="2" a="1"/>
  <c r="P255" i="2" s="1"/>
  <c r="M256" i="2" a="1"/>
  <c r="M256" i="2" s="1"/>
  <c r="P256" i="2" a="1"/>
  <c r="P256" i="2" s="1"/>
  <c r="Q256" i="2" a="1"/>
  <c r="Q256" i="2" s="1"/>
  <c r="A257" i="2" a="1"/>
  <c r="A257" i="2" s="1"/>
  <c r="E257" i="2" a="1"/>
  <c r="E257" i="2" s="1"/>
  <c r="I257" i="2" a="1"/>
  <c r="I257" i="2" s="1"/>
  <c r="J257" i="2" a="1"/>
  <c r="J257" i="2" s="1"/>
  <c r="B258" i="2" a="1"/>
  <c r="B258" i="2" s="1"/>
  <c r="E258" i="2" a="1"/>
  <c r="E258" i="2" s="1"/>
  <c r="I258" i="2" a="1"/>
  <c r="I258" i="2" s="1"/>
  <c r="J258" i="2" a="1"/>
  <c r="J258" i="2" s="1"/>
  <c r="P258" i="2" a="1"/>
  <c r="P258" i="2" s="1"/>
  <c r="B259" i="2" a="1"/>
  <c r="B259" i="2" s="1"/>
  <c r="I259" i="2" a="1"/>
  <c r="I259" i="2" s="1"/>
  <c r="J259" i="2" a="1"/>
  <c r="J259" i="2" s="1"/>
  <c r="N259" i="2" a="1"/>
  <c r="N259" i="2" s="1"/>
  <c r="P259" i="2" a="1"/>
  <c r="P259" i="2" s="1"/>
  <c r="C260" i="2" a="1"/>
  <c r="C260" i="2" s="1"/>
  <c r="J260" i="2" a="1"/>
  <c r="J260" i="2" s="1"/>
  <c r="F261" i="2" a="1"/>
  <c r="F261" i="2" s="1"/>
  <c r="G261" i="2" a="1"/>
  <c r="G261" i="2" s="1"/>
  <c r="I261" i="2" a="1"/>
  <c r="I261" i="2" s="1"/>
  <c r="J261" i="2" a="1"/>
  <c r="J261" i="2" s="1"/>
  <c r="G262" i="2" a="1"/>
  <c r="G262" i="2" s="1"/>
  <c r="O262" i="2" a="1"/>
  <c r="O262" i="2" s="1"/>
  <c r="I263" i="2" a="1"/>
  <c r="I263" i="2" s="1"/>
  <c r="L263" i="2" a="1"/>
  <c r="L263" i="2" s="1"/>
  <c r="D264" i="2" a="1"/>
  <c r="D264" i="2" s="1"/>
  <c r="I264" i="2" a="1"/>
  <c r="I264" i="2" s="1"/>
  <c r="P264" i="2" a="1"/>
  <c r="P264" i="2" s="1"/>
  <c r="P265" i="2" a="1"/>
  <c r="P265" i="2" s="1"/>
  <c r="A266" i="2" a="1"/>
  <c r="A266" i="2" s="1"/>
  <c r="F266" i="2" a="1"/>
  <c r="F266" i="2" s="1"/>
  <c r="G266" i="2" a="1"/>
  <c r="G266" i="2" s="1"/>
  <c r="P266" i="2" a="1"/>
  <c r="P266" i="2" s="1"/>
  <c r="F267" i="2" a="1"/>
  <c r="F267" i="2" s="1"/>
  <c r="P267" i="2" a="1"/>
  <c r="P267" i="2" s="1"/>
  <c r="G268" i="2" a="1"/>
  <c r="G268" i="2" s="1"/>
  <c r="H268" i="2" a="1"/>
  <c r="H268" i="2" s="1"/>
  <c r="I268" i="2" a="1"/>
  <c r="I268" i="2" s="1"/>
  <c r="J268" i="2" a="1"/>
  <c r="J268" i="2" s="1"/>
  <c r="D269" i="2" a="1"/>
  <c r="D269" i="2" s="1"/>
  <c r="E269" i="2" a="1"/>
  <c r="E269" i="2" s="1"/>
  <c r="N269" i="2" a="1"/>
  <c r="N269" i="2" s="1"/>
  <c r="P269" i="2" a="1"/>
  <c r="P269" i="2" s="1"/>
  <c r="G270" i="2" a="1"/>
  <c r="G270" i="2" s="1"/>
  <c r="K270" i="2" a="1"/>
  <c r="K270" i="2" s="1"/>
  <c r="K271" i="2" a="1"/>
  <c r="K271" i="2" s="1"/>
  <c r="L271" i="2" a="1"/>
  <c r="L271" i="2" s="1"/>
  <c r="M271" i="2" a="1"/>
  <c r="M271" i="2" s="1"/>
  <c r="O271" i="2" a="1"/>
  <c r="O271" i="2" s="1"/>
  <c r="D272" i="2" a="1"/>
  <c r="D272" i="2" s="1"/>
  <c r="M272" i="2" a="1"/>
  <c r="M272" i="2" s="1"/>
  <c r="O272" i="2" a="1"/>
  <c r="O272" i="2" s="1"/>
  <c r="F273" i="2" a="1"/>
  <c r="F273" i="2" s="1"/>
  <c r="D274" i="2" a="1"/>
  <c r="D274" i="2" s="1"/>
  <c r="I274" i="2" a="1"/>
  <c r="I274" i="2" s="1"/>
  <c r="J274" i="2" a="1"/>
  <c r="J274" i="2" s="1"/>
  <c r="K274" i="2" a="1"/>
  <c r="K274" i="2" s="1"/>
  <c r="O274" i="2" a="1"/>
  <c r="O274" i="2" s="1"/>
  <c r="P274" i="2" a="1"/>
  <c r="P274" i="2" s="1"/>
  <c r="A275" i="2" a="1"/>
  <c r="A275" i="2" s="1"/>
  <c r="E275" i="2" a="1"/>
  <c r="E275" i="2" s="1"/>
  <c r="K276" i="2" a="1"/>
  <c r="K276" i="2" s="1"/>
  <c r="A277" i="2" a="1"/>
  <c r="A277" i="2" s="1"/>
  <c r="F277" i="2" a="1"/>
  <c r="F277" i="2" s="1"/>
  <c r="C278" i="2" a="1"/>
  <c r="C278" i="2" s="1"/>
  <c r="H278" i="2" a="1"/>
  <c r="H278" i="2" s="1"/>
  <c r="J278" i="2" a="1"/>
  <c r="J278" i="2" s="1"/>
  <c r="L278" i="2" a="1"/>
  <c r="L278" i="2" s="1"/>
  <c r="N278" i="2" a="1"/>
  <c r="N278" i="2" s="1"/>
  <c r="P278" i="2" a="1"/>
  <c r="P278" i="2" s="1"/>
  <c r="K279" i="2" a="1"/>
  <c r="K279" i="2" s="1"/>
  <c r="N279" i="2" a="1"/>
  <c r="N279" i="2" s="1"/>
  <c r="O279" i="2" a="1"/>
  <c r="O279" i="2" s="1"/>
  <c r="P279" i="2" a="1"/>
  <c r="P279" i="2" s="1"/>
  <c r="F280" i="2" a="1"/>
  <c r="F280" i="2" s="1"/>
  <c r="G280" i="2" a="1"/>
  <c r="G280" i="2" s="1"/>
  <c r="N280" i="2" a="1"/>
  <c r="N280" i="2" s="1"/>
  <c r="Q280" i="2" a="1"/>
  <c r="Q280" i="2" s="1"/>
  <c r="H281" i="2" a="1"/>
  <c r="H281" i="2" s="1"/>
  <c r="O281" i="2" a="1"/>
  <c r="O281" i="2" s="1"/>
  <c r="P281" i="2" a="1"/>
  <c r="P281" i="2" s="1"/>
  <c r="Q281" i="2" a="1"/>
  <c r="Q281" i="2" s="1"/>
  <c r="A282" i="2" a="1"/>
  <c r="A282" i="2" s="1"/>
  <c r="E282" i="2" a="1"/>
  <c r="E282" i="2" s="1"/>
  <c r="J282" i="2" a="1"/>
  <c r="J282" i="2" s="1"/>
  <c r="K282" i="2" a="1"/>
  <c r="K282" i="2" s="1"/>
  <c r="O282" i="2" a="1"/>
  <c r="O282" i="2" s="1"/>
  <c r="I283" i="2" a="1"/>
  <c r="I283" i="2" s="1"/>
  <c r="K283" i="2" a="1"/>
  <c r="K283" i="2" s="1"/>
  <c r="N283" i="2" a="1"/>
  <c r="N283" i="2" s="1"/>
  <c r="L284" i="2" a="1"/>
  <c r="L284" i="2" s="1"/>
  <c r="H285" i="2" a="1"/>
  <c r="H285" i="2" s="1"/>
  <c r="K285" i="2" a="1"/>
  <c r="K285" i="2" s="1"/>
  <c r="M285" i="2" a="1"/>
  <c r="M285" i="2" s="1"/>
  <c r="N285" i="2" a="1"/>
  <c r="N285" i="2" s="1"/>
  <c r="Q285" i="2" a="1"/>
  <c r="Q285" i="2" s="1"/>
  <c r="B286" i="2" a="1"/>
  <c r="B286" i="2" s="1"/>
  <c r="M286" i="2" a="1"/>
  <c r="M286" i="2" s="1"/>
  <c r="D287" i="2" a="1"/>
  <c r="D287" i="2" s="1"/>
  <c r="F287" i="2" a="1"/>
  <c r="F287" i="2" s="1"/>
  <c r="L287" i="2" a="1"/>
  <c r="L287" i="2" s="1"/>
  <c r="M287" i="2" a="1"/>
  <c r="M287" i="2" s="1"/>
  <c r="N287" i="2" a="1"/>
  <c r="N287" i="2" s="1"/>
  <c r="Q287" i="2" a="1"/>
  <c r="Q287" i="2" s="1"/>
  <c r="D289" i="2" a="1"/>
  <c r="D289" i="2" s="1"/>
  <c r="J289" i="2" a="1"/>
  <c r="J289" i="2" s="1"/>
  <c r="M289" i="2" a="1"/>
  <c r="M289" i="2" s="1"/>
  <c r="N290" i="2" a="1"/>
  <c r="N290" i="2" s="1"/>
  <c r="H291" i="2" a="1"/>
  <c r="H291" i="2" s="1"/>
  <c r="K292" i="2" a="1"/>
  <c r="K292" i="2" s="1"/>
  <c r="N292" i="2" a="1"/>
  <c r="N292" i="2" s="1"/>
  <c r="F293" i="2" a="1"/>
  <c r="F293" i="2" s="1"/>
  <c r="G293" i="2" a="1"/>
  <c r="G293" i="2" s="1"/>
  <c r="H293" i="2" a="1"/>
  <c r="H293" i="2" s="1"/>
  <c r="I293" i="2" a="1"/>
  <c r="I293" i="2" s="1"/>
  <c r="N293" i="2" a="1"/>
  <c r="N293" i="2" s="1"/>
  <c r="Q293" i="2" a="1"/>
  <c r="Q293" i="2" s="1"/>
  <c r="A294" i="2" a="1"/>
  <c r="A294" i="2" s="1"/>
  <c r="D294" i="2" a="1"/>
  <c r="D294" i="2" s="1"/>
  <c r="F294" i="2" a="1"/>
  <c r="F294" i="2" s="1"/>
  <c r="G294" i="2" a="1"/>
  <c r="G294" i="2" s="1"/>
  <c r="K294" i="2" a="1"/>
  <c r="K294" i="2" s="1"/>
  <c r="M294" i="2" a="1"/>
  <c r="M294" i="2" s="1"/>
  <c r="B295" i="2" a="1"/>
  <c r="B295" i="2" s="1"/>
  <c r="K295" i="2" a="1"/>
  <c r="K295" i="2" s="1"/>
  <c r="O295" i="2" a="1"/>
  <c r="O295" i="2" s="1"/>
  <c r="P295" i="2" a="1"/>
  <c r="P295" i="2" s="1"/>
  <c r="I296" i="2" a="1"/>
  <c r="I296" i="2" s="1"/>
  <c r="M296" i="2" a="1"/>
  <c r="M296" i="2" s="1"/>
  <c r="O296" i="2" a="1"/>
  <c r="O296" i="2" s="1"/>
  <c r="Q296" i="2" a="1"/>
  <c r="Q296" i="2" s="1"/>
  <c r="B297" i="2" a="1"/>
  <c r="B297" i="2" s="1"/>
  <c r="C297" i="2" a="1"/>
  <c r="C297" i="2" s="1"/>
  <c r="H297" i="2" a="1"/>
  <c r="H297" i="2" s="1"/>
  <c r="K297" i="2" a="1"/>
  <c r="K297" i="2" s="1"/>
  <c r="A298" i="2" a="1"/>
  <c r="A298" i="2" s="1"/>
  <c r="B298" i="2" a="1"/>
  <c r="B298" i="2" s="1"/>
  <c r="C298" i="2" a="1"/>
  <c r="C298" i="2" s="1"/>
  <c r="A299" i="2" a="1"/>
  <c r="A299" i="2" s="1"/>
  <c r="I299" i="2" a="1"/>
  <c r="I299" i="2" s="1"/>
  <c r="N299" i="2" a="1"/>
  <c r="N299" i="2" s="1"/>
  <c r="B300" i="2" a="1"/>
  <c r="B300" i="2" s="1"/>
  <c r="D300" i="2" a="1"/>
  <c r="D300" i="2" s="1"/>
  <c r="K300" i="2" a="1"/>
  <c r="K300" i="2" s="1"/>
  <c r="N300" i="2" a="1"/>
  <c r="N300" i="2" s="1"/>
  <c r="P300" i="2" a="1"/>
  <c r="P300" i="2" s="1"/>
  <c r="Q300" i="2" a="1"/>
  <c r="Q300" i="2" s="1"/>
  <c r="D301" i="2" a="1"/>
  <c r="D301" i="2" s="1"/>
  <c r="H301" i="2" a="1"/>
  <c r="H301" i="2" s="1"/>
  <c r="K301" i="2" a="1"/>
  <c r="K301" i="2" s="1"/>
  <c r="M301" i="2" a="1"/>
  <c r="M301" i="2" s="1"/>
  <c r="O301" i="2" a="1"/>
  <c r="O301" i="2" s="1"/>
  <c r="P301" i="2" a="1"/>
  <c r="P301" i="2" s="1"/>
  <c r="B302" i="2" a="1"/>
  <c r="B302" i="2" s="1"/>
  <c r="C302" i="2" a="1"/>
  <c r="C302" i="2" s="1"/>
  <c r="E302" i="2" a="1"/>
  <c r="E302" i="2" s="1"/>
  <c r="I302" i="2" a="1"/>
  <c r="I302" i="2" s="1"/>
  <c r="N302" i="2" a="1"/>
  <c r="N302" i="2" s="1"/>
  <c r="A303" i="2" a="1"/>
  <c r="A303" i="2" s="1"/>
  <c r="C303" i="2" a="1"/>
  <c r="C303" i="2" s="1"/>
  <c r="E303" i="2" a="1"/>
  <c r="E303" i="2" s="1"/>
  <c r="G303" i="2" a="1"/>
  <c r="G303" i="2" s="1"/>
  <c r="H303" i="2" a="1"/>
  <c r="H303" i="2" s="1"/>
  <c r="M303" i="2" a="1"/>
  <c r="M303" i="2" s="1"/>
  <c r="A304" i="2" a="1"/>
  <c r="A304" i="2" s="1"/>
  <c r="B304" i="2" a="1"/>
  <c r="B304" i="2" s="1"/>
  <c r="D304" i="2" a="1"/>
  <c r="D304" i="2" s="1"/>
  <c r="E304" i="2" a="1"/>
  <c r="E304" i="2" s="1"/>
  <c r="N304" i="2" a="1"/>
  <c r="N304" i="2" s="1"/>
  <c r="B305" i="2" a="1"/>
  <c r="B305" i="2" s="1"/>
  <c r="C305" i="2" a="1"/>
  <c r="C305" i="2" s="1"/>
  <c r="D305" i="2" a="1"/>
  <c r="D305" i="2" s="1"/>
  <c r="E305" i="2" a="1"/>
  <c r="E305" i="2" s="1"/>
  <c r="K305" i="2" a="1"/>
  <c r="K305" i="2" s="1"/>
  <c r="L305" i="2" a="1"/>
  <c r="L305" i="2" s="1"/>
  <c r="N305" i="2" a="1"/>
  <c r="N305" i="2" s="1"/>
  <c r="P305" i="2" a="1"/>
  <c r="P305" i="2" s="1"/>
  <c r="Q305" i="2" a="1"/>
  <c r="Q305" i="2" s="1"/>
  <c r="B306" i="2" a="1"/>
  <c r="B306" i="2" s="1"/>
  <c r="C306" i="2" a="1"/>
  <c r="C306" i="2" s="1"/>
  <c r="D306" i="2" a="1"/>
  <c r="D306" i="2" s="1"/>
  <c r="M306" i="2" a="1"/>
  <c r="M306" i="2" s="1"/>
  <c r="Q306" i="2" a="1"/>
  <c r="Q306" i="2" s="1"/>
  <c r="G307" i="2" a="1"/>
  <c r="G307" i="2" s="1"/>
  <c r="H307" i="2" a="1"/>
  <c r="H307" i="2" s="1"/>
  <c r="L307" i="2" a="1"/>
  <c r="L307" i="2" s="1"/>
  <c r="N307" i="2" a="1"/>
  <c r="N307" i="2" s="1"/>
  <c r="O307" i="2" a="1"/>
  <c r="O307" i="2" s="1"/>
  <c r="P307" i="2" a="1"/>
  <c r="P307" i="2" s="1"/>
  <c r="A308" i="2" a="1"/>
  <c r="A308" i="2" s="1"/>
  <c r="C308" i="2" a="1"/>
  <c r="C308" i="2" s="1"/>
  <c r="K308" i="2" a="1"/>
  <c r="K308" i="2" s="1"/>
  <c r="L308" i="2" a="1"/>
  <c r="L308" i="2" s="1"/>
  <c r="A309" i="2" a="1"/>
  <c r="A309" i="2" s="1"/>
  <c r="B309" i="2" a="1"/>
  <c r="B309" i="2" s="1"/>
  <c r="H309" i="2" a="1"/>
  <c r="H309" i="2" s="1"/>
  <c r="J309" i="2" a="1"/>
  <c r="J309" i="2" s="1"/>
  <c r="K309" i="2" a="1"/>
  <c r="K309" i="2" s="1"/>
  <c r="L309" i="2" a="1"/>
  <c r="L309" i="2" s="1"/>
  <c r="F310" i="2" a="1"/>
  <c r="F310" i="2" s="1"/>
  <c r="G310" i="2" a="1"/>
  <c r="G310" i="2" s="1"/>
  <c r="H310" i="2" a="1"/>
  <c r="H310" i="2" s="1"/>
  <c r="I310" i="2" a="1"/>
  <c r="I310" i="2" s="1"/>
  <c r="J310" i="2" a="1"/>
  <c r="J310" i="2" s="1"/>
  <c r="K310" i="2" a="1"/>
  <c r="K310" i="2" s="1"/>
  <c r="M310" i="2" a="1"/>
  <c r="M310" i="2" s="1"/>
  <c r="A311" i="2" a="1"/>
  <c r="A311" i="2" s="1"/>
  <c r="C311" i="2" a="1"/>
  <c r="C311" i="2" s="1"/>
  <c r="G311" i="2" a="1"/>
  <c r="G311" i="2" s="1"/>
  <c r="L311" i="2" a="1"/>
  <c r="L311" i="2" s="1"/>
  <c r="C312" i="2" a="1"/>
  <c r="C312" i="2" s="1"/>
  <c r="K312" i="2" a="1"/>
  <c r="K312" i="2" s="1"/>
  <c r="M312" i="2" a="1"/>
  <c r="M312" i="2" s="1"/>
  <c r="O312" i="2" a="1"/>
  <c r="O312" i="2" s="1"/>
  <c r="P312" i="2" a="1"/>
  <c r="P312" i="2" s="1"/>
  <c r="C313" i="2" a="1"/>
  <c r="C313" i="2" s="1"/>
  <c r="H313" i="2" a="1"/>
  <c r="H313" i="2" s="1"/>
  <c r="K313" i="2" a="1"/>
  <c r="K313" i="2" s="1"/>
  <c r="A314" i="2" a="1"/>
  <c r="A314" i="2" s="1"/>
  <c r="D314" i="2" a="1"/>
  <c r="D314" i="2" s="1"/>
  <c r="H314" i="2" a="1"/>
  <c r="H314" i="2" s="1"/>
  <c r="N314" i="2" a="1"/>
  <c r="N314" i="2" s="1"/>
  <c r="B315" i="2" a="1"/>
  <c r="B315" i="2" s="1"/>
  <c r="D315" i="2" a="1"/>
  <c r="D315" i="2" s="1"/>
  <c r="F315" i="2" a="1"/>
  <c r="F315" i="2" s="1"/>
  <c r="H315" i="2" a="1"/>
  <c r="H315" i="2" s="1"/>
  <c r="I315" i="2" a="1"/>
  <c r="I315" i="2" s="1"/>
  <c r="L315" i="2" a="1"/>
  <c r="L315" i="2" s="1"/>
  <c r="M315" i="2" a="1"/>
  <c r="M315" i="2" s="1"/>
  <c r="O315" i="2" a="1"/>
  <c r="O315" i="2" s="1"/>
  <c r="A316" i="2" a="1"/>
  <c r="A316" i="2" s="1"/>
  <c r="B316" i="2" a="1"/>
  <c r="B316" i="2" s="1"/>
  <c r="C316" i="2" a="1"/>
  <c r="C316" i="2" s="1"/>
  <c r="D316" i="2" a="1"/>
  <c r="D316" i="2" s="1"/>
  <c r="G316" i="2" a="1"/>
  <c r="G316" i="2" s="1"/>
  <c r="I316" i="2" a="1"/>
  <c r="I316" i="2" s="1"/>
  <c r="L316" i="2" a="1"/>
  <c r="L316" i="2" s="1"/>
  <c r="P316" i="2" a="1"/>
  <c r="P316" i="2" s="1"/>
  <c r="B317" i="2" a="1"/>
  <c r="B317" i="2" s="1"/>
  <c r="D317" i="2" a="1"/>
  <c r="D317" i="2" s="1"/>
  <c r="E317" i="2" a="1"/>
  <c r="E317" i="2" s="1"/>
  <c r="F317" i="2" a="1"/>
  <c r="F317" i="2" s="1"/>
  <c r="I317" i="2" a="1"/>
  <c r="I317" i="2" s="1"/>
  <c r="L317" i="2" a="1"/>
  <c r="L317" i="2" s="1"/>
  <c r="M317" i="2" a="1"/>
  <c r="M317" i="2" s="1"/>
  <c r="F318" i="2" a="1"/>
  <c r="F318" i="2" s="1"/>
  <c r="I318" i="2" a="1"/>
  <c r="I318" i="2" s="1"/>
  <c r="J318" i="2" a="1"/>
  <c r="J318" i="2" s="1"/>
  <c r="M318" i="2" a="1"/>
  <c r="M318" i="2" s="1"/>
  <c r="P318" i="2" a="1"/>
  <c r="P318" i="2" s="1"/>
  <c r="Q318" i="2" a="1"/>
  <c r="Q318" i="2" s="1"/>
  <c r="D319" i="2" a="1"/>
  <c r="D319" i="2" s="1"/>
  <c r="F319" i="2" a="1"/>
  <c r="F319" i="2" s="1"/>
  <c r="H319" i="2" a="1"/>
  <c r="H319" i="2" s="1"/>
  <c r="J319" i="2" a="1"/>
  <c r="J319" i="2" s="1"/>
  <c r="M319" i="2" a="1"/>
  <c r="M319" i="2" s="1"/>
  <c r="N319" i="2" a="1"/>
  <c r="N319" i="2" s="1"/>
  <c r="A320" i="2" a="1"/>
  <c r="A320" i="2" s="1"/>
  <c r="H320" i="2" a="1"/>
  <c r="H320" i="2" s="1"/>
  <c r="D322" i="2" a="1"/>
  <c r="D322" i="2" s="1"/>
  <c r="F322" i="2" a="1"/>
  <c r="F322" i="2" s="1"/>
  <c r="G322" i="2" a="1"/>
  <c r="G322" i="2" s="1"/>
  <c r="L322" i="2" a="1"/>
  <c r="L322" i="2" s="1"/>
  <c r="M322" i="2" a="1"/>
  <c r="M322" i="2" s="1"/>
  <c r="N322" i="2" a="1"/>
  <c r="N322" i="2" s="1"/>
  <c r="P322" i="2" a="1"/>
  <c r="P322" i="2" s="1"/>
  <c r="B323" i="2" a="1"/>
  <c r="B323" i="2" s="1"/>
  <c r="D323" i="2" a="1"/>
  <c r="D323" i="2" s="1"/>
  <c r="H323" i="2" a="1"/>
  <c r="H323" i="2" s="1"/>
  <c r="O323" i="2" a="1"/>
  <c r="O323" i="2" s="1"/>
  <c r="E324" i="2" a="1"/>
  <c r="E324" i="2" s="1"/>
  <c r="G324" i="2" a="1"/>
  <c r="G324" i="2" s="1"/>
  <c r="J324" i="2" a="1"/>
  <c r="J324" i="2" s="1"/>
  <c r="L324" i="2" a="1"/>
  <c r="L324" i="2" s="1"/>
  <c r="P324" i="2" a="1"/>
  <c r="P324" i="2" s="1"/>
  <c r="I325" i="2" a="1"/>
  <c r="I325" i="2" s="1"/>
  <c r="J325" i="2" a="1"/>
  <c r="J325" i="2" s="1"/>
  <c r="L325" i="2" a="1"/>
  <c r="L325" i="2" s="1"/>
  <c r="P325" i="2" a="1"/>
  <c r="P325" i="2" s="1"/>
  <c r="Q325" i="2" a="1"/>
  <c r="Q325" i="2" s="1"/>
  <c r="B326" i="2" a="1"/>
  <c r="B326" i="2" s="1"/>
  <c r="G326" i="2" a="1"/>
  <c r="G326" i="2" s="1"/>
  <c r="Q326" i="2" a="1"/>
  <c r="Q326" i="2" s="1"/>
  <c r="A327" i="2" a="1"/>
  <c r="A327" i="2" s="1"/>
  <c r="B327" i="2" a="1"/>
  <c r="B327" i="2" s="1"/>
  <c r="C327" i="2" a="1"/>
  <c r="C327" i="2" s="1"/>
  <c r="D327" i="2" a="1"/>
  <c r="D327" i="2" s="1"/>
  <c r="G327" i="2" a="1"/>
  <c r="G327" i="2" s="1"/>
  <c r="I327" i="2" a="1"/>
  <c r="I327" i="2" s="1"/>
  <c r="J327" i="2" a="1"/>
  <c r="J327" i="2" s="1"/>
  <c r="N327" i="2" a="1"/>
  <c r="N327" i="2" s="1"/>
  <c r="Q327" i="2" a="1"/>
  <c r="Q327" i="2" s="1"/>
  <c r="E328" i="2" a="1"/>
  <c r="E328" i="2" s="1"/>
  <c r="G328" i="2" a="1"/>
  <c r="G328" i="2" s="1"/>
  <c r="L328" i="2" a="1"/>
  <c r="L328" i="2" s="1"/>
  <c r="Q328" i="2" a="1"/>
  <c r="Q328" i="2" s="1"/>
  <c r="B329" i="2" a="1"/>
  <c r="B329" i="2" s="1"/>
  <c r="D329" i="2" a="1"/>
  <c r="D329" i="2" s="1"/>
  <c r="G329" i="2" a="1"/>
  <c r="G329" i="2" s="1"/>
  <c r="I329" i="2" a="1"/>
  <c r="I329" i="2" s="1"/>
  <c r="L329" i="2" a="1"/>
  <c r="L329" i="2" s="1"/>
  <c r="Q329" i="2" a="1"/>
  <c r="Q329" i="2" s="1"/>
  <c r="D330" i="2" a="1"/>
  <c r="D330" i="2" s="1"/>
  <c r="E330" i="2" a="1"/>
  <c r="E330" i="2" s="1"/>
  <c r="F330" i="2" a="1"/>
  <c r="F330" i="2" s="1"/>
  <c r="G330" i="2" a="1"/>
  <c r="G330" i="2" s="1"/>
  <c r="H330" i="2" a="1"/>
  <c r="H330" i="2" s="1"/>
  <c r="I330" i="2" a="1"/>
  <c r="I330" i="2" s="1"/>
  <c r="J330" i="2" a="1"/>
  <c r="J330" i="2" s="1"/>
  <c r="L330" i="2" a="1"/>
  <c r="L330" i="2" s="1"/>
  <c r="M330" i="2" a="1"/>
  <c r="M330" i="2" s="1"/>
  <c r="N330" i="2" a="1"/>
  <c r="N330" i="2" s="1"/>
  <c r="O330" i="2" a="1"/>
  <c r="O330" i="2" s="1"/>
  <c r="A331" i="2" a="1"/>
  <c r="A331" i="2" s="1"/>
  <c r="E331" i="2" a="1"/>
  <c r="E331" i="2" s="1"/>
  <c r="Q331" i="2" a="1"/>
  <c r="Q331" i="2" s="1"/>
  <c r="F332" i="2" a="1"/>
  <c r="F332" i="2" s="1"/>
  <c r="G332" i="2" a="1"/>
  <c r="G332" i="2" s="1"/>
  <c r="O332" i="2" a="1"/>
  <c r="O332" i="2" s="1"/>
  <c r="P332" i="2" a="1"/>
  <c r="P332" i="2" s="1"/>
  <c r="D333" i="2" a="1"/>
  <c r="D333" i="2" s="1"/>
  <c r="K333" i="2" a="1"/>
  <c r="K333" i="2" s="1"/>
  <c r="P333" i="2" a="1"/>
  <c r="P333" i="2" s="1"/>
  <c r="Q333" i="2" a="1"/>
  <c r="Q333" i="2" s="1"/>
  <c r="A334" i="2" a="1"/>
  <c r="A334" i="2" s="1"/>
  <c r="B334" i="2" a="1"/>
  <c r="B334" i="2" s="1"/>
  <c r="C334" i="2" a="1"/>
  <c r="C334" i="2" s="1"/>
  <c r="I334" i="2" a="1"/>
  <c r="I334" i="2" s="1"/>
  <c r="J334" i="2" a="1"/>
  <c r="J334" i="2" s="1"/>
  <c r="K334" i="2" a="1"/>
  <c r="K334" i="2" s="1"/>
  <c r="L334" i="2" a="1"/>
  <c r="L334" i="2" s="1"/>
  <c r="M334" i="2" a="1"/>
  <c r="M334" i="2" s="1"/>
  <c r="E335" i="2" a="1"/>
  <c r="E335" i="2" s="1"/>
  <c r="B336" i="2" a="1"/>
  <c r="B336" i="2" s="1"/>
  <c r="D336" i="2" a="1"/>
  <c r="D336" i="2" s="1"/>
  <c r="A337" i="2" a="1"/>
  <c r="A337" i="2" s="1"/>
  <c r="B337" i="2" a="1"/>
  <c r="B337" i="2" s="1"/>
  <c r="F337" i="2" a="1"/>
  <c r="F337" i="2" s="1"/>
  <c r="G337" i="2" a="1"/>
  <c r="G337" i="2" s="1"/>
  <c r="I337" i="2" a="1"/>
  <c r="I337" i="2" s="1"/>
  <c r="K337" i="2" a="1"/>
  <c r="K337" i="2" s="1"/>
  <c r="M337" i="2" a="1"/>
  <c r="M337" i="2" s="1"/>
  <c r="P337" i="2" a="1"/>
  <c r="P337" i="2" s="1"/>
  <c r="A338" i="2" a="1"/>
  <c r="A338" i="2" s="1"/>
  <c r="D338" i="2" a="1"/>
  <c r="D338" i="2" s="1"/>
  <c r="E338" i="2" a="1"/>
  <c r="E338" i="2" s="1"/>
  <c r="F338" i="2" a="1"/>
  <c r="F338" i="2" s="1"/>
  <c r="G338" i="2" a="1"/>
  <c r="G338" i="2" s="1"/>
  <c r="I338" i="2" a="1"/>
  <c r="I338" i="2" s="1"/>
  <c r="L338" i="2" a="1"/>
  <c r="L338" i="2" s="1"/>
  <c r="N338" i="2" a="1"/>
  <c r="N338" i="2" s="1"/>
  <c r="P338" i="2" a="1"/>
  <c r="P338" i="2" s="1"/>
  <c r="A339" i="2" a="1"/>
  <c r="A339" i="2" s="1"/>
  <c r="B339" i="2" a="1"/>
  <c r="B339" i="2" s="1"/>
  <c r="D339" i="2" a="1"/>
  <c r="D339" i="2" s="1"/>
  <c r="F339" i="2" a="1"/>
  <c r="F339" i="2" s="1"/>
  <c r="G339" i="2" a="1"/>
  <c r="G339" i="2" s="1"/>
  <c r="I339" i="2" a="1"/>
  <c r="I339" i="2" s="1"/>
  <c r="K339" i="2" a="1"/>
  <c r="K339" i="2" s="1"/>
  <c r="M339" i="2" a="1"/>
  <c r="M339" i="2" s="1"/>
  <c r="Q339" i="2" a="1"/>
  <c r="Q339" i="2" s="1"/>
  <c r="G340" i="2" a="1"/>
  <c r="G340" i="2" s="1"/>
  <c r="K340" i="2" a="1"/>
  <c r="K340" i="2" s="1"/>
  <c r="M340" i="2" a="1"/>
  <c r="M340" i="2" s="1"/>
  <c r="N340" i="2" a="1"/>
  <c r="N340" i="2" s="1"/>
  <c r="D341" i="2" a="1"/>
  <c r="D341" i="2" s="1"/>
  <c r="F341" i="2" a="1"/>
  <c r="F341" i="2" s="1"/>
  <c r="H341" i="2" a="1"/>
  <c r="H341" i="2" s="1"/>
  <c r="J341" i="2" a="1"/>
  <c r="J341" i="2" s="1"/>
  <c r="M341" i="2" a="1"/>
  <c r="M341" i="2" s="1"/>
  <c r="P341" i="2" a="1"/>
  <c r="P341" i="2" s="1"/>
  <c r="B342" i="2" a="1"/>
  <c r="B342" i="2" s="1"/>
  <c r="G342" i="2" a="1"/>
  <c r="G342" i="2" s="1"/>
  <c r="H342" i="2" a="1"/>
  <c r="H342" i="2" s="1"/>
  <c r="J342" i="2" a="1"/>
  <c r="J342" i="2" s="1"/>
  <c r="K342" i="2" a="1"/>
  <c r="K342" i="2" s="1"/>
  <c r="L342" i="2" a="1"/>
  <c r="L342" i="2" s="1"/>
  <c r="N342" i="2" a="1"/>
  <c r="N342" i="2" s="1"/>
  <c r="O342" i="2" a="1"/>
  <c r="O342" i="2" s="1"/>
  <c r="Q342" i="2" a="1"/>
  <c r="Q342" i="2" s="1"/>
  <c r="A343" i="2" a="1"/>
  <c r="A343" i="2" s="1"/>
  <c r="B343" i="2" a="1"/>
  <c r="B343" i="2" s="1"/>
  <c r="C343" i="2" a="1"/>
  <c r="C343" i="2" s="1"/>
  <c r="G343" i="2" a="1"/>
  <c r="G343" i="2" s="1"/>
  <c r="H343" i="2" a="1"/>
  <c r="H343" i="2" s="1"/>
  <c r="J343" i="2" a="1"/>
  <c r="J343" i="2" s="1"/>
  <c r="L343" i="2" a="1"/>
  <c r="L343" i="2" s="1"/>
  <c r="O343" i="2" a="1"/>
  <c r="O343" i="2" s="1"/>
  <c r="B344" i="2" a="1"/>
  <c r="B344" i="2" s="1"/>
  <c r="F344" i="2" a="1"/>
  <c r="F344" i="2" s="1"/>
  <c r="G344" i="2" a="1"/>
  <c r="G344" i="2" s="1"/>
  <c r="I344" i="2" a="1"/>
  <c r="I344" i="2" s="1"/>
  <c r="L344" i="2" a="1"/>
  <c r="L344" i="2" s="1"/>
  <c r="N344" i="2" a="1"/>
  <c r="N344" i="2" s="1"/>
  <c r="P344" i="2" a="1"/>
  <c r="P344" i="2" s="1"/>
  <c r="F345" i="2" a="1"/>
  <c r="F345" i="2" s="1"/>
  <c r="F346" i="2" a="1"/>
  <c r="F346" i="2" s="1"/>
  <c r="K346" i="2" a="1"/>
  <c r="K346" i="2" s="1"/>
  <c r="A347" i="2" a="1"/>
  <c r="A347" i="2" s="1"/>
  <c r="B347" i="2" a="1"/>
  <c r="B347" i="2" s="1"/>
  <c r="C347" i="2" a="1"/>
  <c r="C347" i="2" s="1"/>
  <c r="E347" i="2" a="1"/>
  <c r="E347" i="2" s="1"/>
  <c r="J347" i="2" a="1"/>
  <c r="J347" i="2" s="1"/>
  <c r="L347" i="2" a="1"/>
  <c r="L347" i="2" s="1"/>
  <c r="Q347" i="2" a="1"/>
  <c r="Q347" i="2" s="1"/>
  <c r="A348" i="2" a="1"/>
  <c r="A348" i="2" s="1"/>
  <c r="D348" i="2" a="1"/>
  <c r="D348" i="2" s="1"/>
  <c r="E348" i="2" a="1"/>
  <c r="E348" i="2" s="1"/>
  <c r="G348" i="2" a="1"/>
  <c r="G348" i="2" s="1"/>
  <c r="H348" i="2" a="1"/>
  <c r="H348" i="2" s="1"/>
  <c r="J348" i="2" a="1"/>
  <c r="J348" i="2" s="1"/>
  <c r="K348" i="2" a="1"/>
  <c r="K348" i="2" s="1"/>
  <c r="P348" i="2" a="1"/>
  <c r="P348" i="2" s="1"/>
  <c r="Q348" i="2" a="1"/>
  <c r="Q348" i="2" s="1"/>
  <c r="A349" i="2" a="1"/>
  <c r="A349" i="2" s="1"/>
  <c r="B349" i="2" a="1"/>
  <c r="B349" i="2" s="1"/>
  <c r="E349" i="2" a="1"/>
  <c r="E349" i="2" s="1"/>
  <c r="H349" i="2" a="1"/>
  <c r="H349" i="2" s="1"/>
  <c r="K349" i="2" a="1"/>
  <c r="K349" i="2" s="1"/>
  <c r="P349" i="2" a="1"/>
  <c r="P349" i="2" s="1"/>
  <c r="A350" i="2" a="1"/>
  <c r="A350" i="2" s="1"/>
  <c r="D350" i="2" a="1"/>
  <c r="D350" i="2" s="1"/>
  <c r="G350" i="2" a="1"/>
  <c r="G350" i="2" s="1"/>
  <c r="I350" i="2" a="1"/>
  <c r="I350" i="2" s="1"/>
  <c r="J350" i="2" a="1"/>
  <c r="J350" i="2" s="1"/>
  <c r="O350" i="2" a="1"/>
  <c r="O350" i="2" s="1"/>
  <c r="P350" i="2" a="1"/>
  <c r="P350" i="2" s="1"/>
  <c r="C351" i="2" a="1"/>
  <c r="C351" i="2" s="1"/>
  <c r="E351" i="2" a="1"/>
  <c r="E351" i="2" s="1"/>
  <c r="K351" i="2" a="1"/>
  <c r="K351" i="2" s="1"/>
  <c r="A352" i="2" a="1"/>
  <c r="A352" i="2" s="1"/>
  <c r="G352" i="2" a="1"/>
  <c r="G352" i="2" s="1"/>
  <c r="H352" i="2" a="1"/>
  <c r="H352" i="2" s="1"/>
  <c r="I352" i="2" a="1"/>
  <c r="I352" i="2" s="1"/>
  <c r="J352" i="2" a="1"/>
  <c r="J352" i="2" s="1"/>
  <c r="K352" i="2" a="1"/>
  <c r="K352" i="2" s="1"/>
  <c r="M352" i="2" a="1"/>
  <c r="M352" i="2" s="1"/>
  <c r="P352" i="2" a="1"/>
  <c r="P352" i="2" s="1"/>
  <c r="A353" i="2" a="1"/>
  <c r="A353" i="2" s="1"/>
  <c r="B353" i="2" a="1"/>
  <c r="B353" i="2" s="1"/>
  <c r="G353" i="2" a="1"/>
  <c r="G353" i="2" s="1"/>
  <c r="H353" i="2" a="1"/>
  <c r="H353" i="2" s="1"/>
  <c r="K353" i="2" a="1"/>
  <c r="K353" i="2" s="1"/>
  <c r="N353" i="2" a="1"/>
  <c r="N353" i="2" s="1"/>
  <c r="G354" i="2" a="1"/>
  <c r="G354" i="2" s="1"/>
  <c r="H354" i="2" a="1"/>
  <c r="H354" i="2" s="1"/>
  <c r="L354" i="2" a="1"/>
  <c r="L354" i="2" s="1"/>
  <c r="P354" i="2" a="1"/>
  <c r="P354" i="2" s="1"/>
  <c r="A355" i="2" a="1"/>
  <c r="A355" i="2" s="1"/>
  <c r="B355" i="2" a="1"/>
  <c r="B355" i="2" s="1"/>
  <c r="F355" i="2" a="1"/>
  <c r="F355" i="2" s="1"/>
  <c r="G355" i="2" a="1"/>
  <c r="G355" i="2" s="1"/>
  <c r="H355" i="2" a="1"/>
  <c r="H355" i="2" s="1"/>
  <c r="I355" i="2" a="1"/>
  <c r="I355" i="2" s="1"/>
  <c r="N355" i="2" a="1"/>
  <c r="N355" i="2" s="1"/>
  <c r="Q355" i="2" a="1"/>
  <c r="Q355" i="2" s="1"/>
  <c r="A356" i="2" a="1"/>
  <c r="A356" i="2" s="1"/>
  <c r="D356" i="2" a="1"/>
  <c r="D356" i="2" s="1"/>
  <c r="H356" i="2" a="1"/>
  <c r="H356" i="2" s="1"/>
  <c r="J356" i="2" a="1"/>
  <c r="J356" i="2" s="1"/>
  <c r="K356" i="2" a="1"/>
  <c r="K356" i="2" s="1"/>
  <c r="M356" i="2" a="1"/>
  <c r="M356" i="2" s="1"/>
  <c r="B357" i="2" a="1"/>
  <c r="B357" i="2" s="1"/>
  <c r="G357" i="2" a="1"/>
  <c r="G357" i="2" s="1"/>
  <c r="I357" i="2" a="1"/>
  <c r="I357" i="2" s="1"/>
  <c r="M357" i="2" a="1"/>
  <c r="M357" i="2" s="1"/>
  <c r="N357" i="2" a="1"/>
  <c r="N357" i="2" s="1"/>
  <c r="E358" i="2" a="1"/>
  <c r="E358" i="2" s="1"/>
  <c r="F358" i="2" a="1"/>
  <c r="F358" i="2" s="1"/>
  <c r="G358" i="2" a="1"/>
  <c r="G358" i="2" s="1"/>
  <c r="H358" i="2" a="1"/>
  <c r="H358" i="2" s="1"/>
  <c r="M358" i="2" a="1"/>
  <c r="M358" i="2" s="1"/>
  <c r="N358" i="2" a="1"/>
  <c r="N358" i="2" s="1"/>
  <c r="Q358" i="2" a="1"/>
  <c r="Q358" i="2" s="1"/>
  <c r="A359" i="2" a="1"/>
  <c r="A359" i="2" s="1"/>
  <c r="F359" i="2" a="1"/>
  <c r="F359" i="2" s="1"/>
  <c r="G359" i="2" a="1"/>
  <c r="G359" i="2" s="1"/>
  <c r="I359" i="2" a="1"/>
  <c r="I359" i="2" s="1"/>
  <c r="L359" i="2" a="1"/>
  <c r="L359" i="2" s="1"/>
  <c r="M359" i="2" a="1"/>
  <c r="M359" i="2" s="1"/>
  <c r="C360" i="2" a="1"/>
  <c r="C360" i="2" s="1"/>
  <c r="N360" i="2" a="1"/>
  <c r="N360" i="2" s="1"/>
  <c r="O360" i="2" a="1"/>
  <c r="O360" i="2" s="1"/>
  <c r="P360" i="2" a="1"/>
  <c r="P360" i="2" s="1"/>
  <c r="C361" i="2" a="1"/>
  <c r="C361" i="2" s="1"/>
  <c r="D361" i="2" a="1"/>
  <c r="D361" i="2" s="1"/>
  <c r="F361" i="2" a="1"/>
  <c r="F361" i="2" s="1"/>
  <c r="G361" i="2" a="1"/>
  <c r="G361" i="2" s="1"/>
  <c r="H361" i="2" a="1"/>
  <c r="H361" i="2" s="1"/>
  <c r="N361" i="2" a="1"/>
  <c r="N361" i="2" s="1"/>
  <c r="A362" i="2" a="1"/>
  <c r="A362" i="2" s="1"/>
  <c r="B362" i="2" a="1"/>
  <c r="B362" i="2" s="1"/>
  <c r="J362" i="2" a="1"/>
  <c r="J362" i="2" s="1"/>
  <c r="K362" i="2" a="1"/>
  <c r="K362" i="2" s="1"/>
  <c r="C363" i="2" a="1"/>
  <c r="C363" i="2" s="1"/>
  <c r="K363" i="2" a="1"/>
  <c r="K363" i="2" s="1"/>
  <c r="L363" i="2" a="1"/>
  <c r="L363" i="2" s="1"/>
  <c r="P363" i="2" a="1"/>
  <c r="P363" i="2" s="1"/>
  <c r="F364" i="2" a="1"/>
  <c r="F364" i="2" s="1"/>
  <c r="M364" i="2" a="1"/>
  <c r="M364" i="2" s="1"/>
  <c r="C365" i="2" a="1"/>
  <c r="C365" i="2" s="1"/>
  <c r="D365" i="2" a="1"/>
  <c r="D365" i="2" s="1"/>
  <c r="H365" i="2" a="1"/>
  <c r="H365" i="2" s="1"/>
  <c r="J365" i="2" a="1"/>
  <c r="J365" i="2" s="1"/>
  <c r="K365" i="2" a="1"/>
  <c r="K365" i="2" s="1"/>
  <c r="N365" i="2" a="1"/>
  <c r="N365" i="2" s="1"/>
  <c r="Q365" i="2" a="1"/>
  <c r="Q365" i="2" s="1"/>
  <c r="I366" i="2" a="1"/>
  <c r="I366" i="2" s="1"/>
  <c r="J366" i="2" a="1"/>
  <c r="J366" i="2" s="1"/>
  <c r="E367" i="2" a="1"/>
  <c r="E367" i="2" s="1"/>
  <c r="F367" i="2" a="1"/>
  <c r="F367" i="2" s="1"/>
  <c r="L367" i="2" a="1"/>
  <c r="L367" i="2" s="1"/>
  <c r="N367" i="2" a="1"/>
  <c r="N367" i="2" s="1"/>
  <c r="P367" i="2" a="1"/>
  <c r="P367" i="2" s="1"/>
  <c r="A368" i="2" a="1"/>
  <c r="A368" i="2" s="1"/>
  <c r="B368" i="2" a="1"/>
  <c r="B368" i="2" s="1"/>
  <c r="E368" i="2" a="1"/>
  <c r="E368" i="2" s="1"/>
  <c r="H368" i="2" a="1"/>
  <c r="H368" i="2" s="1"/>
  <c r="I368" i="2" a="1"/>
  <c r="I368" i="2" s="1"/>
  <c r="L368" i="2" a="1"/>
  <c r="L368" i="2" s="1"/>
  <c r="M368" i="2" a="1"/>
  <c r="M368" i="2" s="1"/>
  <c r="P368" i="2" a="1"/>
  <c r="P368" i="2" s="1"/>
  <c r="F369" i="2" a="1"/>
  <c r="F369" i="2" s="1"/>
  <c r="J369" i="2" a="1"/>
  <c r="J369" i="2" s="1"/>
  <c r="K369" i="2" a="1"/>
  <c r="K369" i="2" s="1"/>
  <c r="L369" i="2" a="1"/>
  <c r="L369" i="2" s="1"/>
  <c r="N369" i="2" a="1"/>
  <c r="N369" i="2" s="1"/>
  <c r="P369" i="2" a="1"/>
  <c r="P369" i="2" s="1"/>
  <c r="N370" i="2" a="1"/>
  <c r="N370" i="2" s="1"/>
  <c r="P370" i="2" a="1"/>
  <c r="P370" i="2" s="1"/>
  <c r="Q370" i="2" a="1"/>
  <c r="Q370" i="2" s="1"/>
  <c r="A371" i="2" a="1"/>
  <c r="A371" i="2" s="1"/>
  <c r="E371" i="2" a="1"/>
  <c r="E371" i="2" s="1"/>
  <c r="I371" i="2" a="1"/>
  <c r="I371" i="2" s="1"/>
  <c r="K371" i="2" a="1"/>
  <c r="K371" i="2" s="1"/>
  <c r="L371" i="2" a="1"/>
  <c r="L371" i="2" s="1"/>
  <c r="P371" i="2" a="1"/>
  <c r="P371" i="2" s="1"/>
  <c r="Q371" i="2" a="1"/>
  <c r="Q371" i="2" s="1"/>
  <c r="G373" i="2" a="1"/>
  <c r="G373" i="2" s="1"/>
  <c r="P373" i="2" a="1"/>
  <c r="P373" i="2" s="1"/>
  <c r="Q373" i="2" a="1"/>
  <c r="Q373" i="2" s="1"/>
  <c r="C374" i="2" a="1"/>
  <c r="C374" i="2" s="1"/>
  <c r="D374" i="2" a="1"/>
  <c r="D374" i="2" s="1"/>
  <c r="G374" i="2" a="1"/>
  <c r="G374" i="2" s="1"/>
  <c r="P374" i="2" a="1"/>
  <c r="P374" i="2" s="1"/>
  <c r="Q374" i="2" a="1"/>
  <c r="Q374" i="2" s="1"/>
  <c r="F375" i="2" a="1"/>
  <c r="F375" i="2" s="1"/>
  <c r="I375" i="2" a="1"/>
  <c r="I375" i="2" s="1"/>
  <c r="J375" i="2" a="1"/>
  <c r="J375" i="2" s="1"/>
  <c r="L375" i="2" a="1"/>
  <c r="L375" i="2" s="1"/>
  <c r="M375" i="2" a="1"/>
  <c r="M375" i="2" s="1"/>
  <c r="N375" i="2" a="1"/>
  <c r="N375" i="2" s="1"/>
  <c r="P375" i="2" a="1"/>
  <c r="P375" i="2" s="1"/>
  <c r="Q375" i="2" a="1"/>
  <c r="Q375" i="2" s="1"/>
  <c r="D376" i="2" a="1"/>
  <c r="D376" i="2" s="1"/>
  <c r="E376" i="2" a="1"/>
  <c r="E376" i="2" s="1"/>
  <c r="K376" i="2" a="1"/>
  <c r="K376" i="2" s="1"/>
  <c r="G377" i="2" a="1"/>
  <c r="G377" i="2" s="1"/>
  <c r="I377" i="2" a="1"/>
  <c r="I377" i="2" s="1"/>
  <c r="N377" i="2" a="1"/>
  <c r="N377" i="2" s="1"/>
  <c r="P377" i="2" a="1"/>
  <c r="P377" i="2" s="1"/>
  <c r="Q377" i="2" a="1"/>
  <c r="Q377" i="2" s="1"/>
  <c r="O379" i="2" a="1"/>
  <c r="O379" i="2" s="1"/>
  <c r="B380" i="2" a="1"/>
  <c r="B380" i="2" s="1"/>
  <c r="D380" i="2" a="1"/>
  <c r="D380" i="2" s="1"/>
  <c r="O380" i="2" a="1"/>
  <c r="O380" i="2" s="1"/>
  <c r="D381" i="2" a="1"/>
  <c r="D381" i="2" s="1"/>
  <c r="K381" i="2" a="1"/>
  <c r="K381" i="2" s="1"/>
  <c r="M381" i="2" a="1"/>
  <c r="M381" i="2" s="1"/>
  <c r="P381" i="2" a="1"/>
  <c r="P381" i="2" s="1"/>
  <c r="A382" i="2" a="1"/>
  <c r="A382" i="2" s="1"/>
  <c r="B382" i="2" a="1"/>
  <c r="B382" i="2" s="1"/>
  <c r="E382" i="2" a="1"/>
  <c r="E382" i="2" s="1"/>
  <c r="G382" i="2" a="1"/>
  <c r="G382" i="2" s="1"/>
  <c r="H382" i="2" a="1"/>
  <c r="H382" i="2" s="1"/>
  <c r="P382" i="2" a="1"/>
  <c r="P382" i="2" s="1"/>
  <c r="Q382" i="2" a="1"/>
  <c r="Q382" i="2" s="1"/>
  <c r="B383" i="2" a="1"/>
  <c r="B383" i="2" s="1"/>
  <c r="E383" i="2" a="1"/>
  <c r="E383" i="2" s="1"/>
  <c r="J383" i="2" a="1"/>
  <c r="J383" i="2" s="1"/>
  <c r="Q383" i="2" a="1"/>
  <c r="Q383" i="2" s="1"/>
  <c r="C384" i="2" a="1"/>
  <c r="C384" i="2" s="1"/>
  <c r="D384" i="2" a="1"/>
  <c r="D384" i="2" s="1"/>
  <c r="I384" i="2" a="1"/>
  <c r="I384" i="2" s="1"/>
  <c r="L384" i="2" a="1"/>
  <c r="L384" i="2" s="1"/>
  <c r="P384" i="2" a="1"/>
  <c r="P384" i="2" s="1"/>
  <c r="F385" i="2" a="1"/>
  <c r="F385" i="2" s="1"/>
  <c r="N385" i="2" a="1"/>
  <c r="N385" i="2" s="1"/>
  <c r="P385" i="2" a="1"/>
  <c r="P385" i="2" s="1"/>
  <c r="B386" i="2" a="1"/>
  <c r="B386" i="2" s="1"/>
  <c r="D386" i="2" a="1"/>
  <c r="D386" i="2" s="1"/>
  <c r="F386" i="2" a="1"/>
  <c r="F386" i="2" s="1"/>
  <c r="J386" i="2" a="1"/>
  <c r="J386" i="2" s="1"/>
  <c r="M386" i="2" a="1"/>
  <c r="M386" i="2" s="1"/>
  <c r="O386" i="2" a="1"/>
  <c r="O386" i="2" s="1"/>
  <c r="Q386" i="2" a="1"/>
  <c r="Q386" i="2" s="1"/>
  <c r="F387" i="2" a="1"/>
  <c r="F387" i="2" s="1"/>
  <c r="L387" i="2" a="1"/>
  <c r="L387" i="2" s="1"/>
  <c r="P387" i="2" a="1"/>
  <c r="P387" i="2" s="1"/>
  <c r="C388" i="2" a="1"/>
  <c r="C388" i="2" s="1"/>
  <c r="K389" i="2" a="1"/>
  <c r="K389" i="2" s="1"/>
  <c r="M389" i="2" a="1"/>
  <c r="M389" i="2" s="1"/>
  <c r="P389" i="2" a="1"/>
  <c r="P389" i="2" s="1"/>
  <c r="G390" i="2" a="1"/>
  <c r="G390" i="2" s="1"/>
  <c r="N390" i="2" a="1"/>
  <c r="N390" i="2" s="1"/>
  <c r="P390" i="2" a="1"/>
  <c r="P390" i="2" s="1"/>
  <c r="E391" i="2" a="1"/>
  <c r="E391" i="2" s="1"/>
  <c r="L391" i="2" a="1"/>
  <c r="L391" i="2" s="1"/>
  <c r="M391" i="2" a="1"/>
  <c r="M391" i="2" s="1"/>
  <c r="N391" i="2" a="1"/>
  <c r="N391" i="2" s="1"/>
  <c r="Q391" i="2" a="1"/>
  <c r="Q391" i="2" s="1"/>
  <c r="B392" i="2" a="1"/>
  <c r="B392" i="2" s="1"/>
  <c r="E392" i="2" a="1"/>
  <c r="E392" i="2" s="1"/>
  <c r="J392" i="2" a="1"/>
  <c r="J392" i="2" s="1"/>
  <c r="L392" i="2" a="1"/>
  <c r="L392" i="2" s="1"/>
  <c r="O392" i="2" a="1"/>
  <c r="O392" i="2" s="1"/>
  <c r="Q392" i="2" a="1"/>
  <c r="Q392" i="2" s="1"/>
  <c r="A393" i="2" a="1"/>
  <c r="A393" i="2" s="1"/>
  <c r="G393" i="2" a="1"/>
  <c r="G393" i="2" s="1"/>
  <c r="N393" i="2" a="1"/>
  <c r="N393" i="2" s="1"/>
  <c r="C394" i="2" a="1"/>
  <c r="C394" i="2" s="1"/>
  <c r="M394" i="2" a="1"/>
  <c r="M394" i="2" s="1"/>
  <c r="A395" i="2" a="1"/>
  <c r="A395" i="2" s="1"/>
  <c r="D395" i="2" a="1"/>
  <c r="D395" i="2" s="1"/>
  <c r="G395" i="2" a="1"/>
  <c r="G395" i="2" s="1"/>
  <c r="J395" i="2" a="1"/>
  <c r="J395" i="2" s="1"/>
  <c r="L395" i="2" a="1"/>
  <c r="L395" i="2" s="1"/>
  <c r="N395" i="2" a="1"/>
  <c r="N395" i="2" s="1"/>
  <c r="O395" i="2" a="1"/>
  <c r="O395" i="2" s="1"/>
  <c r="Q395" i="2" a="1"/>
  <c r="Q395" i="2" s="1"/>
  <c r="B396" i="2" a="1"/>
  <c r="B396" i="2" s="1"/>
  <c r="J396" i="2" a="1"/>
  <c r="J396" i="2" s="1"/>
  <c r="M396" i="2" a="1"/>
  <c r="M396" i="2" s="1"/>
  <c r="A397" i="2" a="1"/>
  <c r="A397" i="2" s="1"/>
  <c r="B397" i="2" a="1"/>
  <c r="B397" i="2" s="1"/>
  <c r="C397" i="2" a="1"/>
  <c r="C397" i="2" s="1"/>
  <c r="E397" i="2" a="1"/>
  <c r="E397" i="2" s="1"/>
  <c r="I397" i="2" a="1"/>
  <c r="I397" i="2" s="1"/>
  <c r="A398" i="2" a="1"/>
  <c r="A398" i="2" s="1"/>
  <c r="D398" i="2" a="1"/>
  <c r="D398" i="2" s="1"/>
  <c r="E398" i="2" a="1"/>
  <c r="E398" i="2" s="1"/>
  <c r="F398" i="2" a="1"/>
  <c r="F398" i="2" s="1"/>
  <c r="I398" i="2" a="1"/>
  <c r="I398" i="2" s="1"/>
  <c r="L398" i="2" a="1"/>
  <c r="L398" i="2" s="1"/>
  <c r="A399" i="2" a="1"/>
  <c r="A399" i="2" s="1"/>
  <c r="C399" i="2" a="1"/>
  <c r="C399" i="2" s="1"/>
  <c r="E399" i="2" a="1"/>
  <c r="E399" i="2" s="1"/>
  <c r="Q399" i="2" a="1"/>
  <c r="Q399" i="2" s="1"/>
  <c r="E400" i="2" a="1"/>
  <c r="E400" i="2" s="1"/>
  <c r="L400" i="2" a="1"/>
  <c r="L400" i="2" s="1"/>
  <c r="C401" i="2" a="1"/>
  <c r="C401" i="2" s="1"/>
  <c r="F401" i="2" a="1"/>
  <c r="F401" i="2" s="1"/>
  <c r="G401" i="2" a="1"/>
  <c r="G401" i="2" s="1"/>
  <c r="L401" i="2" a="1"/>
  <c r="L401" i="2" s="1"/>
  <c r="M401" i="2" a="1"/>
  <c r="M401" i="2" s="1"/>
  <c r="Q401" i="2" a="1"/>
  <c r="Q401" i="2" s="1"/>
  <c r="B402" i="2" a="1"/>
  <c r="B402" i="2" s="1"/>
  <c r="C402" i="2" a="1"/>
  <c r="C402" i="2" s="1"/>
  <c r="F402" i="2" a="1"/>
  <c r="F402" i="2" s="1"/>
  <c r="H402" i="2" a="1"/>
  <c r="H402" i="2" s="1"/>
  <c r="M402" i="2" a="1"/>
  <c r="M402" i="2" s="1"/>
  <c r="O402" i="2" a="1"/>
  <c r="O402" i="2" s="1"/>
  <c r="O403" i="2" a="1"/>
  <c r="O403" i="2" s="1"/>
  <c r="P403" i="2" a="1"/>
  <c r="P403" i="2" s="1"/>
  <c r="O404" i="2" a="1"/>
  <c r="O404" i="2" s="1"/>
  <c r="P404" i="2" a="1"/>
  <c r="P404" i="2" s="1"/>
  <c r="C405" i="2" a="1"/>
  <c r="C405" i="2" s="1"/>
  <c r="E405" i="2" a="1"/>
  <c r="E405" i="2" s="1"/>
  <c r="J405" i="2" a="1"/>
  <c r="J405" i="2" s="1"/>
  <c r="K405" i="2" a="1"/>
  <c r="K405" i="2" s="1"/>
  <c r="F406" i="2" a="1"/>
  <c r="F406" i="2" s="1"/>
  <c r="L406" i="2" a="1"/>
  <c r="L406" i="2" s="1"/>
  <c r="J407" i="2" a="1"/>
  <c r="J407" i="2" s="1"/>
  <c r="K407" i="2" a="1"/>
  <c r="K407" i="2" s="1"/>
  <c r="P407" i="2" a="1"/>
  <c r="P407" i="2" s="1"/>
  <c r="D408" i="2" a="1"/>
  <c r="D408" i="2" s="1"/>
  <c r="G408" i="2" a="1"/>
  <c r="G408" i="2" s="1"/>
  <c r="F409" i="2" a="1"/>
  <c r="F409" i="2" s="1"/>
  <c r="K409" i="2" a="1"/>
  <c r="K409" i="2" s="1"/>
  <c r="M409" i="2" a="1"/>
  <c r="M409" i="2" s="1"/>
  <c r="Q410" i="2" a="1"/>
  <c r="Q410" i="2" s="1"/>
  <c r="I411" i="2" a="1"/>
  <c r="I411" i="2" s="1"/>
  <c r="L411" i="2" a="1"/>
  <c r="L411" i="2" s="1"/>
  <c r="J412" i="2" a="1"/>
  <c r="J412" i="2" s="1"/>
  <c r="A413" i="2" a="1"/>
  <c r="A413" i="2" s="1"/>
  <c r="C413" i="2" a="1"/>
  <c r="C413" i="2" s="1"/>
  <c r="D413" i="2" a="1"/>
  <c r="D413" i="2" s="1"/>
  <c r="G413" i="2" a="1"/>
  <c r="G413" i="2" s="1"/>
  <c r="J413" i="2" a="1"/>
  <c r="J413" i="2" s="1"/>
  <c r="K413" i="2" a="1"/>
  <c r="K413" i="2" s="1"/>
  <c r="O413" i="2" a="1"/>
  <c r="O413" i="2" s="1"/>
  <c r="Q413" i="2" a="1"/>
  <c r="Q413" i="2" s="1"/>
  <c r="D414" i="2" a="1"/>
  <c r="D414" i="2" s="1"/>
  <c r="G414" i="2" a="1"/>
  <c r="G414" i="2" s="1"/>
  <c r="I414" i="2" a="1"/>
  <c r="I414" i="2" s="1"/>
  <c r="P414" i="2" a="1"/>
  <c r="P414" i="2" s="1"/>
  <c r="N415" i="2" a="1"/>
  <c r="N415" i="2" s="1"/>
  <c r="O416" i="2" a="1"/>
  <c r="O416" i="2" s="1"/>
  <c r="Q416" i="2" a="1"/>
  <c r="Q416" i="2" s="1"/>
  <c r="A417" i="2" a="1"/>
  <c r="A417" i="2" s="1"/>
  <c r="F417" i="2" a="1"/>
  <c r="F417" i="2" s="1"/>
  <c r="H417" i="2" a="1"/>
  <c r="H417" i="2" s="1"/>
  <c r="L417" i="2" a="1"/>
  <c r="L417" i="2" s="1"/>
  <c r="P417" i="2" a="1"/>
  <c r="P417" i="2" s="1"/>
  <c r="Q417" i="2" a="1"/>
  <c r="Q417" i="2" s="1"/>
  <c r="G418" i="2" a="1"/>
  <c r="G418" i="2" s="1"/>
  <c r="C419" i="2" a="1"/>
  <c r="C419" i="2" s="1"/>
  <c r="F419" i="2" a="1"/>
  <c r="F419" i="2" s="1"/>
  <c r="G419" i="2" a="1"/>
  <c r="G419" i="2" s="1"/>
  <c r="N419" i="2" a="1"/>
  <c r="N419" i="2" s="1"/>
  <c r="F420" i="2" a="1"/>
  <c r="F420" i="2" s="1"/>
  <c r="H420" i="2" a="1"/>
  <c r="H420" i="2" s="1"/>
  <c r="J420" i="2" a="1"/>
  <c r="J420" i="2" s="1"/>
  <c r="N420" i="2" a="1"/>
  <c r="N420" i="2" s="1"/>
  <c r="A421" i="2" a="1"/>
  <c r="A421" i="2" s="1"/>
  <c r="G421" i="2" a="1"/>
  <c r="G421" i="2" s="1"/>
  <c r="J421" i="2" a="1"/>
  <c r="J421" i="2" s="1"/>
  <c r="P421" i="2" a="1"/>
  <c r="P421" i="2" s="1"/>
  <c r="G422" i="2" a="1"/>
  <c r="G422" i="2" s="1"/>
  <c r="C423" i="2" a="1"/>
  <c r="C423" i="2" s="1"/>
  <c r="J423" i="2" a="1"/>
  <c r="J423" i="2" s="1"/>
  <c r="L423" i="2" a="1"/>
  <c r="L423" i="2" s="1"/>
  <c r="B424" i="2" a="1"/>
  <c r="B424" i="2" s="1"/>
  <c r="E424" i="2" a="1"/>
  <c r="E424" i="2" s="1"/>
  <c r="H424" i="2" a="1"/>
  <c r="H424" i="2" s="1"/>
  <c r="K424" i="2" a="1"/>
  <c r="K424" i="2" s="1"/>
  <c r="M424" i="2" a="1"/>
  <c r="M424" i="2" s="1"/>
  <c r="O424" i="2" a="1"/>
  <c r="O424" i="2" s="1"/>
  <c r="P424" i="2" a="1"/>
  <c r="P424" i="2" s="1"/>
  <c r="D425" i="2" a="1"/>
  <c r="D425" i="2" s="1"/>
  <c r="H425" i="2" a="1"/>
  <c r="H425" i="2" s="1"/>
  <c r="I425" i="2" a="1"/>
  <c r="I425" i="2" s="1"/>
  <c r="K425" i="2" a="1"/>
  <c r="K425" i="2" s="1"/>
  <c r="Q425" i="2" a="1"/>
  <c r="Q425" i="2" s="1"/>
  <c r="F426" i="2" a="1"/>
  <c r="F426" i="2" s="1"/>
  <c r="H426" i="2" a="1"/>
  <c r="H426" i="2" s="1"/>
  <c r="J426" i="2" a="1"/>
  <c r="J426" i="2" s="1"/>
  <c r="M426" i="2" a="1"/>
  <c r="M426" i="2" s="1"/>
  <c r="N426" i="2" a="1"/>
  <c r="N426" i="2" s="1"/>
  <c r="P426" i="2" a="1"/>
  <c r="P426" i="2" s="1"/>
  <c r="D427" i="2" a="1"/>
  <c r="D427" i="2" s="1"/>
  <c r="L427" i="2" a="1"/>
  <c r="L427" i="2" s="1"/>
  <c r="E428" i="2" a="1"/>
  <c r="E428" i="2" s="1"/>
  <c r="F428" i="2" a="1"/>
  <c r="F428" i="2" s="1"/>
  <c r="G428" i="2" a="1"/>
  <c r="G428" i="2" s="1"/>
  <c r="B429" i="2" a="1"/>
  <c r="B429" i="2" s="1"/>
  <c r="H429" i="2" a="1"/>
  <c r="H429" i="2" s="1"/>
  <c r="K429" i="2" a="1"/>
  <c r="K429" i="2" s="1"/>
  <c r="L429" i="2" a="1"/>
  <c r="L429" i="2" s="1"/>
  <c r="C430" i="2" a="1"/>
  <c r="C430" i="2" s="1"/>
  <c r="D430" i="2" a="1"/>
  <c r="D430" i="2" s="1"/>
  <c r="N430" i="2" a="1"/>
  <c r="N430" i="2" s="1"/>
  <c r="P430" i="2" a="1"/>
  <c r="P430" i="2" s="1"/>
  <c r="A431" i="2" a="1"/>
  <c r="A431" i="2" s="1"/>
  <c r="B431" i="2" a="1"/>
  <c r="B431" i="2" s="1"/>
  <c r="F431" i="2" a="1"/>
  <c r="F431" i="2" s="1"/>
  <c r="I431" i="2" a="1"/>
  <c r="I431" i="2" s="1"/>
  <c r="L431" i="2" a="1"/>
  <c r="L431" i="2" s="1"/>
  <c r="B432" i="2" a="1"/>
  <c r="B432" i="2" s="1"/>
  <c r="O432" i="2" a="1"/>
  <c r="O432" i="2" s="1"/>
  <c r="Q432" i="2" a="1"/>
  <c r="Q432" i="2" s="1"/>
  <c r="A433" i="2" a="1"/>
  <c r="A433" i="2" s="1"/>
  <c r="B433" i="2" a="1"/>
  <c r="B433" i="2" s="1"/>
  <c r="C433" i="2" a="1"/>
  <c r="C433" i="2" s="1"/>
  <c r="E433" i="2" a="1"/>
  <c r="E433" i="2" s="1"/>
  <c r="G433" i="2" a="1"/>
  <c r="G433" i="2" s="1"/>
  <c r="H433" i="2" a="1"/>
  <c r="H433" i="2" s="1"/>
  <c r="I433" i="2" a="1"/>
  <c r="I433" i="2" s="1"/>
  <c r="B434" i="2" a="1"/>
  <c r="B434" i="2" s="1"/>
  <c r="G434" i="2" a="1"/>
  <c r="G434" i="2" s="1"/>
  <c r="H434" i="2" a="1"/>
  <c r="H434" i="2" s="1"/>
  <c r="K434" i="2" a="1"/>
  <c r="K434" i="2" s="1"/>
  <c r="P434" i="2" a="1"/>
  <c r="P434" i="2" s="1"/>
  <c r="E435" i="2" a="1"/>
  <c r="E435" i="2" s="1"/>
  <c r="G435" i="2" a="1"/>
  <c r="G435" i="2" s="1"/>
  <c r="L435" i="2" a="1"/>
  <c r="L435" i="2" s="1"/>
  <c r="B436" i="2" a="1"/>
  <c r="B436" i="2" s="1"/>
  <c r="F436" i="2" a="1"/>
  <c r="F436" i="2" s="1"/>
  <c r="J436" i="2" a="1"/>
  <c r="J436" i="2" s="1"/>
  <c r="N436" i="2" a="1"/>
  <c r="N436" i="2" s="1"/>
  <c r="A437" i="2" a="1"/>
  <c r="A437" i="2" s="1"/>
  <c r="N437" i="2" a="1"/>
  <c r="N437" i="2" s="1"/>
  <c r="O437" i="2" a="1"/>
  <c r="O437" i="2" s="1"/>
  <c r="Q437" i="2" a="1"/>
  <c r="Q437" i="2" s="1"/>
  <c r="A438" i="2" a="1"/>
  <c r="A438" i="2" s="1"/>
  <c r="M438" i="2" a="1"/>
  <c r="M438" i="2" s="1"/>
  <c r="F439" i="2" a="1"/>
  <c r="F439" i="2" s="1"/>
  <c r="K439" i="2" a="1"/>
  <c r="K439" i="2" s="1"/>
  <c r="M439" i="2" a="1"/>
  <c r="M439" i="2" s="1"/>
  <c r="N439" i="2" a="1"/>
  <c r="N439" i="2" s="1"/>
  <c r="P439" i="2" a="1"/>
  <c r="P439" i="2" s="1"/>
  <c r="C440" i="2" a="1"/>
  <c r="C440" i="2" s="1"/>
  <c r="G440" i="2" a="1"/>
  <c r="G440" i="2" s="1"/>
  <c r="I440" i="2" a="1"/>
  <c r="I440" i="2" s="1"/>
  <c r="L440" i="2" a="1"/>
  <c r="L440" i="2" s="1"/>
  <c r="N440" i="2" a="1"/>
  <c r="N440" i="2" s="1"/>
  <c r="J441" i="2" a="1"/>
  <c r="J441" i="2" s="1"/>
  <c r="L441" i="2" a="1"/>
  <c r="L441" i="2" s="1"/>
  <c r="N441" i="2" a="1"/>
  <c r="N441" i="2" s="1"/>
  <c r="P441" i="2" a="1"/>
  <c r="P441" i="2" s="1"/>
  <c r="C442" i="2" a="1"/>
  <c r="C442" i="2" s="1"/>
  <c r="D442" i="2" a="1"/>
  <c r="D442" i="2" s="1"/>
  <c r="G442" i="2" a="1"/>
  <c r="G442" i="2" s="1"/>
  <c r="J442" i="2" a="1"/>
  <c r="J442" i="2" s="1"/>
  <c r="M442" i="2" a="1"/>
  <c r="M442" i="2" s="1"/>
  <c r="O442" i="2" a="1"/>
  <c r="O442" i="2" s="1"/>
  <c r="P442" i="2" a="1"/>
  <c r="P442" i="2" s="1"/>
  <c r="Q442" i="2" a="1"/>
  <c r="Q442" i="2" s="1"/>
  <c r="C443" i="2" a="1"/>
  <c r="C443" i="2" s="1"/>
  <c r="H443" i="2" a="1"/>
  <c r="H443" i="2" s="1"/>
  <c r="I443" i="2" a="1"/>
  <c r="I443" i="2" s="1"/>
  <c r="O443" i="2" a="1"/>
  <c r="O443" i="2" s="1"/>
  <c r="C444" i="2" a="1"/>
  <c r="C444" i="2" s="1"/>
  <c r="H444" i="2" a="1"/>
  <c r="H444" i="2" s="1"/>
  <c r="K444" i="2" a="1"/>
  <c r="K444" i="2" s="1"/>
  <c r="P444" i="2" a="1"/>
  <c r="P444" i="2" s="1"/>
  <c r="D452" i="2" a="1"/>
  <c r="D452" i="2" s="1"/>
  <c r="E452" i="2" a="1"/>
  <c r="E452" i="2" s="1"/>
  <c r="P452" i="2" a="1"/>
  <c r="P452" i="2" s="1"/>
  <c r="D453" i="2" a="1"/>
  <c r="D453" i="2" s="1"/>
  <c r="F453" i="2" a="1"/>
  <c r="F453" i="2" s="1"/>
  <c r="G453" i="2" a="1"/>
  <c r="G453" i="2" s="1"/>
  <c r="H453" i="2" a="1"/>
  <c r="H453" i="2" s="1"/>
  <c r="I453" i="2" a="1"/>
  <c r="I453" i="2" s="1"/>
  <c r="J453" i="2" a="1"/>
  <c r="J453" i="2" s="1"/>
  <c r="K453" i="2" a="1"/>
  <c r="K453" i="2" s="1"/>
  <c r="N453" i="2" a="1"/>
  <c r="N453" i="2" s="1"/>
  <c r="O453" i="2" a="1"/>
  <c r="O453" i="2" s="1"/>
  <c r="M454" i="2" a="1"/>
  <c r="M454" i="2" s="1"/>
  <c r="P454" i="2" a="1"/>
  <c r="P454" i="2" s="1"/>
  <c r="Q454" i="2" a="1"/>
  <c r="Q454" i="2" s="1"/>
  <c r="F455" i="2" a="1"/>
  <c r="F455" i="2" s="1"/>
  <c r="P455" i="2" a="1"/>
  <c r="P455" i="2" s="1"/>
  <c r="B456" i="2" a="1"/>
  <c r="B456" i="2" s="1"/>
  <c r="E456" i="2" a="1"/>
  <c r="E456" i="2" s="1"/>
  <c r="N456" i="2" a="1"/>
  <c r="N456" i="2" s="1"/>
  <c r="O456" i="2" a="1"/>
  <c r="O456" i="2" s="1"/>
  <c r="Q456" i="2" a="1"/>
  <c r="Q456" i="2" s="1"/>
  <c r="B457" i="2" a="1"/>
  <c r="B457" i="2" s="1"/>
  <c r="C457" i="2" a="1"/>
  <c r="C457" i="2" s="1"/>
  <c r="D457" i="2" a="1"/>
  <c r="D457" i="2" s="1"/>
  <c r="E457" i="2" a="1"/>
  <c r="E457" i="2" s="1"/>
  <c r="F457" i="2" a="1"/>
  <c r="F457" i="2" s="1"/>
  <c r="A458" i="2" a="1"/>
  <c r="A458" i="2" s="1"/>
  <c r="K458" i="2" a="1"/>
  <c r="K458" i="2" s="1"/>
  <c r="M458" i="2" a="1"/>
  <c r="M458" i="2" s="1"/>
  <c r="P458" i="2" a="1"/>
  <c r="P458" i="2" s="1"/>
  <c r="B459" i="2" a="1"/>
  <c r="B459" i="2" s="1"/>
  <c r="D459" i="2" a="1"/>
  <c r="D459" i="2" s="1"/>
  <c r="K459" i="2" a="1"/>
  <c r="K459" i="2" s="1"/>
  <c r="Q460" i="2" a="1"/>
  <c r="Q460" i="2" s="1"/>
  <c r="F461" i="2" a="1"/>
  <c r="F461" i="2" s="1"/>
  <c r="J461" i="2" a="1"/>
  <c r="J461" i="2" s="1"/>
  <c r="N461" i="2" a="1"/>
  <c r="N461" i="2" s="1"/>
  <c r="E462" i="2" a="1"/>
  <c r="E462" i="2" s="1"/>
  <c r="G462" i="2" a="1"/>
  <c r="G462" i="2" s="1"/>
  <c r="I462" i="2" a="1"/>
  <c r="I462" i="2" s="1"/>
  <c r="G463" i="2" a="1"/>
  <c r="G463" i="2" s="1"/>
  <c r="I463" i="2" a="1"/>
  <c r="I463" i="2" s="1"/>
  <c r="P463" i="2" a="1"/>
  <c r="P463" i="2" s="1"/>
  <c r="B464" i="2" a="1"/>
  <c r="B464" i="2" s="1"/>
  <c r="C464" i="2" a="1"/>
  <c r="C464" i="2" s="1"/>
  <c r="G464" i="2" a="1"/>
  <c r="G464" i="2" s="1"/>
  <c r="M464" i="2" a="1"/>
  <c r="M464" i="2" s="1"/>
  <c r="O464" i="2" a="1"/>
  <c r="O464" i="2" s="1"/>
  <c r="P464" i="2" a="1"/>
  <c r="P464" i="2" s="1"/>
  <c r="F465" i="2" a="1"/>
  <c r="F465" i="2" s="1"/>
  <c r="D466" i="2" a="1"/>
  <c r="D466" i="2" s="1"/>
  <c r="I466" i="2" a="1"/>
  <c r="I466" i="2" s="1"/>
  <c r="N466" i="2" a="1"/>
  <c r="N466" i="2" s="1"/>
  <c r="P466" i="2" a="1"/>
  <c r="P466" i="2" s="1"/>
  <c r="Q466" i="2" a="1"/>
  <c r="Q466" i="2" s="1"/>
  <c r="C467" i="2" a="1"/>
  <c r="C467" i="2" s="1"/>
  <c r="D467" i="2" a="1"/>
  <c r="D467" i="2" s="1"/>
  <c r="I467" i="2" a="1"/>
  <c r="I467" i="2" s="1"/>
  <c r="L467" i="2" a="1"/>
  <c r="L467" i="2" s="1"/>
  <c r="Q467" i="2" a="1"/>
  <c r="Q467" i="2" s="1"/>
  <c r="G468" i="2" a="1"/>
  <c r="G468" i="2" s="1"/>
  <c r="J468" i="2" a="1"/>
  <c r="J468" i="2" s="1"/>
  <c r="O468" i="2" a="1"/>
  <c r="O468" i="2" s="1"/>
  <c r="K469" i="2" a="1"/>
  <c r="K469" i="2" s="1"/>
  <c r="H470" i="2" a="1"/>
  <c r="H470" i="2" s="1"/>
  <c r="L470" i="2" a="1"/>
  <c r="L470" i="2" s="1"/>
  <c r="M470" i="2" a="1"/>
  <c r="M470" i="2" s="1"/>
  <c r="O470" i="2" a="1"/>
  <c r="O470" i="2" s="1"/>
  <c r="Q471" i="2" a="1"/>
  <c r="Q471" i="2" s="1"/>
  <c r="J473" i="2" a="1"/>
  <c r="J473" i="2" s="1"/>
  <c r="K474" i="2" a="1"/>
  <c r="K474" i="2" s="1"/>
  <c r="M474" i="2" a="1"/>
  <c r="M474" i="2" s="1"/>
  <c r="M475" i="2" a="1"/>
  <c r="M475" i="2" s="1"/>
  <c r="O475" i="2" a="1"/>
  <c r="O475" i="2" s="1"/>
  <c r="M476" i="2" a="1"/>
  <c r="M476" i="2" s="1"/>
  <c r="A477" i="2" a="1"/>
  <c r="A477" i="2" s="1"/>
  <c r="F477" i="2" a="1"/>
  <c r="F477" i="2" s="1"/>
  <c r="Q477" i="2" a="1"/>
  <c r="Q477" i="2" s="1"/>
  <c r="B478" i="2" a="1"/>
  <c r="B478" i="2" s="1"/>
  <c r="G478" i="2" a="1"/>
  <c r="G478" i="2" s="1"/>
  <c r="M478" i="2" a="1"/>
  <c r="M478" i="2" s="1"/>
  <c r="B479" i="2" a="1"/>
  <c r="B479" i="2" s="1"/>
  <c r="L479" i="2" a="1"/>
  <c r="L479" i="2" s="1"/>
  <c r="A480" i="2" a="1"/>
  <c r="A480" i="2" s="1"/>
  <c r="B480" i="2" a="1"/>
  <c r="B480" i="2" s="1"/>
  <c r="F480" i="2" a="1"/>
  <c r="F480" i="2" s="1"/>
  <c r="G480" i="2" a="1"/>
  <c r="G480" i="2" s="1"/>
  <c r="H480" i="2" a="1"/>
  <c r="H480" i="2" s="1"/>
  <c r="Q480" i="2" a="1"/>
  <c r="Q480" i="2" s="1"/>
  <c r="Q481" i="2" a="1"/>
  <c r="Q481" i="2" s="1"/>
  <c r="G482" i="2" a="1"/>
  <c r="G482" i="2" s="1"/>
  <c r="O482" i="2" a="1"/>
  <c r="O482" i="2" s="1"/>
  <c r="D483" i="2" a="1"/>
  <c r="D483" i="2" s="1"/>
  <c r="F483" i="2" a="1"/>
  <c r="F483" i="2" s="1"/>
  <c r="H483" i="2" a="1"/>
  <c r="H483" i="2" s="1"/>
  <c r="K483" i="2" a="1"/>
  <c r="K483" i="2" s="1"/>
  <c r="M483" i="2" a="1"/>
  <c r="M483" i="2" s="1"/>
  <c r="P483" i="2" a="1"/>
  <c r="P483" i="2" s="1"/>
  <c r="H484" i="2" a="1"/>
  <c r="H484" i="2" s="1"/>
  <c r="M484" i="2" a="1"/>
  <c r="M484" i="2" s="1"/>
  <c r="P484" i="2" a="1"/>
  <c r="P484" i="2" s="1"/>
  <c r="D485" i="2" a="1"/>
  <c r="D485" i="2" s="1"/>
  <c r="E485" i="2" a="1"/>
  <c r="E485" i="2" s="1"/>
  <c r="C486" i="2" a="1"/>
  <c r="C486" i="2" s="1"/>
  <c r="D486" i="2" a="1"/>
  <c r="D486" i="2" s="1"/>
  <c r="P486" i="2" a="1"/>
  <c r="P486" i="2" s="1"/>
  <c r="C487" i="2" a="1"/>
  <c r="C487" i="2" s="1"/>
  <c r="A489" i="2" a="1"/>
  <c r="A489" i="2" s="1"/>
  <c r="F489" i="2" a="1"/>
  <c r="F489" i="2" s="1"/>
  <c r="G489" i="2" a="1"/>
  <c r="G489" i="2" s="1"/>
  <c r="H489" i="2" a="1"/>
  <c r="H489" i="2" s="1"/>
  <c r="I489" i="2" a="1"/>
  <c r="I489" i="2" s="1"/>
  <c r="K489" i="2" a="1"/>
  <c r="K489" i="2" s="1"/>
  <c r="M489" i="2" a="1"/>
  <c r="M489" i="2" s="1"/>
  <c r="N489" i="2" a="1"/>
  <c r="N489" i="2" s="1"/>
  <c r="P489" i="2" a="1"/>
  <c r="P489" i="2" s="1"/>
  <c r="A490" i="2" a="1"/>
  <c r="A490" i="2" s="1"/>
  <c r="J490" i="2" a="1"/>
  <c r="J490" i="2" s="1"/>
  <c r="L490" i="2" a="1"/>
  <c r="L490" i="2" s="1"/>
  <c r="P490" i="2" a="1"/>
  <c r="P490" i="2" s="1"/>
  <c r="B491" i="2" a="1"/>
  <c r="B491" i="2" s="1"/>
  <c r="D491" i="2" a="1"/>
  <c r="D491" i="2" s="1"/>
  <c r="I491" i="2" a="1"/>
  <c r="I491" i="2" s="1"/>
  <c r="O492" i="2" a="1"/>
  <c r="O492" i="2" s="1"/>
  <c r="P492" i="2" a="1"/>
  <c r="P492" i="2" s="1"/>
  <c r="Q492" i="2" a="1"/>
  <c r="Q492" i="2" s="1"/>
  <c r="D493" i="2" a="1"/>
  <c r="D493" i="2" s="1"/>
  <c r="O493" i="2" a="1"/>
  <c r="O493" i="2" s="1"/>
  <c r="I494" i="2" a="1"/>
  <c r="I494" i="2" s="1"/>
  <c r="J494" i="2" a="1"/>
  <c r="J494" i="2" s="1"/>
  <c r="K494" i="2" a="1"/>
  <c r="K494" i="2" s="1"/>
  <c r="L494" i="2" a="1"/>
  <c r="L494" i="2" s="1"/>
  <c r="K495" i="2" a="1"/>
  <c r="K495" i="2" s="1"/>
  <c r="A496" i="2" a="1"/>
  <c r="A496" i="2" s="1"/>
  <c r="B496" i="2" a="1"/>
  <c r="B496" i="2" s="1"/>
  <c r="C496" i="2" a="1"/>
  <c r="C496" i="2" s="1"/>
  <c r="F496" i="2" a="1"/>
  <c r="F496" i="2" s="1"/>
  <c r="H497" i="2" a="1"/>
  <c r="H497" i="2" s="1"/>
  <c r="I497" i="2" a="1"/>
  <c r="I497" i="2" s="1"/>
  <c r="J497" i="2" a="1"/>
  <c r="J497" i="2" s="1"/>
  <c r="N497" i="2" a="1"/>
  <c r="N497" i="2" s="1"/>
  <c r="P497" i="2" a="1"/>
  <c r="P497" i="2" s="1"/>
  <c r="Q497" i="2" a="1"/>
  <c r="Q497" i="2" s="1"/>
  <c r="D498" i="2" a="1"/>
  <c r="D498" i="2" s="1"/>
  <c r="I498" i="2" a="1"/>
  <c r="I498" i="2" s="1"/>
  <c r="J498" i="2" a="1"/>
  <c r="J498" i="2" s="1"/>
  <c r="A499" i="2" a="1"/>
  <c r="A499" i="2" s="1"/>
  <c r="B499" i="2" a="1"/>
  <c r="B499" i="2" s="1"/>
  <c r="H500" i="2" a="1"/>
  <c r="H500" i="2" s="1"/>
  <c r="E501" i="2" a="1"/>
  <c r="E501" i="2" s="1"/>
  <c r="G501" i="2" a="1"/>
  <c r="G501" i="2" s="1"/>
  <c r="P501" i="2" a="1"/>
  <c r="P501" i="2" s="1"/>
  <c r="A502" i="2" a="1"/>
  <c r="A502" i="2" s="1"/>
  <c r="F502" i="2" a="1"/>
  <c r="F502" i="2" s="1"/>
  <c r="K502" i="2" a="1"/>
  <c r="K502" i="2" s="1"/>
  <c r="A503" i="2" a="1"/>
  <c r="A503" i="2" s="1"/>
  <c r="C503" i="2" a="1"/>
  <c r="C503" i="2" s="1"/>
  <c r="J503" i="2" a="1"/>
  <c r="J503" i="2" s="1"/>
  <c r="L503" i="2" a="1"/>
  <c r="L503" i="2" s="1"/>
  <c r="M504" i="2" a="1"/>
  <c r="M504" i="2" s="1"/>
  <c r="N504" i="2" a="1"/>
  <c r="N504" i="2" s="1"/>
  <c r="Q504" i="2" a="1"/>
  <c r="Q504" i="2" s="1"/>
  <c r="J505" i="2" a="1"/>
  <c r="J505" i="2" s="1"/>
  <c r="L505" i="2" a="1"/>
  <c r="L505" i="2" s="1"/>
  <c r="Q505" i="2" a="1"/>
  <c r="Q505" i="2" s="1"/>
  <c r="E506" i="2" a="1"/>
  <c r="E506" i="2" s="1"/>
  <c r="J506" i="2" a="1"/>
  <c r="J506" i="2" s="1"/>
  <c r="Q506" i="2" a="1"/>
  <c r="Q506" i="2" s="1"/>
  <c r="D507" i="2" a="1"/>
  <c r="D507" i="2" s="1"/>
  <c r="G507" i="2" a="1"/>
  <c r="G507" i="2" s="1"/>
  <c r="J507" i="2" a="1"/>
  <c r="J507" i="2" s="1"/>
  <c r="K507" i="2" a="1"/>
  <c r="K507" i="2" s="1"/>
  <c r="N507" i="2" a="1"/>
  <c r="N507" i="2" s="1"/>
  <c r="Q507" i="2" a="1"/>
  <c r="Q507" i="2" s="1"/>
  <c r="B508" i="2" a="1"/>
  <c r="B508" i="2" s="1"/>
  <c r="D508" i="2" a="1"/>
  <c r="D508" i="2" s="1"/>
  <c r="N508" i="2" a="1"/>
  <c r="N508" i="2" s="1"/>
  <c r="B509" i="2" a="1"/>
  <c r="B509" i="2" s="1"/>
  <c r="F509" i="2" a="1"/>
  <c r="F509" i="2" s="1"/>
  <c r="P509" i="2" a="1"/>
  <c r="P509" i="2" s="1"/>
  <c r="B510" i="2" a="1"/>
  <c r="B510" i="2" s="1"/>
  <c r="C510" i="2" a="1"/>
  <c r="C510" i="2" s="1"/>
  <c r="D510" i="2" a="1"/>
  <c r="D510" i="2" s="1"/>
  <c r="I510" i="2" a="1"/>
  <c r="I510" i="2" s="1"/>
  <c r="P510" i="2" a="1"/>
  <c r="P510" i="2" s="1"/>
  <c r="I511" i="2" a="1"/>
  <c r="I511" i="2" s="1"/>
  <c r="J511" i="2" a="1"/>
  <c r="J511" i="2" s="1"/>
  <c r="M511" i="2" a="1"/>
  <c r="M511" i="2" s="1"/>
  <c r="N511" i="2" a="1"/>
  <c r="N511" i="2" s="1"/>
  <c r="P511" i="2" a="1"/>
  <c r="P511" i="2" s="1"/>
  <c r="A512" i="2" a="1"/>
  <c r="A512" i="2" s="1"/>
  <c r="G512" i="2" a="1"/>
  <c r="G512" i="2" s="1"/>
  <c r="I512" i="2" a="1"/>
  <c r="I512" i="2" s="1"/>
  <c r="J512" i="2" a="1"/>
  <c r="J512" i="2" s="1"/>
  <c r="Q512" i="2" a="1"/>
  <c r="Q512" i="2" s="1"/>
  <c r="B513" i="2" a="1"/>
  <c r="B513" i="2" s="1"/>
  <c r="G513" i="2" a="1"/>
  <c r="G513" i="2" s="1"/>
  <c r="K513" i="2" a="1"/>
  <c r="K513" i="2" s="1"/>
  <c r="N513" i="2" a="1"/>
  <c r="N513" i="2" s="1"/>
  <c r="O513" i="2" a="1"/>
  <c r="O513" i="2" s="1"/>
  <c r="A514" i="2" a="1"/>
  <c r="A514" i="2" s="1"/>
  <c r="B514" i="2" a="1"/>
  <c r="B514" i="2" s="1"/>
  <c r="F514" i="2" a="1"/>
  <c r="F514" i="2" s="1"/>
  <c r="I514" i="2" a="1"/>
  <c r="I514" i="2" s="1"/>
  <c r="N514" i="2" a="1"/>
  <c r="N514" i="2" s="1"/>
  <c r="N515" i="2" a="1"/>
  <c r="N515" i="2" s="1"/>
  <c r="D516" i="2" a="1"/>
  <c r="D516" i="2" s="1"/>
  <c r="K516" i="2" a="1"/>
  <c r="K516" i="2" s="1"/>
  <c r="O516" i="2" a="1"/>
  <c r="O516" i="2" s="1"/>
  <c r="I517" i="2" a="1"/>
  <c r="I517" i="2" s="1"/>
  <c r="Q517" i="2" a="1"/>
  <c r="Q517" i="2" s="1"/>
  <c r="H518" i="2" a="1"/>
  <c r="H518" i="2" s="1"/>
  <c r="N518" i="2" a="1"/>
  <c r="N518" i="2" s="1"/>
  <c r="O518" i="2" a="1"/>
  <c r="O518" i="2" s="1"/>
  <c r="P518" i="2" a="1"/>
  <c r="P518" i="2" s="1"/>
  <c r="Q518" i="2" a="1"/>
  <c r="Q518" i="2" s="1"/>
  <c r="B519" i="2" a="1"/>
  <c r="B519" i="2" s="1"/>
  <c r="C519" i="2" a="1"/>
  <c r="C519" i="2" s="1"/>
  <c r="G519" i="2" a="1"/>
  <c r="G519" i="2" s="1"/>
  <c r="L519" i="2" a="1"/>
  <c r="L519" i="2" s="1"/>
  <c r="M519" i="2" a="1"/>
  <c r="M519" i="2" s="1"/>
  <c r="O519" i="2" a="1"/>
  <c r="O519" i="2" s="1"/>
  <c r="A520" i="2" a="1"/>
  <c r="A520" i="2" s="1"/>
  <c r="C520" i="2" a="1"/>
  <c r="C520" i="2" s="1"/>
  <c r="F520" i="2" a="1"/>
  <c r="F520" i="2" s="1"/>
  <c r="H520" i="2" a="1"/>
  <c r="H520" i="2" s="1"/>
  <c r="N520" i="2" a="1"/>
  <c r="N520" i="2" s="1"/>
  <c r="A521" i="2" a="1"/>
  <c r="A521" i="2" s="1"/>
  <c r="B521" i="2" a="1"/>
  <c r="B521" i="2" s="1"/>
  <c r="D521" i="2" a="1"/>
  <c r="D521" i="2" s="1"/>
  <c r="E521" i="2" a="1"/>
  <c r="E521" i="2" s="1"/>
  <c r="I521" i="2" a="1"/>
  <c r="I521" i="2" s="1"/>
  <c r="P521" i="2" a="1"/>
  <c r="P521" i="2" s="1"/>
  <c r="Q521" i="2" a="1"/>
  <c r="Q521" i="2" s="1"/>
  <c r="E522" i="2" a="1"/>
  <c r="E522" i="2" s="1"/>
  <c r="M522" i="2" a="1"/>
  <c r="M522" i="2" s="1"/>
  <c r="O522" i="2" a="1"/>
  <c r="O522" i="2" s="1"/>
  <c r="B523" i="2" a="1"/>
  <c r="B523" i="2" s="1"/>
  <c r="D523" i="2" a="1"/>
  <c r="D523" i="2" s="1"/>
  <c r="Q523" i="2" a="1"/>
  <c r="Q523" i="2" s="1"/>
  <c r="E524" i="2" a="1"/>
  <c r="E524" i="2" s="1"/>
  <c r="F524" i="2" a="1"/>
  <c r="F524" i="2" s="1"/>
  <c r="G524" i="2" a="1"/>
  <c r="G524" i="2" s="1"/>
  <c r="K524" i="2" a="1"/>
  <c r="K524" i="2" s="1"/>
  <c r="L524" i="2" a="1"/>
  <c r="L524" i="2" s="1"/>
  <c r="M524" i="2" a="1"/>
  <c r="M524" i="2" s="1"/>
  <c r="P524" i="2" a="1"/>
  <c r="P524" i="2" s="1"/>
  <c r="C525" i="2" a="1"/>
  <c r="C525" i="2" s="1"/>
  <c r="O525" i="2" a="1"/>
  <c r="O525" i="2" s="1"/>
  <c r="A526" i="2" a="1"/>
  <c r="A526" i="2" s="1"/>
  <c r="E526" i="2" a="1"/>
  <c r="E526" i="2" s="1"/>
  <c r="G526" i="2" a="1"/>
  <c r="G526" i="2" s="1"/>
  <c r="H526" i="2" a="1"/>
  <c r="H526" i="2" s="1"/>
  <c r="N526" i="2" a="1"/>
  <c r="N526" i="2" s="1"/>
  <c r="E527" i="2" a="1"/>
  <c r="E527" i="2" s="1"/>
  <c r="I527" i="2" a="1"/>
  <c r="I527" i="2" s="1"/>
  <c r="A528" i="2" a="1"/>
  <c r="A528" i="2" s="1"/>
  <c r="F528" i="2" a="1"/>
  <c r="F528" i="2" s="1"/>
  <c r="C529" i="2" a="1"/>
  <c r="C529" i="2" s="1"/>
  <c r="G529" i="2" a="1"/>
  <c r="G529" i="2" s="1"/>
  <c r="H529" i="2" a="1"/>
  <c r="H529" i="2" s="1"/>
  <c r="L529" i="2" a="1"/>
  <c r="L529" i="2" s="1"/>
  <c r="C530" i="2" a="1"/>
  <c r="C530" i="2" s="1"/>
  <c r="D530" i="2" a="1"/>
  <c r="D530" i="2" s="1"/>
  <c r="K530" i="2" a="1"/>
  <c r="K530" i="2" s="1"/>
  <c r="P530" i="2" a="1"/>
  <c r="P530" i="2" s="1"/>
  <c r="Q530" i="2" a="1"/>
  <c r="Q530" i="2" s="1"/>
  <c r="A531" i="2" a="1"/>
  <c r="A531" i="2" s="1"/>
  <c r="F531" i="2" a="1"/>
  <c r="F531" i="2" s="1"/>
  <c r="J531" i="2" a="1"/>
  <c r="J531" i="2" s="1"/>
  <c r="K531" i="2" a="1"/>
  <c r="K531" i="2" s="1"/>
  <c r="L531" i="2" a="1"/>
  <c r="L531" i="2" s="1"/>
  <c r="N531" i="2" a="1"/>
  <c r="N531" i="2" s="1"/>
  <c r="D532" i="2" a="1"/>
  <c r="D532" i="2" s="1"/>
  <c r="O532" i="2" a="1"/>
  <c r="O532" i="2" s="1"/>
  <c r="Q532" i="2" a="1"/>
  <c r="Q532" i="2" s="1"/>
  <c r="D533" i="2" a="1"/>
  <c r="D533" i="2" s="1"/>
  <c r="E533" i="2" a="1"/>
  <c r="E533" i="2" s="1"/>
  <c r="F533" i="2" a="1"/>
  <c r="F533" i="2" s="1"/>
  <c r="M533" i="2" a="1"/>
  <c r="M533" i="2" s="1"/>
  <c r="P533" i="2" a="1"/>
  <c r="P533" i="2" s="1"/>
  <c r="B534" i="2" a="1"/>
  <c r="B534" i="2" s="1"/>
  <c r="D534" i="2" a="1"/>
  <c r="D534" i="2" s="1"/>
  <c r="J534" i="2" a="1"/>
  <c r="J534" i="2" s="1"/>
  <c r="A535" i="2" a="1"/>
  <c r="A535" i="2" s="1"/>
  <c r="B535" i="2" a="1"/>
  <c r="B535" i="2" s="1"/>
  <c r="C535" i="2" a="1"/>
  <c r="C535" i="2" s="1"/>
  <c r="D535" i="2" a="1"/>
  <c r="D535" i="2" s="1"/>
  <c r="F535" i="2" a="1"/>
  <c r="F535" i="2" s="1"/>
  <c r="L535" i="2" a="1"/>
  <c r="L535" i="2" s="1"/>
  <c r="M535" i="2" a="1"/>
  <c r="M535" i="2" s="1"/>
  <c r="N535" i="2" a="1"/>
  <c r="N535" i="2" s="1"/>
  <c r="A536" i="2" a="1"/>
  <c r="A536" i="2" s="1"/>
  <c r="E536" i="2" a="1"/>
  <c r="E536" i="2" s="1"/>
  <c r="I536" i="2" a="1"/>
  <c r="I536" i="2" s="1"/>
  <c r="B537" i="2" a="1"/>
  <c r="B537" i="2" s="1"/>
  <c r="E537" i="2" a="1"/>
  <c r="E537" i="2" s="1"/>
  <c r="F537" i="2" a="1"/>
  <c r="F537" i="2" s="1"/>
  <c r="G537" i="2" a="1"/>
  <c r="G537" i="2" s="1"/>
  <c r="H537" i="2" a="1"/>
  <c r="H537" i="2" s="1"/>
  <c r="J537" i="2" a="1"/>
  <c r="J537" i="2" s="1"/>
  <c r="K537" i="2" a="1"/>
  <c r="K537" i="2" s="1"/>
  <c r="L537" i="2" a="1"/>
  <c r="L537" i="2" s="1"/>
  <c r="B538" i="2" a="1"/>
  <c r="B538" i="2" s="1"/>
  <c r="D538" i="2" a="1"/>
  <c r="D538" i="2" s="1"/>
  <c r="E538" i="2" a="1"/>
  <c r="E538" i="2" s="1"/>
  <c r="K538" i="2" a="1"/>
  <c r="K538" i="2" s="1"/>
  <c r="M538" i="2" a="1"/>
  <c r="M538" i="2" s="1"/>
  <c r="P538" i="2" a="1"/>
  <c r="P538" i="2" s="1"/>
  <c r="D539" i="2" a="1"/>
  <c r="D539" i="2" s="1"/>
  <c r="F539" i="2" a="1"/>
  <c r="F539" i="2" s="1"/>
  <c r="H539" i="2" a="1"/>
  <c r="H539" i="2" s="1"/>
  <c r="J539" i="2" a="1"/>
  <c r="J539" i="2" s="1"/>
  <c r="M539" i="2" a="1"/>
  <c r="M539" i="2" s="1"/>
  <c r="O539" i="2" a="1"/>
  <c r="O539" i="2" s="1"/>
  <c r="B540" i="2" a="1"/>
  <c r="B540" i="2" s="1"/>
  <c r="F540" i="2" a="1"/>
  <c r="F540" i="2" s="1"/>
  <c r="H540" i="2" a="1"/>
  <c r="H540" i="2" s="1"/>
  <c r="M540" i="2" a="1"/>
  <c r="M540" i="2" s="1"/>
  <c r="N540" i="2" a="1"/>
  <c r="N540" i="2" s="1"/>
  <c r="Q540" i="2" a="1"/>
  <c r="Q540" i="2" s="1"/>
  <c r="A541" i="2" a="1"/>
  <c r="A541" i="2" s="1"/>
  <c r="C541" i="2" a="1"/>
  <c r="C541" i="2" s="1"/>
  <c r="D541" i="2" a="1"/>
  <c r="D541" i="2" s="1"/>
  <c r="F541" i="2" a="1"/>
  <c r="F541" i="2" s="1"/>
  <c r="H541" i="2" a="1"/>
  <c r="H541" i="2" s="1"/>
  <c r="I541" i="2" a="1"/>
  <c r="I541" i="2" s="1"/>
  <c r="K541" i="2" a="1"/>
  <c r="K541" i="2" s="1"/>
  <c r="M541" i="2" a="1"/>
  <c r="M541" i="2" s="1"/>
  <c r="O541" i="2" a="1"/>
  <c r="O541" i="2" s="1"/>
  <c r="B542" i="2" a="1"/>
  <c r="B542" i="2" s="1"/>
  <c r="D542" i="2" a="1"/>
  <c r="D542" i="2" s="1"/>
  <c r="F542" i="2" a="1"/>
  <c r="F542" i="2" s="1"/>
  <c r="H542" i="2" a="1"/>
  <c r="H542" i="2" s="1"/>
  <c r="K542" i="2" a="1"/>
  <c r="K542" i="2" s="1"/>
  <c r="L542" i="2" a="1"/>
  <c r="L542" i="2" s="1"/>
  <c r="M542" i="2" a="1"/>
  <c r="M542" i="2" s="1"/>
  <c r="O542" i="2" a="1"/>
  <c r="O542" i="2" s="1"/>
  <c r="P542" i="2" a="1"/>
  <c r="P542" i="2" s="1"/>
  <c r="Q542" i="2" a="1"/>
  <c r="Q542" i="2" s="1"/>
  <c r="B543" i="2" a="1"/>
  <c r="B543" i="2" s="1"/>
  <c r="F543" i="2" a="1"/>
  <c r="F543" i="2" s="1"/>
  <c r="I543" i="2" a="1"/>
  <c r="I543" i="2" s="1"/>
  <c r="J543" i="2" a="1"/>
  <c r="J543" i="2" s="1"/>
  <c r="L543" i="2" a="1"/>
  <c r="L543" i="2" s="1"/>
  <c r="P543" i="2" a="1"/>
  <c r="P543" i="2" s="1"/>
  <c r="Q543" i="2" a="1"/>
  <c r="Q543" i="2" s="1"/>
  <c r="D544" i="2" a="1"/>
  <c r="D544" i="2" s="1"/>
  <c r="E544" i="2" a="1"/>
  <c r="E544" i="2" s="1"/>
  <c r="H544" i="2" a="1"/>
  <c r="H544" i="2" s="1"/>
  <c r="J544" i="2" a="1"/>
  <c r="J544" i="2" s="1"/>
  <c r="K544" i="2" a="1"/>
  <c r="K544" i="2" s="1"/>
  <c r="M544" i="2" a="1"/>
  <c r="M544" i="2" s="1"/>
  <c r="O544" i="2" a="1"/>
  <c r="O544" i="2" s="1"/>
  <c r="P544" i="2" a="1"/>
  <c r="P544" i="2" s="1"/>
  <c r="Q544" i="2" a="1"/>
  <c r="Q544" i="2" s="1"/>
  <c r="D545" i="2" a="1"/>
  <c r="D545" i="2" s="1"/>
  <c r="F545" i="2" a="1"/>
  <c r="F545" i="2" s="1"/>
  <c r="L545" i="2" a="1"/>
  <c r="L545" i="2" s="1"/>
  <c r="M545" i="2" a="1"/>
  <c r="M545" i="2" s="1"/>
  <c r="N545" i="2" a="1"/>
  <c r="N545" i="2" s="1"/>
  <c r="O545" i="2" a="1"/>
  <c r="O545" i="2" s="1"/>
  <c r="P545" i="2" a="1"/>
  <c r="P545" i="2" s="1"/>
  <c r="Q545" i="2" a="1"/>
  <c r="Q545" i="2" s="1"/>
  <c r="A546" i="2" a="1"/>
  <c r="A546" i="2" s="1"/>
  <c r="B546" i="2" a="1"/>
  <c r="B546" i="2" s="1"/>
  <c r="D546" i="2" a="1"/>
  <c r="D546" i="2" s="1"/>
  <c r="E546" i="2" a="1"/>
  <c r="E546" i="2" s="1"/>
  <c r="G546" i="2" a="1"/>
  <c r="G546" i="2" s="1"/>
  <c r="H546" i="2" a="1"/>
  <c r="H546" i="2" s="1"/>
  <c r="I546" i="2" a="1"/>
  <c r="I546" i="2" s="1"/>
  <c r="J546" i="2" a="1"/>
  <c r="J546" i="2" s="1"/>
  <c r="L546" i="2" a="1"/>
  <c r="L546" i="2" s="1"/>
  <c r="M546" i="2" a="1"/>
  <c r="M546" i="2" s="1"/>
  <c r="O546" i="2" a="1"/>
  <c r="O546" i="2" s="1"/>
  <c r="P546" i="2" a="1"/>
  <c r="P546" i="2" s="1"/>
  <c r="Q546" i="2" a="1"/>
  <c r="Q546" i="2" s="1"/>
  <c r="F547" i="2" a="1"/>
  <c r="F547" i="2" s="1"/>
  <c r="G547" i="2" a="1"/>
  <c r="G547" i="2" s="1"/>
  <c r="I547" i="2" a="1"/>
  <c r="I547" i="2" s="1"/>
  <c r="J547" i="2" a="1"/>
  <c r="J547" i="2" s="1"/>
  <c r="M547" i="2" a="1"/>
  <c r="M547" i="2" s="1"/>
  <c r="O547" i="2" a="1"/>
  <c r="O547" i="2" s="1"/>
  <c r="Q547" i="2" a="1"/>
  <c r="Q547" i="2" s="1"/>
  <c r="A548" i="2" a="1"/>
  <c r="A548" i="2" s="1"/>
  <c r="B548" i="2" a="1"/>
  <c r="B548" i="2" s="1"/>
  <c r="C548" i="2" a="1"/>
  <c r="C548" i="2" s="1"/>
  <c r="D548" i="2" a="1"/>
  <c r="D548" i="2" s="1"/>
  <c r="E548" i="2" a="1"/>
  <c r="E548" i="2" s="1"/>
  <c r="I548" i="2" a="1"/>
  <c r="I548" i="2" s="1"/>
  <c r="J548" i="2" a="1"/>
  <c r="J548" i="2" s="1"/>
  <c r="K548" i="2" a="1"/>
  <c r="K548" i="2" s="1"/>
  <c r="M548" i="2" a="1"/>
  <c r="M548" i="2" s="1"/>
  <c r="O548" i="2" a="1"/>
  <c r="O548" i="2" s="1"/>
  <c r="P548" i="2" a="1"/>
  <c r="P548" i="2" s="1"/>
  <c r="Q548" i="2" a="1"/>
  <c r="Q548" i="2" s="1"/>
  <c r="C549" i="2" a="1"/>
  <c r="C549" i="2" s="1"/>
  <c r="D549" i="2" a="1"/>
  <c r="D549" i="2" s="1"/>
  <c r="F549" i="2" a="1"/>
  <c r="F549" i="2" s="1"/>
  <c r="G549" i="2" a="1"/>
  <c r="G549" i="2" s="1"/>
  <c r="H549" i="2" a="1"/>
  <c r="H549" i="2" s="1"/>
  <c r="I549" i="2" a="1"/>
  <c r="I549" i="2" s="1"/>
  <c r="L549" i="2" a="1"/>
  <c r="L549" i="2" s="1"/>
  <c r="M549" i="2" a="1"/>
  <c r="M549" i="2" s="1"/>
  <c r="O549" i="2" a="1"/>
  <c r="O549" i="2" s="1"/>
  <c r="P549" i="2" a="1"/>
  <c r="P549" i="2" s="1"/>
  <c r="Q549" i="2" a="1"/>
  <c r="Q549" i="2" s="1"/>
  <c r="A550" i="2" a="1"/>
  <c r="A550" i="2" s="1"/>
  <c r="B550" i="2" a="1"/>
  <c r="B550" i="2" s="1"/>
  <c r="E550" i="2" a="1"/>
  <c r="E550" i="2" s="1"/>
  <c r="G550" i="2" a="1"/>
  <c r="G550" i="2" s="1"/>
  <c r="I550" i="2" a="1"/>
  <c r="I550" i="2" s="1"/>
  <c r="K550" i="2" a="1"/>
  <c r="K550" i="2" s="1"/>
  <c r="L550" i="2" a="1"/>
  <c r="L550" i="2" s="1"/>
  <c r="M550" i="2" a="1"/>
  <c r="M550" i="2" s="1"/>
  <c r="N550" i="2" a="1"/>
  <c r="N550" i="2" s="1"/>
  <c r="O550" i="2" a="1"/>
  <c r="O550" i="2" s="1"/>
  <c r="P550" i="2" a="1"/>
  <c r="P550" i="2" s="1"/>
  <c r="Q550" i="2" a="1"/>
  <c r="Q550" i="2" s="1"/>
  <c r="B551" i="2" a="1"/>
  <c r="B551" i="2" s="1"/>
  <c r="G551" i="2" a="1"/>
  <c r="G551" i="2" s="1"/>
  <c r="L551" i="2" a="1"/>
  <c r="L551" i="2" s="1"/>
  <c r="M551" i="2" a="1"/>
  <c r="M551" i="2" s="1"/>
  <c r="N551" i="2" a="1"/>
  <c r="N551" i="2" s="1"/>
  <c r="Q551" i="2" a="1"/>
  <c r="Q551" i="2" s="1"/>
  <c r="L552" i="2" a="1"/>
  <c r="L552" i="2" s="1"/>
  <c r="N552" i="2" a="1"/>
  <c r="N552" i="2" s="1"/>
  <c r="P552" i="2" a="1"/>
  <c r="P552" i="2" s="1"/>
  <c r="A553" i="2" a="1"/>
  <c r="A553" i="2" s="1"/>
  <c r="B553" i="2" a="1"/>
  <c r="B553" i="2" s="1"/>
  <c r="C553" i="2" a="1"/>
  <c r="C553" i="2" s="1"/>
  <c r="D553" i="2" a="1"/>
  <c r="D553" i="2" s="1"/>
  <c r="E553" i="2" a="1"/>
  <c r="E553" i="2" s="1"/>
  <c r="F553" i="2" a="1"/>
  <c r="F553" i="2" s="1"/>
  <c r="G553" i="2" a="1"/>
  <c r="G553" i="2" s="1"/>
  <c r="L553" i="2" a="1"/>
  <c r="L553" i="2" s="1"/>
  <c r="N553" i="2" a="1"/>
  <c r="N553" i="2" s="1"/>
  <c r="O553" i="2" a="1"/>
  <c r="O553" i="2" s="1"/>
  <c r="A554" i="2" a="1"/>
  <c r="A554" i="2" s="1"/>
  <c r="B554" i="2" a="1"/>
  <c r="B554" i="2" s="1"/>
  <c r="G554" i="2" a="1"/>
  <c r="G554" i="2" s="1"/>
  <c r="J554" i="2" a="1"/>
  <c r="J554" i="2" s="1"/>
  <c r="L554" i="2" a="1"/>
  <c r="L554" i="2" s="1"/>
  <c r="N554" i="2" a="1"/>
  <c r="N554" i="2" s="1"/>
  <c r="Q554" i="2" a="1"/>
  <c r="Q554" i="2" s="1"/>
  <c r="C555" i="2" a="1"/>
  <c r="C555" i="2" s="1"/>
  <c r="D555" i="2" a="1"/>
  <c r="D555" i="2" s="1"/>
  <c r="E555" i="2" a="1"/>
  <c r="E555" i="2" s="1"/>
  <c r="F555" i="2" a="1"/>
  <c r="F555" i="2" s="1"/>
  <c r="G555" i="2" a="1"/>
  <c r="G555" i="2" s="1"/>
  <c r="I555" i="2" a="1"/>
  <c r="I555" i="2" s="1"/>
  <c r="J555" i="2" a="1"/>
  <c r="J555" i="2" s="1"/>
  <c r="L555" i="2" a="1"/>
  <c r="L555" i="2" s="1"/>
  <c r="M555" i="2" a="1"/>
  <c r="M555" i="2" s="1"/>
  <c r="N555" i="2" a="1"/>
  <c r="N555" i="2" s="1"/>
  <c r="O555" i="2" a="1"/>
  <c r="O555" i="2" s="1"/>
  <c r="P555" i="2" a="1"/>
  <c r="P555" i="2" s="1"/>
  <c r="Q555" i="2" a="1"/>
  <c r="Q555" i="2" s="1"/>
  <c r="A556" i="2" a="1"/>
  <c r="A556" i="2" s="1"/>
  <c r="D556" i="2" a="1"/>
  <c r="D556" i="2" s="1"/>
  <c r="F556" i="2" a="1"/>
  <c r="F556" i="2" s="1"/>
  <c r="H556" i="2" a="1"/>
  <c r="H556" i="2" s="1"/>
  <c r="K556" i="2" a="1"/>
  <c r="K556" i="2" s="1"/>
  <c r="N556" i="2" a="1"/>
  <c r="N556" i="2" s="1"/>
  <c r="P556" i="2" a="1"/>
  <c r="P556" i="2" s="1"/>
  <c r="A557" i="2" a="1"/>
  <c r="A557" i="2" s="1"/>
  <c r="B557" i="2" a="1"/>
  <c r="B557" i="2" s="1"/>
  <c r="D557" i="2" a="1"/>
  <c r="D557" i="2" s="1"/>
  <c r="F557" i="2" a="1"/>
  <c r="F557" i="2" s="1"/>
  <c r="G557" i="2" a="1"/>
  <c r="G557" i="2" s="1"/>
  <c r="H557" i="2" a="1"/>
  <c r="H557" i="2" s="1"/>
  <c r="I557" i="2" a="1"/>
  <c r="I557" i="2" s="1"/>
  <c r="J557" i="2" a="1"/>
  <c r="J557" i="2" s="1"/>
  <c r="K557" i="2" a="1"/>
  <c r="K557" i="2" s="1"/>
  <c r="L557" i="2" a="1"/>
  <c r="L557" i="2" s="1"/>
  <c r="N557" i="2" a="1"/>
  <c r="N557" i="2" s="1"/>
  <c r="P557" i="2" a="1"/>
  <c r="P557" i="2" s="1"/>
  <c r="Q557" i="2" a="1"/>
  <c r="Q557" i="2" s="1"/>
  <c r="E558" i="2" a="1"/>
  <c r="E558" i="2" s="1"/>
  <c r="H558" i="2" a="1"/>
  <c r="H558" i="2" s="1"/>
  <c r="K558" i="2" a="1"/>
  <c r="K558" i="2" s="1"/>
  <c r="O558" i="2" a="1"/>
  <c r="O558" i="2" s="1"/>
  <c r="P558" i="2" a="1"/>
  <c r="P558" i="2" s="1"/>
  <c r="Q558" i="2" a="1"/>
  <c r="Q558" i="2" s="1"/>
  <c r="A559" i="2" a="1"/>
  <c r="A559" i="2" s="1"/>
  <c r="B559" i="2" a="1"/>
  <c r="B559" i="2" s="1"/>
  <c r="C559" i="2" a="1"/>
  <c r="C559" i="2" s="1"/>
  <c r="E559" i="2" a="1"/>
  <c r="E559" i="2" s="1"/>
  <c r="F559" i="2" a="1"/>
  <c r="F559" i="2" s="1"/>
  <c r="G559" i="2" a="1"/>
  <c r="G559" i="2" s="1"/>
  <c r="L559" i="2" a="1"/>
  <c r="L559" i="2" s="1"/>
  <c r="M559" i="2" a="1"/>
  <c r="M559" i="2" s="1"/>
  <c r="O559" i="2" a="1"/>
  <c r="O559" i="2" s="1"/>
  <c r="A560" i="2" a="1"/>
  <c r="A560" i="2" s="1"/>
  <c r="B560" i="2" a="1"/>
  <c r="B560" i="2" s="1"/>
  <c r="D560" i="2" a="1"/>
  <c r="D560" i="2" s="1"/>
  <c r="E560" i="2" a="1"/>
  <c r="E560" i="2" s="1"/>
  <c r="H560" i="2" a="1"/>
  <c r="H560" i="2" s="1"/>
  <c r="I560" i="2" a="1"/>
  <c r="I560" i="2" s="1"/>
  <c r="K560" i="2" a="1"/>
  <c r="K560" i="2" s="1"/>
  <c r="M560" i="2" a="1"/>
  <c r="M560" i="2" s="1"/>
  <c r="P560" i="2" a="1"/>
  <c r="P560" i="2" s="1"/>
  <c r="A561" i="2" a="1"/>
  <c r="A561" i="2" s="1"/>
  <c r="E561" i="2" a="1"/>
  <c r="E561" i="2" s="1"/>
  <c r="F561" i="2" a="1"/>
  <c r="F561" i="2" s="1"/>
  <c r="G561" i="2" a="1"/>
  <c r="G561" i="2" s="1"/>
  <c r="I561" i="2" a="1"/>
  <c r="I561" i="2" s="1"/>
  <c r="J561" i="2" a="1"/>
  <c r="J561" i="2" s="1"/>
  <c r="K561" i="2" a="1"/>
  <c r="K561" i="2" s="1"/>
  <c r="M561" i="2" a="1"/>
  <c r="M561" i="2" s="1"/>
  <c r="H568" i="2" a="1"/>
  <c r="H568" i="2" s="1"/>
  <c r="J568" i="2" a="1"/>
  <c r="J568" i="2" s="1"/>
  <c r="M568" i="2" a="1"/>
  <c r="M568" i="2" s="1"/>
  <c r="O568" i="2" a="1"/>
  <c r="O568" i="2" s="1"/>
  <c r="A569" i="2" a="1"/>
  <c r="A569" i="2" s="1"/>
  <c r="C569" i="2" a="1"/>
  <c r="C569" i="2" s="1"/>
  <c r="D569" i="2" a="1"/>
  <c r="D569" i="2" s="1"/>
  <c r="G569" i="2" a="1"/>
  <c r="G569" i="2" s="1"/>
  <c r="H569" i="2" a="1"/>
  <c r="H569" i="2" s="1"/>
  <c r="I569" i="2" a="1"/>
  <c r="I569" i="2" s="1"/>
  <c r="J569" i="2" a="1"/>
  <c r="J569" i="2" s="1"/>
  <c r="K569" i="2" a="1"/>
  <c r="K569" i="2" s="1"/>
  <c r="M569" i="2" a="1"/>
  <c r="M569" i="2" s="1"/>
  <c r="O569" i="2" a="1"/>
  <c r="O569" i="2" s="1"/>
  <c r="A570" i="2" a="1"/>
  <c r="A570" i="2" s="1"/>
  <c r="E570" i="2" a="1"/>
  <c r="E570" i="2" s="1"/>
  <c r="G570" i="2" a="1"/>
  <c r="G570" i="2" s="1"/>
  <c r="I570" i="2" a="1"/>
  <c r="I570" i="2" s="1"/>
  <c r="K570" i="2" a="1"/>
  <c r="K570" i="2" s="1"/>
  <c r="M570" i="2" a="1"/>
  <c r="M570" i="2" s="1"/>
  <c r="A571" i="2" a="1"/>
  <c r="A571" i="2" s="1"/>
  <c r="B571" i="2" a="1"/>
  <c r="B571" i="2" s="1"/>
  <c r="E571" i="2" a="1"/>
  <c r="E571" i="2" s="1"/>
  <c r="G571" i="2" a="1"/>
  <c r="G571" i="2" s="1"/>
  <c r="I571" i="2" a="1"/>
  <c r="I571" i="2" s="1"/>
  <c r="J571" i="2" a="1"/>
  <c r="J571" i="2" s="1"/>
  <c r="M571" i="2" a="1"/>
  <c r="M571" i="2" s="1"/>
  <c r="M616" i="2" a="1"/>
  <c r="M616" i="2" s="1"/>
  <c r="N616" i="2" a="1"/>
  <c r="N616" i="2" s="1"/>
  <c r="O616" i="2" a="1"/>
  <c r="O616" i="2" s="1"/>
  <c r="P616" i="2" a="1"/>
  <c r="P616" i="2" s="1"/>
  <c r="Q616" i="2" a="1"/>
  <c r="Q616" i="2" s="1"/>
  <c r="A617" i="2" a="1"/>
  <c r="A617" i="2" s="1"/>
  <c r="B617" i="2" a="1"/>
  <c r="B617" i="2" s="1"/>
  <c r="C617" i="2" a="1"/>
  <c r="C617" i="2" s="1"/>
  <c r="D617" i="2" a="1"/>
  <c r="D617" i="2" s="1"/>
  <c r="E617" i="2" a="1"/>
  <c r="E617" i="2" s="1"/>
  <c r="F617" i="2" a="1"/>
  <c r="F617" i="2" s="1"/>
  <c r="G617" i="2" a="1"/>
  <c r="G617" i="2" s="1"/>
  <c r="H617" i="2" a="1"/>
  <c r="H617" i="2" s="1"/>
  <c r="I617" i="2" a="1"/>
  <c r="I617" i="2" s="1"/>
  <c r="J617" i="2" a="1"/>
  <c r="J617" i="2" s="1"/>
  <c r="K617" i="2" a="1"/>
  <c r="K617" i="2" s="1"/>
  <c r="L617" i="2" a="1"/>
  <c r="L617" i="2" s="1"/>
  <c r="M617" i="2" a="1"/>
  <c r="M617" i="2" s="1"/>
  <c r="N617" i="2" a="1"/>
  <c r="N617" i="2" s="1"/>
  <c r="O617" i="2" a="1"/>
  <c r="O617" i="2" s="1"/>
  <c r="P617" i="2" a="1"/>
  <c r="P617" i="2" s="1"/>
  <c r="Q617" i="2" a="1"/>
  <c r="Q617" i="2" s="1"/>
  <c r="A618" i="2" a="1"/>
  <c r="A618" i="2" s="1"/>
  <c r="B618" i="2" a="1"/>
  <c r="B618" i="2" s="1"/>
  <c r="C618" i="2" a="1"/>
  <c r="C618" i="2" s="1"/>
  <c r="D618" i="2" a="1"/>
  <c r="D618" i="2" s="1"/>
  <c r="E618" i="2" a="1"/>
  <c r="E618" i="2" s="1"/>
  <c r="F618" i="2" a="1"/>
  <c r="F618" i="2" s="1"/>
  <c r="G618" i="2" a="1"/>
  <c r="G618" i="2" s="1"/>
  <c r="H618" i="2" a="1"/>
  <c r="H618" i="2" s="1"/>
  <c r="I618" i="2" a="1"/>
  <c r="I618" i="2" s="1"/>
  <c r="J618" i="2" a="1"/>
  <c r="J618" i="2" s="1"/>
  <c r="K618" i="2" a="1"/>
  <c r="K618" i="2" s="1"/>
  <c r="L618" i="2" a="1"/>
  <c r="L618" i="2" s="1"/>
  <c r="M618" i="2" a="1"/>
  <c r="M618" i="2" s="1"/>
  <c r="N618" i="2" a="1"/>
  <c r="N618" i="2" s="1"/>
  <c r="O618" i="2" a="1"/>
  <c r="O618" i="2" s="1"/>
  <c r="P618" i="2" a="1"/>
  <c r="P618" i="2" s="1"/>
  <c r="Q618" i="2" a="1"/>
  <c r="Q618" i="2" s="1"/>
  <c r="A619" i="2" a="1"/>
  <c r="A619" i="2" s="1"/>
  <c r="B619" i="2" a="1"/>
  <c r="B619" i="2" s="1"/>
  <c r="C619" i="2" a="1"/>
  <c r="C619" i="2" s="1"/>
  <c r="D619" i="2" a="1"/>
  <c r="D619" i="2" s="1"/>
  <c r="E619" i="2" a="1"/>
  <c r="E619" i="2" s="1"/>
  <c r="F619" i="2" a="1"/>
  <c r="F619" i="2" s="1"/>
  <c r="G619" i="2" a="1"/>
  <c r="G619" i="2" s="1"/>
  <c r="H619" i="2" a="1"/>
  <c r="H619" i="2" s="1"/>
  <c r="I619" i="2" a="1"/>
  <c r="I619" i="2" s="1"/>
  <c r="J619" i="2" a="1"/>
  <c r="J619" i="2" s="1"/>
  <c r="K619" i="2" a="1"/>
  <c r="K619" i="2" s="1"/>
  <c r="L619" i="2" a="1"/>
  <c r="L619" i="2" s="1"/>
  <c r="M619" i="2" a="1"/>
  <c r="M619" i="2" s="1"/>
  <c r="N619" i="2" a="1"/>
  <c r="N619" i="2" s="1"/>
  <c r="O619" i="2" a="1"/>
  <c r="O619" i="2" s="1"/>
  <c r="P619" i="2" a="1"/>
  <c r="P619" i="2" s="1"/>
  <c r="Q619" i="2" a="1"/>
  <c r="Q619" i="2" s="1"/>
  <c r="A620" i="2" a="1"/>
  <c r="A620" i="2" s="1"/>
  <c r="B620" i="2" a="1"/>
  <c r="B620" i="2" s="1"/>
  <c r="C620" i="2" a="1"/>
  <c r="C620" i="2" s="1"/>
  <c r="D620" i="2" a="1"/>
  <c r="D620" i="2" s="1"/>
  <c r="E620" i="2" a="1"/>
  <c r="E620" i="2" s="1"/>
  <c r="F620" i="2" a="1"/>
  <c r="F620" i="2" s="1"/>
  <c r="G620" i="2" a="1"/>
  <c r="G620" i="2" s="1"/>
  <c r="H620" i="2" a="1"/>
  <c r="H620" i="2" s="1"/>
  <c r="I620" i="2" a="1"/>
  <c r="I620" i="2" s="1"/>
  <c r="J620" i="2" a="1"/>
  <c r="J620" i="2" s="1"/>
  <c r="K620" i="2" a="1"/>
  <c r="K620" i="2" s="1"/>
  <c r="L620" i="2" a="1"/>
  <c r="L620" i="2" s="1"/>
  <c r="M620" i="2" a="1"/>
  <c r="M620" i="2" s="1"/>
  <c r="N620" i="2" a="1"/>
  <c r="N620" i="2" s="1"/>
  <c r="O620" i="2" a="1"/>
  <c r="O620" i="2" s="1"/>
  <c r="P620" i="2" a="1"/>
  <c r="P620" i="2" s="1"/>
  <c r="Q620" i="2" a="1"/>
  <c r="Q620" i="2" s="1"/>
  <c r="A621" i="2" a="1"/>
  <c r="A621" i="2" s="1"/>
  <c r="B621" i="2" a="1"/>
  <c r="B621" i="2" s="1"/>
  <c r="C621" i="2" a="1"/>
  <c r="C621" i="2" s="1"/>
  <c r="D621" i="2" a="1"/>
  <c r="D621" i="2" s="1"/>
  <c r="E621" i="2" a="1"/>
  <c r="E621" i="2" s="1"/>
  <c r="F621" i="2" a="1"/>
  <c r="F621" i="2" s="1"/>
  <c r="G621" i="2" a="1"/>
  <c r="G621" i="2" s="1"/>
  <c r="H621" i="2" a="1"/>
  <c r="H621" i="2" s="1"/>
  <c r="I621" i="2" a="1"/>
  <c r="I621" i="2" s="1"/>
  <c r="J621" i="2" a="1"/>
  <c r="J621" i="2" s="1"/>
  <c r="K621" i="2" a="1"/>
  <c r="K621" i="2" s="1"/>
  <c r="L621" i="2" a="1"/>
  <c r="L621" i="2" s="1"/>
  <c r="M621" i="2" a="1"/>
  <c r="M621" i="2" s="1"/>
  <c r="N621" i="2" a="1"/>
  <c r="N621" i="2" s="1"/>
  <c r="O621" i="2" a="1"/>
  <c r="O621" i="2" s="1"/>
  <c r="P621" i="2" a="1"/>
  <c r="P621" i="2" s="1"/>
  <c r="Q621" i="2" a="1"/>
  <c r="Q621" i="2" s="1"/>
  <c r="A622" i="2" a="1"/>
  <c r="A622" i="2" s="1"/>
  <c r="B622" i="2" a="1"/>
  <c r="B622" i="2" s="1"/>
  <c r="C622" i="2" a="1"/>
  <c r="C622" i="2" s="1"/>
  <c r="D622" i="2" a="1"/>
  <c r="D622" i="2" s="1"/>
  <c r="E622" i="2" a="1"/>
  <c r="E622" i="2" s="1"/>
  <c r="F622" i="2" a="1"/>
  <c r="F622" i="2" s="1"/>
  <c r="G622" i="2" a="1"/>
  <c r="G622" i="2" s="1"/>
  <c r="H622" i="2" a="1"/>
  <c r="H622" i="2" s="1"/>
  <c r="I622" i="2" a="1"/>
  <c r="I622" i="2" s="1"/>
  <c r="J622" i="2" a="1"/>
  <c r="J622" i="2" s="1"/>
  <c r="K622" i="2" a="1"/>
  <c r="K622" i="2" s="1"/>
  <c r="L622" i="2" a="1"/>
  <c r="L622" i="2" s="1"/>
  <c r="M622" i="2" a="1"/>
  <c r="M622" i="2" s="1"/>
  <c r="N622" i="2" a="1"/>
  <c r="N622" i="2" s="1"/>
  <c r="O622" i="2" a="1"/>
  <c r="O622" i="2" s="1"/>
  <c r="P622" i="2" a="1"/>
  <c r="P622" i="2" s="1"/>
  <c r="Q622" i="2" a="1"/>
  <c r="Q622" i="2" s="1"/>
  <c r="A623" i="2" a="1"/>
  <c r="A623" i="2" s="1"/>
  <c r="B623" i="2" a="1"/>
  <c r="B623" i="2" s="1"/>
  <c r="C623" i="2" a="1"/>
  <c r="C623" i="2" s="1"/>
  <c r="D623" i="2" a="1"/>
  <c r="D623" i="2" s="1"/>
  <c r="E623" i="2" a="1"/>
  <c r="E623" i="2" s="1"/>
  <c r="F623" i="2" a="1"/>
  <c r="F623" i="2" s="1"/>
  <c r="G623" i="2" a="1"/>
  <c r="G623" i="2" s="1"/>
  <c r="H623" i="2" a="1"/>
  <c r="H623" i="2" s="1"/>
  <c r="I623" i="2" a="1"/>
  <c r="I623" i="2" s="1"/>
  <c r="J623" i="2" a="1"/>
  <c r="J623" i="2" s="1"/>
  <c r="K623" i="2" a="1"/>
  <c r="K623" i="2" s="1"/>
  <c r="L623" i="2" a="1"/>
  <c r="L623" i="2" s="1"/>
  <c r="M623" i="2" a="1"/>
  <c r="M623" i="2" s="1"/>
  <c r="N623" i="2" a="1"/>
  <c r="N623" i="2" s="1"/>
  <c r="O623" i="2" a="1"/>
  <c r="O623" i="2" s="1"/>
  <c r="P623" i="2" a="1"/>
  <c r="P623" i="2" s="1"/>
  <c r="Q623" i="2" a="1"/>
  <c r="Q623" i="2" s="1"/>
  <c r="A624" i="2" a="1"/>
  <c r="A624" i="2" s="1"/>
  <c r="B624" i="2" a="1"/>
  <c r="B624" i="2" s="1"/>
  <c r="C624" i="2" a="1"/>
  <c r="C624" i="2" s="1"/>
  <c r="D624" i="2" a="1"/>
  <c r="D624" i="2" s="1"/>
  <c r="E624" i="2" a="1"/>
  <c r="E624" i="2" s="1"/>
  <c r="F624" i="2" a="1"/>
  <c r="F624" i="2" s="1"/>
  <c r="G624" i="2" a="1"/>
  <c r="G624" i="2" s="1"/>
  <c r="H624" i="2" a="1"/>
  <c r="H624" i="2" s="1"/>
  <c r="I624" i="2" a="1"/>
  <c r="I624" i="2" s="1"/>
  <c r="J624" i="2" a="1"/>
  <c r="J624" i="2" s="1"/>
  <c r="K624" i="2" a="1"/>
  <c r="K624" i="2" s="1"/>
  <c r="L624" i="2" a="1"/>
  <c r="L624" i="2" s="1"/>
  <c r="M624" i="2" a="1"/>
  <c r="M624" i="2" s="1"/>
  <c r="N624" i="2" a="1"/>
  <c r="N624" i="2" s="1"/>
  <c r="O624" i="2" a="1"/>
  <c r="O624" i="2" s="1"/>
  <c r="P624" i="2" a="1"/>
  <c r="P624" i="2" s="1"/>
  <c r="Q624" i="2" a="1"/>
  <c r="Q624" i="2" s="1"/>
  <c r="A625" i="2" a="1"/>
  <c r="A625" i="2" s="1"/>
  <c r="B625" i="2" a="1"/>
  <c r="B625" i="2" s="1"/>
  <c r="C625" i="2" a="1"/>
  <c r="C625" i="2" s="1"/>
  <c r="D625" i="2" a="1"/>
  <c r="D625" i="2" s="1"/>
  <c r="E625" i="2" a="1"/>
  <c r="E625" i="2" s="1"/>
  <c r="F625" i="2" a="1"/>
  <c r="F625" i="2" s="1"/>
  <c r="G625" i="2" a="1"/>
  <c r="G625" i="2" s="1"/>
  <c r="H625" i="2" a="1"/>
  <c r="H625" i="2" s="1"/>
  <c r="I625" i="2" a="1"/>
  <c r="I625" i="2" s="1"/>
  <c r="J625" i="2" a="1"/>
  <c r="J625" i="2" s="1"/>
  <c r="K625" i="2" a="1"/>
  <c r="K625" i="2" s="1"/>
  <c r="L625" i="2" a="1"/>
  <c r="L625" i="2" s="1"/>
  <c r="M625" i="2" a="1"/>
  <c r="M625" i="2" s="1"/>
  <c r="N625" i="2" a="1"/>
  <c r="N625" i="2" s="1"/>
  <c r="O625" i="2" a="1"/>
  <c r="O625" i="2" s="1"/>
  <c r="P625" i="2" a="1"/>
  <c r="P625" i="2" s="1"/>
  <c r="Q625" i="2" a="1"/>
  <c r="Q625" i="2" s="1"/>
  <c r="A626" i="2" a="1"/>
  <c r="A626" i="2" s="1"/>
  <c r="B626" i="2" a="1"/>
  <c r="B626" i="2" s="1"/>
  <c r="C626" i="2" a="1"/>
  <c r="C626" i="2" s="1"/>
  <c r="D626" i="2" a="1"/>
  <c r="D626" i="2" s="1"/>
  <c r="E626" i="2" a="1"/>
  <c r="E626" i="2" s="1"/>
  <c r="F626" i="2" a="1"/>
  <c r="F626" i="2" s="1"/>
  <c r="G626" i="2" a="1"/>
  <c r="G626" i="2" s="1"/>
  <c r="H626" i="2" a="1"/>
  <c r="H626" i="2" s="1"/>
  <c r="I626" i="2" a="1"/>
  <c r="I626" i="2" s="1"/>
  <c r="J626" i="2" a="1"/>
  <c r="J626" i="2" s="1"/>
  <c r="K626" i="2" a="1"/>
  <c r="K626" i="2" s="1"/>
  <c r="L626" i="2" a="1"/>
  <c r="L626" i="2" s="1"/>
  <c r="M626" i="2" a="1"/>
  <c r="M626" i="2" s="1"/>
  <c r="N626" i="2" a="1"/>
  <c r="N626" i="2" s="1"/>
  <c r="O626" i="2" a="1"/>
  <c r="O626" i="2" s="1"/>
  <c r="P626" i="2" a="1"/>
  <c r="P626" i="2" s="1"/>
  <c r="Q626" i="2" a="1"/>
  <c r="Q626" i="2" s="1"/>
  <c r="A627" i="2" a="1"/>
  <c r="A627" i="2" s="1"/>
  <c r="B627" i="2" a="1"/>
  <c r="B627" i="2" s="1"/>
  <c r="C627" i="2" a="1"/>
  <c r="C627" i="2" s="1"/>
  <c r="D627" i="2" a="1"/>
  <c r="D627" i="2" s="1"/>
  <c r="E627" i="2" a="1"/>
  <c r="E627" i="2" s="1"/>
  <c r="F627" i="2" a="1"/>
  <c r="F627" i="2" s="1"/>
  <c r="G627" i="2" a="1"/>
  <c r="G627" i="2" s="1"/>
  <c r="H627" i="2" a="1"/>
  <c r="H627" i="2" s="1"/>
  <c r="I627" i="2" a="1"/>
  <c r="I627" i="2" s="1"/>
  <c r="J627" i="2" a="1"/>
  <c r="J627" i="2" s="1"/>
  <c r="K627" i="2" a="1"/>
  <c r="K627" i="2" s="1"/>
  <c r="L627" i="2" a="1"/>
  <c r="L627" i="2" s="1"/>
  <c r="M627" i="2" a="1"/>
  <c r="M627" i="2" s="1"/>
  <c r="N627" i="2" a="1"/>
  <c r="N627" i="2" s="1"/>
  <c r="O627" i="2" a="1"/>
  <c r="O627" i="2" s="1"/>
  <c r="P627" i="2" a="1"/>
  <c r="P627" i="2" s="1"/>
  <c r="Q627" i="2" a="1"/>
  <c r="Q627" i="2" s="1"/>
  <c r="A628" i="2" a="1"/>
  <c r="A628" i="2" s="1"/>
  <c r="B628" i="2" a="1"/>
  <c r="B628" i="2" s="1"/>
  <c r="C628" i="2" a="1"/>
  <c r="C628" i="2" s="1"/>
  <c r="D628" i="2" a="1"/>
  <c r="D628" i="2" s="1"/>
  <c r="E628" i="2" a="1"/>
  <c r="E628" i="2" s="1"/>
  <c r="F628" i="2" a="1"/>
  <c r="F628" i="2" s="1"/>
  <c r="G628" i="2" a="1"/>
  <c r="G628" i="2" s="1"/>
  <c r="H628" i="2" a="1"/>
  <c r="H628" i="2" s="1"/>
  <c r="I628" i="2" a="1"/>
  <c r="I628" i="2" s="1"/>
  <c r="J628" i="2" a="1"/>
  <c r="J628" i="2" s="1"/>
  <c r="K628" i="2" a="1"/>
  <c r="K628" i="2" s="1"/>
  <c r="L628" i="2" a="1"/>
  <c r="L628" i="2" s="1"/>
  <c r="M628" i="2" a="1"/>
  <c r="M628" i="2" s="1"/>
  <c r="N628" i="2" a="1"/>
  <c r="N628" i="2" s="1"/>
  <c r="O628" i="2" a="1"/>
  <c r="O628" i="2" s="1"/>
  <c r="P628" i="2" a="1"/>
  <c r="P628" i="2" s="1"/>
  <c r="Q628" i="2" a="1"/>
  <c r="Q628" i="2" s="1"/>
  <c r="A629" i="2" a="1"/>
  <c r="A629" i="2" s="1"/>
  <c r="B629" i="2" a="1"/>
  <c r="B629" i="2" s="1"/>
  <c r="C629" i="2" a="1"/>
  <c r="C629" i="2" s="1"/>
  <c r="D629" i="2" a="1"/>
  <c r="D629" i="2" s="1"/>
  <c r="E629" i="2" a="1"/>
  <c r="E629" i="2" s="1"/>
  <c r="F629" i="2" a="1"/>
  <c r="F629" i="2" s="1"/>
  <c r="G629" i="2" a="1"/>
  <c r="G629" i="2" s="1"/>
  <c r="H629" i="2" a="1"/>
  <c r="H629" i="2" s="1"/>
  <c r="I629" i="2" a="1"/>
  <c r="I629" i="2" s="1"/>
  <c r="J629" i="2" a="1"/>
  <c r="J629" i="2" s="1"/>
  <c r="K629" i="2" a="1"/>
  <c r="K629" i="2" s="1"/>
  <c r="L629" i="2" a="1"/>
  <c r="L629" i="2" s="1"/>
  <c r="M629" i="2" a="1"/>
  <c r="M629" i="2" s="1"/>
  <c r="N629" i="2" a="1"/>
  <c r="N629" i="2" s="1"/>
  <c r="O629" i="2" a="1"/>
  <c r="O629" i="2" s="1"/>
  <c r="P629" i="2" a="1"/>
  <c r="P629" i="2" s="1"/>
  <c r="Q629" i="2" a="1"/>
  <c r="Q629" i="2" s="1"/>
  <c r="A630" i="2" a="1"/>
  <c r="A630" i="2" s="1"/>
  <c r="B630" i="2" a="1"/>
  <c r="B630" i="2" s="1"/>
  <c r="C630" i="2" a="1"/>
  <c r="C630" i="2" s="1"/>
  <c r="D630" i="2" a="1"/>
  <c r="D630" i="2" s="1"/>
  <c r="E630" i="2" a="1"/>
  <c r="E630" i="2" s="1"/>
  <c r="F630" i="2" a="1"/>
  <c r="F630" i="2" s="1"/>
  <c r="G630" i="2" a="1"/>
  <c r="G630" i="2" s="1"/>
  <c r="H630" i="2" a="1"/>
  <c r="H630" i="2" s="1"/>
  <c r="I630" i="2" a="1"/>
  <c r="I630" i="2" s="1"/>
  <c r="J630" i="2" a="1"/>
  <c r="J630" i="2" s="1"/>
  <c r="K630" i="2" a="1"/>
  <c r="K630" i="2" s="1"/>
  <c r="L630" i="2" a="1"/>
  <c r="L630" i="2" s="1"/>
  <c r="M630" i="2" a="1"/>
  <c r="M630" i="2" s="1"/>
  <c r="N630" i="2" a="1"/>
  <c r="N630" i="2" s="1"/>
  <c r="O630" i="2" a="1"/>
  <c r="O630" i="2" s="1"/>
  <c r="P630" i="2" a="1"/>
  <c r="P630" i="2" s="1"/>
  <c r="Q630" i="2" a="1"/>
  <c r="Q630" i="2" s="1"/>
  <c r="A631" i="2" a="1"/>
  <c r="A631" i="2" s="1"/>
  <c r="B631" i="2" a="1"/>
  <c r="B631" i="2" s="1"/>
  <c r="C631" i="2" a="1"/>
  <c r="C631" i="2" s="1"/>
  <c r="D631" i="2" a="1"/>
  <c r="D631" i="2" s="1"/>
  <c r="E631" i="2" a="1"/>
  <c r="E631" i="2" s="1"/>
  <c r="F631" i="2" a="1"/>
  <c r="F631" i="2" s="1"/>
  <c r="G631" i="2" a="1"/>
  <c r="G631" i="2" s="1"/>
  <c r="H631" i="2" a="1"/>
  <c r="H631" i="2" s="1"/>
  <c r="I631" i="2" a="1"/>
  <c r="I631" i="2" s="1"/>
  <c r="J631" i="2" a="1"/>
  <c r="J631" i="2" s="1"/>
  <c r="K631" i="2" a="1"/>
  <c r="K631" i="2" s="1"/>
  <c r="L631" i="2" a="1"/>
  <c r="L631" i="2" s="1"/>
  <c r="M631" i="2" a="1"/>
  <c r="M631" i="2" s="1"/>
  <c r="N631" i="2" a="1"/>
  <c r="N631" i="2" s="1"/>
  <c r="O631" i="2" a="1"/>
  <c r="O631" i="2" s="1"/>
  <c r="P631" i="2" a="1"/>
  <c r="P631" i="2" s="1"/>
  <c r="Q631" i="2" a="1"/>
  <c r="Q631" i="2" s="1"/>
  <c r="A632" i="2" a="1"/>
  <c r="A632" i="2" s="1"/>
  <c r="B632" i="2" a="1"/>
  <c r="B632" i="2" s="1"/>
  <c r="C632" i="2" a="1"/>
  <c r="C632" i="2" s="1"/>
  <c r="D632" i="2" a="1"/>
  <c r="D632" i="2" s="1"/>
  <c r="E632" i="2" a="1"/>
  <c r="E632" i="2" s="1"/>
  <c r="F632" i="2" a="1"/>
  <c r="F632" i="2" s="1"/>
  <c r="G632" i="2" a="1"/>
  <c r="G632" i="2" s="1"/>
  <c r="H632" i="2" a="1"/>
  <c r="H632" i="2" s="1"/>
  <c r="I632" i="2" a="1"/>
  <c r="I632" i="2" s="1"/>
  <c r="J632" i="2" a="1"/>
  <c r="J632" i="2" s="1"/>
  <c r="K632" i="2" a="1"/>
  <c r="K632" i="2" s="1"/>
  <c r="L632" i="2" a="1"/>
  <c r="L632" i="2" s="1"/>
  <c r="M632" i="2" a="1"/>
  <c r="M632" i="2" s="1"/>
  <c r="N632" i="2" a="1"/>
  <c r="N632" i="2" s="1"/>
  <c r="O632" i="2" a="1"/>
  <c r="O632" i="2" s="1"/>
  <c r="P632" i="2" a="1"/>
  <c r="P632" i="2" s="1"/>
  <c r="Q632" i="2" a="1"/>
  <c r="Q632" i="2" s="1"/>
  <c r="A633" i="2" a="1"/>
  <c r="A633" i="2" s="1"/>
  <c r="B633" i="2" a="1"/>
  <c r="B633" i="2" s="1"/>
  <c r="C633" i="2" a="1"/>
  <c r="C633" i="2" s="1"/>
  <c r="D633" i="2" a="1"/>
  <c r="D633" i="2" s="1"/>
  <c r="E633" i="2" a="1"/>
  <c r="E633" i="2" s="1"/>
  <c r="F633" i="2" a="1"/>
  <c r="F633" i="2" s="1"/>
  <c r="G633" i="2" a="1"/>
  <c r="G633" i="2" s="1"/>
  <c r="H633" i="2" a="1"/>
  <c r="H633" i="2" s="1"/>
  <c r="I633" i="2" a="1"/>
  <c r="I633" i="2" s="1"/>
  <c r="J633" i="2" a="1"/>
  <c r="J633" i="2" s="1"/>
  <c r="K633" i="2" a="1"/>
  <c r="K633" i="2" s="1"/>
  <c r="L633" i="2" a="1"/>
  <c r="L633" i="2" s="1"/>
  <c r="M633" i="2" a="1"/>
  <c r="M633" i="2" s="1"/>
  <c r="N633" i="2" a="1"/>
  <c r="N633" i="2" s="1"/>
  <c r="O633" i="2" a="1"/>
  <c r="O633" i="2" s="1"/>
  <c r="P633" i="2" a="1"/>
  <c r="P633" i="2" s="1"/>
  <c r="Q633" i="2" a="1"/>
  <c r="Q633" i="2" s="1"/>
  <c r="A634" i="2" a="1"/>
  <c r="A634" i="2" s="1"/>
  <c r="B634" i="2" a="1"/>
  <c r="B634" i="2" s="1"/>
  <c r="C634" i="2" a="1"/>
  <c r="C634" i="2" s="1"/>
  <c r="D634" i="2" a="1"/>
  <c r="D634" i="2" s="1"/>
  <c r="E634" i="2" a="1"/>
  <c r="E634" i="2" s="1"/>
  <c r="F634" i="2" a="1"/>
  <c r="F634" i="2" s="1"/>
  <c r="G634" i="2" a="1"/>
  <c r="G634" i="2" s="1"/>
  <c r="H634" i="2" a="1"/>
  <c r="H634" i="2" s="1"/>
  <c r="I634" i="2" a="1"/>
  <c r="I634" i="2" s="1"/>
  <c r="J634" i="2" a="1"/>
  <c r="J634" i="2" s="1"/>
  <c r="K634" i="2" a="1"/>
  <c r="K634" i="2" s="1"/>
  <c r="L634" i="2" a="1"/>
  <c r="L634" i="2" s="1"/>
  <c r="M634" i="2" a="1"/>
  <c r="M634" i="2" s="1"/>
  <c r="N634" i="2" a="1"/>
  <c r="N634" i="2" s="1"/>
  <c r="O634" i="2" a="1"/>
  <c r="O634" i="2" s="1"/>
  <c r="P634" i="2" a="1"/>
  <c r="P634" i="2" s="1"/>
  <c r="Q634" i="2" a="1"/>
  <c r="Q634" i="2" s="1"/>
  <c r="A635" i="2" a="1"/>
  <c r="A635" i="2" s="1"/>
  <c r="B635" i="2" a="1"/>
  <c r="B635" i="2" s="1"/>
  <c r="C635" i="2" a="1"/>
  <c r="C635" i="2" s="1"/>
  <c r="D635" i="2" a="1"/>
  <c r="D635" i="2" s="1"/>
  <c r="E635" i="2" a="1"/>
  <c r="E635" i="2" s="1"/>
  <c r="F635" i="2" a="1"/>
  <c r="F635" i="2" s="1"/>
  <c r="G635" i="2" a="1"/>
  <c r="G635" i="2" s="1"/>
  <c r="H635" i="2" a="1"/>
  <c r="H635" i="2" s="1"/>
  <c r="I635" i="2" a="1"/>
  <c r="I635" i="2" s="1"/>
  <c r="J635" i="2" a="1"/>
  <c r="J635" i="2" s="1"/>
  <c r="K635" i="2" a="1"/>
  <c r="K635" i="2" s="1"/>
  <c r="L635" i="2" a="1"/>
  <c r="L635" i="2" s="1"/>
  <c r="M635" i="2" a="1"/>
  <c r="M635" i="2" s="1"/>
  <c r="N635" i="2" a="1"/>
  <c r="N635" i="2" s="1"/>
  <c r="O635" i="2" a="1"/>
  <c r="O635" i="2" s="1"/>
  <c r="P635" i="2" a="1"/>
  <c r="P635" i="2" s="1"/>
  <c r="Q635" i="2" a="1"/>
  <c r="Q635" i="2" s="1"/>
  <c r="A636" i="2" a="1"/>
  <c r="A636" i="2" s="1"/>
  <c r="B636" i="2" a="1"/>
  <c r="B636" i="2" s="1"/>
  <c r="C636" i="2" a="1"/>
  <c r="C636" i="2" s="1"/>
  <c r="D636" i="2" a="1"/>
  <c r="D636" i="2" s="1"/>
  <c r="E636" i="2" a="1"/>
  <c r="E636" i="2" s="1"/>
  <c r="F636" i="2" a="1"/>
  <c r="F636" i="2" s="1"/>
  <c r="G636" i="2" a="1"/>
  <c r="G636" i="2" s="1"/>
  <c r="H636" i="2" a="1"/>
  <c r="H636" i="2" s="1"/>
  <c r="I636" i="2" a="1"/>
  <c r="I636" i="2" s="1"/>
  <c r="J636" i="2" a="1"/>
  <c r="J636" i="2" s="1"/>
  <c r="K636" i="2" a="1"/>
  <c r="K636" i="2" s="1"/>
  <c r="L636" i="2" a="1"/>
  <c r="L636" i="2" s="1"/>
  <c r="M636" i="2" a="1"/>
  <c r="M636" i="2" s="1"/>
  <c r="N636" i="2" a="1"/>
  <c r="N636" i="2" s="1"/>
  <c r="O636" i="2" a="1"/>
  <c r="O636" i="2" s="1"/>
  <c r="P636" i="2" a="1"/>
  <c r="P636" i="2" s="1"/>
  <c r="Q636" i="2" a="1"/>
  <c r="Q636" i="2" s="1"/>
  <c r="A637" i="2" a="1"/>
  <c r="A637" i="2" s="1"/>
  <c r="B637" i="2" a="1"/>
  <c r="B637" i="2" s="1"/>
  <c r="C637" i="2" a="1"/>
  <c r="C637" i="2" s="1"/>
  <c r="D637" i="2" a="1"/>
  <c r="D637" i="2" s="1"/>
  <c r="E637" i="2" a="1"/>
  <c r="E637" i="2" s="1"/>
  <c r="F637" i="2" a="1"/>
  <c r="F637" i="2" s="1"/>
  <c r="G637" i="2" a="1"/>
  <c r="G637" i="2" s="1"/>
  <c r="H637" i="2" a="1"/>
  <c r="H637" i="2" s="1"/>
  <c r="I637" i="2" a="1"/>
  <c r="I637" i="2" s="1"/>
  <c r="J637" i="2" a="1"/>
  <c r="J637" i="2" s="1"/>
  <c r="K637" i="2" a="1"/>
  <c r="K637" i="2" s="1"/>
  <c r="L637" i="2" a="1"/>
  <c r="L637" i="2" s="1"/>
  <c r="M637" i="2" a="1"/>
  <c r="M637" i="2" s="1"/>
  <c r="N637" i="2" a="1"/>
  <c r="N637" i="2" s="1"/>
  <c r="O637" i="2" a="1"/>
  <c r="O637" i="2" s="1"/>
  <c r="P637" i="2" a="1"/>
  <c r="P637" i="2" s="1"/>
  <c r="Q637" i="2" a="1"/>
  <c r="Q637" i="2" s="1"/>
  <c r="A638" i="2" a="1"/>
  <c r="A638" i="2" s="1"/>
  <c r="B638" i="2" a="1"/>
  <c r="B638" i="2" s="1"/>
  <c r="C638" i="2" a="1"/>
  <c r="C638" i="2" s="1"/>
  <c r="D638" i="2" a="1"/>
  <c r="D638" i="2" s="1"/>
  <c r="E638" i="2" a="1"/>
  <c r="E638" i="2" s="1"/>
  <c r="F638" i="2" a="1"/>
  <c r="F638" i="2" s="1"/>
  <c r="G638" i="2" a="1"/>
  <c r="G638" i="2" s="1"/>
  <c r="H638" i="2" a="1"/>
  <c r="H638" i="2" s="1"/>
  <c r="I638" i="2" a="1"/>
  <c r="I638" i="2" s="1"/>
  <c r="J638" i="2" a="1"/>
  <c r="J638" i="2" s="1"/>
  <c r="K638" i="2" a="1"/>
  <c r="K638" i="2" s="1"/>
  <c r="L638" i="2" a="1"/>
  <c r="L638" i="2" s="1"/>
  <c r="M638" i="2" a="1"/>
  <c r="M638" i="2" s="1"/>
  <c r="N638" i="2" a="1"/>
  <c r="N638" i="2" s="1"/>
  <c r="O638" i="2" a="1"/>
  <c r="O638" i="2" s="1"/>
  <c r="P638" i="2" a="1"/>
  <c r="P638" i="2" s="1"/>
  <c r="Q638" i="2" a="1"/>
  <c r="Q638" i="2" s="1"/>
  <c r="A639" i="2" a="1"/>
  <c r="A639" i="2" s="1"/>
  <c r="B639" i="2" a="1"/>
  <c r="B639" i="2" s="1"/>
  <c r="C639" i="2" a="1"/>
  <c r="C639" i="2" s="1"/>
  <c r="D639" i="2" a="1"/>
  <c r="D639" i="2" s="1"/>
  <c r="E639" i="2" a="1"/>
  <c r="E639" i="2" s="1"/>
  <c r="F639" i="2" a="1"/>
  <c r="F639" i="2" s="1"/>
  <c r="G639" i="2" a="1"/>
  <c r="G639" i="2" s="1"/>
  <c r="H639" i="2" a="1"/>
  <c r="H639" i="2" s="1"/>
  <c r="I639" i="2" a="1"/>
  <c r="I639" i="2" s="1"/>
  <c r="J639" i="2" a="1"/>
  <c r="J639" i="2" s="1"/>
  <c r="K639" i="2" a="1"/>
  <c r="K639" i="2" s="1"/>
  <c r="L639" i="2" a="1"/>
  <c r="L639" i="2" s="1"/>
  <c r="M639" i="2" a="1"/>
  <c r="M639" i="2" s="1"/>
  <c r="N639" i="2" a="1"/>
  <c r="N639" i="2" s="1"/>
  <c r="O639" i="2" a="1"/>
  <c r="O639" i="2" s="1"/>
  <c r="P639" i="2" a="1"/>
  <c r="P639" i="2" s="1"/>
  <c r="Q639" i="2" a="1"/>
  <c r="Q639" i="2" s="1"/>
  <c r="A640" i="2" a="1"/>
  <c r="A640" i="2" s="1"/>
  <c r="B640" i="2" a="1"/>
  <c r="B640" i="2" s="1"/>
  <c r="C640" i="2" a="1"/>
  <c r="C640" i="2" s="1"/>
  <c r="D640" i="2" a="1"/>
  <c r="D640" i="2" s="1"/>
  <c r="E640" i="2" a="1"/>
  <c r="E640" i="2" s="1"/>
  <c r="F640" i="2" a="1"/>
  <c r="F640" i="2" s="1"/>
  <c r="G640" i="2" a="1"/>
  <c r="G640" i="2" s="1"/>
  <c r="H640" i="2" a="1"/>
  <c r="H640" i="2" s="1"/>
  <c r="I640" i="2" a="1"/>
  <c r="I640" i="2" s="1"/>
  <c r="J640" i="2" a="1"/>
  <c r="J640" i="2" s="1"/>
  <c r="K640" i="2" a="1"/>
  <c r="K640" i="2" s="1"/>
  <c r="L640" i="2" a="1"/>
  <c r="L640" i="2" s="1"/>
  <c r="M640" i="2" a="1"/>
  <c r="M640" i="2" s="1"/>
  <c r="N640" i="2" a="1"/>
  <c r="N640" i="2" s="1"/>
  <c r="O640" i="2" a="1"/>
  <c r="O640" i="2" s="1"/>
  <c r="P640" i="2" a="1"/>
  <c r="P640" i="2" s="1"/>
  <c r="Q640" i="2" a="1"/>
  <c r="Q640" i="2" s="1"/>
  <c r="A641" i="2" a="1"/>
  <c r="A641" i="2" s="1"/>
  <c r="B641" i="2" a="1"/>
  <c r="B641" i="2" s="1"/>
  <c r="C641" i="2" a="1"/>
  <c r="C641" i="2" s="1"/>
  <c r="D641" i="2" a="1"/>
  <c r="D641" i="2" s="1"/>
  <c r="E641" i="2" a="1"/>
  <c r="E641" i="2" s="1"/>
  <c r="F641" i="2" a="1"/>
  <c r="F641" i="2" s="1"/>
  <c r="G641" i="2" a="1"/>
  <c r="G641" i="2" s="1"/>
  <c r="H641" i="2" a="1"/>
  <c r="H641" i="2" s="1"/>
  <c r="I641" i="2" a="1"/>
  <c r="I641" i="2" s="1"/>
  <c r="J641" i="2" a="1"/>
  <c r="J641" i="2" s="1"/>
  <c r="K641" i="2" a="1"/>
  <c r="K641" i="2" s="1"/>
  <c r="L641" i="2" a="1"/>
  <c r="L641" i="2" s="1"/>
  <c r="M641" i="2" a="1"/>
  <c r="M641" i="2" s="1"/>
  <c r="N641" i="2" a="1"/>
  <c r="N641" i="2" s="1"/>
  <c r="O641" i="2" a="1"/>
  <c r="O641" i="2" s="1"/>
  <c r="P641" i="2" a="1"/>
  <c r="P641" i="2" s="1"/>
  <c r="Q641" i="2" a="1"/>
  <c r="Q641" i="2" s="1"/>
  <c r="A642" i="2" a="1"/>
  <c r="A642" i="2" s="1"/>
  <c r="B642" i="2" a="1"/>
  <c r="B642" i="2" s="1"/>
  <c r="C642" i="2" a="1"/>
  <c r="C642" i="2" s="1"/>
  <c r="D642" i="2" a="1"/>
  <c r="D642" i="2" s="1"/>
  <c r="E642" i="2" a="1"/>
  <c r="E642" i="2" s="1"/>
  <c r="F642" i="2" a="1"/>
  <c r="F642" i="2" s="1"/>
  <c r="G642" i="2" a="1"/>
  <c r="G642" i="2" s="1"/>
  <c r="H642" i="2" a="1"/>
  <c r="H642" i="2" s="1"/>
  <c r="I642" i="2" a="1"/>
  <c r="I642" i="2" s="1"/>
  <c r="J642" i="2" a="1"/>
  <c r="J642" i="2" s="1"/>
  <c r="K642" i="2" a="1"/>
  <c r="K642" i="2" s="1"/>
  <c r="L642" i="2" a="1"/>
  <c r="L642" i="2" s="1"/>
  <c r="M642" i="2" a="1"/>
  <c r="M642" i="2" s="1"/>
  <c r="N642" i="2" a="1"/>
  <c r="N642" i="2" s="1"/>
  <c r="O642" i="2" a="1"/>
  <c r="O642" i="2" s="1"/>
  <c r="P642" i="2" a="1"/>
  <c r="P642" i="2" s="1"/>
  <c r="Q642" i="2" a="1"/>
  <c r="Q642" i="2" s="1"/>
  <c r="A643" i="2" a="1"/>
  <c r="A643" i="2" s="1"/>
  <c r="B643" i="2" a="1"/>
  <c r="B643" i="2" s="1"/>
  <c r="C643" i="2" a="1"/>
  <c r="C643" i="2" s="1"/>
  <c r="D643" i="2" a="1"/>
  <c r="D643" i="2" s="1"/>
  <c r="E643" i="2" a="1"/>
  <c r="E643" i="2" s="1"/>
  <c r="F643" i="2" a="1"/>
  <c r="F643" i="2" s="1"/>
  <c r="G643" i="2" a="1"/>
  <c r="G643" i="2" s="1"/>
  <c r="H643" i="2" a="1"/>
  <c r="H643" i="2" s="1"/>
  <c r="I643" i="2" a="1"/>
  <c r="I643" i="2" s="1"/>
  <c r="J643" i="2" a="1"/>
  <c r="J643" i="2" s="1"/>
  <c r="K643" i="2" a="1"/>
  <c r="K643" i="2" s="1"/>
  <c r="L643" i="2" a="1"/>
  <c r="L643" i="2" s="1"/>
  <c r="M643" i="2" a="1"/>
  <c r="M643" i="2" s="1"/>
  <c r="N643" i="2" a="1"/>
  <c r="N643" i="2" s="1"/>
  <c r="O643" i="2" a="1"/>
  <c r="O643" i="2" s="1"/>
  <c r="P643" i="2" a="1"/>
  <c r="P643" i="2" s="1"/>
  <c r="Q643" i="2" a="1"/>
  <c r="Q643" i="2" s="1"/>
  <c r="A644" i="2" a="1"/>
  <c r="A644" i="2" s="1"/>
  <c r="B644" i="2" a="1"/>
  <c r="B644" i="2" s="1"/>
  <c r="C644" i="2" a="1"/>
  <c r="C644" i="2" s="1"/>
  <c r="D644" i="2" a="1"/>
  <c r="D644" i="2" s="1"/>
  <c r="E644" i="2" a="1"/>
  <c r="E644" i="2" s="1"/>
  <c r="F644" i="2" a="1"/>
  <c r="F644" i="2" s="1"/>
  <c r="G644" i="2" a="1"/>
  <c r="G644" i="2" s="1"/>
  <c r="H644" i="2" a="1"/>
  <c r="H644" i="2" s="1"/>
  <c r="I644" i="2" a="1"/>
  <c r="I644" i="2" s="1"/>
  <c r="J644" i="2" a="1"/>
  <c r="J644" i="2" s="1"/>
  <c r="K644" i="2" a="1"/>
  <c r="K644" i="2" s="1"/>
  <c r="L644" i="2" a="1"/>
  <c r="L644" i="2" s="1"/>
  <c r="M644" i="2" a="1"/>
  <c r="M644" i="2" s="1"/>
  <c r="N644" i="2" a="1"/>
  <c r="N644" i="2" s="1"/>
  <c r="O644" i="2" a="1"/>
  <c r="O644" i="2" s="1"/>
  <c r="P644" i="2" a="1"/>
  <c r="P644" i="2" s="1"/>
  <c r="Q644" i="2" a="1"/>
  <c r="Q644" i="2" s="1"/>
  <c r="A645" i="2" a="1"/>
  <c r="A645" i="2" s="1"/>
  <c r="B645" i="2" a="1"/>
  <c r="B645" i="2" s="1"/>
  <c r="C645" i="2" a="1"/>
  <c r="C645" i="2" s="1"/>
  <c r="D645" i="2" a="1"/>
  <c r="D645" i="2" s="1"/>
  <c r="E645" i="2" a="1"/>
  <c r="E645" i="2" s="1"/>
  <c r="F645" i="2" a="1"/>
  <c r="F645" i="2" s="1"/>
  <c r="G645" i="2" a="1"/>
  <c r="G645" i="2" s="1"/>
  <c r="H645" i="2" a="1"/>
  <c r="H645" i="2" s="1"/>
  <c r="I645" i="2" a="1"/>
  <c r="I645" i="2" s="1"/>
  <c r="J645" i="2" a="1"/>
  <c r="J645" i="2" s="1"/>
  <c r="K645" i="2" a="1"/>
  <c r="K645" i="2" s="1"/>
  <c r="L645" i="2" a="1"/>
  <c r="L645" i="2" s="1"/>
  <c r="M645" i="2" a="1"/>
  <c r="M645" i="2" s="1"/>
  <c r="N645" i="2" a="1"/>
  <c r="N645" i="2" s="1"/>
  <c r="O645" i="2" a="1"/>
  <c r="O645" i="2" s="1"/>
  <c r="P645" i="2" a="1"/>
  <c r="P645" i="2" s="1"/>
  <c r="Q645" i="2" a="1"/>
  <c r="Q645" i="2" s="1"/>
  <c r="A646" i="2" a="1"/>
  <c r="A646" i="2" s="1"/>
  <c r="B646" i="2" a="1"/>
  <c r="B646" i="2" s="1"/>
  <c r="C646" i="2" a="1"/>
  <c r="C646" i="2" s="1"/>
  <c r="D646" i="2" a="1"/>
  <c r="D646" i="2" s="1"/>
  <c r="E646" i="2" a="1"/>
  <c r="E646" i="2" s="1"/>
  <c r="F646" i="2" a="1"/>
  <c r="F646" i="2" s="1"/>
  <c r="G646" i="2" a="1"/>
  <c r="G646" i="2" s="1"/>
  <c r="H646" i="2" a="1"/>
  <c r="H646" i="2" s="1"/>
  <c r="I646" i="2" a="1"/>
  <c r="I646" i="2" s="1"/>
  <c r="J646" i="2" a="1"/>
  <c r="J646" i="2" s="1"/>
  <c r="K646" i="2" a="1"/>
  <c r="K646" i="2" s="1"/>
  <c r="L646" i="2" a="1"/>
  <c r="L646" i="2" s="1"/>
  <c r="M646" i="2" a="1"/>
  <c r="M646" i="2" s="1"/>
  <c r="N646" i="2" a="1"/>
  <c r="N646" i="2" s="1"/>
  <c r="O646" i="2" a="1"/>
  <c r="O646" i="2" s="1"/>
  <c r="P646" i="2" a="1"/>
  <c r="P646" i="2" s="1"/>
  <c r="Q646" i="2" a="1"/>
  <c r="Q646" i="2" s="1"/>
  <c r="A647" i="2" a="1"/>
  <c r="A647" i="2" s="1"/>
  <c r="B647" i="2" a="1"/>
  <c r="B647" i="2" s="1"/>
  <c r="C647" i="2" a="1"/>
  <c r="C647" i="2" s="1"/>
  <c r="D647" i="2" a="1"/>
  <c r="D647" i="2" s="1"/>
  <c r="E647" i="2" a="1"/>
  <c r="E647" i="2" s="1"/>
  <c r="F647" i="2" a="1"/>
  <c r="F647" i="2" s="1"/>
  <c r="G647" i="2" a="1"/>
  <c r="G647" i="2" s="1"/>
  <c r="H647" i="2" a="1"/>
  <c r="H647" i="2" s="1"/>
  <c r="I647" i="2" a="1"/>
  <c r="I647" i="2" s="1"/>
  <c r="J647" i="2" a="1"/>
  <c r="J647" i="2" s="1"/>
  <c r="K647" i="2" a="1"/>
  <c r="K647" i="2" s="1"/>
  <c r="L647" i="2" a="1"/>
  <c r="L647" i="2" s="1"/>
  <c r="M647" i="2" a="1"/>
  <c r="M647" i="2" s="1"/>
  <c r="N647" i="2" a="1"/>
  <c r="N647" i="2" s="1"/>
  <c r="O647" i="2" a="1"/>
  <c r="O647" i="2" s="1"/>
  <c r="P647" i="2" a="1"/>
  <c r="P647" i="2" s="1"/>
  <c r="Q647" i="2" a="1"/>
  <c r="Q647" i="2" s="1"/>
  <c r="A648" i="2" a="1"/>
  <c r="A648" i="2" s="1"/>
  <c r="B648" i="2" a="1"/>
  <c r="B648" i="2" s="1"/>
  <c r="C648" i="2" a="1"/>
  <c r="C648" i="2" s="1"/>
  <c r="D648" i="2" a="1"/>
  <c r="D648" i="2" s="1"/>
  <c r="E648" i="2" a="1"/>
  <c r="E648" i="2" s="1"/>
  <c r="F648" i="2" a="1"/>
  <c r="F648" i="2" s="1"/>
  <c r="G648" i="2" a="1"/>
  <c r="G648" i="2" s="1"/>
  <c r="H648" i="2" a="1"/>
  <c r="H648" i="2" s="1"/>
  <c r="I648" i="2" a="1"/>
  <c r="I648" i="2" s="1"/>
  <c r="J648" i="2" a="1"/>
  <c r="J648" i="2" s="1"/>
  <c r="K648" i="2" a="1"/>
  <c r="K648" i="2" s="1"/>
  <c r="L648" i="2" a="1"/>
  <c r="L648" i="2" s="1"/>
  <c r="M648" i="2" a="1"/>
  <c r="M648" i="2" s="1"/>
  <c r="N648" i="2" a="1"/>
  <c r="N648" i="2" s="1"/>
  <c r="O648" i="2" a="1"/>
  <c r="O648" i="2" s="1"/>
  <c r="P648" i="2" a="1"/>
  <c r="P648" i="2" s="1"/>
  <c r="Q648" i="2" a="1"/>
  <c r="Q648" i="2" s="1"/>
  <c r="A649" i="2" a="1"/>
  <c r="A649" i="2" s="1"/>
  <c r="B649" i="2" a="1"/>
  <c r="B649" i="2" s="1"/>
  <c r="C649" i="2" a="1"/>
  <c r="C649" i="2" s="1"/>
  <c r="D649" i="2" a="1"/>
  <c r="D649" i="2" s="1"/>
  <c r="E649" i="2" a="1"/>
  <c r="E649" i="2" s="1"/>
  <c r="F649" i="2" a="1"/>
  <c r="F649" i="2" s="1"/>
  <c r="G649" i="2" a="1"/>
  <c r="G649" i="2" s="1"/>
  <c r="H649" i="2" a="1"/>
  <c r="H649" i="2" s="1"/>
  <c r="I649" i="2" a="1"/>
  <c r="I649" i="2" s="1"/>
  <c r="J649" i="2" a="1"/>
  <c r="J649" i="2" s="1"/>
  <c r="K649" i="2" a="1"/>
  <c r="K649" i="2" s="1"/>
  <c r="L649" i="2" a="1"/>
  <c r="L649" i="2" s="1"/>
  <c r="M649" i="2" a="1"/>
  <c r="M649" i="2" s="1"/>
  <c r="N649" i="2" a="1"/>
  <c r="N649" i="2" s="1"/>
  <c r="O649" i="2" a="1"/>
  <c r="O649" i="2" s="1"/>
  <c r="P649" i="2" a="1"/>
  <c r="P649" i="2" s="1"/>
  <c r="Q649" i="2" a="1"/>
  <c r="Q649" i="2" s="1"/>
  <c r="A650" i="2" a="1"/>
  <c r="A650" i="2" s="1"/>
  <c r="B650" i="2" a="1"/>
  <c r="B650" i="2" s="1"/>
  <c r="C650" i="2" a="1"/>
  <c r="C650" i="2" s="1"/>
  <c r="D650" i="2" a="1"/>
  <c r="D650" i="2" s="1"/>
  <c r="E650" i="2" a="1"/>
  <c r="E650" i="2" s="1"/>
  <c r="F650" i="2" a="1"/>
  <c r="F650" i="2" s="1"/>
  <c r="G650" i="2" a="1"/>
  <c r="G650" i="2" s="1"/>
  <c r="H650" i="2" a="1"/>
  <c r="H650" i="2" s="1"/>
  <c r="I650" i="2" a="1"/>
  <c r="I650" i="2" s="1"/>
  <c r="J650" i="2" a="1"/>
  <c r="J650" i="2" s="1"/>
  <c r="K650" i="2" a="1"/>
  <c r="K650" i="2" s="1"/>
  <c r="L650" i="2" a="1"/>
  <c r="L650" i="2" s="1"/>
  <c r="M650" i="2" a="1"/>
  <c r="M650" i="2" s="1"/>
  <c r="N650" i="2" a="1"/>
  <c r="N650" i="2" s="1"/>
  <c r="O650" i="2" a="1"/>
  <c r="O650" i="2" s="1"/>
  <c r="P650" i="2" a="1"/>
  <c r="P650" i="2" s="1"/>
  <c r="Q650" i="2" a="1"/>
  <c r="Q650" i="2" s="1"/>
  <c r="A651" i="2" a="1"/>
  <c r="A651" i="2" s="1"/>
  <c r="B651" i="2" a="1"/>
  <c r="B651" i="2" s="1"/>
  <c r="C651" i="2" a="1"/>
  <c r="C651" i="2" s="1"/>
  <c r="D651" i="2" a="1"/>
  <c r="D651" i="2" s="1"/>
  <c r="E651" i="2" a="1"/>
  <c r="E651" i="2" s="1"/>
  <c r="F651" i="2" a="1"/>
  <c r="F651" i="2" s="1"/>
  <c r="G651" i="2" a="1"/>
  <c r="G651" i="2" s="1"/>
  <c r="H651" i="2" a="1"/>
  <c r="H651" i="2" s="1"/>
  <c r="I651" i="2" a="1"/>
  <c r="I651" i="2" s="1"/>
  <c r="J651" i="2" a="1"/>
  <c r="J651" i="2" s="1"/>
  <c r="K651" i="2" a="1"/>
  <c r="K651" i="2" s="1"/>
  <c r="L651" i="2" a="1"/>
  <c r="L651" i="2" s="1"/>
  <c r="M651" i="2" a="1"/>
  <c r="M651" i="2" s="1"/>
  <c r="N651" i="2" a="1"/>
  <c r="N651" i="2" s="1"/>
  <c r="O651" i="2" a="1"/>
  <c r="O651" i="2" s="1"/>
  <c r="P651" i="2" a="1"/>
  <c r="P651" i="2" s="1"/>
  <c r="Q651" i="2" a="1"/>
  <c r="Q651" i="2" s="1"/>
  <c r="A652" i="2" a="1"/>
  <c r="A652" i="2" s="1"/>
  <c r="B652" i="2" a="1"/>
  <c r="B652" i="2" s="1"/>
  <c r="C652" i="2" a="1"/>
  <c r="C652" i="2" s="1"/>
  <c r="D652" i="2" a="1"/>
  <c r="D652" i="2" s="1"/>
  <c r="E652" i="2" a="1"/>
  <c r="E652" i="2" s="1"/>
  <c r="F652" i="2" a="1"/>
  <c r="F652" i="2" s="1"/>
  <c r="G652" i="2" a="1"/>
  <c r="G652" i="2" s="1"/>
  <c r="H652" i="2" a="1"/>
  <c r="H652" i="2" s="1"/>
  <c r="I652" i="2" a="1"/>
  <c r="I652" i="2" s="1"/>
  <c r="J652" i="2" a="1"/>
  <c r="J652" i="2" s="1"/>
  <c r="K652" i="2" a="1"/>
  <c r="K652" i="2" s="1"/>
  <c r="L652" i="2" a="1"/>
  <c r="L652" i="2" s="1"/>
  <c r="M652" i="2" a="1"/>
  <c r="M652" i="2" s="1"/>
  <c r="N652" i="2" a="1"/>
  <c r="N652" i="2" s="1"/>
  <c r="O652" i="2" a="1"/>
  <c r="O652" i="2" s="1"/>
  <c r="P652" i="2" a="1"/>
  <c r="P652" i="2" s="1"/>
  <c r="Q652" i="2" a="1"/>
  <c r="Q652" i="2" s="1"/>
  <c r="A653" i="2" a="1"/>
  <c r="A653" i="2" s="1"/>
  <c r="B653" i="2" a="1"/>
  <c r="B653" i="2" s="1"/>
  <c r="C653" i="2" a="1"/>
  <c r="C653" i="2" s="1"/>
  <c r="D653" i="2" a="1"/>
  <c r="D653" i="2" s="1"/>
  <c r="E653" i="2" a="1"/>
  <c r="E653" i="2" s="1"/>
  <c r="F653" i="2" a="1"/>
  <c r="F653" i="2" s="1"/>
  <c r="G653" i="2" a="1"/>
  <c r="G653" i="2" s="1"/>
  <c r="H653" i="2" a="1"/>
  <c r="H653" i="2" s="1"/>
  <c r="I653" i="2" a="1"/>
  <c r="I653" i="2" s="1"/>
  <c r="J653" i="2" a="1"/>
  <c r="J653" i="2" s="1"/>
  <c r="K653" i="2" a="1"/>
  <c r="K653" i="2" s="1"/>
  <c r="L653" i="2" a="1"/>
  <c r="L653" i="2" s="1"/>
  <c r="M653" i="2" a="1"/>
  <c r="M653" i="2" s="1"/>
  <c r="N653" i="2" a="1"/>
  <c r="N653" i="2" s="1"/>
  <c r="O653" i="2" a="1"/>
  <c r="O653" i="2" s="1"/>
  <c r="P653" i="2" a="1"/>
  <c r="P653" i="2" s="1"/>
  <c r="Q653" i="2" a="1"/>
  <c r="Q653" i="2" s="1"/>
  <c r="A654" i="2" a="1"/>
  <c r="A654" i="2" s="1"/>
  <c r="B654" i="2" a="1"/>
  <c r="B654" i="2" s="1"/>
  <c r="C654" i="2" a="1"/>
  <c r="C654" i="2" s="1"/>
  <c r="D654" i="2" a="1"/>
  <c r="D654" i="2" s="1"/>
  <c r="E654" i="2" a="1"/>
  <c r="E654" i="2" s="1"/>
  <c r="F654" i="2" a="1"/>
  <c r="F654" i="2" s="1"/>
  <c r="G654" i="2" a="1"/>
  <c r="G654" i="2" s="1"/>
  <c r="H654" i="2" a="1"/>
  <c r="H654" i="2" s="1"/>
  <c r="I654" i="2" a="1"/>
  <c r="I654" i="2" s="1"/>
  <c r="J654" i="2" a="1"/>
  <c r="J654" i="2" s="1"/>
  <c r="K654" i="2" a="1"/>
  <c r="K654" i="2" s="1"/>
  <c r="L654" i="2" a="1"/>
  <c r="L654" i="2" s="1"/>
  <c r="M654" i="2" a="1"/>
  <c r="M654" i="2" s="1"/>
  <c r="N654" i="2" a="1"/>
  <c r="N654" i="2" s="1"/>
  <c r="O654" i="2" a="1"/>
  <c r="O654" i="2" s="1"/>
  <c r="P654" i="2" a="1"/>
  <c r="P654" i="2" s="1"/>
  <c r="Q654" i="2" a="1"/>
  <c r="Q654" i="2" s="1"/>
  <c r="A655" i="2" a="1"/>
  <c r="A655" i="2" s="1"/>
  <c r="B655" i="2" a="1"/>
  <c r="B655" i="2" s="1"/>
  <c r="C655" i="2" a="1"/>
  <c r="C655" i="2" s="1"/>
  <c r="D655" i="2" a="1"/>
  <c r="D655" i="2" s="1"/>
  <c r="E655" i="2" a="1"/>
  <c r="E655" i="2" s="1"/>
  <c r="F655" i="2" a="1"/>
  <c r="F655" i="2" s="1"/>
  <c r="G655" i="2" a="1"/>
  <c r="G655" i="2" s="1"/>
  <c r="H655" i="2" a="1"/>
  <c r="H655" i="2" s="1"/>
  <c r="I655" i="2" a="1"/>
  <c r="I655" i="2" s="1"/>
  <c r="J655" i="2" a="1"/>
  <c r="J655" i="2" s="1"/>
  <c r="K655" i="2" a="1"/>
  <c r="K655" i="2" s="1"/>
  <c r="L655" i="2" a="1"/>
  <c r="L655" i="2" s="1"/>
  <c r="M655" i="2" a="1"/>
  <c r="M655" i="2" s="1"/>
  <c r="N655" i="2" a="1"/>
  <c r="N655" i="2" s="1"/>
  <c r="O655" i="2" a="1"/>
  <c r="O655" i="2" s="1"/>
  <c r="P655" i="2" a="1"/>
  <c r="P655" i="2" s="1"/>
  <c r="Q655" i="2" a="1"/>
  <c r="Q655" i="2" s="1"/>
  <c r="A656" i="2" a="1"/>
  <c r="A656" i="2" s="1"/>
  <c r="B656" i="2" a="1"/>
  <c r="B656" i="2" s="1"/>
  <c r="C656" i="2" a="1"/>
  <c r="C656" i="2" s="1"/>
  <c r="D656" i="2" a="1"/>
  <c r="D656" i="2" s="1"/>
  <c r="E656" i="2" a="1"/>
  <c r="E656" i="2" s="1"/>
  <c r="F656" i="2" a="1"/>
  <c r="F656" i="2" s="1"/>
  <c r="G656" i="2" a="1"/>
  <c r="G656" i="2" s="1"/>
  <c r="H656" i="2" a="1"/>
  <c r="H656" i="2" s="1"/>
  <c r="I656" i="2" a="1"/>
  <c r="I656" i="2" s="1"/>
  <c r="J656" i="2" a="1"/>
  <c r="J656" i="2" s="1"/>
  <c r="K656" i="2" a="1"/>
  <c r="K656" i="2" s="1"/>
  <c r="L656" i="2" a="1"/>
  <c r="L656" i="2" s="1"/>
  <c r="M656" i="2" a="1"/>
  <c r="M656" i="2" s="1"/>
  <c r="N656" i="2" a="1"/>
  <c r="N656" i="2" s="1"/>
  <c r="O656" i="2" a="1"/>
  <c r="O656" i="2" s="1"/>
  <c r="P656" i="2" a="1"/>
  <c r="P656" i="2" s="1"/>
  <c r="Q656" i="2" a="1"/>
  <c r="Q656" i="2" s="1"/>
  <c r="A657" i="2" a="1"/>
  <c r="A657" i="2" s="1"/>
  <c r="B657" i="2" a="1"/>
  <c r="B657" i="2" s="1"/>
  <c r="C657" i="2" a="1"/>
  <c r="C657" i="2" s="1"/>
  <c r="D657" i="2" a="1"/>
  <c r="D657" i="2" s="1"/>
  <c r="E657" i="2" a="1"/>
  <c r="E657" i="2" s="1"/>
  <c r="F657" i="2" a="1"/>
  <c r="F657" i="2" s="1"/>
  <c r="G657" i="2" a="1"/>
  <c r="G657" i="2" s="1"/>
  <c r="H657" i="2" a="1"/>
  <c r="H657" i="2" s="1"/>
  <c r="I657" i="2" a="1"/>
  <c r="I657" i="2" s="1"/>
  <c r="J657" i="2" a="1"/>
  <c r="J657" i="2" s="1"/>
  <c r="K657" i="2" a="1"/>
  <c r="K657" i="2" s="1"/>
  <c r="L657" i="2" a="1"/>
  <c r="L657" i="2" s="1"/>
  <c r="M657" i="2" a="1"/>
  <c r="M657" i="2" s="1"/>
  <c r="N657" i="2" a="1"/>
  <c r="N657" i="2" s="1"/>
  <c r="O657" i="2" a="1"/>
  <c r="O657" i="2" s="1"/>
  <c r="P657" i="2" a="1"/>
  <c r="P657" i="2" s="1"/>
  <c r="Q657" i="2" a="1"/>
  <c r="Q657" i="2" s="1"/>
  <c r="A658" i="2" a="1"/>
  <c r="A658" i="2" s="1"/>
  <c r="B658" i="2" a="1"/>
  <c r="B658" i="2" s="1"/>
  <c r="C658" i="2" a="1"/>
  <c r="C658" i="2" s="1"/>
  <c r="D658" i="2" a="1"/>
  <c r="D658" i="2" s="1"/>
  <c r="E658" i="2" a="1"/>
  <c r="E658" i="2" s="1"/>
  <c r="F658" i="2" a="1"/>
  <c r="F658" i="2" s="1"/>
  <c r="G658" i="2" a="1"/>
  <c r="G658" i="2" s="1"/>
  <c r="H658" i="2" a="1"/>
  <c r="H658" i="2" s="1"/>
  <c r="I658" i="2" a="1"/>
  <c r="I658" i="2" s="1"/>
  <c r="J658" i="2" a="1"/>
  <c r="J658" i="2" s="1"/>
  <c r="K658" i="2" a="1"/>
  <c r="K658" i="2" s="1"/>
  <c r="L658" i="2" a="1"/>
  <c r="L658" i="2" s="1"/>
  <c r="M658" i="2" a="1"/>
  <c r="M658" i="2" s="1"/>
  <c r="N658" i="2" a="1"/>
  <c r="N658" i="2" s="1"/>
  <c r="O658" i="2" a="1"/>
  <c r="O658" i="2" s="1"/>
  <c r="P658" i="2" a="1"/>
  <c r="P658" i="2" s="1"/>
  <c r="Q658" i="2" a="1"/>
  <c r="Q658" i="2" s="1"/>
  <c r="A659" i="2" a="1"/>
  <c r="A659" i="2" s="1"/>
  <c r="B659" i="2" a="1"/>
  <c r="B659" i="2" s="1"/>
  <c r="C659" i="2" a="1"/>
  <c r="C659" i="2" s="1"/>
  <c r="D659" i="2" a="1"/>
  <c r="D659" i="2" s="1"/>
  <c r="E659" i="2" a="1"/>
  <c r="E659" i="2" s="1"/>
  <c r="F659" i="2" a="1"/>
  <c r="F659" i="2" s="1"/>
  <c r="G659" i="2" a="1"/>
  <c r="G659" i="2" s="1"/>
  <c r="H659" i="2" a="1"/>
  <c r="H659" i="2" s="1"/>
  <c r="I659" i="2" a="1"/>
  <c r="I659" i="2" s="1"/>
  <c r="J659" i="2" a="1"/>
  <c r="J659" i="2" s="1"/>
  <c r="K659" i="2" a="1"/>
  <c r="K659" i="2" s="1"/>
  <c r="L659" i="2" a="1"/>
  <c r="L659" i="2" s="1"/>
  <c r="M659" i="2" a="1"/>
  <c r="M659" i="2" s="1"/>
  <c r="N659" i="2" a="1"/>
  <c r="N659" i="2" s="1"/>
  <c r="O659" i="2" a="1"/>
  <c r="O659" i="2" s="1"/>
  <c r="P659" i="2" a="1"/>
  <c r="P659" i="2" s="1"/>
  <c r="Q659" i="2" a="1"/>
  <c r="Q659" i="2" s="1"/>
  <c r="A660" i="2" a="1"/>
  <c r="A660" i="2" s="1"/>
  <c r="B660" i="2" a="1"/>
  <c r="B660" i="2" s="1"/>
  <c r="C660" i="2" a="1"/>
  <c r="C660" i="2" s="1"/>
  <c r="D660" i="2" a="1"/>
  <c r="D660" i="2" s="1"/>
  <c r="E660" i="2" a="1"/>
  <c r="E660" i="2" s="1"/>
  <c r="F660" i="2" a="1"/>
  <c r="F660" i="2" s="1"/>
  <c r="G660" i="2" a="1"/>
  <c r="G660" i="2" s="1"/>
  <c r="H660" i="2" a="1"/>
  <c r="H660" i="2" s="1"/>
  <c r="I660" i="2" a="1"/>
  <c r="I660" i="2" s="1"/>
  <c r="J660" i="2" a="1"/>
  <c r="J660" i="2" s="1"/>
  <c r="K660" i="2" a="1"/>
  <c r="K660" i="2" s="1"/>
  <c r="L660" i="2" a="1"/>
  <c r="L660" i="2" s="1"/>
  <c r="M660" i="2" a="1"/>
  <c r="M660" i="2" s="1"/>
  <c r="N660" i="2" a="1"/>
  <c r="N660" i="2" s="1"/>
  <c r="O660" i="2" a="1"/>
  <c r="O660" i="2" s="1"/>
  <c r="P660" i="2" a="1"/>
  <c r="P660" i="2" s="1"/>
  <c r="Q660" i="2" a="1"/>
  <c r="Q660" i="2" s="1"/>
  <c r="A661" i="2" a="1"/>
  <c r="A661" i="2" s="1"/>
  <c r="B661" i="2" a="1"/>
  <c r="B661" i="2" s="1"/>
  <c r="C661" i="2" a="1"/>
  <c r="C661" i="2" s="1"/>
  <c r="D661" i="2" a="1"/>
  <c r="D661" i="2" s="1"/>
  <c r="E661" i="2" a="1"/>
  <c r="E661" i="2" s="1"/>
  <c r="F661" i="2" a="1"/>
  <c r="F661" i="2" s="1"/>
  <c r="G661" i="2" a="1"/>
  <c r="G661" i="2" s="1"/>
  <c r="H661" i="2" a="1"/>
  <c r="H661" i="2" s="1"/>
  <c r="I661" i="2" a="1"/>
  <c r="I661" i="2" s="1"/>
  <c r="J661" i="2" a="1"/>
  <c r="J661" i="2" s="1"/>
  <c r="K661" i="2" a="1"/>
  <c r="K661" i="2" s="1"/>
  <c r="L661" i="2" a="1"/>
  <c r="L661" i="2" s="1"/>
  <c r="M661" i="2" a="1"/>
  <c r="M661" i="2" s="1"/>
  <c r="N661" i="2" a="1"/>
  <c r="N661" i="2" s="1"/>
  <c r="O661" i="2" a="1"/>
  <c r="O661" i="2" s="1"/>
  <c r="P661" i="2" a="1"/>
  <c r="P661" i="2" s="1"/>
  <c r="Q661" i="2" a="1"/>
  <c r="Q661" i="2" s="1"/>
  <c r="A662" i="2" a="1"/>
  <c r="A662" i="2" s="1"/>
  <c r="B662" i="2" a="1"/>
  <c r="B662" i="2" s="1"/>
  <c r="C662" i="2" a="1"/>
  <c r="C662" i="2" s="1"/>
  <c r="D662" i="2" a="1"/>
  <c r="D662" i="2" s="1"/>
  <c r="E662" i="2" a="1"/>
  <c r="E662" i="2" s="1"/>
  <c r="F662" i="2" a="1"/>
  <c r="F662" i="2" s="1"/>
  <c r="G662" i="2" a="1"/>
  <c r="G662" i="2" s="1"/>
  <c r="H662" i="2" a="1"/>
  <c r="H662" i="2" s="1"/>
  <c r="I662" i="2" a="1"/>
  <c r="I662" i="2" s="1"/>
  <c r="J662" i="2" a="1"/>
  <c r="J662" i="2" s="1"/>
  <c r="K662" i="2" a="1"/>
  <c r="K662" i="2" s="1"/>
  <c r="L662" i="2" a="1"/>
  <c r="L662" i="2" s="1"/>
  <c r="M662" i="2" a="1"/>
  <c r="M662" i="2" s="1"/>
  <c r="N662" i="2" a="1"/>
  <c r="N662" i="2" s="1"/>
  <c r="O662" i="2" a="1"/>
  <c r="O662" i="2" s="1"/>
  <c r="P662" i="2" a="1"/>
  <c r="P662" i="2" s="1"/>
  <c r="Q662" i="2" a="1"/>
  <c r="Q662" i="2" s="1"/>
  <c r="A663" i="2" a="1"/>
  <c r="A663" i="2" s="1"/>
  <c r="B663" i="2" a="1"/>
  <c r="B663" i="2" s="1"/>
  <c r="C663" i="2" a="1"/>
  <c r="C663" i="2" s="1"/>
  <c r="D663" i="2" a="1"/>
  <c r="D663" i="2" s="1"/>
  <c r="E663" i="2" a="1"/>
  <c r="E663" i="2" s="1"/>
  <c r="F663" i="2" a="1"/>
  <c r="F663" i="2" s="1"/>
  <c r="G663" i="2" a="1"/>
  <c r="G663" i="2" s="1"/>
  <c r="H663" i="2" a="1"/>
  <c r="H663" i="2" s="1"/>
  <c r="I663" i="2" a="1"/>
  <c r="I663" i="2" s="1"/>
  <c r="J663" i="2" a="1"/>
  <c r="J663" i="2" s="1"/>
  <c r="K663" i="2" a="1"/>
  <c r="K663" i="2" s="1"/>
  <c r="L663" i="2" a="1"/>
  <c r="L663" i="2" s="1"/>
  <c r="M663" i="2" a="1"/>
  <c r="M663" i="2" s="1"/>
  <c r="N663" i="2" a="1"/>
  <c r="N663" i="2" s="1"/>
  <c r="O663" i="2" a="1"/>
  <c r="O663" i="2" s="1"/>
  <c r="P663" i="2" a="1"/>
  <c r="P663" i="2" s="1"/>
  <c r="Q663" i="2" a="1"/>
  <c r="Q663" i="2" s="1"/>
  <c r="A664" i="2" a="1"/>
  <c r="A664" i="2" s="1"/>
  <c r="B664" i="2" a="1"/>
  <c r="B664" i="2" s="1"/>
  <c r="C664" i="2" a="1"/>
  <c r="C664" i="2" s="1"/>
  <c r="D664" i="2" a="1"/>
  <c r="D664" i="2" s="1"/>
  <c r="E664" i="2" a="1"/>
  <c r="E664" i="2" s="1"/>
  <c r="F664" i="2" a="1"/>
  <c r="F664" i="2" s="1"/>
  <c r="G664" i="2" a="1"/>
  <c r="G664" i="2" s="1"/>
  <c r="H664" i="2" a="1"/>
  <c r="H664" i="2" s="1"/>
  <c r="I664" i="2" a="1"/>
  <c r="I664" i="2" s="1"/>
  <c r="J664" i="2" a="1"/>
  <c r="J664" i="2" s="1"/>
  <c r="K664" i="2" a="1"/>
  <c r="K664" i="2" s="1"/>
  <c r="L664" i="2" a="1"/>
  <c r="L664" i="2" s="1"/>
  <c r="M664" i="2" a="1"/>
  <c r="M664" i="2" s="1"/>
  <c r="N664" i="2" a="1"/>
  <c r="N664" i="2" s="1"/>
  <c r="O664" i="2" a="1"/>
  <c r="O664" i="2" s="1"/>
  <c r="P664" i="2" a="1"/>
  <c r="P664" i="2" s="1"/>
  <c r="Q664" i="2" a="1"/>
  <c r="Q664" i="2" s="1"/>
  <c r="A665" i="2" a="1"/>
  <c r="A665" i="2" s="1"/>
  <c r="B665" i="2" a="1"/>
  <c r="B665" i="2" s="1"/>
  <c r="C665" i="2" a="1"/>
  <c r="C665" i="2" s="1"/>
  <c r="D665" i="2" a="1"/>
  <c r="D665" i="2" s="1"/>
  <c r="E665" i="2" a="1"/>
  <c r="E665" i="2" s="1"/>
  <c r="F665" i="2" a="1"/>
  <c r="F665" i="2" s="1"/>
  <c r="G665" i="2" a="1"/>
  <c r="G665" i="2" s="1"/>
  <c r="H665" i="2" a="1"/>
  <c r="H665" i="2" s="1"/>
  <c r="I665" i="2" a="1"/>
  <c r="I665" i="2" s="1"/>
  <c r="J665" i="2" a="1"/>
  <c r="J665" i="2" s="1"/>
  <c r="K665" i="2" a="1"/>
  <c r="K665" i="2" s="1"/>
  <c r="L665" i="2" a="1"/>
  <c r="L665" i="2" s="1"/>
  <c r="M665" i="2" a="1"/>
  <c r="M665" i="2" s="1"/>
  <c r="N665" i="2" a="1"/>
  <c r="N665" i="2" s="1"/>
  <c r="O665" i="2" a="1"/>
  <c r="O665" i="2" s="1"/>
  <c r="P665" i="2" a="1"/>
  <c r="P665" i="2" s="1"/>
  <c r="Q665" i="2" a="1"/>
  <c r="Q665" i="2" s="1"/>
  <c r="A666" i="2" a="1"/>
  <c r="A666" i="2" s="1"/>
  <c r="B666" i="2" a="1"/>
  <c r="B666" i="2" s="1"/>
  <c r="C666" i="2" a="1"/>
  <c r="C666" i="2" s="1"/>
  <c r="D666" i="2" a="1"/>
  <c r="D666" i="2" s="1"/>
  <c r="E666" i="2" a="1"/>
  <c r="E666" i="2" s="1"/>
  <c r="F666" i="2" a="1"/>
  <c r="F666" i="2" s="1"/>
  <c r="G666" i="2" a="1"/>
  <c r="G666" i="2" s="1"/>
  <c r="H666" i="2" a="1"/>
  <c r="H666" i="2" s="1"/>
  <c r="I666" i="2" a="1"/>
  <c r="I666" i="2" s="1"/>
  <c r="J666" i="2" a="1"/>
  <c r="J666" i="2" s="1"/>
  <c r="K666" i="2" a="1"/>
  <c r="K666" i="2" s="1"/>
  <c r="L666" i="2" a="1"/>
  <c r="L666" i="2" s="1"/>
  <c r="M666" i="2" a="1"/>
  <c r="M666" i="2" s="1"/>
  <c r="N666" i="2" a="1"/>
  <c r="N666" i="2" s="1"/>
  <c r="O666" i="2" a="1"/>
  <c r="O666" i="2" s="1"/>
  <c r="P666" i="2" a="1"/>
  <c r="P666" i="2" s="1"/>
  <c r="Q666" i="2" a="1"/>
  <c r="Q666" i="2" s="1"/>
  <c r="A667" i="2" a="1"/>
  <c r="A667" i="2" s="1"/>
  <c r="B667" i="2" a="1"/>
  <c r="B667" i="2" s="1"/>
  <c r="C667" i="2" a="1"/>
  <c r="C667" i="2" s="1"/>
  <c r="D667" i="2" a="1"/>
  <c r="D667" i="2" s="1"/>
  <c r="E667" i="2" a="1"/>
  <c r="E667" i="2" s="1"/>
  <c r="F667" i="2" a="1"/>
  <c r="F667" i="2" s="1"/>
  <c r="G667" i="2" a="1"/>
  <c r="G667" i="2" s="1"/>
  <c r="H667" i="2" a="1"/>
  <c r="H667" i="2" s="1"/>
  <c r="I667" i="2" a="1"/>
  <c r="I667" i="2" s="1"/>
  <c r="J667" i="2" a="1"/>
  <c r="J667" i="2" s="1"/>
  <c r="K667" i="2" a="1"/>
  <c r="K667" i="2" s="1"/>
  <c r="L667" i="2" a="1"/>
  <c r="L667" i="2" s="1"/>
  <c r="M667" i="2" a="1"/>
  <c r="M667" i="2" s="1"/>
  <c r="N667" i="2" a="1"/>
  <c r="N667" i="2" s="1"/>
  <c r="O667" i="2" a="1"/>
  <c r="O667" i="2" s="1"/>
  <c r="P667" i="2" a="1"/>
  <c r="P667" i="2" s="1"/>
  <c r="Q667" i="2" a="1"/>
  <c r="Q667" i="2" s="1"/>
  <c r="A668" i="2" a="1"/>
  <c r="A668" i="2" s="1"/>
  <c r="B668" i="2" a="1"/>
  <c r="B668" i="2" s="1"/>
  <c r="C668" i="2" a="1"/>
  <c r="C668" i="2" s="1"/>
  <c r="D668" i="2" a="1"/>
  <c r="D668" i="2" s="1"/>
  <c r="E668" i="2" a="1"/>
  <c r="E668" i="2" s="1"/>
  <c r="F668" i="2" a="1"/>
  <c r="F668" i="2" s="1"/>
  <c r="G668" i="2" a="1"/>
  <c r="G668" i="2" s="1"/>
  <c r="H668" i="2" a="1"/>
  <c r="H668" i="2" s="1"/>
  <c r="I668" i="2" a="1"/>
  <c r="I668" i="2" s="1"/>
  <c r="J668" i="2" a="1"/>
  <c r="J668" i="2" s="1"/>
  <c r="K668" i="2" a="1"/>
  <c r="K668" i="2" s="1"/>
  <c r="L668" i="2" a="1"/>
  <c r="L668" i="2" s="1"/>
  <c r="M668" i="2" a="1"/>
  <c r="M668" i="2" s="1"/>
  <c r="N668" i="2" a="1"/>
  <c r="N668" i="2" s="1"/>
  <c r="O668" i="2" a="1"/>
  <c r="O668" i="2" s="1"/>
  <c r="P668" i="2" a="1"/>
  <c r="P668" i="2" s="1"/>
  <c r="Q668" i="2" a="1"/>
  <c r="Q668" i="2" s="1"/>
  <c r="A669" i="2" a="1"/>
  <c r="A669" i="2" s="1"/>
  <c r="B669" i="2" a="1"/>
  <c r="B669" i="2" s="1"/>
  <c r="C669" i="2" a="1"/>
  <c r="C669" i="2" s="1"/>
  <c r="D669" i="2" a="1"/>
  <c r="D669" i="2" s="1"/>
  <c r="E669" i="2" a="1"/>
  <c r="E669" i="2" s="1"/>
  <c r="F669" i="2" a="1"/>
  <c r="F669" i="2" s="1"/>
  <c r="G669" i="2" a="1"/>
  <c r="G669" i="2" s="1"/>
  <c r="H669" i="2" a="1"/>
  <c r="H669" i="2" s="1"/>
  <c r="I669" i="2" a="1"/>
  <c r="I669" i="2" s="1"/>
  <c r="J669" i="2" a="1"/>
  <c r="J669" i="2" s="1"/>
  <c r="K669" i="2" a="1"/>
  <c r="K669" i="2" s="1"/>
  <c r="L669" i="2" a="1"/>
  <c r="L669" i="2" s="1"/>
  <c r="M669" i="2" a="1"/>
  <c r="M669" i="2" s="1"/>
  <c r="N669" i="2" a="1"/>
  <c r="N669" i="2" s="1"/>
  <c r="O669" i="2" a="1"/>
  <c r="O669" i="2" s="1"/>
  <c r="P669" i="2" a="1"/>
  <c r="P669" i="2" s="1"/>
  <c r="Q669" i="2" a="1"/>
  <c r="Q669" i="2" s="1"/>
  <c r="A670" i="2" a="1"/>
  <c r="A670" i="2" s="1"/>
  <c r="B670" i="2" a="1"/>
  <c r="B670" i="2" s="1"/>
  <c r="C670" i="2" a="1"/>
  <c r="C670" i="2" s="1"/>
  <c r="D670" i="2" a="1"/>
  <c r="D670" i="2" s="1"/>
  <c r="E670" i="2" a="1"/>
  <c r="E670" i="2" s="1"/>
  <c r="F670" i="2" a="1"/>
  <c r="F670" i="2" s="1"/>
  <c r="G670" i="2" a="1"/>
  <c r="G670" i="2" s="1"/>
  <c r="H670" i="2" a="1"/>
  <c r="H670" i="2" s="1"/>
  <c r="I670" i="2" a="1"/>
  <c r="I670" i="2" s="1"/>
  <c r="J670" i="2" a="1"/>
  <c r="J670" i="2" s="1"/>
  <c r="K670" i="2" a="1"/>
  <c r="K670" i="2" s="1"/>
  <c r="L670" i="2" a="1"/>
  <c r="L670" i="2" s="1"/>
  <c r="M670" i="2" a="1"/>
  <c r="M670" i="2" s="1"/>
  <c r="N670" i="2" a="1"/>
  <c r="N670" i="2" s="1"/>
  <c r="O670" i="2" a="1"/>
  <c r="O670" i="2" s="1"/>
  <c r="P670" i="2" a="1"/>
  <c r="P670" i="2" s="1"/>
  <c r="Q670" i="2" a="1"/>
  <c r="Q670" i="2" s="1"/>
  <c r="A671" i="2" a="1"/>
  <c r="A671" i="2" s="1"/>
  <c r="B671" i="2" a="1"/>
  <c r="B671" i="2" s="1"/>
  <c r="C671" i="2" a="1"/>
  <c r="C671" i="2" s="1"/>
  <c r="D671" i="2" a="1"/>
  <c r="D671" i="2" s="1"/>
  <c r="E671" i="2" a="1"/>
  <c r="E671" i="2" s="1"/>
  <c r="F671" i="2" a="1"/>
  <c r="F671" i="2" s="1"/>
  <c r="G671" i="2" a="1"/>
  <c r="G671" i="2" s="1"/>
  <c r="H671" i="2" a="1"/>
  <c r="H671" i="2" s="1"/>
  <c r="I671" i="2" a="1"/>
  <c r="I671" i="2" s="1"/>
  <c r="J671" i="2" a="1"/>
  <c r="J671" i="2" s="1"/>
  <c r="K671" i="2" a="1"/>
  <c r="K671" i="2" s="1"/>
  <c r="L671" i="2" a="1"/>
  <c r="L671" i="2" s="1"/>
  <c r="M671" i="2" a="1"/>
  <c r="M671" i="2" s="1"/>
  <c r="N671" i="2" a="1"/>
  <c r="N671" i="2" s="1"/>
  <c r="O671" i="2" a="1"/>
  <c r="O671" i="2" s="1"/>
  <c r="P671" i="2" a="1"/>
  <c r="P671" i="2" s="1"/>
  <c r="Q671" i="2" a="1"/>
  <c r="Q671" i="2" s="1"/>
  <c r="A672" i="2" a="1"/>
  <c r="A672" i="2" s="1"/>
  <c r="B672" i="2" a="1"/>
  <c r="B672" i="2" s="1"/>
  <c r="C672" i="2" a="1"/>
  <c r="C672" i="2" s="1"/>
  <c r="D672" i="2" a="1"/>
  <c r="D672" i="2" s="1"/>
  <c r="E672" i="2" a="1"/>
  <c r="E672" i="2" s="1"/>
  <c r="F672" i="2" a="1"/>
  <c r="F672" i="2" s="1"/>
  <c r="G672" i="2" a="1"/>
  <c r="G672" i="2" s="1"/>
  <c r="H672" i="2" a="1"/>
  <c r="H672" i="2" s="1"/>
  <c r="I672" i="2" a="1"/>
  <c r="I672" i="2" s="1"/>
  <c r="J672" i="2" a="1"/>
  <c r="J672" i="2" s="1"/>
  <c r="K672" i="2" a="1"/>
  <c r="K672" i="2" s="1"/>
  <c r="L672" i="2" a="1"/>
  <c r="L672" i="2" s="1"/>
  <c r="M672" i="2" a="1"/>
  <c r="M672" i="2" s="1"/>
  <c r="N672" i="2" a="1"/>
  <c r="N672" i="2" s="1"/>
  <c r="O672" i="2" a="1"/>
  <c r="O672" i="2" s="1"/>
  <c r="P672" i="2" a="1"/>
  <c r="P672" i="2" s="1"/>
  <c r="Q672" i="2" a="1"/>
  <c r="Q672" i="2" s="1"/>
  <c r="A673" i="2" a="1"/>
  <c r="A673" i="2" s="1"/>
  <c r="B673" i="2" a="1"/>
  <c r="B673" i="2" s="1"/>
  <c r="C673" i="2" a="1"/>
  <c r="C673" i="2" s="1"/>
  <c r="D673" i="2" a="1"/>
  <c r="D673" i="2" s="1"/>
  <c r="E673" i="2" a="1"/>
  <c r="E673" i="2" s="1"/>
  <c r="F673" i="2" a="1"/>
  <c r="F673" i="2" s="1"/>
  <c r="G673" i="2" a="1"/>
  <c r="G673" i="2" s="1"/>
  <c r="H673" i="2" a="1"/>
  <c r="H673" i="2" s="1"/>
  <c r="I673" i="2" a="1"/>
  <c r="I673" i="2" s="1"/>
  <c r="J673" i="2" a="1"/>
  <c r="J673" i="2" s="1"/>
  <c r="K673" i="2" a="1"/>
  <c r="K673" i="2" s="1"/>
  <c r="L673" i="2" a="1"/>
  <c r="L673" i="2" s="1"/>
  <c r="M673" i="2" a="1"/>
  <c r="M673" i="2" s="1"/>
  <c r="N673" i="2" a="1"/>
  <c r="N673" i="2" s="1"/>
  <c r="O673" i="2" a="1"/>
  <c r="O673" i="2" s="1"/>
  <c r="P673" i="2" a="1"/>
  <c r="P673" i="2" s="1"/>
  <c r="Q673" i="2" a="1"/>
  <c r="Q673" i="2" s="1"/>
  <c r="A674" i="2" a="1"/>
  <c r="A674" i="2" s="1"/>
  <c r="B674" i="2" a="1"/>
  <c r="B674" i="2" s="1"/>
  <c r="C674" i="2" a="1"/>
  <c r="C674" i="2" s="1"/>
  <c r="D674" i="2" a="1"/>
  <c r="D674" i="2" s="1"/>
  <c r="E674" i="2" a="1"/>
  <c r="E674" i="2" s="1"/>
  <c r="F674" i="2" a="1"/>
  <c r="F674" i="2" s="1"/>
  <c r="G674" i="2" a="1"/>
  <c r="G674" i="2" s="1"/>
  <c r="H674" i="2" a="1"/>
  <c r="H674" i="2" s="1"/>
  <c r="I674" i="2" a="1"/>
  <c r="I674" i="2" s="1"/>
  <c r="J674" i="2" a="1"/>
  <c r="J674" i="2" s="1"/>
  <c r="K674" i="2" a="1"/>
  <c r="K674" i="2" s="1"/>
  <c r="L674" i="2" a="1"/>
  <c r="L674" i="2" s="1"/>
  <c r="M674" i="2" a="1"/>
  <c r="M674" i="2" s="1"/>
  <c r="N674" i="2" a="1"/>
  <c r="N674" i="2" s="1"/>
  <c r="O674" i="2" a="1"/>
  <c r="O674" i="2" s="1"/>
  <c r="P674" i="2" a="1"/>
  <c r="P674" i="2" s="1"/>
  <c r="Q674" i="2" a="1"/>
  <c r="Q674" i="2" s="1"/>
  <c r="A675" i="2" a="1"/>
  <c r="A675" i="2" s="1"/>
  <c r="B675" i="2" a="1"/>
  <c r="B675" i="2" s="1"/>
  <c r="C675" i="2" a="1"/>
  <c r="C675" i="2" s="1"/>
  <c r="D675" i="2" a="1"/>
  <c r="D675" i="2" s="1"/>
  <c r="E675" i="2" a="1"/>
  <c r="E675" i="2" s="1"/>
  <c r="F675" i="2" a="1"/>
  <c r="F675" i="2" s="1"/>
  <c r="G675" i="2" a="1"/>
  <c r="G675" i="2" s="1"/>
  <c r="H675" i="2" a="1"/>
  <c r="H675" i="2" s="1"/>
  <c r="I675" i="2" a="1"/>
  <c r="I675" i="2" s="1"/>
  <c r="J675" i="2" a="1"/>
  <c r="J675" i="2" s="1"/>
  <c r="K675" i="2" a="1"/>
  <c r="K675" i="2" s="1"/>
  <c r="L675" i="2" a="1"/>
  <c r="L675" i="2" s="1"/>
  <c r="M675" i="2" a="1"/>
  <c r="M675" i="2" s="1"/>
  <c r="N675" i="2" a="1"/>
  <c r="N675" i="2" s="1"/>
  <c r="O675" i="2" a="1"/>
  <c r="O675" i="2" s="1"/>
  <c r="P675" i="2" a="1"/>
  <c r="P675" i="2" s="1"/>
  <c r="Q675" i="2" a="1"/>
  <c r="Q675" i="2" s="1"/>
  <c r="A676" i="2" a="1"/>
  <c r="A676" i="2" s="1"/>
  <c r="B676" i="2" a="1"/>
  <c r="B676" i="2" s="1"/>
  <c r="C676" i="2" a="1"/>
  <c r="C676" i="2" s="1"/>
  <c r="D676" i="2" a="1"/>
  <c r="D676" i="2" s="1"/>
  <c r="E676" i="2" a="1"/>
  <c r="E676" i="2" s="1"/>
  <c r="F676" i="2" a="1"/>
  <c r="F676" i="2" s="1"/>
  <c r="G676" i="2" a="1"/>
  <c r="G676" i="2" s="1"/>
  <c r="H676" i="2" a="1"/>
  <c r="H676" i="2" s="1"/>
  <c r="I676" i="2" a="1"/>
  <c r="I676" i="2" s="1"/>
  <c r="J676" i="2" a="1"/>
  <c r="J676" i="2" s="1"/>
  <c r="K676" i="2" a="1"/>
  <c r="K676" i="2" s="1"/>
  <c r="L676" i="2" a="1"/>
  <c r="L676" i="2" s="1"/>
  <c r="M676" i="2" a="1"/>
  <c r="M676" i="2" s="1"/>
  <c r="N676" i="2" a="1"/>
  <c r="N676" i="2" s="1"/>
  <c r="O676" i="2" a="1"/>
  <c r="O676" i="2" s="1"/>
  <c r="P676" i="2" a="1"/>
  <c r="P676" i="2" s="1"/>
  <c r="Q676" i="2" a="1"/>
  <c r="Q676" i="2" s="1"/>
  <c r="A677" i="2" a="1"/>
  <c r="A677" i="2" s="1"/>
  <c r="B677" i="2" a="1"/>
  <c r="B677" i="2" s="1"/>
  <c r="C677" i="2" a="1"/>
  <c r="C677" i="2" s="1"/>
  <c r="D677" i="2" a="1"/>
  <c r="D677" i="2" s="1"/>
  <c r="E677" i="2" a="1"/>
  <c r="E677" i="2" s="1"/>
  <c r="F677" i="2" a="1"/>
  <c r="F677" i="2" s="1"/>
  <c r="G677" i="2" a="1"/>
  <c r="G677" i="2" s="1"/>
  <c r="H677" i="2" a="1"/>
  <c r="H677" i="2" s="1"/>
  <c r="I677" i="2" a="1"/>
  <c r="I677" i="2" s="1"/>
  <c r="J677" i="2" a="1"/>
  <c r="J677" i="2" s="1"/>
  <c r="K677" i="2" a="1"/>
  <c r="K677" i="2" s="1"/>
  <c r="L677" i="2" a="1"/>
  <c r="L677" i="2" s="1"/>
  <c r="M677" i="2" a="1"/>
  <c r="M677" i="2" s="1"/>
  <c r="N677" i="2" a="1"/>
  <c r="N677" i="2" s="1"/>
  <c r="O677" i="2" a="1"/>
  <c r="O677" i="2" s="1"/>
  <c r="P677" i="2" a="1"/>
  <c r="P677" i="2" s="1"/>
  <c r="Q677" i="2" a="1"/>
  <c r="Q677" i="2" s="1"/>
  <c r="A678" i="2" a="1"/>
  <c r="A678" i="2" s="1"/>
  <c r="B678" i="2" a="1"/>
  <c r="B678" i="2" s="1"/>
  <c r="C678" i="2" a="1"/>
  <c r="C678" i="2" s="1"/>
  <c r="D678" i="2" a="1"/>
  <c r="D678" i="2" s="1"/>
  <c r="E678" i="2" a="1"/>
  <c r="E678" i="2" s="1"/>
  <c r="F678" i="2" a="1"/>
  <c r="F678" i="2" s="1"/>
  <c r="G678" i="2" a="1"/>
  <c r="G678" i="2" s="1"/>
  <c r="H678" i="2" a="1"/>
  <c r="H678" i="2" s="1"/>
  <c r="I678" i="2" a="1"/>
  <c r="I678" i="2" s="1"/>
  <c r="J678" i="2" a="1"/>
  <c r="J678" i="2" s="1"/>
  <c r="K678" i="2" a="1"/>
  <c r="K678" i="2" s="1"/>
  <c r="L678" i="2" a="1"/>
  <c r="L678" i="2" s="1"/>
  <c r="M678" i="2" a="1"/>
  <c r="M678" i="2" s="1"/>
  <c r="N678" i="2" a="1"/>
  <c r="N678" i="2" s="1"/>
  <c r="O678" i="2" a="1"/>
  <c r="O678" i="2" s="1"/>
  <c r="P678" i="2" a="1"/>
  <c r="P678" i="2" s="1"/>
  <c r="Q678" i="2" a="1"/>
  <c r="Q678" i="2" s="1"/>
  <c r="A679" i="2" a="1"/>
  <c r="A679" i="2" s="1"/>
  <c r="B679" i="2" a="1"/>
  <c r="B679" i="2" s="1"/>
  <c r="C679" i="2" a="1"/>
  <c r="C679" i="2" s="1"/>
  <c r="D679" i="2" a="1"/>
  <c r="D679" i="2" s="1"/>
  <c r="E679" i="2" a="1"/>
  <c r="E679" i="2" s="1"/>
  <c r="F679" i="2" a="1"/>
  <c r="F679" i="2" s="1"/>
  <c r="G679" i="2" a="1"/>
  <c r="G679" i="2" s="1"/>
  <c r="H679" i="2" a="1"/>
  <c r="H679" i="2" s="1"/>
  <c r="I679" i="2" a="1"/>
  <c r="I679" i="2" s="1"/>
  <c r="J679" i="2" a="1"/>
  <c r="J679" i="2" s="1"/>
  <c r="K679" i="2" a="1"/>
  <c r="K679" i="2" s="1"/>
  <c r="L679" i="2" a="1"/>
  <c r="L679" i="2" s="1"/>
  <c r="M679" i="2" a="1"/>
  <c r="M679" i="2" s="1"/>
  <c r="N679" i="2" a="1"/>
  <c r="N679" i="2" s="1"/>
  <c r="O679" i="2" a="1"/>
  <c r="O679" i="2" s="1"/>
  <c r="P679" i="2" a="1"/>
  <c r="P679" i="2" s="1"/>
  <c r="Q679" i="2" a="1"/>
  <c r="Q679" i="2" s="1"/>
  <c r="A680" i="2" a="1"/>
  <c r="A680" i="2" s="1"/>
  <c r="B680" i="2" a="1"/>
  <c r="B680" i="2" s="1"/>
  <c r="C680" i="2" a="1"/>
  <c r="C680" i="2" s="1"/>
  <c r="D680" i="2" a="1"/>
  <c r="D680" i="2" s="1"/>
  <c r="E680" i="2" a="1"/>
  <c r="E680" i="2" s="1"/>
  <c r="F680" i="2" a="1"/>
  <c r="F680" i="2" s="1"/>
  <c r="G680" i="2" a="1"/>
  <c r="G680" i="2" s="1"/>
  <c r="H680" i="2" a="1"/>
  <c r="H680" i="2" s="1"/>
  <c r="I680" i="2" a="1"/>
  <c r="I680" i="2" s="1"/>
  <c r="J680" i="2" a="1"/>
  <c r="J680" i="2" s="1"/>
  <c r="K680" i="2" a="1"/>
  <c r="K680" i="2" s="1"/>
  <c r="L680" i="2" a="1"/>
  <c r="L680" i="2" s="1"/>
  <c r="M680" i="2" a="1"/>
  <c r="M680" i="2" s="1"/>
  <c r="N680" i="2" a="1"/>
  <c r="N680" i="2" s="1"/>
  <c r="O680" i="2" a="1"/>
  <c r="O680" i="2" s="1"/>
  <c r="P680" i="2" a="1"/>
  <c r="P680" i="2" s="1"/>
  <c r="Q680" i="2" a="1"/>
  <c r="Q680" i="2" s="1"/>
  <c r="A681" i="2" a="1"/>
  <c r="A681" i="2" s="1"/>
  <c r="B681" i="2" a="1"/>
  <c r="B681" i="2" s="1"/>
  <c r="C681" i="2" a="1"/>
  <c r="C681" i="2" s="1"/>
  <c r="D681" i="2" a="1"/>
  <c r="D681" i="2" s="1"/>
  <c r="E681" i="2" a="1"/>
  <c r="E681" i="2" s="1"/>
  <c r="F681" i="2" a="1"/>
  <c r="F681" i="2" s="1"/>
  <c r="G681" i="2" a="1"/>
  <c r="G681" i="2" s="1"/>
  <c r="H681" i="2" a="1"/>
  <c r="H681" i="2" s="1"/>
  <c r="I681" i="2" a="1"/>
  <c r="I681" i="2" s="1"/>
  <c r="J681" i="2" a="1"/>
  <c r="J681" i="2" s="1"/>
  <c r="K681" i="2" a="1"/>
  <c r="K681" i="2" s="1"/>
  <c r="L681" i="2" a="1"/>
  <c r="L681" i="2" s="1"/>
  <c r="M681" i="2" a="1"/>
  <c r="M681" i="2" s="1"/>
  <c r="N681" i="2" a="1"/>
  <c r="N681" i="2" s="1"/>
  <c r="O681" i="2" a="1"/>
  <c r="O681" i="2" s="1"/>
  <c r="P681" i="2" a="1"/>
  <c r="P681" i="2" s="1"/>
  <c r="Q681" i="2" a="1"/>
  <c r="Q681" i="2" s="1"/>
  <c r="A682" i="2" a="1"/>
  <c r="A682" i="2" s="1"/>
  <c r="B682" i="2" a="1"/>
  <c r="B682" i="2" s="1"/>
  <c r="C682" i="2" a="1"/>
  <c r="C682" i="2" s="1"/>
  <c r="D682" i="2" a="1"/>
  <c r="D682" i="2" s="1"/>
  <c r="E682" i="2" a="1"/>
  <c r="E682" i="2" s="1"/>
  <c r="F682" i="2" a="1"/>
  <c r="F682" i="2" s="1"/>
  <c r="G682" i="2" a="1"/>
  <c r="G682" i="2" s="1"/>
  <c r="H682" i="2" a="1"/>
  <c r="H682" i="2" s="1"/>
  <c r="I682" i="2" a="1"/>
  <c r="I682" i="2" s="1"/>
  <c r="J682" i="2" a="1"/>
  <c r="J682" i="2" s="1"/>
  <c r="K682" i="2" a="1"/>
  <c r="K682" i="2" s="1"/>
  <c r="L682" i="2" a="1"/>
  <c r="L682" i="2" s="1"/>
  <c r="M682" i="2" a="1"/>
  <c r="M682" i="2" s="1"/>
  <c r="N682" i="2" a="1"/>
  <c r="N682" i="2" s="1"/>
  <c r="O682" i="2" a="1"/>
  <c r="O682" i="2" s="1"/>
  <c r="P682" i="2" a="1"/>
  <c r="P682" i="2" s="1"/>
  <c r="Q682" i="2" a="1"/>
  <c r="Q682" i="2" s="1"/>
  <c r="A683" i="2" a="1"/>
  <c r="A683" i="2" s="1"/>
  <c r="B683" i="2" a="1"/>
  <c r="B683" i="2" s="1"/>
  <c r="C683" i="2" a="1"/>
  <c r="C683" i="2" s="1"/>
  <c r="D683" i="2" a="1"/>
  <c r="D683" i="2" s="1"/>
  <c r="E683" i="2" a="1"/>
  <c r="E683" i="2" s="1"/>
  <c r="F683" i="2" a="1"/>
  <c r="F683" i="2" s="1"/>
  <c r="G683" i="2" a="1"/>
  <c r="G683" i="2" s="1"/>
  <c r="H683" i="2" a="1"/>
  <c r="H683" i="2" s="1"/>
  <c r="I683" i="2" a="1"/>
  <c r="I683" i="2" s="1"/>
  <c r="J683" i="2" a="1"/>
  <c r="J683" i="2" s="1"/>
  <c r="K683" i="2" a="1"/>
  <c r="K683" i="2" s="1"/>
  <c r="L683" i="2" a="1"/>
  <c r="L683" i="2" s="1"/>
  <c r="M683" i="2" a="1"/>
  <c r="M683" i="2" s="1"/>
  <c r="N683" i="2" a="1"/>
  <c r="N683" i="2" s="1"/>
  <c r="O683" i="2" a="1"/>
  <c r="O683" i="2" s="1"/>
  <c r="P683" i="2" a="1"/>
  <c r="P683" i="2" s="1"/>
  <c r="Q683" i="2" a="1"/>
  <c r="Q683" i="2" s="1"/>
  <c r="A684" i="2" a="1"/>
  <c r="A684" i="2" s="1"/>
  <c r="B684" i="2" a="1"/>
  <c r="B684" i="2" s="1"/>
  <c r="C684" i="2" a="1"/>
  <c r="C684" i="2" s="1"/>
  <c r="D684" i="2" a="1"/>
  <c r="D684" i="2" s="1"/>
  <c r="E684" i="2" a="1"/>
  <c r="E684" i="2" s="1"/>
  <c r="F684" i="2" a="1"/>
  <c r="F684" i="2" s="1"/>
  <c r="G684" i="2" a="1"/>
  <c r="G684" i="2" s="1"/>
  <c r="H684" i="2" a="1"/>
  <c r="H684" i="2" s="1"/>
  <c r="I684" i="2" a="1"/>
  <c r="I684" i="2" s="1"/>
  <c r="J684" i="2" a="1"/>
  <c r="J684" i="2" s="1"/>
  <c r="K684" i="2" a="1"/>
  <c r="K684" i="2" s="1"/>
  <c r="L684" i="2" a="1"/>
  <c r="L684" i="2" s="1"/>
  <c r="M684" i="2" a="1"/>
  <c r="M684" i="2" s="1"/>
  <c r="N684" i="2" a="1"/>
  <c r="N684" i="2" s="1"/>
  <c r="O684" i="2" a="1"/>
  <c r="O684" i="2" s="1"/>
  <c r="P684" i="2" a="1"/>
  <c r="P684" i="2" s="1"/>
  <c r="Q684" i="2" a="1"/>
  <c r="Q684" i="2" s="1"/>
  <c r="A685" i="2" a="1"/>
  <c r="A685" i="2" s="1"/>
  <c r="B685" i="2" a="1"/>
  <c r="B685" i="2" s="1"/>
  <c r="C685" i="2" a="1"/>
  <c r="C685" i="2" s="1"/>
  <c r="D685" i="2" a="1"/>
  <c r="D685" i="2" s="1"/>
  <c r="E685" i="2" a="1"/>
  <c r="E685" i="2" s="1"/>
  <c r="F685" i="2" a="1"/>
  <c r="F685" i="2" s="1"/>
  <c r="G685" i="2" a="1"/>
  <c r="G685" i="2" s="1"/>
  <c r="H685" i="2" a="1"/>
  <c r="H685" i="2" s="1"/>
  <c r="I685" i="2" a="1"/>
  <c r="I685" i="2" s="1"/>
  <c r="J685" i="2" a="1"/>
  <c r="J685" i="2" s="1"/>
  <c r="K685" i="2" a="1"/>
  <c r="K685" i="2" s="1"/>
  <c r="L685" i="2" a="1"/>
  <c r="L685" i="2" s="1"/>
  <c r="M685" i="2" a="1"/>
  <c r="M685" i="2" s="1"/>
  <c r="N685" i="2" a="1"/>
  <c r="N685" i="2" s="1"/>
  <c r="O685" i="2" a="1"/>
  <c r="O685" i="2" s="1"/>
  <c r="P685" i="2" a="1"/>
  <c r="P685" i="2" s="1"/>
  <c r="Q685" i="2" a="1"/>
  <c r="Q685" i="2" s="1"/>
  <c r="A686" i="2" a="1"/>
  <c r="A686" i="2" s="1"/>
  <c r="B686" i="2" a="1"/>
  <c r="B686" i="2" s="1"/>
  <c r="C686" i="2" a="1"/>
  <c r="C686" i="2" s="1"/>
  <c r="D686" i="2" a="1"/>
  <c r="D686" i="2" s="1"/>
  <c r="E686" i="2" a="1"/>
  <c r="E686" i="2" s="1"/>
  <c r="F686" i="2" a="1"/>
  <c r="F686" i="2" s="1"/>
  <c r="G686" i="2" a="1"/>
  <c r="G686" i="2" s="1"/>
  <c r="H686" i="2" a="1"/>
  <c r="H686" i="2" s="1"/>
  <c r="I686" i="2" a="1"/>
  <c r="I686" i="2" s="1"/>
  <c r="J686" i="2" a="1"/>
  <c r="J686" i="2" s="1"/>
  <c r="K686" i="2" a="1"/>
  <c r="K686" i="2" s="1"/>
  <c r="L686" i="2" a="1"/>
  <c r="L686" i="2" s="1"/>
  <c r="M686" i="2" a="1"/>
  <c r="M686" i="2" s="1"/>
  <c r="N686" i="2" a="1"/>
  <c r="N686" i="2" s="1"/>
  <c r="O686" i="2" a="1"/>
  <c r="O686" i="2" s="1"/>
  <c r="P686" i="2" a="1"/>
  <c r="P686" i="2" s="1"/>
  <c r="Q686" i="2" a="1"/>
  <c r="Q686" i="2" s="1"/>
  <c r="A687" i="2" a="1"/>
  <c r="A687" i="2" s="1"/>
  <c r="B687" i="2" a="1"/>
  <c r="B687" i="2" s="1"/>
  <c r="C687" i="2" a="1"/>
  <c r="C687" i="2" s="1"/>
  <c r="D687" i="2" a="1"/>
  <c r="D687" i="2" s="1"/>
  <c r="E687" i="2" a="1"/>
  <c r="E687" i="2" s="1"/>
  <c r="F687" i="2" a="1"/>
  <c r="F687" i="2" s="1"/>
  <c r="G687" i="2" a="1"/>
  <c r="G687" i="2" s="1"/>
  <c r="H687" i="2" a="1"/>
  <c r="H687" i="2" s="1"/>
  <c r="I687" i="2" a="1"/>
  <c r="I687" i="2" s="1"/>
  <c r="J687" i="2" a="1"/>
  <c r="J687" i="2" s="1"/>
  <c r="K687" i="2" a="1"/>
  <c r="K687" i="2" s="1"/>
  <c r="L687" i="2" a="1"/>
  <c r="L687" i="2" s="1"/>
  <c r="M687" i="2" a="1"/>
  <c r="M687" i="2" s="1"/>
  <c r="N687" i="2" a="1"/>
  <c r="N687" i="2" s="1"/>
  <c r="O687" i="2" a="1"/>
  <c r="O687" i="2" s="1"/>
  <c r="P687" i="2" a="1"/>
  <c r="P687" i="2" s="1"/>
  <c r="Q687" i="2" a="1"/>
  <c r="Q687" i="2" s="1"/>
  <c r="A688" i="2" a="1"/>
  <c r="A688" i="2" s="1"/>
  <c r="B688" i="2" a="1"/>
  <c r="B688" i="2" s="1"/>
  <c r="C688" i="2" a="1"/>
  <c r="C688" i="2" s="1"/>
  <c r="D688" i="2" a="1"/>
  <c r="D688" i="2" s="1"/>
  <c r="E688" i="2" a="1"/>
  <c r="E688" i="2" s="1"/>
  <c r="F688" i="2" a="1"/>
  <c r="F688" i="2" s="1"/>
  <c r="G688" i="2" a="1"/>
  <c r="G688" i="2" s="1"/>
  <c r="H688" i="2" a="1"/>
  <c r="H688" i="2" s="1"/>
  <c r="I688" i="2" a="1"/>
  <c r="I688" i="2" s="1"/>
  <c r="J688" i="2" a="1"/>
  <c r="J688" i="2" s="1"/>
  <c r="K688" i="2" a="1"/>
  <c r="K688" i="2" s="1"/>
  <c r="L688" i="2" a="1"/>
  <c r="L688" i="2" s="1"/>
  <c r="M688" i="2" a="1"/>
  <c r="M688" i="2" s="1"/>
  <c r="N688" i="2" a="1"/>
  <c r="N688" i="2" s="1"/>
  <c r="O688" i="2" a="1"/>
  <c r="O688" i="2" s="1"/>
  <c r="P688" i="2" a="1"/>
  <c r="P688" i="2" s="1"/>
  <c r="Q688" i="2" a="1"/>
  <c r="Q688" i="2" s="1"/>
  <c r="A689" i="2" a="1"/>
  <c r="A689" i="2" s="1"/>
  <c r="B689" i="2" a="1"/>
  <c r="B689" i="2" s="1"/>
  <c r="C689" i="2" a="1"/>
  <c r="C689" i="2" s="1"/>
  <c r="D689" i="2" a="1"/>
  <c r="D689" i="2" s="1"/>
  <c r="E689" i="2" a="1"/>
  <c r="E689" i="2" s="1"/>
  <c r="F689" i="2" a="1"/>
  <c r="F689" i="2" s="1"/>
  <c r="G689" i="2" a="1"/>
  <c r="G689" i="2" s="1"/>
  <c r="H689" i="2" a="1"/>
  <c r="H689" i="2" s="1"/>
  <c r="I689" i="2" a="1"/>
  <c r="I689" i="2" s="1"/>
  <c r="J689" i="2" a="1"/>
  <c r="J689" i="2" s="1"/>
  <c r="K689" i="2" a="1"/>
  <c r="K689" i="2" s="1"/>
  <c r="L689" i="2" a="1"/>
  <c r="L689" i="2" s="1"/>
  <c r="M689" i="2" a="1"/>
  <c r="M689" i="2" s="1"/>
  <c r="N689" i="2" a="1"/>
  <c r="N689" i="2" s="1"/>
  <c r="O689" i="2" a="1"/>
  <c r="O689" i="2" s="1"/>
  <c r="P689" i="2" a="1"/>
  <c r="P689" i="2" s="1"/>
  <c r="Q689" i="2" a="1"/>
  <c r="Q689" i="2" s="1"/>
  <c r="A690" i="2" a="1"/>
  <c r="A690" i="2" s="1"/>
  <c r="B690" i="2" a="1"/>
  <c r="B690" i="2" s="1"/>
  <c r="C690" i="2" a="1"/>
  <c r="C690" i="2" s="1"/>
  <c r="D690" i="2" a="1"/>
  <c r="D690" i="2" s="1"/>
  <c r="E690" i="2" a="1"/>
  <c r="E690" i="2" s="1"/>
  <c r="F690" i="2" a="1"/>
  <c r="F690" i="2" s="1"/>
  <c r="G690" i="2" a="1"/>
  <c r="G690" i="2" s="1"/>
  <c r="H690" i="2" a="1"/>
  <c r="H690" i="2" s="1"/>
  <c r="I690" i="2" a="1"/>
  <c r="I690" i="2" s="1"/>
  <c r="J690" i="2" a="1"/>
  <c r="J690" i="2" s="1"/>
  <c r="K690" i="2" a="1"/>
  <c r="K690" i="2" s="1"/>
  <c r="L690" i="2" a="1"/>
  <c r="L690" i="2" s="1"/>
  <c r="M690" i="2" a="1"/>
  <c r="M690" i="2" s="1"/>
  <c r="N690" i="2" a="1"/>
  <c r="N690" i="2" s="1"/>
  <c r="O690" i="2" a="1"/>
  <c r="O690" i="2" s="1"/>
  <c r="P690" i="2" a="1"/>
  <c r="P690" i="2" s="1"/>
  <c r="Q690" i="2" a="1"/>
  <c r="Q690" i="2" s="1"/>
  <c r="A691" i="2" a="1"/>
  <c r="A691" i="2" s="1"/>
  <c r="B691" i="2" a="1"/>
  <c r="B691" i="2" s="1"/>
  <c r="C691" i="2" a="1"/>
  <c r="C691" i="2" s="1"/>
  <c r="D691" i="2" a="1"/>
  <c r="D691" i="2" s="1"/>
  <c r="E691" i="2" a="1"/>
  <c r="E691" i="2" s="1"/>
  <c r="F691" i="2" a="1"/>
  <c r="F691" i="2" s="1"/>
  <c r="G691" i="2" a="1"/>
  <c r="G691" i="2" s="1"/>
  <c r="H691" i="2" a="1"/>
  <c r="H691" i="2" s="1"/>
  <c r="I691" i="2" a="1"/>
  <c r="I691" i="2" s="1"/>
  <c r="J691" i="2" a="1"/>
  <c r="J691" i="2" s="1"/>
  <c r="K691" i="2" a="1"/>
  <c r="K691" i="2" s="1"/>
  <c r="L691" i="2" a="1"/>
  <c r="L691" i="2" s="1"/>
  <c r="M691" i="2" a="1"/>
  <c r="M691" i="2" s="1"/>
  <c r="N691" i="2" a="1"/>
  <c r="N691" i="2" s="1"/>
  <c r="O691" i="2" a="1"/>
  <c r="O691" i="2" s="1"/>
  <c r="P691" i="2" a="1"/>
  <c r="P691" i="2" s="1"/>
  <c r="Q691" i="2" a="1"/>
  <c r="Q691" i="2" s="1"/>
  <c r="A692" i="2" a="1"/>
  <c r="A692" i="2" s="1"/>
  <c r="B692" i="2" a="1"/>
  <c r="B692" i="2" s="1"/>
  <c r="C692" i="2" a="1"/>
  <c r="C692" i="2" s="1"/>
  <c r="D692" i="2" a="1"/>
  <c r="D692" i="2" s="1"/>
  <c r="E692" i="2" a="1"/>
  <c r="E692" i="2" s="1"/>
  <c r="F692" i="2" a="1"/>
  <c r="F692" i="2" s="1"/>
  <c r="G692" i="2" a="1"/>
  <c r="G692" i="2" s="1"/>
  <c r="H692" i="2" a="1"/>
  <c r="H692" i="2" s="1"/>
  <c r="I692" i="2" a="1"/>
  <c r="I692" i="2" s="1"/>
  <c r="J692" i="2" a="1"/>
  <c r="J692" i="2" s="1"/>
  <c r="K692" i="2" a="1"/>
  <c r="K692" i="2" s="1"/>
  <c r="L692" i="2" a="1"/>
  <c r="L692" i="2" s="1"/>
  <c r="M692" i="2" a="1"/>
  <c r="M692" i="2" s="1"/>
  <c r="N692" i="2" a="1"/>
  <c r="N692" i="2" s="1"/>
  <c r="O692" i="2" a="1"/>
  <c r="O692" i="2" s="1"/>
  <c r="P692" i="2" a="1"/>
  <c r="P692" i="2" s="1"/>
  <c r="Q692" i="2" a="1"/>
  <c r="Q692" i="2" s="1"/>
  <c r="F155" i="2" a="1"/>
  <c r="F155" i="2" s="1"/>
  <c r="J155" i="2" a="1"/>
  <c r="J155" i="2" s="1"/>
  <c r="L156" i="2" a="1"/>
  <c r="L156" i="2" s="1"/>
  <c r="N156" i="2" a="1"/>
  <c r="N156" i="2" s="1"/>
  <c r="O156" i="2" a="1"/>
  <c r="O156" i="2" s="1"/>
  <c r="P156" i="2" a="1"/>
  <c r="P156" i="2" s="1"/>
  <c r="P157" i="2" a="1"/>
  <c r="P157" i="2" s="1"/>
  <c r="G158" i="2" a="1"/>
  <c r="G158" i="2" s="1"/>
  <c r="I158" i="2" a="1"/>
  <c r="I158" i="2" s="1"/>
  <c r="D159" i="2" a="1"/>
  <c r="D159" i="2" s="1"/>
  <c r="M159" i="2" a="1"/>
  <c r="M159" i="2" s="1"/>
  <c r="N159" i="2" a="1"/>
  <c r="N159" i="2" s="1"/>
  <c r="Q159" i="2" a="1"/>
  <c r="Q159" i="2" s="1"/>
  <c r="A160" i="2" a="1"/>
  <c r="A160" i="2" s="1"/>
  <c r="F160" i="2" a="1"/>
  <c r="F160" i="2" s="1"/>
  <c r="G160" i="2" a="1"/>
  <c r="G160" i="2" s="1"/>
  <c r="A161" i="2" a="1"/>
  <c r="A161" i="2" s="1"/>
  <c r="C161" i="2" a="1"/>
  <c r="C161" i="2" s="1"/>
  <c r="D161" i="2" a="1"/>
  <c r="D161" i="2" s="1"/>
  <c r="P161" i="2" a="1"/>
  <c r="P161" i="2" s="1"/>
  <c r="E162" i="2" a="1"/>
  <c r="E162" i="2" s="1"/>
  <c r="L162" i="2" a="1"/>
  <c r="L162" i="2" s="1"/>
  <c r="N162" i="2" a="1"/>
  <c r="N162" i="2" s="1"/>
  <c r="P162" i="2" a="1"/>
  <c r="P162" i="2" s="1"/>
  <c r="F163" i="2" a="1"/>
  <c r="F163" i="2" s="1"/>
  <c r="K163" i="2" a="1"/>
  <c r="K163" i="2" s="1"/>
  <c r="L163" i="2" a="1"/>
  <c r="L163" i="2" s="1"/>
  <c r="Q163" i="2" a="1"/>
  <c r="Q163" i="2" s="1"/>
  <c r="C164" i="2" a="1"/>
  <c r="C164" i="2" s="1"/>
  <c r="O164" i="2" a="1"/>
  <c r="O164" i="2" s="1"/>
  <c r="D165" i="2" a="1"/>
  <c r="D165" i="2" s="1"/>
  <c r="J165" i="2" a="1"/>
  <c r="J165" i="2" s="1"/>
  <c r="E166" i="2" a="1"/>
  <c r="E166" i="2" s="1"/>
  <c r="I166" i="2" a="1"/>
  <c r="I166" i="2" s="1"/>
  <c r="P166" i="2" a="1"/>
  <c r="P166" i="2" s="1"/>
  <c r="C167" i="2" a="1"/>
  <c r="C167" i="2" s="1"/>
  <c r="A168" i="2" a="1"/>
  <c r="A168" i="2" s="1"/>
  <c r="C169" i="2" a="1"/>
  <c r="C169" i="2" s="1"/>
  <c r="E169" i="2" a="1"/>
  <c r="E169" i="2" s="1"/>
  <c r="I169" i="2" a="1"/>
  <c r="I169" i="2" s="1"/>
  <c r="M169" i="2" a="1"/>
  <c r="M169" i="2" s="1"/>
  <c r="F170" i="2" a="1"/>
  <c r="F170" i="2" s="1"/>
  <c r="N170" i="2" a="1"/>
  <c r="N170" i="2" s="1"/>
  <c r="L171" i="2" a="1"/>
  <c r="L171" i="2" s="1"/>
  <c r="B172" i="2" a="1"/>
  <c r="B172" i="2" s="1"/>
  <c r="E172" i="2" a="1"/>
  <c r="E172" i="2" s="1"/>
  <c r="M172" i="2" a="1"/>
  <c r="M172" i="2" s="1"/>
  <c r="O172" i="2" a="1"/>
  <c r="O172" i="2" s="1"/>
  <c r="F173" i="2" a="1"/>
  <c r="F173" i="2" s="1"/>
  <c r="H173" i="2" a="1"/>
  <c r="H173" i="2" s="1"/>
  <c r="B174" i="2" a="1"/>
  <c r="B174" i="2" s="1"/>
  <c r="Q174" i="2" a="1"/>
  <c r="Q174" i="2" s="1"/>
  <c r="B175" i="2" a="1"/>
  <c r="B175" i="2" s="1"/>
  <c r="C175" i="2" a="1"/>
  <c r="C175" i="2" s="1"/>
  <c r="H175" i="2" a="1"/>
  <c r="H175" i="2" s="1"/>
  <c r="O175" i="2" a="1"/>
  <c r="O175" i="2" s="1"/>
  <c r="E177" i="2" a="1"/>
  <c r="E177" i="2" s="1"/>
  <c r="F177" i="2" a="1"/>
  <c r="F177" i="2" s="1"/>
  <c r="H177" i="2" a="1"/>
  <c r="H177" i="2" s="1"/>
  <c r="K177" i="2" a="1"/>
  <c r="K177" i="2" s="1"/>
  <c r="N177" i="2" a="1"/>
  <c r="N177" i="2" s="1"/>
  <c r="O177" i="2" a="1"/>
  <c r="O177" i="2" s="1"/>
  <c r="Q177" i="2" a="1"/>
  <c r="Q177" i="2" s="1"/>
  <c r="H179" i="2" a="1"/>
  <c r="H179" i="2" s="1"/>
  <c r="F181" i="2" a="1"/>
  <c r="F181" i="2" s="1"/>
  <c r="M181" i="2" a="1"/>
  <c r="M181" i="2" s="1"/>
  <c r="D182" i="2" a="1"/>
  <c r="D182" i="2" s="1"/>
  <c r="Q182" i="2" a="1"/>
  <c r="Q182" i="2" s="1"/>
  <c r="B183" i="2" a="1"/>
  <c r="B183" i="2" s="1"/>
  <c r="P183" i="2" a="1"/>
  <c r="P183" i="2" s="1"/>
  <c r="A184" i="2" a="1"/>
  <c r="A184" i="2" s="1"/>
  <c r="B184" i="2" a="1"/>
  <c r="B184" i="2" s="1"/>
  <c r="D184" i="2" a="1"/>
  <c r="D184" i="2" s="1"/>
  <c r="G184" i="2" a="1"/>
  <c r="G184" i="2" s="1"/>
  <c r="H184" i="2" a="1"/>
  <c r="H184" i="2" s="1"/>
  <c r="K184" i="2" a="1"/>
  <c r="K184" i="2" s="1"/>
  <c r="M184" i="2" a="1"/>
  <c r="M184" i="2" s="1"/>
  <c r="M185" i="2" a="1"/>
  <c r="M185" i="2" s="1"/>
  <c r="Q185" i="2" a="1"/>
  <c r="Q185" i="2" s="1"/>
  <c r="B188" i="2" a="1"/>
  <c r="B188" i="2" s="1"/>
  <c r="K188" i="2" a="1"/>
  <c r="K188" i="2" s="1"/>
  <c r="C189" i="2" a="1"/>
  <c r="C189" i="2" s="1"/>
  <c r="N189" i="2" a="1"/>
  <c r="N189" i="2" s="1"/>
  <c r="E191" i="2" a="1"/>
  <c r="E191" i="2" s="1"/>
  <c r="L192" i="2" a="1"/>
  <c r="L192" i="2" s="1"/>
  <c r="G193" i="2" a="1"/>
  <c r="G193" i="2" s="1"/>
  <c r="F194" i="2" a="1"/>
  <c r="F194" i="2" s="1"/>
  <c r="A195" i="2" a="1"/>
  <c r="A195" i="2" s="1"/>
  <c r="B195" i="2" a="1"/>
  <c r="B195" i="2" s="1"/>
  <c r="I195" i="2" a="1"/>
  <c r="I195" i="2" s="1"/>
  <c r="M195" i="2" a="1"/>
  <c r="M195" i="2" s="1"/>
  <c r="Q195" i="2" a="1"/>
  <c r="Q195" i="2" s="1"/>
  <c r="K198" i="2" a="1"/>
  <c r="K198" i="2" s="1"/>
  <c r="B199" i="2" a="1"/>
  <c r="B199" i="2" s="1"/>
  <c r="F199" i="2" a="1"/>
  <c r="F199" i="2" s="1"/>
  <c r="H199" i="2" a="1"/>
  <c r="H199" i="2" s="1"/>
  <c r="P199" i="2" a="1"/>
  <c r="P199" i="2" s="1"/>
  <c r="Q200" i="2" a="1"/>
  <c r="Q200" i="2" s="1"/>
  <c r="F201" i="2" a="1"/>
  <c r="F201" i="2" s="1"/>
  <c r="P202" i="2" a="1"/>
  <c r="P202" i="2" s="1"/>
  <c r="P204" i="2" a="1"/>
  <c r="P204" i="2" s="1"/>
  <c r="A205" i="2" a="1"/>
  <c r="A205" i="2" s="1"/>
  <c r="G205" i="2" a="1"/>
  <c r="G205" i="2" s="1"/>
  <c r="P205" i="2" a="1"/>
  <c r="P205" i="2" s="1"/>
  <c r="Q206" i="2" a="1"/>
  <c r="Q206" i="2" s="1"/>
  <c r="A207" i="2" a="1"/>
  <c r="A207" i="2" s="1"/>
  <c r="B207" i="2" a="1"/>
  <c r="B207" i="2" s="1"/>
  <c r="C207" i="2" a="1"/>
  <c r="C207" i="2" s="1"/>
  <c r="F207" i="2" a="1"/>
  <c r="F207" i="2" s="1"/>
  <c r="H207" i="2" a="1"/>
  <c r="H207" i="2" s="1"/>
  <c r="M208" i="2" a="1"/>
  <c r="M208" i="2" s="1"/>
  <c r="A209" i="2" a="1"/>
  <c r="A209" i="2" s="1"/>
  <c r="I210" i="2" a="1"/>
  <c r="I210" i="2" s="1"/>
  <c r="N210" i="2" a="1"/>
  <c r="N210" i="2" s="1"/>
  <c r="B212" i="2" a="1"/>
  <c r="B212" i="2" s="1"/>
  <c r="L212" i="2" a="1"/>
  <c r="L212" i="2" s="1"/>
  <c r="O212" i="2" a="1"/>
  <c r="O212" i="2" s="1"/>
  <c r="K213" i="2" a="1"/>
  <c r="K213" i="2" s="1"/>
  <c r="C215" i="2" a="1"/>
  <c r="C215" i="2" s="1"/>
  <c r="D217" i="2" a="1"/>
  <c r="D217" i="2" s="1"/>
  <c r="G217" i="2" a="1"/>
  <c r="G217" i="2" s="1"/>
  <c r="H217" i="2" a="1"/>
  <c r="H217" i="2" s="1"/>
  <c r="P218" i="2" a="1"/>
  <c r="P218" i="2" s="1"/>
  <c r="P219" i="2" a="1"/>
  <c r="P219" i="2" s="1"/>
  <c r="Q219" i="2" a="1"/>
  <c r="Q219" i="2" s="1"/>
  <c r="H220" i="2" a="1"/>
  <c r="H220" i="2" s="1"/>
  <c r="K222" i="2" a="1"/>
  <c r="K222" i="2" s="1"/>
  <c r="O222" i="2" a="1"/>
  <c r="O222" i="2" s="1"/>
  <c r="M223" i="2" a="1"/>
  <c r="M223" i="2" s="1"/>
  <c r="I225" i="2" a="1"/>
  <c r="I225" i="2" s="1"/>
  <c r="C226" i="2" a="1"/>
  <c r="C226" i="2" s="1"/>
  <c r="N226" i="2" a="1"/>
  <c r="N226" i="2" s="1"/>
  <c r="P226" i="2" a="1"/>
  <c r="P226" i="2" s="1"/>
  <c r="G228" i="2" a="1"/>
  <c r="G228" i="2" s="1"/>
  <c r="B230" i="2" a="1"/>
  <c r="B230" i="2" s="1"/>
  <c r="D231" i="2" a="1"/>
  <c r="D231" i="2" s="1"/>
  <c r="N232" i="2" a="1"/>
  <c r="N232" i="2" s="1"/>
  <c r="P233" i="2" a="1"/>
  <c r="P233" i="2" s="1"/>
  <c r="P236" i="2" a="1"/>
  <c r="P236" i="2" s="1"/>
  <c r="Q236" i="2" a="1"/>
  <c r="Q236" i="2" s="1"/>
  <c r="F237" i="2" a="1"/>
  <c r="F237" i="2" s="1"/>
  <c r="L238" i="2" a="1"/>
  <c r="L238" i="2" s="1"/>
  <c r="A239" i="2" a="1"/>
  <c r="A239" i="2" s="1"/>
  <c r="F239" i="2" a="1"/>
  <c r="F239" i="2" s="1"/>
  <c r="K239" i="2" a="1"/>
  <c r="K239" i="2" s="1"/>
  <c r="N239" i="2" a="1"/>
  <c r="N239" i="2" s="1"/>
  <c r="P239" i="2" a="1"/>
  <c r="P239" i="2" s="1"/>
  <c r="C241" i="2" a="1"/>
  <c r="C241" i="2" s="1"/>
  <c r="M241" i="2" a="1"/>
  <c r="M241" i="2" s="1"/>
  <c r="O241" i="2" a="1"/>
  <c r="O241" i="2" s="1"/>
  <c r="Q242" i="2" a="1"/>
  <c r="Q242" i="2" s="1"/>
  <c r="C245" i="2" a="1"/>
  <c r="C245" i="2" s="1"/>
  <c r="K246" i="2" a="1"/>
  <c r="K246" i="2" s="1"/>
  <c r="O246" i="2" a="1"/>
  <c r="O246" i="2" s="1"/>
  <c r="D247" i="2" a="1"/>
  <c r="D247" i="2" s="1"/>
  <c r="K247" i="2" a="1"/>
  <c r="K247" i="2" s="1"/>
  <c r="L250" i="2" a="1"/>
  <c r="L250" i="2" s="1"/>
  <c r="B252" i="2" a="1"/>
  <c r="B252" i="2" s="1"/>
  <c r="I252" i="2" a="1"/>
  <c r="I252" i="2" s="1"/>
  <c r="J252" i="2" a="1"/>
  <c r="J252" i="2" s="1"/>
  <c r="M252" i="2" a="1"/>
  <c r="M252" i="2" s="1"/>
  <c r="J254" i="2" a="1"/>
  <c r="J254" i="2" s="1"/>
  <c r="K254" i="2" a="1"/>
  <c r="K254" i="2" s="1"/>
  <c r="C255" i="2" a="1"/>
  <c r="C255" i="2" s="1"/>
  <c r="K255" i="2" a="1"/>
  <c r="K255" i="2" s="1"/>
  <c r="B256" i="2" a="1"/>
  <c r="B256" i="2" s="1"/>
  <c r="D256" i="2" a="1"/>
  <c r="D256" i="2" s="1"/>
  <c r="G256" i="2" a="1"/>
  <c r="G256" i="2" s="1"/>
  <c r="H256" i="2" a="1"/>
  <c r="H256" i="2" s="1"/>
  <c r="H257" i="2" a="1"/>
  <c r="H257" i="2" s="1"/>
  <c r="K258" i="2" a="1"/>
  <c r="K258" i="2" s="1"/>
  <c r="B261" i="2" a="1"/>
  <c r="B261" i="2" s="1"/>
  <c r="M262" i="2" a="1"/>
  <c r="M262" i="2" s="1"/>
  <c r="E263" i="2" a="1"/>
  <c r="E263" i="2" s="1"/>
  <c r="J263" i="2" a="1"/>
  <c r="J263" i="2" s="1"/>
  <c r="M263" i="2" a="1"/>
  <c r="M263" i="2" s="1"/>
  <c r="L265" i="2" a="1"/>
  <c r="L265" i="2" s="1"/>
  <c r="H266" i="2" a="1"/>
  <c r="H266" i="2" s="1"/>
  <c r="J267" i="2" a="1"/>
  <c r="J267" i="2" s="1"/>
  <c r="A268" i="2" a="1"/>
  <c r="A268" i="2" s="1"/>
  <c r="B268" i="2" a="1"/>
  <c r="B268" i="2" s="1"/>
  <c r="B269" i="2" a="1"/>
  <c r="B269" i="2" s="1"/>
  <c r="C269" i="2" a="1"/>
  <c r="C269" i="2" s="1"/>
  <c r="K269" i="2" a="1"/>
  <c r="K269" i="2" s="1"/>
  <c r="L269" i="2" a="1"/>
  <c r="L269" i="2" s="1"/>
  <c r="M269" i="2" a="1"/>
  <c r="M269" i="2" s="1"/>
  <c r="D270" i="2" a="1"/>
  <c r="D270" i="2" s="1"/>
  <c r="F270" i="2" a="1"/>
  <c r="F270" i="2" s="1"/>
  <c r="P272" i="2" a="1"/>
  <c r="P272" i="2" s="1"/>
  <c r="A273" i="2" a="1"/>
  <c r="A273" i="2" s="1"/>
  <c r="D273" i="2" a="1"/>
  <c r="D273" i="2" s="1"/>
  <c r="B274" i="2" a="1"/>
  <c r="B274" i="2" s="1"/>
  <c r="Q274" i="2" a="1"/>
  <c r="Q274" i="2" s="1"/>
  <c r="P275" i="2" a="1"/>
  <c r="P275" i="2" s="1"/>
  <c r="A276" i="2" a="1"/>
  <c r="A276" i="2" s="1"/>
  <c r="C277" i="2" a="1"/>
  <c r="C277" i="2" s="1"/>
  <c r="L277" i="2" a="1"/>
  <c r="L277" i="2" s="1"/>
  <c r="G279" i="2" a="1"/>
  <c r="G279" i="2" s="1"/>
  <c r="I280" i="2" a="1"/>
  <c r="I280" i="2" s="1"/>
  <c r="E281" i="2" a="1"/>
  <c r="E281" i="2" s="1"/>
  <c r="K281" i="2" a="1"/>
  <c r="K281" i="2" s="1"/>
  <c r="I285" i="2" a="1"/>
  <c r="I285" i="2" s="1"/>
  <c r="G298" i="2" a="1"/>
  <c r="G298" i="2" s="1"/>
  <c r="H300" i="2" a="1"/>
  <c r="H300" i="2" s="1"/>
  <c r="I301" i="2" a="1"/>
  <c r="I301" i="2" s="1"/>
  <c r="I313" i="2" a="1"/>
  <c r="I313" i="2" s="1"/>
  <c r="O313" i="2" a="1"/>
  <c r="O313" i="2" s="1"/>
  <c r="Q313" i="2" a="1"/>
  <c r="Q313" i="2" s="1"/>
  <c r="Q319" i="2" a="1"/>
  <c r="Q319" i="2" s="1"/>
  <c r="M320" i="2" a="1"/>
  <c r="M320" i="2" s="1"/>
  <c r="A324" i="2" a="1"/>
  <c r="A324" i="2" s="1"/>
  <c r="D325" i="2" a="1"/>
  <c r="D325" i="2" s="1"/>
  <c r="K325" i="2" a="1"/>
  <c r="K325" i="2" s="1"/>
  <c r="M325" i="2" a="1"/>
  <c r="M325" i="2" s="1"/>
  <c r="O325" i="2" a="1"/>
  <c r="O325" i="2" s="1"/>
  <c r="E326" i="2" a="1"/>
  <c r="E326" i="2" s="1"/>
  <c r="O327" i="2" a="1"/>
  <c r="O327" i="2" s="1"/>
  <c r="M328" i="2" a="1"/>
  <c r="M328" i="2" s="1"/>
  <c r="H329" i="2" a="1"/>
  <c r="H329" i="2" s="1"/>
  <c r="M329" i="2" a="1"/>
  <c r="M329" i="2" s="1"/>
  <c r="C330" i="2" a="1"/>
  <c r="C330" i="2" s="1"/>
  <c r="O333" i="2" a="1"/>
  <c r="O333" i="2" s="1"/>
  <c r="E336" i="2" a="1"/>
  <c r="E336" i="2" s="1"/>
  <c r="C337" i="2" a="1"/>
  <c r="C337" i="2" s="1"/>
  <c r="K338" i="2" a="1"/>
  <c r="K338" i="2" s="1"/>
  <c r="E339" i="2" a="1"/>
  <c r="E339" i="2" s="1"/>
  <c r="E341" i="2" a="1"/>
  <c r="E341" i="2" s="1"/>
  <c r="K344" i="2" a="1"/>
  <c r="K344" i="2" s="1"/>
  <c r="O346" i="2" a="1"/>
  <c r="O346" i="2" s="1"/>
  <c r="N349" i="2" a="1"/>
  <c r="N349" i="2" s="1"/>
  <c r="Q352" i="2" a="1"/>
  <c r="Q352" i="2" s="1"/>
  <c r="P356" i="2" a="1"/>
  <c r="P356" i="2" s="1"/>
  <c r="A363" i="2" a="1"/>
  <c r="A363" i="2" s="1"/>
  <c r="F363" i="2" a="1"/>
  <c r="F363" i="2" s="1"/>
  <c r="O363" i="2" a="1"/>
  <c r="O363" i="2" s="1"/>
  <c r="B367" i="2" a="1"/>
  <c r="B367" i="2" s="1"/>
  <c r="J370" i="2" a="1"/>
  <c r="J370" i="2" s="1"/>
  <c r="K370" i="2" a="1"/>
  <c r="K370" i="2" s="1"/>
  <c r="D372" i="2" a="1"/>
  <c r="D372" i="2" s="1"/>
  <c r="Q372" i="2" a="1"/>
  <c r="Q372" i="2" s="1"/>
  <c r="O376" i="2" a="1"/>
  <c r="O376" i="2" s="1"/>
  <c r="O383" i="2" a="1"/>
  <c r="O383" i="2" s="1"/>
  <c r="I399" i="2" a="1"/>
  <c r="I399" i="2" s="1"/>
  <c r="H400" i="2" a="1"/>
  <c r="H400" i="2" s="1"/>
  <c r="I403" i="2" a="1"/>
  <c r="I403" i="2" s="1"/>
  <c r="B406" i="2" a="1"/>
  <c r="B406" i="2" s="1"/>
  <c r="E406" i="2" a="1"/>
  <c r="E406" i="2" s="1"/>
  <c r="P406" i="2" a="1"/>
  <c r="P406" i="2" s="1"/>
  <c r="C407" i="2" a="1"/>
  <c r="C407" i="2" s="1"/>
  <c r="I407" i="2" a="1"/>
  <c r="I407" i="2" s="1"/>
  <c r="N407" i="2" a="1"/>
  <c r="N407" i="2" s="1"/>
  <c r="B408" i="2" a="1"/>
  <c r="B408" i="2" s="1"/>
  <c r="C408" i="2" a="1"/>
  <c r="C408" i="2" s="1"/>
  <c r="F408" i="2" a="1"/>
  <c r="F408" i="2" s="1"/>
  <c r="A409" i="2" a="1"/>
  <c r="A409" i="2" s="1"/>
  <c r="H409" i="2" a="1"/>
  <c r="H409" i="2" s="1"/>
  <c r="I409" i="2" a="1"/>
  <c r="I409" i="2" s="1"/>
  <c r="D410" i="2" a="1"/>
  <c r="D410" i="2" s="1"/>
  <c r="G410" i="2" a="1"/>
  <c r="G410" i="2" s="1"/>
  <c r="I410" i="2" a="1"/>
  <c r="I410" i="2" s="1"/>
  <c r="K410" i="2" a="1"/>
  <c r="K410" i="2" s="1"/>
  <c r="L410" i="2" a="1"/>
  <c r="L410" i="2" s="1"/>
  <c r="D411" i="2" a="1"/>
  <c r="D411" i="2" s="1"/>
  <c r="G411" i="2" a="1"/>
  <c r="G411" i="2" s="1"/>
  <c r="K411" i="2" a="1"/>
  <c r="K411" i="2" s="1"/>
  <c r="M411" i="2" a="1"/>
  <c r="M411" i="2" s="1"/>
  <c r="P411" i="2" a="1"/>
  <c r="P411" i="2" s="1"/>
  <c r="P413" i="2" a="1"/>
  <c r="P413" i="2" s="1"/>
  <c r="M414" i="2" a="1"/>
  <c r="M414" i="2" s="1"/>
  <c r="A415" i="2" a="1"/>
  <c r="A415" i="2" s="1"/>
  <c r="E415" i="2" a="1"/>
  <c r="E415" i="2" s="1"/>
  <c r="I415" i="2" a="1"/>
  <c r="I415" i="2" s="1"/>
  <c r="P415" i="2" a="1"/>
  <c r="P415" i="2" s="1"/>
  <c r="C416" i="2" a="1"/>
  <c r="C416" i="2" s="1"/>
  <c r="B417" i="2" a="1"/>
  <c r="B417" i="2" s="1"/>
  <c r="K417" i="2" a="1"/>
  <c r="K417" i="2" s="1"/>
  <c r="A418" i="2" a="1"/>
  <c r="A418" i="2" s="1"/>
  <c r="C418" i="2" a="1"/>
  <c r="C418" i="2" s="1"/>
  <c r="D418" i="2" a="1"/>
  <c r="D418" i="2" s="1"/>
  <c r="H418" i="2" a="1"/>
  <c r="H418" i="2" s="1"/>
  <c r="K418" i="2" a="1"/>
  <c r="K418" i="2" s="1"/>
  <c r="A419" i="2" a="1"/>
  <c r="A419" i="2" s="1"/>
  <c r="I419" i="2" a="1"/>
  <c r="I419" i="2" s="1"/>
  <c r="J419" i="2" a="1"/>
  <c r="J419" i="2" s="1"/>
  <c r="L419" i="2" a="1"/>
  <c r="L419" i="2" s="1"/>
  <c r="P419" i="2" a="1"/>
  <c r="P419" i="2" s="1"/>
  <c r="D420" i="2" a="1"/>
  <c r="D420" i="2" s="1"/>
  <c r="N421" i="2" a="1"/>
  <c r="N421" i="2" s="1"/>
  <c r="O421" i="2" a="1"/>
  <c r="O421" i="2" s="1"/>
  <c r="P422" i="2" a="1"/>
  <c r="P422" i="2" s="1"/>
  <c r="A423" i="2" a="1"/>
  <c r="A423" i="2" s="1"/>
  <c r="E423" i="2" a="1"/>
  <c r="E423" i="2" s="1"/>
  <c r="F423" i="2" a="1"/>
  <c r="F423" i="2" s="1"/>
  <c r="M423" i="2" a="1"/>
  <c r="M423" i="2" s="1"/>
  <c r="Q423" i="2" a="1"/>
  <c r="Q423" i="2" s="1"/>
  <c r="G424" i="2" a="1"/>
  <c r="G424" i="2" s="1"/>
  <c r="M425" i="2" a="1"/>
  <c r="M425" i="2" s="1"/>
  <c r="P425" i="2" a="1"/>
  <c r="P425" i="2" s="1"/>
  <c r="P427" i="2" a="1"/>
  <c r="P427" i="2" s="1"/>
  <c r="F432" i="2" a="1"/>
  <c r="F432" i="2" s="1"/>
  <c r="B450" i="2" a="1"/>
  <c r="B450" i="2" s="1"/>
  <c r="I452" i="2" a="1"/>
  <c r="I452" i="2" s="1"/>
  <c r="F456" i="2" a="1"/>
  <c r="F456" i="2" s="1"/>
  <c r="I456" i="2" a="1"/>
  <c r="I456" i="2" s="1"/>
  <c r="K467" i="2" a="1"/>
  <c r="K467" i="2" s="1"/>
  <c r="O467" i="2" a="1"/>
  <c r="O467" i="2" s="1"/>
  <c r="C468" i="2" a="1"/>
  <c r="C468" i="2" s="1"/>
  <c r="O486" i="2" a="1"/>
  <c r="O486" i="2" s="1"/>
  <c r="F508" i="2" a="1"/>
  <c r="F508" i="2" s="1"/>
  <c r="P508" i="2" a="1"/>
  <c r="P508" i="2" s="1"/>
  <c r="N509" i="2" a="1"/>
  <c r="N509" i="2" s="1"/>
  <c r="Q511" i="2" a="1"/>
  <c r="Q511" i="2" s="1"/>
  <c r="A513" i="2" a="1"/>
  <c r="A513" i="2" s="1"/>
  <c r="F522" i="2" a="1"/>
  <c r="F522" i="2" s="1"/>
  <c r="H523" i="2" a="1"/>
  <c r="H523" i="2" s="1"/>
  <c r="Q524" i="2" a="1"/>
  <c r="Q524" i="2" s="1"/>
  <c r="D528" i="2" a="1"/>
  <c r="D528" i="2" s="1"/>
  <c r="I533" i="2" a="1"/>
  <c r="I533" i="2" s="1"/>
  <c r="Q536" i="2" a="1"/>
  <c r="Q536" i="2" s="1"/>
  <c r="F550" i="2" a="1"/>
  <c r="F550" i="2" s="1"/>
  <c r="H550" i="2" a="1"/>
  <c r="H550" i="2" s="1"/>
  <c r="P553" i="2" a="1"/>
  <c r="P553" i="2" s="1"/>
  <c r="Q553" i="2" a="1"/>
  <c r="Q553" i="2" s="1"/>
  <c r="I554" i="2" a="1"/>
  <c r="I554" i="2" s="1"/>
  <c r="A555" i="2" a="1"/>
  <c r="A555" i="2" s="1"/>
  <c r="Q565" i="2" a="1"/>
  <c r="Q565" i="2" s="1"/>
  <c r="A566" i="2" a="1"/>
  <c r="A566" i="2" s="1"/>
  <c r="B566" i="2" a="1"/>
  <c r="B566" i="2" s="1"/>
  <c r="C566" i="2" a="1"/>
  <c r="C566" i="2" s="1"/>
  <c r="D566" i="2" a="1"/>
  <c r="D566" i="2" s="1"/>
  <c r="P566" i="2" a="1"/>
  <c r="P566" i="2" s="1"/>
  <c r="A693" i="2" a="1"/>
  <c r="A693" i="2" s="1"/>
  <c r="B693" i="2" a="1"/>
  <c r="B693" i="2" s="1"/>
  <c r="C693" i="2" a="1"/>
  <c r="C693" i="2" s="1"/>
  <c r="D693" i="2" a="1"/>
  <c r="D693" i="2" s="1"/>
  <c r="E693" i="2" a="1"/>
  <c r="E693" i="2" s="1"/>
  <c r="F693" i="2" a="1"/>
  <c r="F693" i="2" s="1"/>
  <c r="G693" i="2" a="1"/>
  <c r="G693" i="2" s="1"/>
  <c r="H693" i="2" a="1"/>
  <c r="H693" i="2" s="1"/>
  <c r="I693" i="2" a="1"/>
  <c r="I693" i="2" s="1"/>
  <c r="J693" i="2" a="1"/>
  <c r="J693" i="2" s="1"/>
  <c r="K693" i="2" a="1"/>
  <c r="K693" i="2" s="1"/>
  <c r="L693" i="2" a="1"/>
  <c r="L693" i="2" s="1"/>
  <c r="M693" i="2" a="1"/>
  <c r="M693" i="2" s="1"/>
  <c r="N693" i="2" a="1"/>
  <c r="N693" i="2" s="1"/>
  <c r="O693" i="2" a="1"/>
  <c r="O693" i="2" s="1"/>
  <c r="P693" i="2" a="1"/>
  <c r="P693" i="2" s="1"/>
  <c r="Q693" i="2" a="1"/>
  <c r="Q693" i="2" s="1"/>
  <c r="A694" i="2" a="1"/>
  <c r="A694" i="2" s="1"/>
  <c r="B694" i="2" a="1"/>
  <c r="B694" i="2" s="1"/>
  <c r="C694" i="2" a="1"/>
  <c r="C694" i="2" s="1"/>
  <c r="D694" i="2" a="1"/>
  <c r="D694" i="2" s="1"/>
  <c r="E694" i="2" a="1"/>
  <c r="E694" i="2" s="1"/>
  <c r="F694" i="2" a="1"/>
  <c r="F694" i="2" s="1"/>
  <c r="G694" i="2" a="1"/>
  <c r="G694" i="2" s="1"/>
  <c r="H694" i="2" a="1"/>
  <c r="H694" i="2" s="1"/>
  <c r="I694" i="2" a="1"/>
  <c r="I694" i="2" s="1"/>
  <c r="J694" i="2" a="1"/>
  <c r="J694" i="2" s="1"/>
  <c r="K694" i="2" a="1"/>
  <c r="K694" i="2" s="1"/>
  <c r="L694" i="2" a="1"/>
  <c r="L694" i="2" s="1"/>
  <c r="M694" i="2" a="1"/>
  <c r="M694" i="2" s="1"/>
  <c r="N694" i="2" a="1"/>
  <c r="N694" i="2" s="1"/>
  <c r="O694" i="2" a="1"/>
  <c r="O694" i="2" s="1"/>
  <c r="P694" i="2" a="1"/>
  <c r="P694" i="2" s="1"/>
  <c r="Q694" i="2" a="1"/>
  <c r="Q694" i="2" s="1"/>
  <c r="A695" i="2" a="1"/>
  <c r="A695" i="2" s="1"/>
  <c r="B695" i="2" a="1"/>
  <c r="B695" i="2" s="1"/>
  <c r="C695" i="2" a="1"/>
  <c r="C695" i="2" s="1"/>
  <c r="D695" i="2" a="1"/>
  <c r="D695" i="2" s="1"/>
  <c r="E695" i="2" a="1"/>
  <c r="E695" i="2" s="1"/>
  <c r="F695" i="2" a="1"/>
  <c r="F695" i="2" s="1"/>
  <c r="G695" i="2" a="1"/>
  <c r="G695" i="2" s="1"/>
  <c r="H695" i="2" a="1"/>
  <c r="H695" i="2" s="1"/>
  <c r="I695" i="2" a="1"/>
  <c r="I695" i="2" s="1"/>
  <c r="J695" i="2" a="1"/>
  <c r="J695" i="2" s="1"/>
  <c r="K695" i="2" a="1"/>
  <c r="K695" i="2" s="1"/>
  <c r="L695" i="2" a="1"/>
  <c r="L695" i="2" s="1"/>
  <c r="M695" i="2" a="1"/>
  <c r="M695" i="2" s="1"/>
  <c r="N695" i="2" a="1"/>
  <c r="N695" i="2" s="1"/>
  <c r="O695" i="2" a="1"/>
  <c r="O695" i="2" s="1"/>
  <c r="P695" i="2" a="1"/>
  <c r="P695" i="2" s="1"/>
  <c r="Q695" i="2" a="1"/>
  <c r="Q695" i="2" s="1"/>
  <c r="A696" i="2" a="1"/>
  <c r="A696" i="2" s="1"/>
  <c r="B696" i="2" a="1"/>
  <c r="B696" i="2" s="1"/>
  <c r="C696" i="2" a="1"/>
  <c r="C696" i="2" s="1"/>
  <c r="D696" i="2" a="1"/>
  <c r="D696" i="2" s="1"/>
  <c r="E696" i="2" a="1"/>
  <c r="E696" i="2" s="1"/>
  <c r="F696" i="2" a="1"/>
  <c r="F696" i="2" s="1"/>
  <c r="G696" i="2" a="1"/>
  <c r="G696" i="2" s="1"/>
  <c r="H696" i="2" a="1"/>
  <c r="H696" i="2" s="1"/>
  <c r="I696" i="2" a="1"/>
  <c r="I696" i="2" s="1"/>
  <c r="J696" i="2" a="1"/>
  <c r="J696" i="2" s="1"/>
  <c r="K696" i="2" a="1"/>
  <c r="K696" i="2" s="1"/>
  <c r="L696" i="2" a="1"/>
  <c r="L696" i="2" s="1"/>
  <c r="M696" i="2" a="1"/>
  <c r="M696" i="2" s="1"/>
  <c r="N696" i="2" a="1"/>
  <c r="N696" i="2" s="1"/>
  <c r="O696" i="2" a="1"/>
  <c r="O696" i="2" s="1"/>
  <c r="P696" i="2" a="1"/>
  <c r="P696" i="2" s="1"/>
  <c r="Q696" i="2" a="1"/>
  <c r="Q696" i="2" s="1"/>
  <c r="A697" i="2" a="1"/>
  <c r="A697" i="2" s="1"/>
  <c r="B697" i="2" a="1"/>
  <c r="B697" i="2" s="1"/>
  <c r="C697" i="2" a="1"/>
  <c r="C697" i="2" s="1"/>
  <c r="D697" i="2" a="1"/>
  <c r="D697" i="2" s="1"/>
  <c r="E697" i="2" a="1"/>
  <c r="E697" i="2" s="1"/>
  <c r="F697" i="2" a="1"/>
  <c r="F697" i="2" s="1"/>
  <c r="G697" i="2" a="1"/>
  <c r="G697" i="2" s="1"/>
  <c r="H697" i="2" a="1"/>
  <c r="H697" i="2" s="1"/>
  <c r="I697" i="2" a="1"/>
  <c r="I697" i="2" s="1"/>
  <c r="J697" i="2" a="1"/>
  <c r="J697" i="2" s="1"/>
  <c r="K697" i="2" a="1"/>
  <c r="K697" i="2" s="1"/>
  <c r="L697" i="2" a="1"/>
  <c r="L697" i="2" s="1"/>
  <c r="M697" i="2" a="1"/>
  <c r="M697" i="2" s="1"/>
  <c r="N697" i="2" a="1"/>
  <c r="N697" i="2" s="1"/>
  <c r="O697" i="2" a="1"/>
  <c r="O697" i="2" s="1"/>
  <c r="P697" i="2" a="1"/>
  <c r="P697" i="2" s="1"/>
  <c r="Q697" i="2" a="1"/>
  <c r="Q697" i="2" s="1"/>
  <c r="A698" i="2" a="1"/>
  <c r="A698" i="2" s="1"/>
  <c r="B698" i="2" a="1"/>
  <c r="B698" i="2" s="1"/>
  <c r="C698" i="2" a="1"/>
  <c r="C698" i="2" s="1"/>
  <c r="D698" i="2" a="1"/>
  <c r="D698" i="2" s="1"/>
  <c r="E698" i="2" a="1"/>
  <c r="E698" i="2" s="1"/>
  <c r="F698" i="2" a="1"/>
  <c r="F698" i="2" s="1"/>
  <c r="G698" i="2" a="1"/>
  <c r="G698" i="2" s="1"/>
  <c r="H698" i="2" a="1"/>
  <c r="H698" i="2" s="1"/>
  <c r="I698" i="2" a="1"/>
  <c r="I698" i="2" s="1"/>
  <c r="J698" i="2" a="1"/>
  <c r="J698" i="2" s="1"/>
  <c r="K698" i="2" a="1"/>
  <c r="K698" i="2" s="1"/>
  <c r="L698" i="2" a="1"/>
  <c r="L698" i="2" s="1"/>
  <c r="M698" i="2" a="1"/>
  <c r="M698" i="2" s="1"/>
  <c r="N698" i="2" a="1"/>
  <c r="N698" i="2" s="1"/>
  <c r="O698" i="2" a="1"/>
  <c r="O698" i="2" s="1"/>
  <c r="P698" i="2" a="1"/>
  <c r="P698" i="2" s="1"/>
  <c r="Q698" i="2" a="1"/>
  <c r="Q698" i="2" s="1"/>
  <c r="A699" i="2" a="1"/>
  <c r="A699" i="2" s="1"/>
  <c r="B699" i="2" a="1"/>
  <c r="B699" i="2" s="1"/>
  <c r="C699" i="2" a="1"/>
  <c r="C699" i="2" s="1"/>
  <c r="D699" i="2" a="1"/>
  <c r="D699" i="2" s="1"/>
  <c r="E699" i="2" a="1"/>
  <c r="E699" i="2" s="1"/>
  <c r="F699" i="2" a="1"/>
  <c r="F699" i="2" s="1"/>
  <c r="G699" i="2" a="1"/>
  <c r="G699" i="2" s="1"/>
  <c r="H699" i="2" a="1"/>
  <c r="H699" i="2" s="1"/>
  <c r="I699" i="2" a="1"/>
  <c r="I699" i="2" s="1"/>
  <c r="J699" i="2" a="1"/>
  <c r="J699" i="2" s="1"/>
  <c r="K699" i="2" a="1"/>
  <c r="K699" i="2" s="1"/>
  <c r="L699" i="2" a="1"/>
  <c r="L699" i="2" s="1"/>
  <c r="M699" i="2" a="1"/>
  <c r="M699" i="2" s="1"/>
  <c r="N699" i="2" a="1"/>
  <c r="N699" i="2" s="1"/>
  <c r="O699" i="2" a="1"/>
  <c r="O699" i="2" s="1"/>
  <c r="P699" i="2" a="1"/>
  <c r="P699" i="2" s="1"/>
  <c r="Q699" i="2" a="1"/>
  <c r="Q699" i="2" s="1"/>
  <c r="A700" i="2" a="1"/>
  <c r="A700" i="2" s="1"/>
  <c r="B700" i="2" a="1"/>
  <c r="B700" i="2" s="1"/>
  <c r="C700" i="2" a="1"/>
  <c r="C700" i="2" s="1"/>
  <c r="D700" i="2" a="1"/>
  <c r="D700" i="2" s="1"/>
  <c r="E700" i="2" a="1"/>
  <c r="E700" i="2" s="1"/>
  <c r="F700" i="2" a="1"/>
  <c r="F700" i="2" s="1"/>
  <c r="G700" i="2" a="1"/>
  <c r="G700" i="2" s="1"/>
  <c r="H700" i="2" a="1"/>
  <c r="H700" i="2" s="1"/>
  <c r="I700" i="2" a="1"/>
  <c r="I700" i="2" s="1"/>
  <c r="J700" i="2" a="1"/>
  <c r="J700" i="2" s="1"/>
  <c r="K700" i="2" a="1"/>
  <c r="K700" i="2" s="1"/>
  <c r="L700" i="2" a="1"/>
  <c r="L700" i="2" s="1"/>
  <c r="M700" i="2" a="1"/>
  <c r="M700" i="2" s="1"/>
  <c r="N700" i="2" a="1"/>
  <c r="N700" i="2" s="1"/>
  <c r="O700" i="2" a="1"/>
  <c r="O700" i="2" s="1"/>
  <c r="P700" i="2" a="1"/>
  <c r="P700" i="2" s="1"/>
  <c r="Q700" i="2" a="1"/>
  <c r="Q700" i="2" s="1"/>
  <c r="A701" i="2" a="1"/>
  <c r="A701" i="2" s="1"/>
  <c r="B701" i="2" a="1"/>
  <c r="B701" i="2" s="1"/>
  <c r="C701" i="2" a="1"/>
  <c r="C701" i="2" s="1"/>
  <c r="D701" i="2" a="1"/>
  <c r="D701" i="2" s="1"/>
  <c r="E701" i="2" a="1"/>
  <c r="E701" i="2" s="1"/>
  <c r="F701" i="2" a="1"/>
  <c r="F701" i="2" s="1"/>
  <c r="G701" i="2" a="1"/>
  <c r="G701" i="2" s="1"/>
  <c r="H701" i="2" a="1"/>
  <c r="H701" i="2" s="1"/>
  <c r="I701" i="2" a="1"/>
  <c r="I701" i="2" s="1"/>
  <c r="J701" i="2" a="1"/>
  <c r="J701" i="2" s="1"/>
  <c r="K701" i="2" a="1"/>
  <c r="K701" i="2" s="1"/>
  <c r="L701" i="2" a="1"/>
  <c r="L701" i="2" s="1"/>
  <c r="M701" i="2" a="1"/>
  <c r="M701" i="2" s="1"/>
  <c r="N701" i="2" a="1"/>
  <c r="N701" i="2" s="1"/>
  <c r="O701" i="2" a="1"/>
  <c r="O701" i="2" s="1"/>
  <c r="P701" i="2" a="1"/>
  <c r="P701" i="2" s="1"/>
  <c r="Q701" i="2" a="1"/>
  <c r="Q701" i="2" s="1"/>
  <c r="A702" i="2" a="1"/>
  <c r="A702" i="2" s="1"/>
  <c r="B702" i="2" a="1"/>
  <c r="B702" i="2" s="1"/>
  <c r="C702" i="2" a="1"/>
  <c r="C702" i="2" s="1"/>
  <c r="D702" i="2" a="1"/>
  <c r="D702" i="2" s="1"/>
  <c r="E702" i="2" a="1"/>
  <c r="E702" i="2" s="1"/>
  <c r="F702" i="2" a="1"/>
  <c r="F702" i="2" s="1"/>
  <c r="G702" i="2" a="1"/>
  <c r="G702" i="2" s="1"/>
  <c r="H702" i="2" a="1"/>
  <c r="H702" i="2" s="1"/>
  <c r="I702" i="2" a="1"/>
  <c r="I702" i="2" s="1"/>
  <c r="J702" i="2" a="1"/>
  <c r="J702" i="2" s="1"/>
  <c r="K702" i="2" a="1"/>
  <c r="K702" i="2" s="1"/>
  <c r="L702" i="2" a="1"/>
  <c r="L702" i="2" s="1"/>
  <c r="M702" i="2" a="1"/>
  <c r="M702" i="2" s="1"/>
  <c r="N702" i="2" a="1"/>
  <c r="N702" i="2" s="1"/>
  <c r="O702" i="2" a="1"/>
  <c r="O702" i="2" s="1"/>
  <c r="P702" i="2" a="1"/>
  <c r="P702" i="2" s="1"/>
  <c r="Q702" i="2" a="1"/>
  <c r="Q702" i="2" s="1"/>
  <c r="A703" i="2" a="1"/>
  <c r="A703" i="2" s="1"/>
  <c r="B703" i="2" a="1"/>
  <c r="B703" i="2" s="1"/>
  <c r="C703" i="2" a="1"/>
  <c r="C703" i="2" s="1"/>
  <c r="D703" i="2" a="1"/>
  <c r="D703" i="2" s="1"/>
  <c r="E703" i="2" a="1"/>
  <c r="E703" i="2" s="1"/>
  <c r="F703" i="2" a="1"/>
  <c r="F703" i="2" s="1"/>
  <c r="G703" i="2" a="1"/>
  <c r="G703" i="2" s="1"/>
  <c r="H703" i="2" a="1"/>
  <c r="H703" i="2" s="1"/>
  <c r="I703" i="2" a="1"/>
  <c r="I703" i="2" s="1"/>
  <c r="J703" i="2" a="1"/>
  <c r="J703" i="2" s="1"/>
  <c r="K703" i="2" a="1"/>
  <c r="K703" i="2" s="1"/>
  <c r="L703" i="2" a="1"/>
  <c r="L703" i="2" s="1"/>
  <c r="M703" i="2" a="1"/>
  <c r="M703" i="2" s="1"/>
  <c r="N703" i="2" a="1"/>
  <c r="N703" i="2" s="1"/>
  <c r="O703" i="2" a="1"/>
  <c r="O703" i="2" s="1"/>
  <c r="P703" i="2" a="1"/>
  <c r="P703" i="2" s="1"/>
  <c r="Q703" i="2" a="1"/>
  <c r="Q703" i="2" s="1"/>
  <c r="A704" i="2" a="1"/>
  <c r="A704" i="2" s="1"/>
  <c r="B704" i="2" a="1"/>
  <c r="B704" i="2" s="1"/>
  <c r="C704" i="2" a="1"/>
  <c r="C704" i="2" s="1"/>
  <c r="D704" i="2" a="1"/>
  <c r="D704" i="2" s="1"/>
  <c r="E704" i="2" a="1"/>
  <c r="E704" i="2" s="1"/>
  <c r="F704" i="2" a="1"/>
  <c r="F704" i="2" s="1"/>
  <c r="G704" i="2" a="1"/>
  <c r="G704" i="2" s="1"/>
  <c r="H704" i="2" a="1"/>
  <c r="H704" i="2" s="1"/>
  <c r="I704" i="2" a="1"/>
  <c r="I704" i="2" s="1"/>
  <c r="J704" i="2" a="1"/>
  <c r="J704" i="2" s="1"/>
  <c r="K704" i="2" a="1"/>
  <c r="K704" i="2" s="1"/>
  <c r="L704" i="2" a="1"/>
  <c r="L704" i="2" s="1"/>
  <c r="M704" i="2" a="1"/>
  <c r="M704" i="2" s="1"/>
  <c r="N704" i="2" a="1"/>
  <c r="N704" i="2" s="1"/>
  <c r="O704" i="2" a="1"/>
  <c r="O704" i="2" s="1"/>
  <c r="P704" i="2" a="1"/>
  <c r="P704" i="2" s="1"/>
  <c r="Q704" i="2" a="1"/>
  <c r="Q704" i="2" s="1"/>
  <c r="A705" i="2" a="1"/>
  <c r="A705" i="2" s="1"/>
  <c r="B705" i="2" a="1"/>
  <c r="B705" i="2" s="1"/>
  <c r="C705" i="2" a="1"/>
  <c r="C705" i="2" s="1"/>
  <c r="D705" i="2" a="1"/>
  <c r="D705" i="2" s="1"/>
  <c r="E705" i="2" a="1"/>
  <c r="E705" i="2" s="1"/>
  <c r="F705" i="2" a="1"/>
  <c r="F705" i="2" s="1"/>
  <c r="G705" i="2" a="1"/>
  <c r="G705" i="2" s="1"/>
  <c r="H705" i="2" a="1"/>
  <c r="H705" i="2" s="1"/>
  <c r="I705" i="2" a="1"/>
  <c r="I705" i="2" s="1"/>
  <c r="J705" i="2" a="1"/>
  <c r="J705" i="2" s="1"/>
  <c r="K705" i="2" a="1"/>
  <c r="K705" i="2" s="1"/>
  <c r="L705" i="2" a="1"/>
  <c r="L705" i="2" s="1"/>
  <c r="M705" i="2" a="1"/>
  <c r="M705" i="2" s="1"/>
  <c r="N705" i="2" a="1"/>
  <c r="N705" i="2" s="1"/>
  <c r="O705" i="2" a="1"/>
  <c r="O705" i="2" s="1"/>
  <c r="P705" i="2" a="1"/>
  <c r="P705" i="2" s="1"/>
  <c r="Q705" i="2" a="1"/>
  <c r="Q705" i="2" s="1"/>
  <c r="A706" i="2" a="1"/>
  <c r="A706" i="2" s="1"/>
  <c r="B706" i="2" a="1"/>
  <c r="B706" i="2" s="1"/>
  <c r="C706" i="2" a="1"/>
  <c r="C706" i="2" s="1"/>
  <c r="D706" i="2" a="1"/>
  <c r="D706" i="2" s="1"/>
  <c r="E706" i="2" a="1"/>
  <c r="E706" i="2" s="1"/>
  <c r="F706" i="2" a="1"/>
  <c r="F706" i="2" s="1"/>
  <c r="G706" i="2" a="1"/>
  <c r="G706" i="2" s="1"/>
  <c r="H706" i="2" a="1"/>
  <c r="H706" i="2" s="1"/>
  <c r="I706" i="2" a="1"/>
  <c r="I706" i="2" s="1"/>
  <c r="J706" i="2" a="1"/>
  <c r="J706" i="2" s="1"/>
  <c r="K706" i="2" a="1"/>
  <c r="K706" i="2" s="1"/>
  <c r="L706" i="2" a="1"/>
  <c r="L706" i="2" s="1"/>
  <c r="M706" i="2" a="1"/>
  <c r="M706" i="2" s="1"/>
  <c r="N706" i="2" a="1"/>
  <c r="N706" i="2" s="1"/>
  <c r="O706" i="2" a="1"/>
  <c r="O706" i="2" s="1"/>
  <c r="P706" i="2" a="1"/>
  <c r="P706" i="2" s="1"/>
  <c r="Q706" i="2" a="1"/>
  <c r="Q706" i="2" s="1"/>
  <c r="A707" i="2" a="1"/>
  <c r="A707" i="2" s="1"/>
  <c r="B707" i="2" a="1"/>
  <c r="B707" i="2" s="1"/>
  <c r="C707" i="2" a="1"/>
  <c r="C707" i="2" s="1"/>
  <c r="D707" i="2" a="1"/>
  <c r="D707" i="2" s="1"/>
  <c r="E707" i="2" a="1"/>
  <c r="E707" i="2" s="1"/>
  <c r="F707" i="2" a="1"/>
  <c r="F707" i="2" s="1"/>
  <c r="G707" i="2" a="1"/>
  <c r="G707" i="2" s="1"/>
  <c r="H707" i="2" a="1"/>
  <c r="H707" i="2" s="1"/>
  <c r="I707" i="2" a="1"/>
  <c r="I707" i="2" s="1"/>
  <c r="J707" i="2" a="1"/>
  <c r="J707" i="2" s="1"/>
  <c r="K707" i="2" a="1"/>
  <c r="K707" i="2" s="1"/>
  <c r="L707" i="2" a="1"/>
  <c r="L707" i="2" s="1"/>
  <c r="M707" i="2" a="1"/>
  <c r="M707" i="2" s="1"/>
  <c r="N707" i="2" a="1"/>
  <c r="N707" i="2" s="1"/>
  <c r="O707" i="2" a="1"/>
  <c r="O707" i="2" s="1"/>
  <c r="P707" i="2" a="1"/>
  <c r="P707" i="2" s="1"/>
  <c r="Q707" i="2" a="1"/>
  <c r="Q707" i="2" s="1"/>
  <c r="A708" i="2" a="1"/>
  <c r="A708" i="2" s="1"/>
  <c r="B708" i="2" a="1"/>
  <c r="B708" i="2" s="1"/>
  <c r="C708" i="2" a="1"/>
  <c r="C708" i="2" s="1"/>
  <c r="D708" i="2" a="1"/>
  <c r="D708" i="2" s="1"/>
  <c r="E708" i="2" a="1"/>
  <c r="E708" i="2" s="1"/>
  <c r="F708" i="2" a="1"/>
  <c r="F708" i="2" s="1"/>
  <c r="G708" i="2" a="1"/>
  <c r="G708" i="2" s="1"/>
  <c r="H708" i="2" a="1"/>
  <c r="H708" i="2" s="1"/>
  <c r="I708" i="2" a="1"/>
  <c r="I708" i="2" s="1"/>
  <c r="J708" i="2" a="1"/>
  <c r="J708" i="2" s="1"/>
  <c r="K708" i="2" a="1"/>
  <c r="K708" i="2" s="1"/>
  <c r="L708" i="2" a="1"/>
  <c r="L708" i="2" s="1"/>
  <c r="M708" i="2" a="1"/>
  <c r="M708" i="2" s="1"/>
  <c r="N708" i="2" a="1"/>
  <c r="N708" i="2" s="1"/>
  <c r="O708" i="2" a="1"/>
  <c r="O708" i="2" s="1"/>
  <c r="P708" i="2" a="1"/>
  <c r="P708" i="2" s="1"/>
  <c r="Q708" i="2" a="1"/>
  <c r="Q708" i="2" s="1"/>
  <c r="A709" i="2" a="1"/>
  <c r="A709" i="2" s="1"/>
  <c r="B709" i="2" a="1"/>
  <c r="B709" i="2" s="1"/>
  <c r="C709" i="2" a="1"/>
  <c r="C709" i="2" s="1"/>
  <c r="D709" i="2" a="1"/>
  <c r="D709" i="2" s="1"/>
  <c r="E709" i="2" a="1"/>
  <c r="E709" i="2" s="1"/>
  <c r="F709" i="2" a="1"/>
  <c r="F709" i="2" s="1"/>
  <c r="G709" i="2" a="1"/>
  <c r="G709" i="2" s="1"/>
  <c r="H709" i="2" a="1"/>
  <c r="H709" i="2" s="1"/>
  <c r="I709" i="2" a="1"/>
  <c r="I709" i="2" s="1"/>
  <c r="J709" i="2" a="1"/>
  <c r="J709" i="2" s="1"/>
  <c r="K709" i="2" a="1"/>
  <c r="K709" i="2" s="1"/>
  <c r="L709" i="2" a="1"/>
  <c r="L709" i="2" s="1"/>
  <c r="M709" i="2" a="1"/>
  <c r="M709" i="2" s="1"/>
  <c r="N709" i="2" a="1"/>
  <c r="N709" i="2" s="1"/>
  <c r="O709" i="2" a="1"/>
  <c r="O709" i="2" s="1"/>
  <c r="P709" i="2" a="1"/>
  <c r="P709" i="2" s="1"/>
  <c r="Q709" i="2" a="1"/>
  <c r="Q709" i="2" s="1"/>
  <c r="A710" i="2" a="1"/>
  <c r="A710" i="2" s="1"/>
  <c r="B710" i="2" a="1"/>
  <c r="B710" i="2" s="1"/>
  <c r="C710" i="2" a="1"/>
  <c r="C710" i="2" s="1"/>
  <c r="D710" i="2" a="1"/>
  <c r="D710" i="2" s="1"/>
  <c r="E710" i="2" a="1"/>
  <c r="E710" i="2" s="1"/>
  <c r="F710" i="2" a="1"/>
  <c r="F710" i="2" s="1"/>
  <c r="G710" i="2" a="1"/>
  <c r="G710" i="2" s="1"/>
  <c r="H710" i="2" a="1"/>
  <c r="H710" i="2" s="1"/>
  <c r="I710" i="2" a="1"/>
  <c r="I710" i="2" s="1"/>
  <c r="J710" i="2" a="1"/>
  <c r="J710" i="2" s="1"/>
  <c r="K710" i="2" a="1"/>
  <c r="K710" i="2" s="1"/>
  <c r="L710" i="2" a="1"/>
  <c r="L710" i="2" s="1"/>
  <c r="M710" i="2" a="1"/>
  <c r="M710" i="2" s="1"/>
  <c r="N710" i="2" a="1"/>
  <c r="N710" i="2" s="1"/>
  <c r="O710" i="2" a="1"/>
  <c r="O710" i="2" s="1"/>
  <c r="P710" i="2" a="1"/>
  <c r="P710" i="2" s="1"/>
  <c r="Q710" i="2" a="1"/>
  <c r="Q710" i="2" s="1"/>
  <c r="A711" i="2" a="1"/>
  <c r="A711" i="2" s="1"/>
  <c r="B711" i="2" a="1"/>
  <c r="B711" i="2" s="1"/>
  <c r="C711" i="2" a="1"/>
  <c r="C711" i="2" s="1"/>
  <c r="D711" i="2" a="1"/>
  <c r="D711" i="2" s="1"/>
  <c r="E711" i="2" a="1"/>
  <c r="E711" i="2" s="1"/>
  <c r="F711" i="2" a="1"/>
  <c r="F711" i="2" s="1"/>
  <c r="G711" i="2" a="1"/>
  <c r="G711" i="2" s="1"/>
  <c r="H711" i="2" a="1"/>
  <c r="H711" i="2" s="1"/>
  <c r="I711" i="2" a="1"/>
  <c r="I711" i="2" s="1"/>
  <c r="J711" i="2" a="1"/>
  <c r="J711" i="2" s="1"/>
  <c r="K711" i="2" a="1"/>
  <c r="K711" i="2" s="1"/>
  <c r="L711" i="2" a="1"/>
  <c r="L711" i="2" s="1"/>
  <c r="M711" i="2" a="1"/>
  <c r="M711" i="2" s="1"/>
  <c r="N711" i="2" a="1"/>
  <c r="N711" i="2" s="1"/>
  <c r="O711" i="2" a="1"/>
  <c r="O711" i="2" s="1"/>
  <c r="P711" i="2" a="1"/>
  <c r="P711" i="2" s="1"/>
  <c r="Q711" i="2" a="1"/>
  <c r="Q711" i="2" s="1"/>
  <c r="A712" i="2" a="1"/>
  <c r="A712" i="2" s="1"/>
  <c r="B712" i="2" a="1"/>
  <c r="B712" i="2" s="1"/>
  <c r="C712" i="2" a="1"/>
  <c r="C712" i="2" s="1"/>
  <c r="D712" i="2" a="1"/>
  <c r="D712" i="2" s="1"/>
  <c r="E712" i="2" a="1"/>
  <c r="E712" i="2" s="1"/>
  <c r="F712" i="2" a="1"/>
  <c r="F712" i="2" s="1"/>
  <c r="G712" i="2" a="1"/>
  <c r="G712" i="2" s="1"/>
  <c r="H712" i="2" a="1"/>
  <c r="H712" i="2" s="1"/>
  <c r="I712" i="2" a="1"/>
  <c r="I712" i="2" s="1"/>
  <c r="J712" i="2" a="1"/>
  <c r="J712" i="2" s="1"/>
  <c r="K712" i="2" a="1"/>
  <c r="K712" i="2" s="1"/>
  <c r="L712" i="2" a="1"/>
  <c r="L712" i="2" s="1"/>
  <c r="M712" i="2" a="1"/>
  <c r="M712" i="2" s="1"/>
  <c r="N712" i="2" a="1"/>
  <c r="N712" i="2" s="1"/>
  <c r="O712" i="2" a="1"/>
  <c r="O712" i="2" s="1"/>
  <c r="P712" i="2" a="1"/>
  <c r="P712" i="2" s="1"/>
  <c r="Q712" i="2" a="1"/>
  <c r="Q712" i="2" s="1"/>
  <c r="A713" i="2" a="1"/>
  <c r="A713" i="2" s="1"/>
  <c r="B713" i="2" a="1"/>
  <c r="B713" i="2" s="1"/>
  <c r="C713" i="2" a="1"/>
  <c r="C713" i="2" s="1"/>
  <c r="D713" i="2" a="1"/>
  <c r="D713" i="2" s="1"/>
  <c r="E713" i="2" a="1"/>
  <c r="E713" i="2" s="1"/>
  <c r="F713" i="2" a="1"/>
  <c r="F713" i="2" s="1"/>
  <c r="G713" i="2" a="1"/>
  <c r="G713" i="2" s="1"/>
  <c r="H713" i="2" a="1"/>
  <c r="H713" i="2" s="1"/>
  <c r="I713" i="2" a="1"/>
  <c r="I713" i="2" s="1"/>
  <c r="J713" i="2" a="1"/>
  <c r="J713" i="2" s="1"/>
  <c r="K713" i="2" a="1"/>
  <c r="K713" i="2" s="1"/>
  <c r="L713" i="2" a="1"/>
  <c r="L713" i="2" s="1"/>
  <c r="M713" i="2" a="1"/>
  <c r="M713" i="2" s="1"/>
  <c r="N713" i="2" a="1"/>
  <c r="N713" i="2" s="1"/>
  <c r="O713" i="2" a="1"/>
  <c r="O713" i="2" s="1"/>
  <c r="P713" i="2" a="1"/>
  <c r="P713" i="2" s="1"/>
  <c r="Q713" i="2" a="1"/>
  <c r="Q713" i="2" s="1"/>
  <c r="A714" i="2" a="1"/>
  <c r="A714" i="2" s="1"/>
  <c r="B714" i="2" a="1"/>
  <c r="B714" i="2" s="1"/>
  <c r="C714" i="2" a="1"/>
  <c r="C714" i="2" s="1"/>
  <c r="D714" i="2" a="1"/>
  <c r="D714" i="2" s="1"/>
  <c r="E714" i="2" a="1"/>
  <c r="E714" i="2" s="1"/>
  <c r="F714" i="2" a="1"/>
  <c r="F714" i="2" s="1"/>
  <c r="G714" i="2" a="1"/>
  <c r="G714" i="2" s="1"/>
  <c r="H714" i="2" a="1"/>
  <c r="H714" i="2" s="1"/>
  <c r="I714" i="2" a="1"/>
  <c r="I714" i="2" s="1"/>
  <c r="J714" i="2" a="1"/>
  <c r="J714" i="2" s="1"/>
  <c r="K714" i="2" a="1"/>
  <c r="K714" i="2" s="1"/>
  <c r="L714" i="2" a="1"/>
  <c r="L714" i="2" s="1"/>
  <c r="M714" i="2" a="1"/>
  <c r="M714" i="2" s="1"/>
  <c r="N714" i="2" a="1"/>
  <c r="N714" i="2" s="1"/>
  <c r="O714" i="2" a="1"/>
  <c r="O714" i="2" s="1"/>
  <c r="P714" i="2" a="1"/>
  <c r="P714" i="2" s="1"/>
  <c r="Q714" i="2" a="1"/>
  <c r="Q714" i="2" s="1"/>
  <c r="A715" i="2" a="1"/>
  <c r="A715" i="2" s="1"/>
  <c r="B715" i="2" a="1"/>
  <c r="B715" i="2" s="1"/>
  <c r="C715" i="2" a="1"/>
  <c r="C715" i="2" s="1"/>
  <c r="D715" i="2" a="1"/>
  <c r="D715" i="2" s="1"/>
  <c r="E715" i="2" a="1"/>
  <c r="E715" i="2" s="1"/>
  <c r="F715" i="2" a="1"/>
  <c r="F715" i="2" s="1"/>
  <c r="G715" i="2" a="1"/>
  <c r="G715" i="2" s="1"/>
  <c r="H715" i="2" a="1"/>
  <c r="H715" i="2" s="1"/>
  <c r="I715" i="2" a="1"/>
  <c r="I715" i="2" s="1"/>
  <c r="J715" i="2" a="1"/>
  <c r="J715" i="2" s="1"/>
  <c r="K715" i="2" a="1"/>
  <c r="K715" i="2" s="1"/>
  <c r="L715" i="2" a="1"/>
  <c r="L715" i="2" s="1"/>
  <c r="M715" i="2" a="1"/>
  <c r="M715" i="2" s="1"/>
  <c r="N715" i="2" a="1"/>
  <c r="N715" i="2" s="1"/>
  <c r="O715" i="2" a="1"/>
  <c r="O715" i="2" s="1"/>
  <c r="P715" i="2" a="1"/>
  <c r="P715" i="2" s="1"/>
  <c r="Q715" i="2" a="1"/>
  <c r="Q715" i="2" s="1"/>
  <c r="A716" i="2" a="1"/>
  <c r="A716" i="2" s="1"/>
  <c r="B716" i="2" a="1"/>
  <c r="B716" i="2" s="1"/>
  <c r="C716" i="2" a="1"/>
  <c r="C716" i="2" s="1"/>
  <c r="D716" i="2" a="1"/>
  <c r="D716" i="2" s="1"/>
  <c r="E716" i="2" a="1"/>
  <c r="E716" i="2" s="1"/>
  <c r="F716" i="2" a="1"/>
  <c r="F716" i="2" s="1"/>
  <c r="G716" i="2" a="1"/>
  <c r="G716" i="2" s="1"/>
  <c r="H716" i="2" a="1"/>
  <c r="H716" i="2" s="1"/>
  <c r="I716" i="2" a="1"/>
  <c r="I716" i="2" s="1"/>
  <c r="J716" i="2" a="1"/>
  <c r="J716" i="2" s="1"/>
  <c r="K716" i="2" a="1"/>
  <c r="K716" i="2" s="1"/>
  <c r="L716" i="2" a="1"/>
  <c r="L716" i="2" s="1"/>
  <c r="M716" i="2" a="1"/>
  <c r="M716" i="2" s="1"/>
  <c r="N716" i="2" a="1"/>
  <c r="N716" i="2" s="1"/>
  <c r="O716" i="2" a="1"/>
  <c r="O716" i="2" s="1"/>
  <c r="P716" i="2" a="1"/>
  <c r="P716" i="2" s="1"/>
  <c r="Q716" i="2" a="1"/>
  <c r="Q716" i="2" s="1"/>
  <c r="A717" i="2" a="1"/>
  <c r="A717" i="2" s="1"/>
  <c r="B717" i="2" a="1"/>
  <c r="B717" i="2" s="1"/>
  <c r="C717" i="2" a="1"/>
  <c r="C717" i="2" s="1"/>
  <c r="D717" i="2" a="1"/>
  <c r="D717" i="2" s="1"/>
  <c r="E717" i="2" a="1"/>
  <c r="E717" i="2" s="1"/>
  <c r="F717" i="2" a="1"/>
  <c r="F717" i="2" s="1"/>
  <c r="G717" i="2" a="1"/>
  <c r="G717" i="2" s="1"/>
  <c r="H717" i="2" a="1"/>
  <c r="H717" i="2" s="1"/>
  <c r="I717" i="2" a="1"/>
  <c r="I717" i="2" s="1"/>
  <c r="J717" i="2" a="1"/>
  <c r="J717" i="2" s="1"/>
  <c r="K717" i="2" a="1"/>
  <c r="K717" i="2" s="1"/>
  <c r="L717" i="2" a="1"/>
  <c r="L717" i="2" s="1"/>
  <c r="M717" i="2" a="1"/>
  <c r="M717" i="2" s="1"/>
  <c r="N717" i="2" a="1"/>
  <c r="N717" i="2" s="1"/>
  <c r="O717" i="2" a="1"/>
  <c r="O717" i="2" s="1"/>
  <c r="P717" i="2" a="1"/>
  <c r="P717" i="2" s="1"/>
  <c r="Q717" i="2" a="1"/>
  <c r="Q717" i="2" s="1"/>
  <c r="A718" i="2" a="1"/>
  <c r="A718" i="2" s="1"/>
  <c r="B718" i="2" a="1"/>
  <c r="B718" i="2" s="1"/>
  <c r="C718" i="2" a="1"/>
  <c r="C718" i="2" s="1"/>
  <c r="D718" i="2" a="1"/>
  <c r="D718" i="2" s="1"/>
  <c r="E718" i="2" a="1"/>
  <c r="E718" i="2" s="1"/>
  <c r="F718" i="2" a="1"/>
  <c r="F718" i="2" s="1"/>
  <c r="G718" i="2" a="1"/>
  <c r="G718" i="2" s="1"/>
  <c r="H718" i="2" a="1"/>
  <c r="H718" i="2" s="1"/>
  <c r="I718" i="2" a="1"/>
  <c r="I718" i="2" s="1"/>
  <c r="J718" i="2" a="1"/>
  <c r="J718" i="2" s="1"/>
  <c r="K718" i="2" a="1"/>
  <c r="K718" i="2" s="1"/>
  <c r="L718" i="2" a="1"/>
  <c r="L718" i="2" s="1"/>
  <c r="M718" i="2" a="1"/>
  <c r="M718" i="2" s="1"/>
  <c r="N718" i="2" a="1"/>
  <c r="N718" i="2" s="1"/>
  <c r="O718" i="2" a="1"/>
  <c r="O718" i="2" s="1"/>
  <c r="P718" i="2" a="1"/>
  <c r="P718" i="2" s="1"/>
  <c r="Q718" i="2" a="1"/>
  <c r="Q718" i="2" s="1"/>
  <c r="A719" i="2" a="1"/>
  <c r="A719" i="2" s="1"/>
  <c r="B719" i="2" a="1"/>
  <c r="B719" i="2" s="1"/>
  <c r="C719" i="2" a="1"/>
  <c r="C719" i="2" s="1"/>
  <c r="D719" i="2" a="1"/>
  <c r="D719" i="2" s="1"/>
  <c r="E719" i="2" a="1"/>
  <c r="E719" i="2" s="1"/>
  <c r="F719" i="2" a="1"/>
  <c r="F719" i="2" s="1"/>
  <c r="G719" i="2" a="1"/>
  <c r="G719" i="2" s="1"/>
  <c r="H719" i="2" a="1"/>
  <c r="H719" i="2" s="1"/>
  <c r="I719" i="2" a="1"/>
  <c r="I719" i="2" s="1"/>
  <c r="J719" i="2" a="1"/>
  <c r="J719" i="2" s="1"/>
  <c r="K719" i="2" a="1"/>
  <c r="K719" i="2" s="1"/>
  <c r="L719" i="2" a="1"/>
  <c r="L719" i="2" s="1"/>
  <c r="M719" i="2" a="1"/>
  <c r="M719" i="2" s="1"/>
  <c r="N719" i="2" a="1"/>
  <c r="N719" i="2" s="1"/>
  <c r="O719" i="2" a="1"/>
  <c r="O719" i="2" s="1"/>
  <c r="P719" i="2" a="1"/>
  <c r="P719" i="2" s="1"/>
  <c r="Q719" i="2" a="1"/>
  <c r="Q719" i="2" s="1"/>
  <c r="A720" i="2" a="1"/>
  <c r="A720" i="2" s="1"/>
  <c r="B720" i="2" a="1"/>
  <c r="B720" i="2" s="1"/>
  <c r="C720" i="2" a="1"/>
  <c r="C720" i="2" s="1"/>
  <c r="D720" i="2" a="1"/>
  <c r="D720" i="2" s="1"/>
  <c r="E720" i="2" a="1"/>
  <c r="E720" i="2" s="1"/>
  <c r="F720" i="2" a="1"/>
  <c r="F720" i="2" s="1"/>
  <c r="G720" i="2" a="1"/>
  <c r="G720" i="2" s="1"/>
  <c r="H720" i="2" a="1"/>
  <c r="H720" i="2" s="1"/>
  <c r="I720" i="2" a="1"/>
  <c r="I720" i="2" s="1"/>
  <c r="J720" i="2" a="1"/>
  <c r="J720" i="2" s="1"/>
  <c r="K720" i="2" a="1"/>
  <c r="K720" i="2" s="1"/>
  <c r="L720" i="2" a="1"/>
  <c r="L720" i="2" s="1"/>
  <c r="M720" i="2" a="1"/>
  <c r="M720" i="2" s="1"/>
  <c r="N720" i="2" a="1"/>
  <c r="N720" i="2" s="1"/>
  <c r="O720" i="2" a="1"/>
  <c r="O720" i="2" s="1"/>
  <c r="P720" i="2" a="1"/>
  <c r="P720" i="2" s="1"/>
  <c r="Q720" i="2" a="1"/>
  <c r="Q720" i="2" s="1"/>
  <c r="A721" i="2" a="1"/>
  <c r="A721" i="2" s="1"/>
  <c r="B721" i="2" a="1"/>
  <c r="B721" i="2" s="1"/>
  <c r="C721" i="2" a="1"/>
  <c r="C721" i="2" s="1"/>
  <c r="D721" i="2" a="1"/>
  <c r="D721" i="2" s="1"/>
  <c r="E721" i="2" a="1"/>
  <c r="E721" i="2" s="1"/>
  <c r="F721" i="2" a="1"/>
  <c r="F721" i="2" s="1"/>
  <c r="G721" i="2" a="1"/>
  <c r="G721" i="2" s="1"/>
  <c r="H721" i="2" a="1"/>
  <c r="H721" i="2" s="1"/>
  <c r="I721" i="2" a="1"/>
  <c r="I721" i="2" s="1"/>
  <c r="J721" i="2" a="1"/>
  <c r="J721" i="2" s="1"/>
  <c r="K721" i="2" a="1"/>
  <c r="K721" i="2" s="1"/>
  <c r="L721" i="2" a="1"/>
  <c r="L721" i="2" s="1"/>
  <c r="M721" i="2" a="1"/>
  <c r="M721" i="2" s="1"/>
  <c r="N721" i="2" a="1"/>
  <c r="N721" i="2" s="1"/>
  <c r="O721" i="2" a="1"/>
  <c r="O721" i="2" s="1"/>
  <c r="P721" i="2" a="1"/>
  <c r="P721" i="2" s="1"/>
  <c r="Q721" i="2" a="1"/>
  <c r="Q721" i="2" s="1"/>
  <c r="A722" i="2" a="1"/>
  <c r="A722" i="2" s="1"/>
  <c r="B722" i="2" a="1"/>
  <c r="B722" i="2" s="1"/>
  <c r="C722" i="2" a="1"/>
  <c r="C722" i="2" s="1"/>
  <c r="D722" i="2" a="1"/>
  <c r="D722" i="2" s="1"/>
  <c r="E722" i="2" a="1"/>
  <c r="E722" i="2" s="1"/>
  <c r="F722" i="2" a="1"/>
  <c r="F722" i="2" s="1"/>
  <c r="G722" i="2" a="1"/>
  <c r="G722" i="2" s="1"/>
  <c r="H722" i="2" a="1"/>
  <c r="H722" i="2" s="1"/>
  <c r="I722" i="2" a="1"/>
  <c r="I722" i="2" s="1"/>
  <c r="J722" i="2" a="1"/>
  <c r="J722" i="2" s="1"/>
  <c r="K722" i="2" a="1"/>
  <c r="K722" i="2" s="1"/>
  <c r="L722" i="2" a="1"/>
  <c r="L722" i="2" s="1"/>
  <c r="M722" i="2" a="1"/>
  <c r="M722" i="2" s="1"/>
  <c r="N722" i="2" a="1"/>
  <c r="N722" i="2" s="1"/>
  <c r="O722" i="2" a="1"/>
  <c r="O722" i="2" s="1"/>
  <c r="P722" i="2" a="1"/>
  <c r="P722" i="2" s="1"/>
  <c r="Q722" i="2" a="1"/>
  <c r="Q722" i="2" s="1"/>
  <c r="A723" i="2" a="1"/>
  <c r="A723" i="2" s="1"/>
  <c r="B723" i="2" a="1"/>
  <c r="B723" i="2" s="1"/>
  <c r="C723" i="2" a="1"/>
  <c r="C723" i="2" s="1"/>
  <c r="D723" i="2" a="1"/>
  <c r="D723" i="2" s="1"/>
  <c r="E723" i="2" a="1"/>
  <c r="E723" i="2" s="1"/>
  <c r="F723" i="2" a="1"/>
  <c r="F723" i="2" s="1"/>
  <c r="G723" i="2" a="1"/>
  <c r="G723" i="2" s="1"/>
  <c r="H723" i="2" a="1"/>
  <c r="H723" i="2" s="1"/>
  <c r="I723" i="2" a="1"/>
  <c r="I723" i="2" s="1"/>
  <c r="J723" i="2" a="1"/>
  <c r="J723" i="2" s="1"/>
  <c r="K723" i="2" a="1"/>
  <c r="K723" i="2" s="1"/>
  <c r="L723" i="2" a="1"/>
  <c r="L723" i="2" s="1"/>
  <c r="M723" i="2" a="1"/>
  <c r="M723" i="2" s="1"/>
  <c r="N723" i="2" a="1"/>
  <c r="N723" i="2" s="1"/>
  <c r="O723" i="2" a="1"/>
  <c r="O723" i="2" s="1"/>
  <c r="P723" i="2" a="1"/>
  <c r="P723" i="2" s="1"/>
  <c r="Q723" i="2" a="1"/>
  <c r="Q723" i="2" s="1"/>
  <c r="A724" i="2" a="1"/>
  <c r="A724" i="2" s="1"/>
  <c r="B724" i="2" a="1"/>
  <c r="B724" i="2" s="1"/>
  <c r="C724" i="2" a="1"/>
  <c r="C724" i="2" s="1"/>
  <c r="D724" i="2" a="1"/>
  <c r="D724" i="2" s="1"/>
  <c r="E724" i="2" a="1"/>
  <c r="E724" i="2" s="1"/>
  <c r="F724" i="2" a="1"/>
  <c r="F724" i="2" s="1"/>
  <c r="G724" i="2" a="1"/>
  <c r="G724" i="2" s="1"/>
  <c r="H724" i="2" a="1"/>
  <c r="H724" i="2" s="1"/>
  <c r="I724" i="2" a="1"/>
  <c r="I724" i="2" s="1"/>
  <c r="J724" i="2" a="1"/>
  <c r="J724" i="2" s="1"/>
  <c r="K724" i="2" a="1"/>
  <c r="K724" i="2" s="1"/>
  <c r="L724" i="2" a="1"/>
  <c r="L724" i="2" s="1"/>
  <c r="M724" i="2" a="1"/>
  <c r="M724" i="2" s="1"/>
  <c r="N724" i="2" a="1"/>
  <c r="N724" i="2" s="1"/>
  <c r="O724" i="2" a="1"/>
  <c r="O724" i="2" s="1"/>
  <c r="P724" i="2" a="1"/>
  <c r="P724" i="2" s="1"/>
  <c r="Q724" i="2" a="1"/>
  <c r="Q724" i="2" s="1"/>
  <c r="A725" i="2" a="1"/>
  <c r="A725" i="2" s="1"/>
  <c r="B725" i="2" a="1"/>
  <c r="B725" i="2" s="1"/>
  <c r="C725" i="2" a="1"/>
  <c r="C725" i="2" s="1"/>
  <c r="D725" i="2" a="1"/>
  <c r="D725" i="2" s="1"/>
  <c r="E725" i="2" a="1"/>
  <c r="E725" i="2" s="1"/>
  <c r="F725" i="2" a="1"/>
  <c r="F725" i="2" s="1"/>
  <c r="G725" i="2" a="1"/>
  <c r="G725" i="2" s="1"/>
  <c r="H725" i="2" a="1"/>
  <c r="H725" i="2" s="1"/>
  <c r="I725" i="2" a="1"/>
  <c r="I725" i="2" s="1"/>
  <c r="J725" i="2" a="1"/>
  <c r="J725" i="2" s="1"/>
  <c r="K725" i="2" a="1"/>
  <c r="K725" i="2" s="1"/>
  <c r="L725" i="2" a="1"/>
  <c r="L725" i="2" s="1"/>
  <c r="M725" i="2" a="1"/>
  <c r="M725" i="2" s="1"/>
  <c r="N725" i="2" a="1"/>
  <c r="N725" i="2" s="1"/>
  <c r="O725" i="2" a="1"/>
  <c r="O725" i="2" s="1"/>
  <c r="P725" i="2" a="1"/>
  <c r="P725" i="2" s="1"/>
  <c r="Q725" i="2" a="1"/>
  <c r="Q725" i="2" s="1"/>
  <c r="A726" i="2" a="1"/>
  <c r="A726" i="2" s="1"/>
  <c r="B726" i="2" a="1"/>
  <c r="B726" i="2" s="1"/>
  <c r="C726" i="2" a="1"/>
  <c r="C726" i="2" s="1"/>
  <c r="D726" i="2" a="1"/>
  <c r="D726" i="2" s="1"/>
  <c r="E726" i="2" a="1"/>
  <c r="E726" i="2" s="1"/>
  <c r="F726" i="2" a="1"/>
  <c r="F726" i="2" s="1"/>
  <c r="G726" i="2" a="1"/>
  <c r="G726" i="2" s="1"/>
  <c r="H726" i="2" a="1"/>
  <c r="H726" i="2" s="1"/>
  <c r="I726" i="2" a="1"/>
  <c r="I726" i="2" s="1"/>
  <c r="J726" i="2" a="1"/>
  <c r="J726" i="2" s="1"/>
  <c r="K726" i="2" a="1"/>
  <c r="K726" i="2" s="1"/>
  <c r="L726" i="2" a="1"/>
  <c r="L726" i="2" s="1"/>
  <c r="M726" i="2" a="1"/>
  <c r="M726" i="2" s="1"/>
  <c r="N726" i="2" a="1"/>
  <c r="N726" i="2" s="1"/>
  <c r="O726" i="2" a="1"/>
  <c r="O726" i="2" s="1"/>
  <c r="P726" i="2" a="1"/>
  <c r="P726" i="2" s="1"/>
  <c r="Q726" i="2" a="1"/>
  <c r="Q726" i="2" s="1"/>
  <c r="A727" i="2" a="1"/>
  <c r="A727" i="2" s="1"/>
  <c r="B727" i="2" a="1"/>
  <c r="B727" i="2" s="1"/>
  <c r="C727" i="2" a="1"/>
  <c r="C727" i="2" s="1"/>
  <c r="D727" i="2" a="1"/>
  <c r="D727" i="2" s="1"/>
  <c r="E727" i="2" a="1"/>
  <c r="E727" i="2" s="1"/>
  <c r="F727" i="2" a="1"/>
  <c r="F727" i="2" s="1"/>
  <c r="G727" i="2" a="1"/>
  <c r="G727" i="2" s="1"/>
  <c r="H727" i="2" a="1"/>
  <c r="H727" i="2" s="1"/>
  <c r="I727" i="2" a="1"/>
  <c r="I727" i="2" s="1"/>
  <c r="J727" i="2" a="1"/>
  <c r="J727" i="2" s="1"/>
  <c r="K727" i="2" a="1"/>
  <c r="K727" i="2" s="1"/>
  <c r="L727" i="2" a="1"/>
  <c r="L727" i="2" s="1"/>
  <c r="M727" i="2" a="1"/>
  <c r="M727" i="2" s="1"/>
  <c r="N727" i="2" a="1"/>
  <c r="N727" i="2" s="1"/>
  <c r="O727" i="2" a="1"/>
  <c r="O727" i="2" s="1"/>
  <c r="P727" i="2" a="1"/>
  <c r="P727" i="2" s="1"/>
  <c r="Q727" i="2" a="1"/>
  <c r="Q727" i="2" s="1"/>
  <c r="A728" i="2" a="1"/>
  <c r="A728" i="2" s="1"/>
  <c r="B728" i="2" a="1"/>
  <c r="B728" i="2" s="1"/>
  <c r="C728" i="2" a="1"/>
  <c r="C728" i="2" s="1"/>
  <c r="D728" i="2" a="1"/>
  <c r="D728" i="2" s="1"/>
  <c r="E728" i="2" a="1"/>
  <c r="E728" i="2" s="1"/>
  <c r="F728" i="2" a="1"/>
  <c r="F728" i="2" s="1"/>
  <c r="G728" i="2" a="1"/>
  <c r="G728" i="2" s="1"/>
  <c r="H728" i="2" a="1"/>
  <c r="H728" i="2" s="1"/>
  <c r="I728" i="2" a="1"/>
  <c r="I728" i="2" s="1"/>
  <c r="J728" i="2" a="1"/>
  <c r="J728" i="2" s="1"/>
  <c r="K728" i="2" a="1"/>
  <c r="K728" i="2" s="1"/>
  <c r="L728" i="2" a="1"/>
  <c r="L728" i="2" s="1"/>
  <c r="M728" i="2" a="1"/>
  <c r="M728" i="2" s="1"/>
  <c r="N728" i="2" a="1"/>
  <c r="N728" i="2" s="1"/>
  <c r="O728" i="2" a="1"/>
  <c r="O728" i="2" s="1"/>
  <c r="P728" i="2" a="1"/>
  <c r="P728" i="2" s="1"/>
  <c r="Q728" i="2" a="1"/>
  <c r="Q728" i="2" s="1"/>
  <c r="A729" i="2" a="1"/>
  <c r="A729" i="2" s="1"/>
  <c r="B729" i="2" a="1"/>
  <c r="B729" i="2" s="1"/>
  <c r="C729" i="2" a="1"/>
  <c r="C729" i="2" s="1"/>
  <c r="D729" i="2" a="1"/>
  <c r="D729" i="2" s="1"/>
  <c r="E729" i="2" a="1"/>
  <c r="E729" i="2" s="1"/>
  <c r="F729" i="2" a="1"/>
  <c r="F729" i="2" s="1"/>
  <c r="G729" i="2" a="1"/>
  <c r="G729" i="2" s="1"/>
  <c r="H729" i="2" a="1"/>
  <c r="H729" i="2" s="1"/>
  <c r="I729" i="2" a="1"/>
  <c r="I729" i="2" s="1"/>
  <c r="J729" i="2" a="1"/>
  <c r="J729" i="2" s="1"/>
  <c r="K729" i="2" a="1"/>
  <c r="K729" i="2" s="1"/>
  <c r="L729" i="2" a="1"/>
  <c r="L729" i="2" s="1"/>
  <c r="M729" i="2" a="1"/>
  <c r="M729" i="2" s="1"/>
  <c r="N729" i="2" a="1"/>
  <c r="N729" i="2" s="1"/>
  <c r="O729" i="2" a="1"/>
  <c r="O729" i="2" s="1"/>
  <c r="P729" i="2" a="1"/>
  <c r="P729" i="2" s="1"/>
  <c r="Q729" i="2" a="1"/>
  <c r="Q729" i="2" s="1"/>
  <c r="A730" i="2" a="1"/>
  <c r="A730" i="2" s="1"/>
  <c r="B730" i="2" a="1"/>
  <c r="B730" i="2" s="1"/>
  <c r="C730" i="2" a="1"/>
  <c r="C730" i="2" s="1"/>
  <c r="D730" i="2" a="1"/>
  <c r="D730" i="2" s="1"/>
  <c r="E730" i="2" a="1"/>
  <c r="E730" i="2" s="1"/>
  <c r="F730" i="2" a="1"/>
  <c r="F730" i="2" s="1"/>
  <c r="G730" i="2" a="1"/>
  <c r="G730" i="2" s="1"/>
  <c r="H730" i="2" a="1"/>
  <c r="H730" i="2" s="1"/>
  <c r="I730" i="2" a="1"/>
  <c r="I730" i="2" s="1"/>
  <c r="J730" i="2" a="1"/>
  <c r="J730" i="2" s="1"/>
  <c r="K730" i="2" a="1"/>
  <c r="K730" i="2" s="1"/>
  <c r="L730" i="2" a="1"/>
  <c r="L730" i="2" s="1"/>
  <c r="M730" i="2" a="1"/>
  <c r="M730" i="2" s="1"/>
  <c r="N730" i="2" a="1"/>
  <c r="N730" i="2" s="1"/>
  <c r="O730" i="2" a="1"/>
  <c r="O730" i="2" s="1"/>
  <c r="P730" i="2" a="1"/>
  <c r="P730" i="2" s="1"/>
  <c r="Q730" i="2" a="1"/>
  <c r="Q730" i="2" s="1"/>
  <c r="A731" i="2" a="1"/>
  <c r="A731" i="2" s="1"/>
  <c r="B731" i="2" a="1"/>
  <c r="B731" i="2" s="1"/>
  <c r="C731" i="2" a="1"/>
  <c r="C731" i="2" s="1"/>
  <c r="D731" i="2" a="1"/>
  <c r="D731" i="2" s="1"/>
  <c r="E731" i="2" a="1"/>
  <c r="E731" i="2" s="1"/>
  <c r="F731" i="2" a="1"/>
  <c r="F731" i="2" s="1"/>
  <c r="G731" i="2" a="1"/>
  <c r="G731" i="2" s="1"/>
  <c r="H731" i="2" a="1"/>
  <c r="H731" i="2" s="1"/>
  <c r="I731" i="2" a="1"/>
  <c r="I731" i="2" s="1"/>
  <c r="J731" i="2" a="1"/>
  <c r="J731" i="2" s="1"/>
  <c r="K731" i="2" a="1"/>
  <c r="K731" i="2" s="1"/>
  <c r="L731" i="2" a="1"/>
  <c r="L731" i="2" s="1"/>
  <c r="M731" i="2" a="1"/>
  <c r="M731" i="2" s="1"/>
  <c r="N731" i="2" a="1"/>
  <c r="N731" i="2" s="1"/>
  <c r="O731" i="2" a="1"/>
  <c r="O731" i="2" s="1"/>
  <c r="P731" i="2" a="1"/>
  <c r="P731" i="2" s="1"/>
  <c r="Q731" i="2" a="1"/>
  <c r="Q731" i="2" s="1"/>
  <c r="A732" i="2" a="1"/>
  <c r="A732" i="2" s="1"/>
  <c r="B732" i="2" a="1"/>
  <c r="B732" i="2" s="1"/>
  <c r="C732" i="2" a="1"/>
  <c r="C732" i="2" s="1"/>
  <c r="D732" i="2" a="1"/>
  <c r="D732" i="2" s="1"/>
  <c r="E732" i="2" a="1"/>
  <c r="E732" i="2" s="1"/>
  <c r="F732" i="2" a="1"/>
  <c r="F732" i="2" s="1"/>
  <c r="G732" i="2" a="1"/>
  <c r="G732" i="2" s="1"/>
  <c r="H732" i="2" a="1"/>
  <c r="H732" i="2" s="1"/>
  <c r="I732" i="2" a="1"/>
  <c r="I732" i="2" s="1"/>
  <c r="J732" i="2" a="1"/>
  <c r="J732" i="2" s="1"/>
  <c r="K732" i="2" a="1"/>
  <c r="K732" i="2" s="1"/>
  <c r="L732" i="2" a="1"/>
  <c r="L732" i="2" s="1"/>
  <c r="M732" i="2" a="1"/>
  <c r="M732" i="2" s="1"/>
  <c r="N732" i="2" a="1"/>
  <c r="N732" i="2" s="1"/>
  <c r="O732" i="2" a="1"/>
  <c r="O732" i="2" s="1"/>
  <c r="P732" i="2" a="1"/>
  <c r="P732" i="2" s="1"/>
  <c r="Q732" i="2" a="1"/>
  <c r="Q732" i="2" s="1"/>
  <c r="A733" i="2" a="1"/>
  <c r="A733" i="2" s="1"/>
  <c r="B733" i="2" a="1"/>
  <c r="B733" i="2" s="1"/>
  <c r="C733" i="2" a="1"/>
  <c r="C733" i="2" s="1"/>
  <c r="D733" i="2" a="1"/>
  <c r="D733" i="2" s="1"/>
  <c r="E733" i="2" a="1"/>
  <c r="E733" i="2" s="1"/>
  <c r="F733" i="2" a="1"/>
  <c r="F733" i="2" s="1"/>
  <c r="G733" i="2" a="1"/>
  <c r="G733" i="2" s="1"/>
  <c r="H733" i="2" a="1"/>
  <c r="H733" i="2" s="1"/>
  <c r="I733" i="2" a="1"/>
  <c r="I733" i="2" s="1"/>
  <c r="J733" i="2" a="1"/>
  <c r="J733" i="2" s="1"/>
  <c r="K733" i="2" a="1"/>
  <c r="K733" i="2" s="1"/>
  <c r="L733" i="2" a="1"/>
  <c r="L733" i="2" s="1"/>
  <c r="M733" i="2" a="1"/>
  <c r="M733" i="2" s="1"/>
  <c r="N733" i="2" a="1"/>
  <c r="N733" i="2" s="1"/>
  <c r="O733" i="2" a="1"/>
  <c r="O733" i="2" s="1"/>
  <c r="P733" i="2" a="1"/>
  <c r="P733" i="2" s="1"/>
  <c r="Q733" i="2" a="1"/>
  <c r="Q733" i="2" s="1"/>
  <c r="A734" i="2" a="1"/>
  <c r="A734" i="2" s="1"/>
  <c r="B734" i="2" a="1"/>
  <c r="B734" i="2" s="1"/>
  <c r="C734" i="2" a="1"/>
  <c r="C734" i="2" s="1"/>
  <c r="D734" i="2" a="1"/>
  <c r="D734" i="2" s="1"/>
  <c r="E734" i="2" a="1"/>
  <c r="E734" i="2" s="1"/>
  <c r="F734" i="2" a="1"/>
  <c r="F734" i="2" s="1"/>
  <c r="G734" i="2" a="1"/>
  <c r="G734" i="2" s="1"/>
  <c r="H734" i="2" a="1"/>
  <c r="H734" i="2" s="1"/>
  <c r="I734" i="2" a="1"/>
  <c r="I734" i="2" s="1"/>
  <c r="J734" i="2" a="1"/>
  <c r="J734" i="2" s="1"/>
  <c r="K734" i="2" a="1"/>
  <c r="K734" i="2" s="1"/>
  <c r="L734" i="2" a="1"/>
  <c r="L734" i="2" s="1"/>
  <c r="M734" i="2" a="1"/>
  <c r="M734" i="2" s="1"/>
  <c r="N734" i="2" a="1"/>
  <c r="N734" i="2" s="1"/>
  <c r="O734" i="2" a="1"/>
  <c r="O734" i="2" s="1"/>
  <c r="P734" i="2" a="1"/>
  <c r="P734" i="2" s="1"/>
  <c r="Q734" i="2" a="1"/>
  <c r="Q734" i="2" s="1"/>
  <c r="A735" i="2" a="1"/>
  <c r="A735" i="2" s="1"/>
  <c r="B735" i="2" a="1"/>
  <c r="B735" i="2" s="1"/>
  <c r="C735" i="2" a="1"/>
  <c r="C735" i="2" s="1"/>
  <c r="D735" i="2" a="1"/>
  <c r="D735" i="2" s="1"/>
  <c r="E735" i="2" a="1"/>
  <c r="E735" i="2" s="1"/>
  <c r="F735" i="2" a="1"/>
  <c r="F735" i="2" s="1"/>
  <c r="G735" i="2" a="1"/>
  <c r="G735" i="2" s="1"/>
  <c r="H735" i="2" a="1"/>
  <c r="H735" i="2" s="1"/>
  <c r="I735" i="2" a="1"/>
  <c r="I735" i="2" s="1"/>
  <c r="J735" i="2" a="1"/>
  <c r="J735" i="2" s="1"/>
  <c r="K735" i="2" a="1"/>
  <c r="K735" i="2" s="1"/>
  <c r="L735" i="2" a="1"/>
  <c r="L735" i="2" s="1"/>
  <c r="M735" i="2" a="1"/>
  <c r="M735" i="2" s="1"/>
  <c r="N735" i="2" a="1"/>
  <c r="N735" i="2" s="1"/>
  <c r="O735" i="2" a="1"/>
  <c r="O735" i="2" s="1"/>
  <c r="P735" i="2" a="1"/>
  <c r="P735" i="2" s="1"/>
  <c r="Q735" i="2" a="1"/>
  <c r="Q735" i="2" s="1"/>
  <c r="A736" i="2" a="1"/>
  <c r="A736" i="2" s="1"/>
  <c r="B736" i="2" a="1"/>
  <c r="B736" i="2" s="1"/>
  <c r="C736" i="2" a="1"/>
  <c r="C736" i="2" s="1"/>
  <c r="D736" i="2" a="1"/>
  <c r="D736" i="2" s="1"/>
  <c r="E736" i="2" a="1"/>
  <c r="E736" i="2" s="1"/>
  <c r="F736" i="2" a="1"/>
  <c r="F736" i="2" s="1"/>
  <c r="G736" i="2" a="1"/>
  <c r="G736" i="2" s="1"/>
  <c r="H736" i="2" a="1"/>
  <c r="H736" i="2" s="1"/>
  <c r="I736" i="2" a="1"/>
  <c r="I736" i="2" s="1"/>
  <c r="J736" i="2" a="1"/>
  <c r="J736" i="2" s="1"/>
  <c r="K736" i="2" a="1"/>
  <c r="K736" i="2" s="1"/>
  <c r="L736" i="2" a="1"/>
  <c r="L736" i="2" s="1"/>
  <c r="M736" i="2" a="1"/>
  <c r="M736" i="2" s="1"/>
  <c r="N736" i="2" a="1"/>
  <c r="N736" i="2" s="1"/>
  <c r="O736" i="2" a="1"/>
  <c r="O736" i="2" s="1"/>
  <c r="P736" i="2" a="1"/>
  <c r="P736" i="2" s="1"/>
  <c r="Q736" i="2" a="1"/>
  <c r="Q736" i="2" s="1"/>
  <c r="A737" i="2" a="1"/>
  <c r="A737" i="2" s="1"/>
  <c r="B737" i="2" a="1"/>
  <c r="B737" i="2" s="1"/>
  <c r="C737" i="2" a="1"/>
  <c r="C737" i="2" s="1"/>
  <c r="D737" i="2" a="1"/>
  <c r="D737" i="2" s="1"/>
  <c r="E737" i="2" a="1"/>
  <c r="E737" i="2" s="1"/>
  <c r="F737" i="2" a="1"/>
  <c r="F737" i="2" s="1"/>
  <c r="G737" i="2" a="1"/>
  <c r="G737" i="2" s="1"/>
  <c r="H737" i="2" a="1"/>
  <c r="H737" i="2" s="1"/>
  <c r="I737" i="2" a="1"/>
  <c r="I737" i="2" s="1"/>
  <c r="J737" i="2" a="1"/>
  <c r="J737" i="2" s="1"/>
  <c r="K737" i="2" a="1"/>
  <c r="K737" i="2" s="1"/>
  <c r="L737" i="2" a="1"/>
  <c r="L737" i="2" s="1"/>
  <c r="M737" i="2" a="1"/>
  <c r="M737" i="2" s="1"/>
  <c r="N737" i="2" a="1"/>
  <c r="N737" i="2" s="1"/>
  <c r="O737" i="2" a="1"/>
  <c r="O737" i="2" s="1"/>
  <c r="P737" i="2" a="1"/>
  <c r="P737" i="2" s="1"/>
  <c r="Q737" i="2" a="1"/>
  <c r="Q737" i="2" s="1"/>
  <c r="A738" i="2" a="1"/>
  <c r="A738" i="2" s="1"/>
  <c r="B738" i="2" a="1"/>
  <c r="B738" i="2" s="1"/>
  <c r="C738" i="2" a="1"/>
  <c r="C738" i="2" s="1"/>
  <c r="D738" i="2" a="1"/>
  <c r="D738" i="2" s="1"/>
  <c r="E738" i="2" a="1"/>
  <c r="E738" i="2" s="1"/>
  <c r="F738" i="2" a="1"/>
  <c r="F738" i="2" s="1"/>
  <c r="G738" i="2" a="1"/>
  <c r="G738" i="2" s="1"/>
  <c r="H738" i="2" a="1"/>
  <c r="H738" i="2" s="1"/>
  <c r="I738" i="2" a="1"/>
  <c r="I738" i="2" s="1"/>
  <c r="J738" i="2" a="1"/>
  <c r="J738" i="2" s="1"/>
  <c r="K738" i="2" a="1"/>
  <c r="K738" i="2" s="1"/>
  <c r="L738" i="2" a="1"/>
  <c r="L738" i="2" s="1"/>
  <c r="M738" i="2" a="1"/>
  <c r="M738" i="2" s="1"/>
  <c r="N738" i="2" a="1"/>
  <c r="N738" i="2" s="1"/>
  <c r="O738" i="2" a="1"/>
  <c r="O738" i="2" s="1"/>
  <c r="P738" i="2" a="1"/>
  <c r="P738" i="2" s="1"/>
  <c r="Q738" i="2" a="1"/>
  <c r="Q738" i="2" s="1"/>
  <c r="A739" i="2" a="1"/>
  <c r="A739" i="2" s="1"/>
  <c r="B739" i="2" a="1"/>
  <c r="B739" i="2" s="1"/>
  <c r="C739" i="2" a="1"/>
  <c r="C739" i="2" s="1"/>
  <c r="D739" i="2" a="1"/>
  <c r="D739" i="2" s="1"/>
  <c r="E739" i="2" a="1"/>
  <c r="E739" i="2" s="1"/>
  <c r="F739" i="2" a="1"/>
  <c r="F739" i="2" s="1"/>
  <c r="G739" i="2" a="1"/>
  <c r="G739" i="2" s="1"/>
  <c r="H739" i="2" a="1"/>
  <c r="H739" i="2" s="1"/>
  <c r="I739" i="2" a="1"/>
  <c r="I739" i="2" s="1"/>
  <c r="J739" i="2" a="1"/>
  <c r="J739" i="2" s="1"/>
  <c r="K739" i="2" a="1"/>
  <c r="K739" i="2" s="1"/>
  <c r="L739" i="2" a="1"/>
  <c r="L739" i="2" s="1"/>
  <c r="M739" i="2" a="1"/>
  <c r="M739" i="2" s="1"/>
  <c r="N739" i="2" a="1"/>
  <c r="N739" i="2" s="1"/>
  <c r="O739" i="2" a="1"/>
  <c r="O739" i="2" s="1"/>
  <c r="P739" i="2" a="1"/>
  <c r="P739" i="2" s="1"/>
  <c r="Q739" i="2" a="1"/>
  <c r="Q739" i="2" s="1"/>
  <c r="A740" i="2" a="1"/>
  <c r="A740" i="2" s="1"/>
  <c r="B740" i="2" a="1"/>
  <c r="B740" i="2" s="1"/>
  <c r="C740" i="2" a="1"/>
  <c r="C740" i="2" s="1"/>
  <c r="D740" i="2" a="1"/>
  <c r="D740" i="2" s="1"/>
  <c r="E740" i="2" a="1"/>
  <c r="E740" i="2" s="1"/>
  <c r="F740" i="2" a="1"/>
  <c r="F740" i="2" s="1"/>
  <c r="G740" i="2" a="1"/>
  <c r="G740" i="2" s="1"/>
  <c r="H740" i="2" a="1"/>
  <c r="H740" i="2" s="1"/>
  <c r="I740" i="2" a="1"/>
  <c r="I740" i="2" s="1"/>
  <c r="J740" i="2" a="1"/>
  <c r="J740" i="2" s="1"/>
  <c r="K740" i="2" a="1"/>
  <c r="K740" i="2" s="1"/>
  <c r="L740" i="2" a="1"/>
  <c r="L740" i="2" s="1"/>
  <c r="M740" i="2" a="1"/>
  <c r="M740" i="2" s="1"/>
  <c r="N740" i="2" a="1"/>
  <c r="N740" i="2" s="1"/>
  <c r="O740" i="2" a="1"/>
  <c r="O740" i="2" s="1"/>
  <c r="P740" i="2" a="1"/>
  <c r="P740" i="2" s="1"/>
  <c r="Q740" i="2" a="1"/>
  <c r="Q740" i="2" s="1"/>
  <c r="A741" i="2" a="1"/>
  <c r="A741" i="2" s="1"/>
  <c r="B741" i="2" a="1"/>
  <c r="B741" i="2" s="1"/>
  <c r="C741" i="2" a="1"/>
  <c r="C741" i="2" s="1"/>
  <c r="D741" i="2" a="1"/>
  <c r="D741" i="2" s="1"/>
  <c r="E741" i="2" a="1"/>
  <c r="E741" i="2" s="1"/>
  <c r="F741" i="2" a="1"/>
  <c r="F741" i="2" s="1"/>
  <c r="G741" i="2" a="1"/>
  <c r="G741" i="2" s="1"/>
  <c r="H741" i="2" a="1"/>
  <c r="H741" i="2" s="1"/>
  <c r="I741" i="2" a="1"/>
  <c r="I741" i="2" s="1"/>
  <c r="J741" i="2" a="1"/>
  <c r="J741" i="2" s="1"/>
  <c r="K741" i="2" a="1"/>
  <c r="K741" i="2" s="1"/>
  <c r="L741" i="2" a="1"/>
  <c r="L741" i="2" s="1"/>
  <c r="M741" i="2" a="1"/>
  <c r="M741" i="2" s="1"/>
  <c r="N741" i="2" a="1"/>
  <c r="N741" i="2" s="1"/>
  <c r="O741" i="2" a="1"/>
  <c r="O741" i="2" s="1"/>
  <c r="P741" i="2" a="1"/>
  <c r="P741" i="2" s="1"/>
  <c r="Q741" i="2" a="1"/>
  <c r="Q741" i="2" s="1"/>
  <c r="A742" i="2" a="1"/>
  <c r="A742" i="2" s="1"/>
  <c r="B742" i="2" a="1"/>
  <c r="B742" i="2" s="1"/>
  <c r="C742" i="2" a="1"/>
  <c r="C742" i="2" s="1"/>
  <c r="D742" i="2" a="1"/>
  <c r="D742" i="2" s="1"/>
  <c r="E742" i="2" a="1"/>
  <c r="E742" i="2" s="1"/>
  <c r="F742" i="2" a="1"/>
  <c r="F742" i="2" s="1"/>
  <c r="G742" i="2" a="1"/>
  <c r="G742" i="2" s="1"/>
  <c r="H742" i="2" a="1"/>
  <c r="H742" i="2" s="1"/>
  <c r="I742" i="2" a="1"/>
  <c r="I742" i="2" s="1"/>
  <c r="J742" i="2" a="1"/>
  <c r="J742" i="2" s="1"/>
  <c r="K742" i="2" a="1"/>
  <c r="K742" i="2" s="1"/>
  <c r="L742" i="2" a="1"/>
  <c r="L742" i="2" s="1"/>
  <c r="M742" i="2" a="1"/>
  <c r="M742" i="2" s="1"/>
  <c r="N742" i="2" a="1"/>
  <c r="N742" i="2" s="1"/>
  <c r="O742" i="2" a="1"/>
  <c r="O742" i="2" s="1"/>
  <c r="P742" i="2" a="1"/>
  <c r="P742" i="2" s="1"/>
  <c r="Q742" i="2" a="1"/>
  <c r="Q742" i="2" s="1"/>
  <c r="A743" i="2" a="1"/>
  <c r="A743" i="2" s="1"/>
  <c r="B743" i="2" a="1"/>
  <c r="B743" i="2" s="1"/>
  <c r="C743" i="2" a="1"/>
  <c r="C743" i="2" s="1"/>
  <c r="D743" i="2" a="1"/>
  <c r="D743" i="2" s="1"/>
  <c r="E743" i="2" a="1"/>
  <c r="E743" i="2" s="1"/>
  <c r="F743" i="2" a="1"/>
  <c r="F743" i="2" s="1"/>
  <c r="G743" i="2" a="1"/>
  <c r="G743" i="2" s="1"/>
  <c r="H743" i="2" a="1"/>
  <c r="H743" i="2" s="1"/>
  <c r="I743" i="2" a="1"/>
  <c r="I743" i="2" s="1"/>
  <c r="J743" i="2" a="1"/>
  <c r="J743" i="2" s="1"/>
  <c r="K743" i="2" a="1"/>
  <c r="K743" i="2" s="1"/>
  <c r="L743" i="2" a="1"/>
  <c r="L743" i="2" s="1"/>
  <c r="M743" i="2" a="1"/>
  <c r="M743" i="2" s="1"/>
  <c r="N743" i="2" a="1"/>
  <c r="N743" i="2" s="1"/>
  <c r="O743" i="2" a="1"/>
  <c r="O743" i="2" s="1"/>
  <c r="P743" i="2" a="1"/>
  <c r="P743" i="2" s="1"/>
  <c r="Q743" i="2" a="1"/>
  <c r="Q743" i="2" s="1"/>
  <c r="A744" i="2" a="1"/>
  <c r="A744" i="2" s="1"/>
  <c r="B744" i="2" a="1"/>
  <c r="B744" i="2" s="1"/>
  <c r="C744" i="2" a="1"/>
  <c r="C744" i="2" s="1"/>
  <c r="D744" i="2" a="1"/>
  <c r="D744" i="2" s="1"/>
  <c r="E744" i="2" a="1"/>
  <c r="E744" i="2" s="1"/>
  <c r="F744" i="2" a="1"/>
  <c r="F744" i="2" s="1"/>
  <c r="G744" i="2" a="1"/>
  <c r="G744" i="2" s="1"/>
  <c r="H744" i="2" a="1"/>
  <c r="H744" i="2" s="1"/>
  <c r="I744" i="2" a="1"/>
  <c r="I744" i="2" s="1"/>
  <c r="J744" i="2" a="1"/>
  <c r="J744" i="2" s="1"/>
  <c r="K744" i="2" a="1"/>
  <c r="K744" i="2" s="1"/>
  <c r="L744" i="2" a="1"/>
  <c r="L744" i="2" s="1"/>
  <c r="M744" i="2" a="1"/>
  <c r="M744" i="2" s="1"/>
  <c r="N744" i="2" a="1"/>
  <c r="N744" i="2" s="1"/>
  <c r="O744" i="2" a="1"/>
  <c r="O744" i="2" s="1"/>
  <c r="P744" i="2" a="1"/>
  <c r="P744" i="2" s="1"/>
  <c r="Q744" i="2" a="1"/>
  <c r="Q744" i="2" s="1"/>
  <c r="A745" i="2" a="1"/>
  <c r="A745" i="2" s="1"/>
  <c r="B745" i="2" a="1"/>
  <c r="B745" i="2" s="1"/>
  <c r="C745" i="2" a="1"/>
  <c r="C745" i="2" s="1"/>
  <c r="D745" i="2" a="1"/>
  <c r="D745" i="2" s="1"/>
  <c r="E745" i="2" a="1"/>
  <c r="E745" i="2" s="1"/>
  <c r="F745" i="2" a="1"/>
  <c r="F745" i="2" s="1"/>
  <c r="G745" i="2" a="1"/>
  <c r="G745" i="2" s="1"/>
  <c r="H745" i="2" a="1"/>
  <c r="H745" i="2" s="1"/>
  <c r="I745" i="2" a="1"/>
  <c r="I745" i="2" s="1"/>
  <c r="J745" i="2" a="1"/>
  <c r="J745" i="2" s="1"/>
  <c r="K745" i="2" a="1"/>
  <c r="K745" i="2" s="1"/>
  <c r="L745" i="2" a="1"/>
  <c r="L745" i="2" s="1"/>
  <c r="M745" i="2" a="1"/>
  <c r="M745" i="2" s="1"/>
  <c r="N745" i="2" a="1"/>
  <c r="N745" i="2" s="1"/>
  <c r="O745" i="2" a="1"/>
  <c r="O745" i="2" s="1"/>
  <c r="P745" i="2" a="1"/>
  <c r="P745" i="2" s="1"/>
  <c r="Q745" i="2" a="1"/>
  <c r="Q745" i="2" s="1"/>
  <c r="A746" i="2" a="1"/>
  <c r="A746" i="2" s="1"/>
  <c r="B746" i="2" a="1"/>
  <c r="B746" i="2" s="1"/>
  <c r="C746" i="2" a="1"/>
  <c r="C746" i="2" s="1"/>
  <c r="D746" i="2" a="1"/>
  <c r="D746" i="2" s="1"/>
  <c r="E746" i="2" a="1"/>
  <c r="E746" i="2" s="1"/>
  <c r="F746" i="2" a="1"/>
  <c r="F746" i="2" s="1"/>
  <c r="G746" i="2" a="1"/>
  <c r="G746" i="2" s="1"/>
  <c r="H746" i="2" a="1"/>
  <c r="H746" i="2" s="1"/>
  <c r="I746" i="2" a="1"/>
  <c r="I746" i="2" s="1"/>
  <c r="J746" i="2" a="1"/>
  <c r="J746" i="2" s="1"/>
  <c r="K746" i="2" a="1"/>
  <c r="K746" i="2" s="1"/>
  <c r="L746" i="2" a="1"/>
  <c r="L746" i="2" s="1"/>
  <c r="M746" i="2" a="1"/>
  <c r="M746" i="2" s="1"/>
  <c r="N746" i="2" a="1"/>
  <c r="N746" i="2" s="1"/>
  <c r="O746" i="2" a="1"/>
  <c r="O746" i="2" s="1"/>
  <c r="P746" i="2" a="1"/>
  <c r="P746" i="2" s="1"/>
  <c r="Q746" i="2" a="1"/>
  <c r="Q746" i="2" s="1"/>
  <c r="A747" i="2" a="1"/>
  <c r="A747" i="2" s="1"/>
  <c r="B747" i="2" a="1"/>
  <c r="B747" i="2" s="1"/>
  <c r="C747" i="2" a="1"/>
  <c r="C747" i="2" s="1"/>
  <c r="D747" i="2" a="1"/>
  <c r="D747" i="2" s="1"/>
  <c r="E747" i="2" a="1"/>
  <c r="E747" i="2" s="1"/>
  <c r="F747" i="2" a="1"/>
  <c r="F747" i="2" s="1"/>
  <c r="G747" i="2" a="1"/>
  <c r="G747" i="2" s="1"/>
  <c r="H747" i="2" a="1"/>
  <c r="H747" i="2" s="1"/>
  <c r="I747" i="2" a="1"/>
  <c r="I747" i="2" s="1"/>
  <c r="J747" i="2" a="1"/>
  <c r="J747" i="2" s="1"/>
  <c r="K747" i="2" a="1"/>
  <c r="K747" i="2" s="1"/>
  <c r="L747" i="2" a="1"/>
  <c r="L747" i="2" s="1"/>
  <c r="M747" i="2" a="1"/>
  <c r="M747" i="2" s="1"/>
  <c r="N747" i="2" a="1"/>
  <c r="N747" i="2" s="1"/>
  <c r="O747" i="2" a="1"/>
  <c r="O747" i="2" s="1"/>
  <c r="P747" i="2" a="1"/>
  <c r="P747" i="2" s="1"/>
  <c r="Q747" i="2" a="1"/>
  <c r="Q747" i="2" s="1"/>
  <c r="A748" i="2" a="1"/>
  <c r="A748" i="2" s="1"/>
  <c r="B748" i="2" a="1"/>
  <c r="B748" i="2" s="1"/>
  <c r="C748" i="2" a="1"/>
  <c r="C748" i="2" s="1"/>
  <c r="D748" i="2" a="1"/>
  <c r="D748" i="2" s="1"/>
  <c r="E748" i="2" a="1"/>
  <c r="E748" i="2" s="1"/>
  <c r="F748" i="2" a="1"/>
  <c r="F748" i="2" s="1"/>
  <c r="G748" i="2" a="1"/>
  <c r="G748" i="2" s="1"/>
  <c r="H748" i="2" a="1"/>
  <c r="H748" i="2" s="1"/>
  <c r="I748" i="2" a="1"/>
  <c r="I748" i="2" s="1"/>
  <c r="J748" i="2" a="1"/>
  <c r="J748" i="2" s="1"/>
  <c r="K748" i="2" a="1"/>
  <c r="K748" i="2" s="1"/>
  <c r="L748" i="2" a="1"/>
  <c r="L748" i="2" s="1"/>
  <c r="M748" i="2" a="1"/>
  <c r="M748" i="2" s="1"/>
  <c r="N748" i="2" a="1"/>
  <c r="N748" i="2" s="1"/>
  <c r="O748" i="2" a="1"/>
  <c r="O748" i="2" s="1"/>
  <c r="P748" i="2" a="1"/>
  <c r="P748" i="2" s="1"/>
  <c r="Q748" i="2" a="1"/>
  <c r="Q748" i="2" s="1"/>
  <c r="A749" i="2" a="1"/>
  <c r="A749" i="2" s="1"/>
  <c r="B749" i="2" a="1"/>
  <c r="B749" i="2" s="1"/>
  <c r="C749" i="2" a="1"/>
  <c r="C749" i="2" s="1"/>
  <c r="D749" i="2" a="1"/>
  <c r="D749" i="2" s="1"/>
  <c r="E749" i="2" a="1"/>
  <c r="E749" i="2" s="1"/>
  <c r="F749" i="2" a="1"/>
  <c r="F749" i="2" s="1"/>
  <c r="G749" i="2" a="1"/>
  <c r="G749" i="2" s="1"/>
  <c r="H749" i="2" a="1"/>
  <c r="H749" i="2" s="1"/>
  <c r="I749" i="2" a="1"/>
  <c r="I749" i="2" s="1"/>
  <c r="J749" i="2" a="1"/>
  <c r="J749" i="2" s="1"/>
  <c r="K749" i="2" a="1"/>
  <c r="K749" i="2" s="1"/>
  <c r="L749" i="2" a="1"/>
  <c r="L749" i="2" s="1"/>
  <c r="M749" i="2" a="1"/>
  <c r="M749" i="2" s="1"/>
  <c r="N749" i="2" a="1"/>
  <c r="N749" i="2" s="1"/>
  <c r="O749" i="2" a="1"/>
  <c r="O749" i="2" s="1"/>
  <c r="P749" i="2" a="1"/>
  <c r="P749" i="2" s="1"/>
  <c r="Q749" i="2" a="1"/>
  <c r="Q749" i="2" s="1"/>
  <c r="A750" i="2" a="1"/>
  <c r="A750" i="2" s="1"/>
  <c r="B750" i="2" a="1"/>
  <c r="B750" i="2" s="1"/>
  <c r="C750" i="2" a="1"/>
  <c r="C750" i="2" s="1"/>
  <c r="D750" i="2" a="1"/>
  <c r="D750" i="2" s="1"/>
  <c r="E750" i="2" a="1"/>
  <c r="E750" i="2" s="1"/>
  <c r="F750" i="2" a="1"/>
  <c r="F750" i="2" s="1"/>
  <c r="G750" i="2" a="1"/>
  <c r="G750" i="2" s="1"/>
  <c r="H750" i="2" a="1"/>
  <c r="H750" i="2" s="1"/>
  <c r="I750" i="2" a="1"/>
  <c r="I750" i="2" s="1"/>
  <c r="J750" i="2" a="1"/>
  <c r="J750" i="2" s="1"/>
  <c r="K750" i="2" a="1"/>
  <c r="K750" i="2" s="1"/>
  <c r="L750" i="2" a="1"/>
  <c r="L750" i="2" s="1"/>
  <c r="M750" i="2" a="1"/>
  <c r="M750" i="2" s="1"/>
  <c r="N750" i="2" a="1"/>
  <c r="N750" i="2" s="1"/>
  <c r="O750" i="2" a="1"/>
  <c r="O750" i="2" s="1"/>
  <c r="P750" i="2" a="1"/>
  <c r="P750" i="2" s="1"/>
  <c r="Q750" i="2" a="1"/>
  <c r="Q750" i="2" s="1"/>
  <c r="A751" i="2" a="1"/>
  <c r="A751" i="2" s="1"/>
  <c r="B751" i="2" a="1"/>
  <c r="B751" i="2" s="1"/>
  <c r="C751" i="2" a="1"/>
  <c r="C751" i="2" s="1"/>
  <c r="D751" i="2" a="1"/>
  <c r="D751" i="2" s="1"/>
  <c r="E751" i="2" a="1"/>
  <c r="E751" i="2" s="1"/>
  <c r="F751" i="2" a="1"/>
  <c r="F751" i="2" s="1"/>
  <c r="G751" i="2" a="1"/>
  <c r="G751" i="2" s="1"/>
  <c r="H751" i="2" a="1"/>
  <c r="H751" i="2" s="1"/>
  <c r="I751" i="2" a="1"/>
  <c r="I751" i="2" s="1"/>
  <c r="J751" i="2" a="1"/>
  <c r="J751" i="2" s="1"/>
  <c r="K751" i="2" a="1"/>
  <c r="K751" i="2" s="1"/>
  <c r="L751" i="2" a="1"/>
  <c r="L751" i="2" s="1"/>
  <c r="M751" i="2" a="1"/>
  <c r="M751" i="2" s="1"/>
  <c r="N751" i="2" a="1"/>
  <c r="N751" i="2" s="1"/>
  <c r="O751" i="2" a="1"/>
  <c r="O751" i="2" s="1"/>
  <c r="P751" i="2" a="1"/>
  <c r="P751" i="2" s="1"/>
  <c r="Q751" i="2" a="1"/>
  <c r="Q751" i="2" s="1"/>
  <c r="A752" i="2" a="1"/>
  <c r="A752" i="2" s="1"/>
  <c r="B752" i="2" a="1"/>
  <c r="B752" i="2" s="1"/>
  <c r="C752" i="2" a="1"/>
  <c r="C752" i="2" s="1"/>
  <c r="D752" i="2" a="1"/>
  <c r="D752" i="2" s="1"/>
  <c r="E752" i="2" a="1"/>
  <c r="E752" i="2" s="1"/>
  <c r="F752" i="2" a="1"/>
  <c r="F752" i="2" s="1"/>
  <c r="G752" i="2" a="1"/>
  <c r="G752" i="2" s="1"/>
  <c r="H752" i="2" a="1"/>
  <c r="H752" i="2" s="1"/>
  <c r="I752" i="2" a="1"/>
  <c r="I752" i="2" s="1"/>
  <c r="J752" i="2" a="1"/>
  <c r="J752" i="2" s="1"/>
  <c r="K752" i="2" a="1"/>
  <c r="K752" i="2" s="1"/>
  <c r="L752" i="2" a="1"/>
  <c r="L752" i="2" s="1"/>
  <c r="M752" i="2" a="1"/>
  <c r="M752" i="2" s="1"/>
  <c r="N752" i="2" a="1"/>
  <c r="N752" i="2" s="1"/>
  <c r="O752" i="2" a="1"/>
  <c r="O752" i="2" s="1"/>
  <c r="P752" i="2" a="1"/>
  <c r="P752" i="2" s="1"/>
  <c r="Q752" i="2" a="1"/>
  <c r="Q752" i="2" s="1"/>
  <c r="A753" i="2" a="1"/>
  <c r="A753" i="2" s="1"/>
  <c r="B753" i="2" a="1"/>
  <c r="B753" i="2" s="1"/>
  <c r="C753" i="2" a="1"/>
  <c r="C753" i="2" s="1"/>
  <c r="D753" i="2" a="1"/>
  <c r="D753" i="2" s="1"/>
  <c r="E753" i="2" a="1"/>
  <c r="E753" i="2" s="1"/>
  <c r="F753" i="2" a="1"/>
  <c r="F753" i="2" s="1"/>
  <c r="G753" i="2" a="1"/>
  <c r="G753" i="2" s="1"/>
  <c r="H753" i="2" a="1"/>
  <c r="H753" i="2" s="1"/>
  <c r="I753" i="2" a="1"/>
  <c r="I753" i="2" s="1"/>
  <c r="J753" i="2" a="1"/>
  <c r="J753" i="2" s="1"/>
  <c r="K753" i="2" a="1"/>
  <c r="K753" i="2" s="1"/>
  <c r="L753" i="2" a="1"/>
  <c r="L753" i="2" s="1"/>
  <c r="M753" i="2" a="1"/>
  <c r="M753" i="2" s="1"/>
  <c r="N753" i="2" a="1"/>
  <c r="N753" i="2" s="1"/>
  <c r="O753" i="2" a="1"/>
  <c r="O753" i="2" s="1"/>
  <c r="P753" i="2" a="1"/>
  <c r="P753" i="2" s="1"/>
  <c r="Q753" i="2" a="1"/>
  <c r="Q753" i="2" s="1"/>
  <c r="A754" i="2" a="1"/>
  <c r="A754" i="2" s="1"/>
  <c r="B754" i="2" a="1"/>
  <c r="B754" i="2" s="1"/>
  <c r="C754" i="2" a="1"/>
  <c r="C754" i="2" s="1"/>
  <c r="D754" i="2" a="1"/>
  <c r="D754" i="2" s="1"/>
  <c r="E754" i="2" a="1"/>
  <c r="E754" i="2" s="1"/>
  <c r="F754" i="2" a="1"/>
  <c r="F754" i="2" s="1"/>
  <c r="G754" i="2" a="1"/>
  <c r="G754" i="2" s="1"/>
  <c r="H754" i="2" a="1"/>
  <c r="H754" i="2" s="1"/>
  <c r="I754" i="2" a="1"/>
  <c r="I754" i="2" s="1"/>
  <c r="J754" i="2" a="1"/>
  <c r="J754" i="2" s="1"/>
  <c r="K754" i="2" a="1"/>
  <c r="K754" i="2" s="1"/>
  <c r="L754" i="2" a="1"/>
  <c r="L754" i="2" s="1"/>
  <c r="M754" i="2" a="1"/>
  <c r="M754" i="2" s="1"/>
  <c r="N754" i="2" a="1"/>
  <c r="N754" i="2" s="1"/>
  <c r="O754" i="2" a="1"/>
  <c r="O754" i="2" s="1"/>
  <c r="P754" i="2" a="1"/>
  <c r="P754" i="2" s="1"/>
  <c r="Q754" i="2" a="1"/>
  <c r="Q754" i="2" s="1"/>
  <c r="A755" i="2" a="1"/>
  <c r="A755" i="2" s="1"/>
  <c r="B755" i="2" a="1"/>
  <c r="B755" i="2" s="1"/>
  <c r="C755" i="2" a="1"/>
  <c r="C755" i="2" s="1"/>
  <c r="D755" i="2" a="1"/>
  <c r="D755" i="2" s="1"/>
  <c r="E755" i="2" a="1"/>
  <c r="E755" i="2" s="1"/>
  <c r="F755" i="2" a="1"/>
  <c r="F755" i="2" s="1"/>
  <c r="G755" i="2" a="1"/>
  <c r="G755" i="2" s="1"/>
  <c r="H755" i="2" a="1"/>
  <c r="H755" i="2" s="1"/>
  <c r="I755" i="2" a="1"/>
  <c r="I755" i="2" s="1"/>
  <c r="J755" i="2" a="1"/>
  <c r="J755" i="2" s="1"/>
  <c r="K755" i="2" a="1"/>
  <c r="K755" i="2" s="1"/>
  <c r="L755" i="2" a="1"/>
  <c r="L755" i="2" s="1"/>
  <c r="M755" i="2" a="1"/>
  <c r="M755" i="2" s="1"/>
  <c r="N755" i="2" a="1"/>
  <c r="N755" i="2" s="1"/>
  <c r="O755" i="2" a="1"/>
  <c r="O755" i="2" s="1"/>
  <c r="P755" i="2" a="1"/>
  <c r="P755" i="2" s="1"/>
  <c r="Q755" i="2" a="1"/>
  <c r="Q755" i="2" s="1"/>
  <c r="A756" i="2" a="1"/>
  <c r="A756" i="2" s="1"/>
  <c r="B756" i="2" a="1"/>
  <c r="B756" i="2" s="1"/>
  <c r="C756" i="2" a="1"/>
  <c r="C756" i="2" s="1"/>
  <c r="D756" i="2" a="1"/>
  <c r="D756" i="2" s="1"/>
  <c r="E756" i="2" a="1"/>
  <c r="E756" i="2" s="1"/>
  <c r="F756" i="2" a="1"/>
  <c r="F756" i="2" s="1"/>
  <c r="G756" i="2" a="1"/>
  <c r="G756" i="2" s="1"/>
  <c r="H756" i="2" a="1"/>
  <c r="H756" i="2" s="1"/>
  <c r="I756" i="2" a="1"/>
  <c r="I756" i="2" s="1"/>
  <c r="J756" i="2" a="1"/>
  <c r="J756" i="2" s="1"/>
  <c r="K756" i="2" a="1"/>
  <c r="K756" i="2" s="1"/>
  <c r="L756" i="2" a="1"/>
  <c r="L756" i="2" s="1"/>
  <c r="M756" i="2" a="1"/>
  <c r="M756" i="2" s="1"/>
  <c r="N756" i="2" a="1"/>
  <c r="N756" i="2" s="1"/>
  <c r="O756" i="2" a="1"/>
  <c r="O756" i="2" s="1"/>
  <c r="P756" i="2" a="1"/>
  <c r="P756" i="2" s="1"/>
  <c r="Q756" i="2" a="1"/>
  <c r="Q756" i="2" s="1"/>
  <c r="A757" i="2" a="1"/>
  <c r="A757" i="2" s="1"/>
  <c r="B757" i="2" a="1"/>
  <c r="B757" i="2" s="1"/>
  <c r="C757" i="2" a="1"/>
  <c r="C757" i="2" s="1"/>
  <c r="D757" i="2" a="1"/>
  <c r="D757" i="2" s="1"/>
  <c r="E757" i="2" a="1"/>
  <c r="E757" i="2" s="1"/>
  <c r="F757" i="2" a="1"/>
  <c r="F757" i="2" s="1"/>
  <c r="G757" i="2" a="1"/>
  <c r="G757" i="2" s="1"/>
  <c r="H757" i="2" a="1"/>
  <c r="H757" i="2" s="1"/>
  <c r="I757" i="2" a="1"/>
  <c r="I757" i="2" s="1"/>
  <c r="J757" i="2" a="1"/>
  <c r="J757" i="2" s="1"/>
  <c r="K757" i="2" a="1"/>
  <c r="K757" i="2" s="1"/>
  <c r="L757" i="2" a="1"/>
  <c r="L757" i="2" s="1"/>
  <c r="M757" i="2" a="1"/>
  <c r="M757" i="2" s="1"/>
  <c r="N757" i="2" a="1"/>
  <c r="N757" i="2" s="1"/>
  <c r="O757" i="2" a="1"/>
  <c r="O757" i="2" s="1"/>
  <c r="P757" i="2" a="1"/>
  <c r="P757" i="2" s="1"/>
  <c r="Q757" i="2" a="1"/>
  <c r="Q757" i="2" s="1"/>
  <c r="A758" i="2" a="1"/>
  <c r="A758" i="2" s="1"/>
  <c r="B758" i="2" a="1"/>
  <c r="B758" i="2" s="1"/>
  <c r="C758" i="2" a="1"/>
  <c r="C758" i="2" s="1"/>
  <c r="D758" i="2" a="1"/>
  <c r="D758" i="2" s="1"/>
  <c r="E758" i="2" a="1"/>
  <c r="E758" i="2" s="1"/>
  <c r="F758" i="2" a="1"/>
  <c r="F758" i="2" s="1"/>
  <c r="G758" i="2" a="1"/>
  <c r="G758" i="2" s="1"/>
  <c r="H758" i="2" a="1"/>
  <c r="H758" i="2" s="1"/>
  <c r="I758" i="2" a="1"/>
  <c r="I758" i="2" s="1"/>
  <c r="J758" i="2" a="1"/>
  <c r="J758" i="2" s="1"/>
  <c r="K758" i="2" a="1"/>
  <c r="K758" i="2" s="1"/>
  <c r="L758" i="2" a="1"/>
  <c r="L758" i="2" s="1"/>
  <c r="M758" i="2" a="1"/>
  <c r="M758" i="2" s="1"/>
  <c r="N758" i="2" a="1"/>
  <c r="N758" i="2" s="1"/>
  <c r="O758" i="2" a="1"/>
  <c r="O758" i="2" s="1"/>
  <c r="P758" i="2" a="1"/>
  <c r="P758" i="2" s="1"/>
  <c r="Q758" i="2" a="1"/>
  <c r="Q758" i="2" s="1"/>
  <c r="A759" i="2" a="1"/>
  <c r="A759" i="2" s="1"/>
  <c r="B759" i="2" a="1"/>
  <c r="B759" i="2" s="1"/>
  <c r="C759" i="2" a="1"/>
  <c r="C759" i="2" s="1"/>
  <c r="D759" i="2" a="1"/>
  <c r="D759" i="2" s="1"/>
  <c r="E759" i="2" a="1"/>
  <c r="E759" i="2" s="1"/>
  <c r="F759" i="2" a="1"/>
  <c r="F759" i="2" s="1"/>
  <c r="G759" i="2" a="1"/>
  <c r="G759" i="2" s="1"/>
  <c r="H759" i="2" a="1"/>
  <c r="H759" i="2" s="1"/>
  <c r="I759" i="2" a="1"/>
  <c r="I759" i="2" s="1"/>
  <c r="J759" i="2" a="1"/>
  <c r="J759" i="2" s="1"/>
  <c r="K759" i="2" a="1"/>
  <c r="K759" i="2" s="1"/>
  <c r="L759" i="2" a="1"/>
  <c r="L759" i="2" s="1"/>
  <c r="M759" i="2" a="1"/>
  <c r="M759" i="2" s="1"/>
  <c r="N759" i="2" a="1"/>
  <c r="N759" i="2" s="1"/>
  <c r="O759" i="2" a="1"/>
  <c r="O759" i="2" s="1"/>
  <c r="P759" i="2" a="1"/>
  <c r="P759" i="2" s="1"/>
  <c r="Q759" i="2" a="1"/>
  <c r="Q759" i="2" s="1"/>
  <c r="A760" i="2" a="1"/>
  <c r="A760" i="2" s="1"/>
  <c r="B760" i="2" a="1"/>
  <c r="B760" i="2" s="1"/>
  <c r="C760" i="2" a="1"/>
  <c r="C760" i="2" s="1"/>
  <c r="D760" i="2" a="1"/>
  <c r="D760" i="2" s="1"/>
  <c r="E760" i="2" a="1"/>
  <c r="E760" i="2" s="1"/>
  <c r="F760" i="2" a="1"/>
  <c r="F760" i="2" s="1"/>
  <c r="G760" i="2" a="1"/>
  <c r="G760" i="2" s="1"/>
  <c r="H760" i="2" a="1"/>
  <c r="H760" i="2" s="1"/>
  <c r="I760" i="2" a="1"/>
  <c r="I760" i="2" s="1"/>
  <c r="J760" i="2" a="1"/>
  <c r="J760" i="2" s="1"/>
  <c r="K760" i="2" a="1"/>
  <c r="K760" i="2" s="1"/>
  <c r="L760" i="2" a="1"/>
  <c r="L760" i="2" s="1"/>
  <c r="M760" i="2" a="1"/>
  <c r="M760" i="2" s="1"/>
  <c r="N760" i="2" a="1"/>
  <c r="N760" i="2" s="1"/>
  <c r="O760" i="2" a="1"/>
  <c r="O760" i="2" s="1"/>
  <c r="P760" i="2" a="1"/>
  <c r="P760" i="2" s="1"/>
  <c r="Q760" i="2" a="1"/>
  <c r="Q760" i="2" s="1"/>
  <c r="A761" i="2" a="1"/>
  <c r="A761" i="2" s="1"/>
  <c r="B761" i="2" a="1"/>
  <c r="B761" i="2" s="1"/>
  <c r="C761" i="2" a="1"/>
  <c r="C761" i="2" s="1"/>
  <c r="D761" i="2" a="1"/>
  <c r="D761" i="2" s="1"/>
  <c r="E761" i="2" a="1"/>
  <c r="E761" i="2" s="1"/>
  <c r="F761" i="2" a="1"/>
  <c r="F761" i="2" s="1"/>
  <c r="G761" i="2" a="1"/>
  <c r="G761" i="2" s="1"/>
  <c r="H761" i="2" a="1"/>
  <c r="H761" i="2" s="1"/>
  <c r="I761" i="2" a="1"/>
  <c r="I761" i="2" s="1"/>
  <c r="J761" i="2" a="1"/>
  <c r="J761" i="2" s="1"/>
  <c r="K761" i="2" a="1"/>
  <c r="K761" i="2" s="1"/>
  <c r="L761" i="2" a="1"/>
  <c r="L761" i="2" s="1"/>
  <c r="M761" i="2" a="1"/>
  <c r="M761" i="2" s="1"/>
  <c r="N761" i="2" a="1"/>
  <c r="N761" i="2" s="1"/>
  <c r="O761" i="2" a="1"/>
  <c r="O761" i="2" s="1"/>
  <c r="P761" i="2" a="1"/>
  <c r="P761" i="2" s="1"/>
  <c r="Q761" i="2" a="1"/>
  <c r="Q761" i="2" s="1"/>
  <c r="A762" i="2" a="1"/>
  <c r="A762" i="2" s="1"/>
  <c r="B762" i="2" a="1"/>
  <c r="B762" i="2" s="1"/>
  <c r="C762" i="2" a="1"/>
  <c r="C762" i="2" s="1"/>
  <c r="D762" i="2" a="1"/>
  <c r="D762" i="2" s="1"/>
  <c r="E762" i="2" a="1"/>
  <c r="E762" i="2" s="1"/>
  <c r="F762" i="2" a="1"/>
  <c r="F762" i="2" s="1"/>
  <c r="G762" i="2" a="1"/>
  <c r="G762" i="2" s="1"/>
  <c r="H762" i="2" a="1"/>
  <c r="H762" i="2" s="1"/>
  <c r="I762" i="2" a="1"/>
  <c r="I762" i="2" s="1"/>
  <c r="J762" i="2" a="1"/>
  <c r="J762" i="2" s="1"/>
  <c r="K762" i="2" a="1"/>
  <c r="K762" i="2" s="1"/>
  <c r="L762" i="2" a="1"/>
  <c r="L762" i="2" s="1"/>
  <c r="M762" i="2" a="1"/>
  <c r="M762" i="2" s="1"/>
  <c r="N762" i="2" a="1"/>
  <c r="N762" i="2" s="1"/>
  <c r="O762" i="2" a="1"/>
  <c r="O762" i="2" s="1"/>
  <c r="P762" i="2" a="1"/>
  <c r="P762" i="2" s="1"/>
  <c r="Q762" i="2" a="1"/>
  <c r="Q762" i="2" s="1"/>
  <c r="A763" i="2" a="1"/>
  <c r="A763" i="2" s="1"/>
  <c r="B763" i="2" a="1"/>
  <c r="B763" i="2" s="1"/>
  <c r="C763" i="2" a="1"/>
  <c r="C763" i="2" s="1"/>
  <c r="D763" i="2" a="1"/>
  <c r="D763" i="2" s="1"/>
  <c r="E763" i="2" a="1"/>
  <c r="E763" i="2" s="1"/>
  <c r="F763" i="2" a="1"/>
  <c r="F763" i="2" s="1"/>
  <c r="G763" i="2" a="1"/>
  <c r="G763" i="2" s="1"/>
  <c r="H763" i="2" a="1"/>
  <c r="H763" i="2" s="1"/>
  <c r="I763" i="2" a="1"/>
  <c r="I763" i="2" s="1"/>
  <c r="J763" i="2" a="1"/>
  <c r="J763" i="2" s="1"/>
  <c r="K763" i="2" a="1"/>
  <c r="K763" i="2" s="1"/>
  <c r="L763" i="2" a="1"/>
  <c r="L763" i="2" s="1"/>
  <c r="M763" i="2" a="1"/>
  <c r="M763" i="2" s="1"/>
  <c r="N763" i="2" a="1"/>
  <c r="N763" i="2" s="1"/>
  <c r="O763" i="2" a="1"/>
  <c r="O763" i="2" s="1"/>
  <c r="P763" i="2" a="1"/>
  <c r="P763" i="2" s="1"/>
  <c r="Q763" i="2" a="1"/>
  <c r="Q763" i="2" s="1"/>
  <c r="A764" i="2" a="1"/>
  <c r="A764" i="2" s="1"/>
  <c r="B764" i="2" a="1"/>
  <c r="B764" i="2" s="1"/>
  <c r="C764" i="2" a="1"/>
  <c r="C764" i="2" s="1"/>
  <c r="D764" i="2" a="1"/>
  <c r="D764" i="2" s="1"/>
  <c r="E764" i="2" a="1"/>
  <c r="E764" i="2" s="1"/>
  <c r="F764" i="2" a="1"/>
  <c r="F764" i="2" s="1"/>
  <c r="G764" i="2" a="1"/>
  <c r="G764" i="2" s="1"/>
  <c r="H764" i="2" a="1"/>
  <c r="H764" i="2" s="1"/>
  <c r="I764" i="2" a="1"/>
  <c r="I764" i="2" s="1"/>
  <c r="J764" i="2" a="1"/>
  <c r="J764" i="2" s="1"/>
  <c r="K764" i="2" a="1"/>
  <c r="K764" i="2" s="1"/>
  <c r="L764" i="2" a="1"/>
  <c r="L764" i="2" s="1"/>
  <c r="M764" i="2" a="1"/>
  <c r="M764" i="2" s="1"/>
  <c r="N764" i="2" a="1"/>
  <c r="N764" i="2" s="1"/>
  <c r="O764" i="2" a="1"/>
  <c r="O764" i="2" s="1"/>
  <c r="P764" i="2" a="1"/>
  <c r="P764" i="2" s="1"/>
  <c r="Q764" i="2" a="1"/>
  <c r="Q764" i="2" s="1"/>
  <c r="A765" i="2" a="1"/>
  <c r="A765" i="2" s="1"/>
  <c r="B765" i="2" a="1"/>
  <c r="B765" i="2" s="1"/>
  <c r="C765" i="2" a="1"/>
  <c r="C765" i="2" s="1"/>
  <c r="D765" i="2" a="1"/>
  <c r="D765" i="2" s="1"/>
  <c r="E765" i="2" a="1"/>
  <c r="E765" i="2" s="1"/>
  <c r="F765" i="2" a="1"/>
  <c r="F765" i="2" s="1"/>
  <c r="G765" i="2" a="1"/>
  <c r="G765" i="2" s="1"/>
  <c r="H765" i="2" a="1"/>
  <c r="H765" i="2" s="1"/>
  <c r="I765" i="2" a="1"/>
  <c r="I765" i="2" s="1"/>
  <c r="J765" i="2" a="1"/>
  <c r="J765" i="2" s="1"/>
  <c r="K765" i="2" a="1"/>
  <c r="K765" i="2" s="1"/>
  <c r="L765" i="2" a="1"/>
  <c r="L765" i="2" s="1"/>
  <c r="M765" i="2" a="1"/>
  <c r="M765" i="2" s="1"/>
  <c r="N765" i="2" a="1"/>
  <c r="N765" i="2" s="1"/>
  <c r="O765" i="2" a="1"/>
  <c r="O765" i="2" s="1"/>
  <c r="P765" i="2" a="1"/>
  <c r="P765" i="2" s="1"/>
  <c r="Q765" i="2" a="1"/>
  <c r="Q765" i="2" s="1"/>
  <c r="A766" i="2" a="1"/>
  <c r="A766" i="2" s="1"/>
  <c r="B766" i="2" a="1"/>
  <c r="B766" i="2" s="1"/>
  <c r="C766" i="2" a="1"/>
  <c r="C766" i="2" s="1"/>
  <c r="D766" i="2" a="1"/>
  <c r="D766" i="2" s="1"/>
  <c r="E766" i="2" a="1"/>
  <c r="E766" i="2" s="1"/>
  <c r="F766" i="2" a="1"/>
  <c r="F766" i="2" s="1"/>
  <c r="G766" i="2" a="1"/>
  <c r="G766" i="2" s="1"/>
  <c r="H766" i="2" a="1"/>
  <c r="H766" i="2" s="1"/>
  <c r="I766" i="2" a="1"/>
  <c r="I766" i="2" s="1"/>
  <c r="J766" i="2" a="1"/>
  <c r="J766" i="2" s="1"/>
  <c r="K766" i="2" a="1"/>
  <c r="K766" i="2" s="1"/>
  <c r="L766" i="2" a="1"/>
  <c r="L766" i="2" s="1"/>
  <c r="M766" i="2" a="1"/>
  <c r="M766" i="2" s="1"/>
  <c r="N766" i="2" a="1"/>
  <c r="N766" i="2" s="1"/>
  <c r="O766" i="2" a="1"/>
  <c r="O766" i="2" s="1"/>
  <c r="P766" i="2" a="1"/>
  <c r="P766" i="2" s="1"/>
  <c r="Q766" i="2" a="1"/>
  <c r="Q766" i="2" s="1"/>
  <c r="A767" i="2" a="1"/>
  <c r="A767" i="2" s="1"/>
  <c r="B767" i="2" a="1"/>
  <c r="B767" i="2" s="1"/>
  <c r="C767" i="2" a="1"/>
  <c r="C767" i="2" s="1"/>
  <c r="D767" i="2" a="1"/>
  <c r="D767" i="2" s="1"/>
  <c r="E767" i="2" a="1"/>
  <c r="E767" i="2" s="1"/>
  <c r="F767" i="2" a="1"/>
  <c r="F767" i="2" s="1"/>
  <c r="G767" i="2" a="1"/>
  <c r="G767" i="2" s="1"/>
  <c r="H767" i="2" a="1"/>
  <c r="H767" i="2" s="1"/>
  <c r="I767" i="2" a="1"/>
  <c r="I767" i="2" s="1"/>
  <c r="J767" i="2" a="1"/>
  <c r="J767" i="2" s="1"/>
  <c r="K767" i="2" a="1"/>
  <c r="K767" i="2" s="1"/>
  <c r="L767" i="2" a="1"/>
  <c r="L767" i="2" s="1"/>
  <c r="M767" i="2" a="1"/>
  <c r="M767" i="2" s="1"/>
  <c r="N767" i="2" a="1"/>
  <c r="N767" i="2" s="1"/>
  <c r="O767" i="2" a="1"/>
  <c r="O767" i="2" s="1"/>
  <c r="P767" i="2" a="1"/>
  <c r="P767" i="2" s="1"/>
  <c r="Q767" i="2" a="1"/>
  <c r="Q767" i="2" s="1"/>
  <c r="A768" i="2" a="1"/>
  <c r="A768" i="2" s="1"/>
  <c r="B768" i="2" a="1"/>
  <c r="B768" i="2" s="1"/>
  <c r="C768" i="2" a="1"/>
  <c r="C768" i="2" s="1"/>
  <c r="D768" i="2" a="1"/>
  <c r="D768" i="2" s="1"/>
  <c r="E768" i="2" a="1"/>
  <c r="E768" i="2" s="1"/>
  <c r="F768" i="2" a="1"/>
  <c r="F768" i="2" s="1"/>
  <c r="G768" i="2" a="1"/>
  <c r="G768" i="2" s="1"/>
  <c r="H768" i="2" a="1"/>
  <c r="H768" i="2" s="1"/>
  <c r="I768" i="2" a="1"/>
  <c r="I768" i="2" s="1"/>
  <c r="J768" i="2" a="1"/>
  <c r="J768" i="2" s="1"/>
  <c r="K768" i="2" a="1"/>
  <c r="K768" i="2" s="1"/>
  <c r="L768" i="2" a="1"/>
  <c r="L768" i="2" s="1"/>
  <c r="M768" i="2" a="1"/>
  <c r="M768" i="2" s="1"/>
  <c r="N768" i="2" a="1"/>
  <c r="N768" i="2" s="1"/>
  <c r="O768" i="2" a="1"/>
  <c r="O768" i="2" s="1"/>
  <c r="P768" i="2" a="1"/>
  <c r="P768" i="2" s="1"/>
  <c r="Q768" i="2" a="1"/>
  <c r="Q768" i="2" s="1"/>
  <c r="A769" i="2" a="1"/>
  <c r="A769" i="2" s="1"/>
  <c r="B769" i="2" a="1"/>
  <c r="B769" i="2" s="1"/>
  <c r="C769" i="2" a="1"/>
  <c r="C769" i="2" s="1"/>
  <c r="D769" i="2" a="1"/>
  <c r="D769" i="2" s="1"/>
  <c r="E769" i="2" a="1"/>
  <c r="E769" i="2" s="1"/>
  <c r="F769" i="2" a="1"/>
  <c r="F769" i="2" s="1"/>
  <c r="G769" i="2" a="1"/>
  <c r="G769" i="2" s="1"/>
  <c r="H769" i="2" a="1"/>
  <c r="H769" i="2" s="1"/>
  <c r="G82" i="2" a="1"/>
  <c r="G82" i="2" s="1"/>
  <c r="N82" i="2" a="1"/>
  <c r="N82" i="2" s="1"/>
  <c r="B84" i="2" a="1"/>
  <c r="B84" i="2" s="1"/>
  <c r="F84" i="2" a="1"/>
  <c r="F84" i="2" s="1"/>
  <c r="N85" i="2" a="1"/>
  <c r="N85" i="2" s="1"/>
  <c r="Q85" i="2" a="1"/>
  <c r="Q85" i="2" s="1"/>
  <c r="C86" i="2" a="1"/>
  <c r="C86" i="2" s="1"/>
  <c r="F86" i="2" a="1"/>
  <c r="F86" i="2" s="1"/>
  <c r="E87" i="2" a="1"/>
  <c r="E87" i="2" s="1"/>
  <c r="N87" i="2" a="1"/>
  <c r="N87" i="2" s="1"/>
  <c r="G88" i="2" a="1"/>
  <c r="G88" i="2" s="1"/>
  <c r="H89" i="2" a="1"/>
  <c r="H89" i="2" s="1"/>
  <c r="J90" i="2" a="1"/>
  <c r="J90" i="2" s="1"/>
  <c r="L91" i="2" a="1"/>
  <c r="L91" i="2" s="1"/>
  <c r="G92" i="2" a="1"/>
  <c r="G92" i="2" s="1"/>
  <c r="A93" i="2" a="1"/>
  <c r="A93" i="2" s="1"/>
  <c r="D93" i="2" a="1"/>
  <c r="D93" i="2" s="1"/>
  <c r="D94" i="2" a="1"/>
  <c r="D94" i="2" s="1"/>
  <c r="E94" i="2" a="1"/>
  <c r="E94" i="2" s="1"/>
  <c r="G94" i="2" a="1"/>
  <c r="G94" i="2" s="1"/>
  <c r="K94" i="2" a="1"/>
  <c r="K94" i="2" s="1"/>
  <c r="L94" i="2" a="1"/>
  <c r="L94" i="2" s="1"/>
  <c r="B95" i="2" a="1"/>
  <c r="B95" i="2" s="1"/>
  <c r="B96" i="2" a="1"/>
  <c r="B96" i="2" s="1"/>
  <c r="H96" i="2" a="1"/>
  <c r="H96" i="2" s="1"/>
  <c r="O96" i="2" a="1"/>
  <c r="O96" i="2" s="1"/>
  <c r="B97" i="2" a="1"/>
  <c r="B97" i="2" s="1"/>
  <c r="H97" i="2" a="1"/>
  <c r="H97" i="2" s="1"/>
  <c r="Q97" i="2" a="1"/>
  <c r="Q97" i="2" s="1"/>
  <c r="F99" i="2" a="1"/>
  <c r="F99" i="2" s="1"/>
  <c r="G99" i="2" a="1"/>
  <c r="G99" i="2" s="1"/>
  <c r="I99" i="2" a="1"/>
  <c r="I99" i="2" s="1"/>
  <c r="L99" i="2" a="1"/>
  <c r="L99" i="2" s="1"/>
  <c r="P99" i="2" a="1"/>
  <c r="P99" i="2" s="1"/>
  <c r="A100" i="2" a="1"/>
  <c r="A100" i="2" s="1"/>
  <c r="D100" i="2" a="1"/>
  <c r="D100" i="2" s="1"/>
  <c r="O100" i="2" a="1"/>
  <c r="O100" i="2" s="1"/>
  <c r="J101" i="2" a="1"/>
  <c r="J101" i="2" s="1"/>
  <c r="K102" i="2" a="1"/>
  <c r="K102" i="2" s="1"/>
  <c r="P102" i="2" a="1"/>
  <c r="P102" i="2" s="1"/>
  <c r="B103" i="2" a="1"/>
  <c r="B103" i="2" s="1"/>
  <c r="H103" i="2" a="1"/>
  <c r="H103" i="2" s="1"/>
  <c r="J103" i="2" a="1"/>
  <c r="J103" i="2" s="1"/>
  <c r="N103" i="2" a="1"/>
  <c r="N103" i="2" s="1"/>
  <c r="P103" i="2" a="1"/>
  <c r="P103" i="2" s="1"/>
  <c r="G104" i="2" a="1"/>
  <c r="G104" i="2" s="1"/>
  <c r="J104" i="2" a="1"/>
  <c r="J104" i="2" s="1"/>
  <c r="N104" i="2" a="1"/>
  <c r="N104" i="2" s="1"/>
  <c r="B105" i="2" a="1"/>
  <c r="B105" i="2" s="1"/>
  <c r="E105" i="2" a="1"/>
  <c r="E105" i="2" s="1"/>
  <c r="G105" i="2" a="1"/>
  <c r="G105" i="2" s="1"/>
  <c r="M105" i="2" a="1"/>
  <c r="M105" i="2" s="1"/>
  <c r="P105" i="2" a="1"/>
  <c r="P105" i="2" s="1"/>
  <c r="Q105" i="2" a="1"/>
  <c r="Q105" i="2" s="1"/>
  <c r="C106" i="2" a="1"/>
  <c r="C106" i="2" s="1"/>
  <c r="F106" i="2" a="1"/>
  <c r="F106" i="2" s="1"/>
  <c r="I106" i="2" a="1"/>
  <c r="I106" i="2" s="1"/>
  <c r="M107" i="2" a="1"/>
  <c r="M107" i="2" s="1"/>
  <c r="Q107" i="2" a="1"/>
  <c r="Q107" i="2" s="1"/>
  <c r="G108" i="2" a="1"/>
  <c r="G108" i="2" s="1"/>
  <c r="I109" i="2" a="1"/>
  <c r="I109" i="2" s="1"/>
  <c r="M109" i="2" a="1"/>
  <c r="M109" i="2" s="1"/>
  <c r="B110" i="2" a="1"/>
  <c r="B110" i="2" s="1"/>
  <c r="F110" i="2" a="1"/>
  <c r="F110" i="2" s="1"/>
  <c r="Q110" i="2" a="1"/>
  <c r="Q110" i="2" s="1"/>
  <c r="F111" i="2" a="1"/>
  <c r="F111" i="2" s="1"/>
  <c r="I112" i="2" a="1"/>
  <c r="I112" i="2" s="1"/>
  <c r="M112" i="2" a="1"/>
  <c r="M112" i="2" s="1"/>
  <c r="N112" i="2" a="1"/>
  <c r="N112" i="2" s="1"/>
  <c r="Q112" i="2" a="1"/>
  <c r="Q112" i="2" s="1"/>
  <c r="L113" i="2" a="1"/>
  <c r="L113" i="2" s="1"/>
  <c r="N113" i="2" a="1"/>
  <c r="N113" i="2" s="1"/>
  <c r="E114" i="2" a="1"/>
  <c r="E114" i="2" s="1"/>
  <c r="J116" i="2" a="1"/>
  <c r="J116" i="2" s="1"/>
  <c r="Q119" i="2" a="1"/>
  <c r="Q119" i="2" s="1"/>
  <c r="J121" i="2" a="1"/>
  <c r="J121" i="2" s="1"/>
  <c r="Q121" i="2" a="1"/>
  <c r="Q121" i="2" s="1"/>
  <c r="N122" i="2" a="1"/>
  <c r="N122" i="2" s="1"/>
  <c r="Q123" i="2" a="1"/>
  <c r="Q123" i="2" s="1"/>
  <c r="M124" i="2" a="1"/>
  <c r="M124" i="2" s="1"/>
  <c r="Q124" i="2" a="1"/>
  <c r="Q124" i="2" s="1"/>
  <c r="C125" i="2" a="1"/>
  <c r="C125" i="2" s="1"/>
  <c r="H125" i="2" a="1"/>
  <c r="H125" i="2" s="1"/>
  <c r="O125" i="2" a="1"/>
  <c r="O125" i="2" s="1"/>
  <c r="A128" i="2" a="1"/>
  <c r="A128" i="2" s="1"/>
  <c r="J129" i="2" a="1"/>
  <c r="J129" i="2" s="1"/>
  <c r="P129" i="2" a="1"/>
  <c r="P129" i="2" s="1"/>
  <c r="D130" i="2" a="1"/>
  <c r="D130" i="2" s="1"/>
  <c r="C131" i="2" a="1"/>
  <c r="C131" i="2" s="1"/>
  <c r="J131" i="2" a="1"/>
  <c r="J131" i="2" s="1"/>
  <c r="M133" i="2" a="1"/>
  <c r="M133" i="2" s="1"/>
  <c r="Q135" i="2" a="1"/>
  <c r="Q135" i="2" s="1"/>
  <c r="Q136" i="2" a="1"/>
  <c r="Q136" i="2" s="1"/>
  <c r="C137" i="2" a="1"/>
  <c r="C137" i="2" s="1"/>
  <c r="F137" i="2" a="1"/>
  <c r="F137" i="2" s="1"/>
  <c r="B140" i="2" a="1"/>
  <c r="B140" i="2" s="1"/>
  <c r="Q141" i="2" a="1"/>
  <c r="Q141" i="2" s="1"/>
  <c r="B143" i="2" a="1"/>
  <c r="B143" i="2" s="1"/>
  <c r="D143" i="2" a="1"/>
  <c r="D143" i="2" s="1"/>
  <c r="Q143" i="2" a="1"/>
  <c r="Q143" i="2" s="1"/>
  <c r="E145" i="2" a="1"/>
  <c r="E145" i="2" s="1"/>
  <c r="M145" i="2" a="1"/>
  <c r="M145" i="2" s="1"/>
  <c r="P145" i="2" a="1"/>
  <c r="P145" i="2" s="1"/>
  <c r="Q145" i="2" a="1"/>
  <c r="Q145" i="2" s="1"/>
  <c r="O146" i="2" a="1"/>
  <c r="O146" i="2" s="1"/>
  <c r="D147" i="2" a="1"/>
  <c r="D147" i="2" s="1"/>
  <c r="G149" i="2" a="1"/>
  <c r="G149" i="2" s="1"/>
  <c r="A150" i="2" a="1"/>
  <c r="A150" i="2" s="1"/>
  <c r="E150" i="2" a="1"/>
  <c r="E150" i="2" s="1"/>
  <c r="G150" i="2" a="1"/>
  <c r="G150" i="2" s="1"/>
  <c r="P150" i="2" a="1"/>
  <c r="P150" i="2" s="1"/>
  <c r="B152" i="2" a="1"/>
  <c r="B152" i="2" s="1"/>
  <c r="N152" i="2" a="1"/>
  <c r="N152" i="2" s="1"/>
  <c r="F153" i="2" a="1"/>
  <c r="F153" i="2" s="1"/>
  <c r="H153" i="2" a="1"/>
  <c r="H153" i="2" s="1"/>
  <c r="L153" i="2" a="1"/>
  <c r="L153" i="2" s="1"/>
  <c r="M153" i="2" a="1"/>
  <c r="M153" i="2" s="1"/>
  <c r="I154" i="2" a="1"/>
  <c r="I154" i="2" s="1"/>
  <c r="C156" i="2" a="1"/>
  <c r="C156" i="2" s="1"/>
  <c r="I157" i="2" a="1"/>
  <c r="I157" i="2" s="1"/>
  <c r="D158" i="2" a="1"/>
  <c r="D158" i="2" s="1"/>
  <c r="K159" i="2" a="1"/>
  <c r="K159" i="2" s="1"/>
  <c r="K160" i="2" a="1"/>
  <c r="K160" i="2" s="1"/>
  <c r="Q160" i="2" a="1"/>
  <c r="Q160" i="2" s="1"/>
  <c r="J162" i="2" a="1"/>
  <c r="J162" i="2" s="1"/>
  <c r="M162" i="2" a="1"/>
  <c r="M162" i="2" s="1"/>
  <c r="A163" i="2" a="1"/>
  <c r="A163" i="2" s="1"/>
  <c r="E163" i="2" a="1"/>
  <c r="E163" i="2" s="1"/>
  <c r="N163" i="2" a="1"/>
  <c r="N163" i="2" s="1"/>
  <c r="F164" i="2" a="1"/>
  <c r="F164" i="2" s="1"/>
  <c r="K164" i="2" a="1"/>
  <c r="K164" i="2" s="1"/>
  <c r="K165" i="2" a="1"/>
  <c r="K165" i="2" s="1"/>
  <c r="B166" i="2" a="1"/>
  <c r="B166" i="2" s="1"/>
  <c r="F166" i="2" a="1"/>
  <c r="F166" i="2" s="1"/>
  <c r="J166" i="2" a="1"/>
  <c r="J166" i="2" s="1"/>
  <c r="M166" i="2" a="1"/>
  <c r="M166" i="2" s="1"/>
  <c r="Q167" i="2" a="1"/>
  <c r="Q167" i="2" s="1"/>
  <c r="G168" i="2" a="1"/>
  <c r="G168" i="2" s="1"/>
  <c r="D169" i="2" a="1"/>
  <c r="D169" i="2" s="1"/>
  <c r="M170" i="2" a="1"/>
  <c r="M170" i="2" s="1"/>
  <c r="B171" i="2" a="1"/>
  <c r="B171" i="2" s="1"/>
  <c r="D173" i="2" a="1"/>
  <c r="D173" i="2" s="1"/>
  <c r="N173" i="2" a="1"/>
  <c r="N173" i="2" s="1"/>
  <c r="G175" i="2" a="1"/>
  <c r="G175" i="2" s="1"/>
  <c r="N175" i="2" a="1"/>
  <c r="N175" i="2" s="1"/>
  <c r="P175" i="2" a="1"/>
  <c r="P175" i="2" s="1"/>
  <c r="O176" i="2" a="1"/>
  <c r="O176" i="2" s="1"/>
  <c r="Q178" i="2" a="1"/>
  <c r="Q178" i="2" s="1"/>
  <c r="O179" i="2" a="1"/>
  <c r="O179" i="2" s="1"/>
  <c r="F180" i="2" a="1"/>
  <c r="F180" i="2" s="1"/>
  <c r="M180" i="2" a="1"/>
  <c r="M180" i="2" s="1"/>
  <c r="N181" i="2" a="1"/>
  <c r="N181" i="2" s="1"/>
  <c r="P181" i="2" a="1"/>
  <c r="P181" i="2" s="1"/>
  <c r="N182" i="2" a="1"/>
  <c r="N182" i="2" s="1"/>
  <c r="M183" i="2" a="1"/>
  <c r="M183" i="2" s="1"/>
  <c r="G186" i="2" a="1"/>
  <c r="G186" i="2" s="1"/>
  <c r="J186" i="2" a="1"/>
  <c r="J186" i="2" s="1"/>
  <c r="L186" i="2" a="1"/>
  <c r="L186" i="2" s="1"/>
  <c r="N186" i="2" a="1"/>
  <c r="N186" i="2" s="1"/>
  <c r="O186" i="2" a="1"/>
  <c r="O186" i="2" s="1"/>
  <c r="B187" i="2" a="1"/>
  <c r="B187" i="2" s="1"/>
  <c r="F188" i="2" a="1"/>
  <c r="F188" i="2" s="1"/>
  <c r="I188" i="2" a="1"/>
  <c r="I188" i="2" s="1"/>
  <c r="B189" i="2" a="1"/>
  <c r="B189" i="2" s="1"/>
  <c r="Q189" i="2" a="1"/>
  <c r="Q189" i="2" s="1"/>
  <c r="H190" i="2" a="1"/>
  <c r="H190" i="2" s="1"/>
  <c r="N190" i="2" a="1"/>
  <c r="N190" i="2" s="1"/>
  <c r="O191" i="2" a="1"/>
  <c r="O191" i="2" s="1"/>
  <c r="A192" i="2" a="1"/>
  <c r="A192" i="2" s="1"/>
  <c r="D192" i="2" a="1"/>
  <c r="D192" i="2" s="1"/>
  <c r="A193" i="2" a="1"/>
  <c r="A193" i="2" s="1"/>
  <c r="D193" i="2" a="1"/>
  <c r="D193" i="2" s="1"/>
  <c r="D194" i="2" a="1"/>
  <c r="D194" i="2" s="1"/>
  <c r="G194" i="2" a="1"/>
  <c r="G194" i="2" s="1"/>
  <c r="J195" i="2" a="1"/>
  <c r="J195" i="2" s="1"/>
  <c r="N195" i="2" a="1"/>
  <c r="N195" i="2" s="1"/>
  <c r="H197" i="2" a="1"/>
  <c r="H197" i="2" s="1"/>
  <c r="I197" i="2" a="1"/>
  <c r="I197" i="2" s="1"/>
  <c r="P197" i="2" a="1"/>
  <c r="P197" i="2" s="1"/>
  <c r="Q197" i="2" a="1"/>
  <c r="Q197" i="2" s="1"/>
  <c r="D200" i="2" a="1"/>
  <c r="D200" i="2" s="1"/>
  <c r="I200" i="2" a="1"/>
  <c r="I200" i="2" s="1"/>
  <c r="A201" i="2" a="1"/>
  <c r="A201" i="2" s="1"/>
  <c r="J201" i="2" a="1"/>
  <c r="J201" i="2" s="1"/>
  <c r="P201" i="2" a="1"/>
  <c r="P201" i="2" s="1"/>
  <c r="M202" i="2" a="1"/>
  <c r="M202" i="2" s="1"/>
  <c r="K204" i="2" a="1"/>
  <c r="K204" i="2" s="1"/>
  <c r="O204" i="2" a="1"/>
  <c r="O204" i="2" s="1"/>
  <c r="Q204" i="2" a="1"/>
  <c r="Q204" i="2" s="1"/>
  <c r="E205" i="2" a="1"/>
  <c r="E205" i="2" s="1"/>
  <c r="K205" i="2" a="1"/>
  <c r="K205" i="2" s="1"/>
  <c r="L205" i="2" a="1"/>
  <c r="L205" i="2" s="1"/>
  <c r="L207" i="2" a="1"/>
  <c r="L207" i="2" s="1"/>
  <c r="N207" i="2" a="1"/>
  <c r="N207" i="2" s="1"/>
  <c r="A208" i="2" a="1"/>
  <c r="A208" i="2" s="1"/>
  <c r="N209" i="2" a="1"/>
  <c r="N209" i="2" s="1"/>
  <c r="D210" i="2" a="1"/>
  <c r="D210" i="2" s="1"/>
  <c r="F211" i="2" a="1"/>
  <c r="F211" i="2" s="1"/>
  <c r="K211" i="2" a="1"/>
  <c r="K211" i="2" s="1"/>
  <c r="P212" i="2" a="1"/>
  <c r="P212" i="2" s="1"/>
  <c r="M213" i="2" a="1"/>
  <c r="M213" i="2" s="1"/>
  <c r="B214" i="2" a="1"/>
  <c r="B214" i="2" s="1"/>
  <c r="P214" i="2" a="1"/>
  <c r="P214" i="2" s="1"/>
  <c r="Q214" i="2" a="1"/>
  <c r="Q214" i="2" s="1"/>
  <c r="L215" i="2" a="1"/>
  <c r="L215" i="2" s="1"/>
  <c r="K216" i="2" a="1"/>
  <c r="K216" i="2" s="1"/>
  <c r="B218" i="2" a="1"/>
  <c r="B218" i="2" s="1"/>
  <c r="J218" i="2" a="1"/>
  <c r="J218" i="2" s="1"/>
  <c r="O219" i="2" a="1"/>
  <c r="O219" i="2" s="1"/>
  <c r="A220" i="2" a="1"/>
  <c r="A220" i="2" s="1"/>
  <c r="O223" i="2" a="1"/>
  <c r="O223" i="2" s="1"/>
  <c r="C224" i="2" a="1"/>
  <c r="C224" i="2" s="1"/>
  <c r="H225" i="2" a="1"/>
  <c r="H225" i="2" s="1"/>
  <c r="M225" i="2" a="1"/>
  <c r="M225" i="2" s="1"/>
  <c r="N225" i="2" a="1"/>
  <c r="N225" i="2" s="1"/>
  <c r="H226" i="2" a="1"/>
  <c r="H226" i="2" s="1"/>
  <c r="M226" i="2" a="1"/>
  <c r="M226" i="2" s="1"/>
  <c r="O226" i="2" a="1"/>
  <c r="O226" i="2" s="1"/>
  <c r="D227" i="2" a="1"/>
  <c r="D227" i="2" s="1"/>
  <c r="G227" i="2" a="1"/>
  <c r="G227" i="2" s="1"/>
  <c r="C229" i="2" a="1"/>
  <c r="C229" i="2" s="1"/>
  <c r="O230" i="2" a="1"/>
  <c r="O230" i="2" s="1"/>
  <c r="C231" i="2" a="1"/>
  <c r="C231" i="2" s="1"/>
  <c r="F231" i="2" a="1"/>
  <c r="F231" i="2" s="1"/>
  <c r="M231" i="2" a="1"/>
  <c r="M231" i="2" s="1"/>
  <c r="Q231" i="2" a="1"/>
  <c r="Q231" i="2" s="1"/>
  <c r="C232" i="2" a="1"/>
  <c r="C232" i="2" s="1"/>
  <c r="Q232" i="2" a="1"/>
  <c r="Q232" i="2" s="1"/>
  <c r="H233" i="2" a="1"/>
  <c r="H233" i="2" s="1"/>
  <c r="I233" i="2" a="1"/>
  <c r="I233" i="2" s="1"/>
  <c r="K233" i="2" a="1"/>
  <c r="K233" i="2" s="1"/>
  <c r="M233" i="2" a="1"/>
  <c r="M233" i="2" s="1"/>
  <c r="O235" i="2" a="1"/>
  <c r="O235" i="2" s="1"/>
  <c r="C237" i="2" a="1"/>
  <c r="C237" i="2" s="1"/>
  <c r="P238" i="2" a="1"/>
  <c r="P238" i="2" s="1"/>
  <c r="Q238" i="2" a="1"/>
  <c r="Q238" i="2" s="1"/>
  <c r="G239" i="2" a="1"/>
  <c r="G239" i="2" s="1"/>
  <c r="Q239" i="2" a="1"/>
  <c r="Q239" i="2" s="1"/>
  <c r="E240" i="2" a="1"/>
  <c r="E240" i="2" s="1"/>
  <c r="J240" i="2" a="1"/>
  <c r="J240" i="2" s="1"/>
  <c r="N240" i="2" a="1"/>
  <c r="N240" i="2" s="1"/>
  <c r="A241" i="2" a="1"/>
  <c r="A241" i="2" s="1"/>
  <c r="P241" i="2" a="1"/>
  <c r="P241" i="2" s="1"/>
  <c r="A242" i="2" a="1"/>
  <c r="A242" i="2" s="1"/>
  <c r="C243" i="2" a="1"/>
  <c r="C243" i="2" s="1"/>
  <c r="M243" i="2" a="1"/>
  <c r="M243" i="2" s="1"/>
  <c r="E244" i="2" a="1"/>
  <c r="E244" i="2" s="1"/>
  <c r="I244" i="2" a="1"/>
  <c r="I244" i="2" s="1"/>
  <c r="A245" i="2" a="1"/>
  <c r="A245" i="2" s="1"/>
  <c r="D245" i="2" a="1"/>
  <c r="D245" i="2" s="1"/>
  <c r="J245" i="2" a="1"/>
  <c r="J245" i="2" s="1"/>
  <c r="B248" i="2" a="1"/>
  <c r="B248" i="2" s="1"/>
  <c r="Q248" i="2" a="1"/>
  <c r="Q248" i="2" s="1"/>
  <c r="E251" i="2" a="1"/>
  <c r="E251" i="2" s="1"/>
  <c r="G252" i="2" a="1"/>
  <c r="G252" i="2" s="1"/>
  <c r="Q252" i="2" a="1"/>
  <c r="Q252" i="2" s="1"/>
  <c r="K253" i="2" a="1"/>
  <c r="K253" i="2" s="1"/>
  <c r="Q254" i="2" a="1"/>
  <c r="Q254" i="2" s="1"/>
  <c r="G255" i="2" a="1"/>
  <c r="G255" i="2" s="1"/>
  <c r="N256" i="2" a="1"/>
  <c r="N256" i="2" s="1"/>
  <c r="F257" i="2" a="1"/>
  <c r="F257" i="2" s="1"/>
  <c r="D260" i="2" a="1"/>
  <c r="D260" i="2" s="1"/>
  <c r="E260" i="2" a="1"/>
  <c r="E260" i="2" s="1"/>
  <c r="F260" i="2" a="1"/>
  <c r="F260" i="2" s="1"/>
  <c r="M261" i="2" a="1"/>
  <c r="M261" i="2" s="1"/>
  <c r="J262" i="2" a="1"/>
  <c r="J262" i="2" s="1"/>
  <c r="Q262" i="2" a="1"/>
  <c r="Q262" i="2" s="1"/>
  <c r="F264" i="2" a="1"/>
  <c r="F264" i="2" s="1"/>
  <c r="O266" i="2" a="1"/>
  <c r="O266" i="2" s="1"/>
  <c r="P268" i="2" a="1"/>
  <c r="P268" i="2" s="1"/>
  <c r="Q268" i="2" a="1"/>
  <c r="Q268" i="2" s="1"/>
  <c r="B270" i="2" a="1"/>
  <c r="B270" i="2" s="1"/>
  <c r="H270" i="2" a="1"/>
  <c r="H270" i="2" s="1"/>
  <c r="P270" i="2" a="1"/>
  <c r="P270" i="2" s="1"/>
  <c r="J271" i="2" a="1"/>
  <c r="J271" i="2" s="1"/>
  <c r="P271" i="2" a="1"/>
  <c r="P271" i="2" s="1"/>
  <c r="B272" i="2" a="1"/>
  <c r="B272" i="2" s="1"/>
  <c r="C272" i="2" a="1"/>
  <c r="C272" i="2" s="1"/>
  <c r="Q272" i="2" a="1"/>
  <c r="Q272" i="2" s="1"/>
  <c r="J273" i="2" a="1"/>
  <c r="J273" i="2" s="1"/>
  <c r="C274" i="2" a="1"/>
  <c r="C274" i="2" s="1"/>
  <c r="F274" i="2" a="1"/>
  <c r="F274" i="2" s="1"/>
  <c r="P276" i="2" a="1"/>
  <c r="P276" i="2" s="1"/>
  <c r="B277" i="2" a="1"/>
  <c r="B277" i="2" s="1"/>
  <c r="D277" i="2" a="1"/>
  <c r="D277" i="2" s="1"/>
  <c r="G277" i="2" a="1"/>
  <c r="G277" i="2" s="1"/>
  <c r="F278" i="2" a="1"/>
  <c r="F278" i="2" s="1"/>
  <c r="M278" i="2" a="1"/>
  <c r="M278" i="2" s="1"/>
  <c r="O280" i="2" a="1"/>
  <c r="O280" i="2" s="1"/>
  <c r="P282" i="2" a="1"/>
  <c r="P282" i="2" s="1"/>
  <c r="A283" i="2" a="1"/>
  <c r="A283" i="2" s="1"/>
  <c r="A285" i="2" a="1"/>
  <c r="A285" i="2" s="1"/>
  <c r="D286" i="2" a="1"/>
  <c r="D286" i="2" s="1"/>
  <c r="D288" i="2" a="1"/>
  <c r="D288" i="2" s="1"/>
  <c r="E297" i="2" a="1"/>
  <c r="E297" i="2" s="1"/>
  <c r="G297" i="2" a="1"/>
  <c r="G297" i="2" s="1"/>
  <c r="J297" i="2" a="1"/>
  <c r="J297" i="2" s="1"/>
  <c r="D298" i="2" a="1"/>
  <c r="D298" i="2" s="1"/>
  <c r="L300" i="2" a="1"/>
  <c r="L300" i="2" s="1"/>
  <c r="G301" i="2" a="1"/>
  <c r="G301" i="2" s="1"/>
  <c r="A302" i="2" a="1"/>
  <c r="A302" i="2" s="1"/>
  <c r="O302" i="2" a="1"/>
  <c r="O302" i="2" s="1"/>
  <c r="Q302" i="2" a="1"/>
  <c r="Q302" i="2" s="1"/>
  <c r="J303" i="2" a="1"/>
  <c r="J303" i="2" s="1"/>
  <c r="H305" i="2" a="1"/>
  <c r="H305" i="2" s="1"/>
  <c r="N306" i="2" a="1"/>
  <c r="N306" i="2" s="1"/>
  <c r="A310" i="2" a="1"/>
  <c r="A310" i="2" s="1"/>
  <c r="N311" i="2" a="1"/>
  <c r="N311" i="2" s="1"/>
  <c r="B312" i="2" a="1"/>
  <c r="B312" i="2" s="1"/>
  <c r="J315" i="2" a="1"/>
  <c r="J315" i="2" s="1"/>
  <c r="A317" i="2" a="1"/>
  <c r="A317" i="2" s="1"/>
  <c r="J317" i="2" a="1"/>
  <c r="J317" i="2" s="1"/>
  <c r="Q317" i="2" a="1"/>
  <c r="Q317" i="2" s="1"/>
  <c r="H318" i="2" a="1"/>
  <c r="H318" i="2" s="1"/>
  <c r="C319" i="2" a="1"/>
  <c r="C319" i="2" s="1"/>
  <c r="Q321" i="2" a="1"/>
  <c r="Q321" i="2" s="1"/>
  <c r="I323" i="2" a="1"/>
  <c r="I323" i="2" s="1"/>
  <c r="C326" i="2" a="1"/>
  <c r="C326" i="2" s="1"/>
  <c r="E327" i="2" a="1"/>
  <c r="E327" i="2" s="1"/>
  <c r="C328" i="2" a="1"/>
  <c r="C328" i="2" s="1"/>
  <c r="N328" i="2" a="1"/>
  <c r="N328" i="2" s="1"/>
  <c r="I331" i="2" a="1"/>
  <c r="I331" i="2" s="1"/>
  <c r="E334" i="2" a="1"/>
  <c r="E334" i="2" s="1"/>
  <c r="L335" i="2" a="1"/>
  <c r="L335" i="2" s="1"/>
  <c r="Q335" i="2" a="1"/>
  <c r="Q335" i="2" s="1"/>
  <c r="L336" i="2" a="1"/>
  <c r="L336" i="2" s="1"/>
  <c r="E337" i="2" a="1"/>
  <c r="E337" i="2" s="1"/>
  <c r="J338" i="2" a="1"/>
  <c r="J338" i="2" s="1"/>
  <c r="L339" i="2" a="1"/>
  <c r="L339" i="2" s="1"/>
  <c r="C340" i="2" a="1"/>
  <c r="C340" i="2" s="1"/>
  <c r="I340" i="2" a="1"/>
  <c r="I340" i="2" s="1"/>
  <c r="Q340" i="2" a="1"/>
  <c r="Q340" i="2" s="1"/>
  <c r="K341" i="2" a="1"/>
  <c r="K341" i="2" s="1"/>
  <c r="C342" i="2" a="1"/>
  <c r="C342" i="2" s="1"/>
  <c r="E342" i="2" a="1"/>
  <c r="E342" i="2" s="1"/>
  <c r="M342" i="2" a="1"/>
  <c r="M342" i="2" s="1"/>
  <c r="G345" i="2" a="1"/>
  <c r="G345" i="2" s="1"/>
  <c r="Q345" i="2" a="1"/>
  <c r="Q345" i="2" s="1"/>
  <c r="M350" i="2" a="1"/>
  <c r="M350" i="2" s="1"/>
  <c r="F353" i="2" a="1"/>
  <c r="F353" i="2" s="1"/>
  <c r="D354" i="2" a="1"/>
  <c r="D354" i="2" s="1"/>
  <c r="K354" i="2" a="1"/>
  <c r="K354" i="2" s="1"/>
  <c r="M354" i="2" a="1"/>
  <c r="M354" i="2" s="1"/>
  <c r="I356" i="2" a="1"/>
  <c r="I356" i="2" s="1"/>
  <c r="K359" i="2" a="1"/>
  <c r="K359" i="2" s="1"/>
  <c r="A360" i="2" a="1"/>
  <c r="A360" i="2" s="1"/>
  <c r="M361" i="2" a="1"/>
  <c r="M361" i="2" s="1"/>
  <c r="Q362" i="2" a="1"/>
  <c r="Q362" i="2" s="1"/>
  <c r="Q363" i="2" a="1"/>
  <c r="Q363" i="2" s="1"/>
  <c r="B365" i="2" a="1"/>
  <c r="B365" i="2" s="1"/>
  <c r="E365" i="2" a="1"/>
  <c r="E365" i="2" s="1"/>
  <c r="D366" i="2" a="1"/>
  <c r="D366" i="2" s="1"/>
  <c r="F366" i="2" a="1"/>
  <c r="F366" i="2" s="1"/>
  <c r="G368" i="2" a="1"/>
  <c r="G368" i="2" s="1"/>
  <c r="H370" i="2" a="1"/>
  <c r="H370" i="2" s="1"/>
  <c r="O374" i="2" a="1"/>
  <c r="O374" i="2" s="1"/>
  <c r="I381" i="2" a="1"/>
  <c r="I381" i="2" s="1"/>
  <c r="A387" i="2" a="1"/>
  <c r="A387" i="2" s="1"/>
  <c r="E387" i="2" a="1"/>
  <c r="E387" i="2" s="1"/>
  <c r="N389" i="2" a="1"/>
  <c r="N389" i="2" s="1"/>
  <c r="P391" i="2" a="1"/>
  <c r="P391" i="2" s="1"/>
  <c r="Q393" i="2" a="1"/>
  <c r="Q393" i="2" s="1"/>
  <c r="G394" i="2" a="1"/>
  <c r="G394" i="2" s="1"/>
  <c r="B395" i="2" a="1"/>
  <c r="B395" i="2" s="1"/>
  <c r="H395" i="2" a="1"/>
  <c r="H395" i="2" s="1"/>
  <c r="K395" i="2" a="1"/>
  <c r="K395" i="2" s="1"/>
  <c r="Q405" i="2" a="1"/>
  <c r="Q405" i="2" s="1"/>
  <c r="Q412" i="2" a="1"/>
  <c r="Q412" i="2" s="1"/>
  <c r="Q414" i="2" a="1"/>
  <c r="Q414" i="2" s="1"/>
  <c r="Q418" i="2" a="1"/>
  <c r="Q418" i="2" s="1"/>
  <c r="K420" i="2" a="1"/>
  <c r="K420" i="2" s="1"/>
  <c r="K423" i="2" a="1"/>
  <c r="K423" i="2" s="1"/>
  <c r="K428" i="2" a="1"/>
  <c r="K428" i="2" s="1"/>
  <c r="H430" i="2" a="1"/>
  <c r="H430" i="2" s="1"/>
  <c r="A441" i="2" a="1"/>
  <c r="A441" i="2" s="1"/>
  <c r="Q441" i="2" a="1"/>
  <c r="Q441" i="2" s="1"/>
  <c r="E443" i="2" a="1"/>
  <c r="E443" i="2" s="1"/>
  <c r="M445" i="2" a="1"/>
  <c r="M445" i="2" s="1"/>
  <c r="P445" i="2" a="1"/>
  <c r="P445" i="2" s="1"/>
  <c r="Q445" i="2" a="1"/>
  <c r="Q445" i="2" s="1"/>
  <c r="B446" i="2" a="1"/>
  <c r="B446" i="2" s="1"/>
  <c r="I451" i="2" a="1"/>
  <c r="I451" i="2" s="1"/>
  <c r="Q451" i="2" a="1"/>
  <c r="Q451" i="2" s="1"/>
  <c r="I455" i="2" a="1"/>
  <c r="I455" i="2" s="1"/>
  <c r="B471" i="2" a="1"/>
  <c r="B471" i="2" s="1"/>
  <c r="C480" i="2" a="1"/>
  <c r="C480" i="2" s="1"/>
  <c r="E484" i="2" a="1"/>
  <c r="E484" i="2" s="1"/>
  <c r="J492" i="2" a="1"/>
  <c r="J492" i="2" s="1"/>
  <c r="A494" i="2" a="1"/>
  <c r="A494" i="2" s="1"/>
  <c r="M495" i="2" a="1"/>
  <c r="M495" i="2" s="1"/>
  <c r="J496" i="2" a="1"/>
  <c r="J496" i="2" s="1"/>
  <c r="E500" i="2" a="1"/>
  <c r="E500" i="2" s="1"/>
  <c r="B505" i="2" a="1"/>
  <c r="B505" i="2" s="1"/>
  <c r="E505" i="2" a="1"/>
  <c r="E505" i="2" s="1"/>
  <c r="K505" i="2" a="1"/>
  <c r="K505" i="2" s="1"/>
  <c r="L509" i="2" a="1"/>
  <c r="L509" i="2" s="1"/>
  <c r="J510" i="2" a="1"/>
  <c r="J510" i="2" s="1"/>
  <c r="P512" i="2" a="1"/>
  <c r="P512" i="2" s="1"/>
  <c r="C513" i="2" a="1"/>
  <c r="C513" i="2" s="1"/>
  <c r="I515" i="2" a="1"/>
  <c r="I515" i="2" s="1"/>
  <c r="K517" i="2" a="1"/>
  <c r="K517" i="2" s="1"/>
  <c r="G521" i="2" a="1"/>
  <c r="G521" i="2" s="1"/>
  <c r="N521" i="2" a="1"/>
  <c r="N521" i="2" s="1"/>
  <c r="I522" i="2" a="1"/>
  <c r="I522" i="2" s="1"/>
  <c r="J522" i="2" a="1"/>
  <c r="J522" i="2" s="1"/>
  <c r="L522" i="2" a="1"/>
  <c r="L522" i="2" s="1"/>
  <c r="I528" i="2" a="1"/>
  <c r="I528" i="2" s="1"/>
  <c r="E530" i="2" a="1"/>
  <c r="E530" i="2" s="1"/>
  <c r="N530" i="2" a="1"/>
  <c r="N530" i="2" s="1"/>
  <c r="M531" i="2" a="1"/>
  <c r="M531" i="2" s="1"/>
  <c r="N533" i="2" a="1"/>
  <c r="N533" i="2" s="1"/>
  <c r="A534" i="2" a="1"/>
  <c r="A534" i="2" s="1"/>
  <c r="H534" i="2" a="1"/>
  <c r="H534" i="2" s="1"/>
  <c r="Q534" i="2" a="1"/>
  <c r="Q534" i="2" s="1"/>
  <c r="M537" i="2" a="1"/>
  <c r="M537" i="2" s="1"/>
  <c r="Q538" i="2" a="1"/>
  <c r="Q538" i="2" s="1"/>
  <c r="Q769" i="2" a="1"/>
  <c r="Q769" i="2" s="1"/>
  <c r="B770" i="2" a="1"/>
  <c r="B770" i="2" s="1"/>
  <c r="G770" i="2" a="1"/>
  <c r="G770" i="2" s="1"/>
  <c r="A771" i="2" a="1"/>
  <c r="A771" i="2" s="1"/>
  <c r="E771" i="2" a="1"/>
  <c r="E771" i="2" s="1"/>
  <c r="Q771" i="2" a="1"/>
  <c r="Q771" i="2" s="1"/>
  <c r="B772" i="2" a="1"/>
  <c r="B772" i="2" s="1"/>
  <c r="E772" i="2" a="1"/>
  <c r="E772" i="2" s="1"/>
  <c r="G772" i="2" a="1"/>
  <c r="G772" i="2" s="1"/>
  <c r="K772" i="2" a="1"/>
  <c r="K772" i="2" s="1"/>
  <c r="P772" i="2" a="1"/>
  <c r="P772" i="2" s="1"/>
  <c r="Q772" i="2" a="1"/>
  <c r="Q772" i="2" s="1"/>
  <c r="A773" i="2" a="1"/>
  <c r="A773" i="2" s="1"/>
  <c r="B773" i="2" a="1"/>
  <c r="B773" i="2" s="1"/>
  <c r="C773" i="2" a="1"/>
  <c r="C773" i="2" s="1"/>
  <c r="D773" i="2" a="1"/>
  <c r="D773" i="2" s="1"/>
  <c r="H773" i="2" a="1"/>
  <c r="H773" i="2" s="1"/>
  <c r="Q773" i="2" a="1"/>
  <c r="Q773" i="2" s="1"/>
  <c r="D774" i="2" a="1"/>
  <c r="D774" i="2" s="1"/>
  <c r="E774" i="2" a="1"/>
  <c r="E774" i="2" s="1"/>
  <c r="F774" i="2" a="1"/>
  <c r="F774" i="2" s="1"/>
  <c r="G774" i="2" a="1"/>
  <c r="G774" i="2" s="1"/>
  <c r="H774" i="2" a="1"/>
  <c r="H774" i="2" s="1"/>
  <c r="I774" i="2" a="1"/>
  <c r="I774" i="2" s="1"/>
  <c r="J774" i="2" a="1"/>
  <c r="J774" i="2" s="1"/>
  <c r="K774" i="2" a="1"/>
  <c r="K774" i="2" s="1"/>
  <c r="L774" i="2" a="1"/>
  <c r="L774" i="2" s="1"/>
  <c r="M774" i="2" a="1"/>
  <c r="M774" i="2" s="1"/>
  <c r="N774" i="2" a="1"/>
  <c r="N774" i="2" s="1"/>
  <c r="P774" i="2" a="1"/>
  <c r="P774" i="2" s="1"/>
  <c r="Q774" i="2" a="1"/>
  <c r="Q774" i="2" s="1"/>
  <c r="L775" i="2" a="1"/>
  <c r="L775" i="2" s="1"/>
  <c r="P775" i="2" a="1"/>
  <c r="P775" i="2" s="1"/>
  <c r="Q775" i="2" a="1"/>
  <c r="Q775" i="2" s="1"/>
  <c r="B776" i="2" a="1"/>
  <c r="B776" i="2" s="1"/>
  <c r="E778" i="2" a="1"/>
  <c r="E778" i="2" s="1"/>
  <c r="H778" i="2" a="1"/>
  <c r="H778" i="2" s="1"/>
  <c r="N778" i="2" a="1"/>
  <c r="N778" i="2" s="1"/>
  <c r="I779" i="2" a="1"/>
  <c r="I779" i="2" s="1"/>
  <c r="Q779" i="2" a="1"/>
  <c r="Q779" i="2" s="1"/>
  <c r="M780" i="2" a="1"/>
  <c r="M780" i="2" s="1"/>
  <c r="P781" i="2" a="1"/>
  <c r="P781" i="2" s="1"/>
  <c r="Q781" i="2" a="1"/>
  <c r="Q781" i="2" s="1"/>
  <c r="P782" i="2" a="1"/>
  <c r="P782" i="2" s="1"/>
  <c r="Q782" i="2" a="1"/>
  <c r="Q782" i="2" s="1"/>
  <c r="Q783" i="2" a="1"/>
  <c r="Q783" i="2" s="1"/>
  <c r="G784" i="2" a="1"/>
  <c r="G784" i="2" s="1"/>
  <c r="Q784" i="2" a="1"/>
  <c r="Q784" i="2" s="1"/>
  <c r="O785" i="2" a="1"/>
  <c r="O785" i="2" s="1"/>
  <c r="P785" i="2" a="1"/>
  <c r="P785" i="2" s="1"/>
  <c r="Q785" i="2" a="1"/>
  <c r="Q785" i="2" s="1"/>
  <c r="A786" i="2" a="1"/>
  <c r="A786" i="2" s="1"/>
  <c r="B786" i="2" a="1"/>
  <c r="B786" i="2" s="1"/>
  <c r="C786" i="2" a="1"/>
  <c r="C786" i="2" s="1"/>
  <c r="D786" i="2" a="1"/>
  <c r="D786" i="2" s="1"/>
  <c r="E786" i="2" a="1"/>
  <c r="E786" i="2" s="1"/>
  <c r="F786" i="2" a="1"/>
  <c r="F786" i="2" s="1"/>
  <c r="G786" i="2" a="1"/>
  <c r="G786" i="2" s="1"/>
  <c r="H786" i="2" a="1"/>
  <c r="H786" i="2" s="1"/>
  <c r="I786" i="2" a="1"/>
  <c r="I786" i="2" s="1"/>
  <c r="J786" i="2" a="1"/>
  <c r="J786" i="2" s="1"/>
  <c r="K786" i="2" a="1"/>
  <c r="K786" i="2" s="1"/>
  <c r="L786" i="2" a="1"/>
  <c r="L786" i="2" s="1"/>
  <c r="M786" i="2" a="1"/>
  <c r="M786" i="2" s="1"/>
  <c r="N786" i="2" a="1"/>
  <c r="N786" i="2" s="1"/>
  <c r="O786" i="2" a="1"/>
  <c r="O786" i="2" s="1"/>
  <c r="P786" i="2" a="1"/>
  <c r="P786" i="2" s="1"/>
  <c r="Q786" i="2" a="1"/>
  <c r="Q786" i="2" s="1"/>
  <c r="A787" i="2" a="1"/>
  <c r="A787" i="2" s="1"/>
  <c r="B787" i="2" a="1"/>
  <c r="B787" i="2" s="1"/>
  <c r="C787" i="2" a="1"/>
  <c r="C787" i="2" s="1"/>
  <c r="D787" i="2" a="1"/>
  <c r="D787" i="2" s="1"/>
  <c r="E787" i="2" a="1"/>
  <c r="E787" i="2" s="1"/>
  <c r="F787" i="2" a="1"/>
  <c r="F787" i="2" s="1"/>
  <c r="G787" i="2" a="1"/>
  <c r="G787" i="2" s="1"/>
  <c r="H787" i="2" a="1"/>
  <c r="H787" i="2" s="1"/>
  <c r="I787" i="2" a="1"/>
  <c r="I787" i="2" s="1"/>
  <c r="J787" i="2" a="1"/>
  <c r="J787" i="2" s="1"/>
  <c r="K787" i="2" a="1"/>
  <c r="K787" i="2" s="1"/>
  <c r="L787" i="2" a="1"/>
  <c r="L787" i="2" s="1"/>
  <c r="M787" i="2" a="1"/>
  <c r="M787" i="2" s="1"/>
  <c r="N787" i="2" a="1"/>
  <c r="N787" i="2" s="1"/>
  <c r="O787" i="2" a="1"/>
  <c r="O787" i="2" s="1"/>
  <c r="P787" i="2" a="1"/>
  <c r="P787" i="2" s="1"/>
  <c r="Q787" i="2" a="1"/>
  <c r="Q787" i="2" s="1"/>
  <c r="A788" i="2" a="1"/>
  <c r="A788" i="2" s="1"/>
  <c r="B788" i="2" a="1"/>
  <c r="B788" i="2" s="1"/>
  <c r="C788" i="2" a="1"/>
  <c r="C788" i="2" s="1"/>
  <c r="D788" i="2" a="1"/>
  <c r="D788" i="2" s="1"/>
  <c r="E788" i="2" a="1"/>
  <c r="E788" i="2" s="1"/>
  <c r="F788" i="2" a="1"/>
  <c r="F788" i="2" s="1"/>
  <c r="G788" i="2" a="1"/>
  <c r="G788" i="2" s="1"/>
  <c r="H788" i="2" a="1"/>
  <c r="H788" i="2" s="1"/>
  <c r="I788" i="2" a="1"/>
  <c r="I788" i="2" s="1"/>
  <c r="J788" i="2" a="1"/>
  <c r="J788" i="2" s="1"/>
  <c r="L788" i="2" a="1"/>
  <c r="L788" i="2" s="1"/>
  <c r="F789" i="2" a="1"/>
  <c r="F789" i="2" s="1"/>
  <c r="I789" i="2" a="1"/>
  <c r="I789" i="2" s="1"/>
  <c r="B790" i="2" a="1"/>
  <c r="B790" i="2" s="1"/>
  <c r="I790" i="2" a="1"/>
  <c r="I790" i="2" s="1"/>
  <c r="P790" i="2" a="1"/>
  <c r="P790" i="2" s="1"/>
  <c r="Q790" i="2" a="1"/>
  <c r="Q790" i="2" s="1"/>
  <c r="A791" i="2" a="1"/>
  <c r="A791" i="2" s="1"/>
  <c r="B791" i="2" a="1"/>
  <c r="B791" i="2" s="1"/>
  <c r="C791" i="2" a="1"/>
  <c r="C791" i="2" s="1"/>
  <c r="D791" i="2" a="1"/>
  <c r="D791" i="2" s="1"/>
  <c r="E791" i="2" a="1"/>
  <c r="E791" i="2" s="1"/>
  <c r="F791" i="2" a="1"/>
  <c r="F791" i="2" s="1"/>
  <c r="G791" i="2" a="1"/>
  <c r="G791" i="2" s="1"/>
  <c r="H791" i="2" a="1"/>
  <c r="H791" i="2" s="1"/>
  <c r="I791" i="2" a="1"/>
  <c r="I791" i="2" s="1"/>
  <c r="J791" i="2" a="1"/>
  <c r="J791" i="2" s="1"/>
  <c r="K791" i="2" a="1"/>
  <c r="K791" i="2" s="1"/>
  <c r="L791" i="2" a="1"/>
  <c r="L791" i="2" s="1"/>
  <c r="M791" i="2" a="1"/>
  <c r="M791" i="2" s="1"/>
  <c r="N791" i="2" a="1"/>
  <c r="N791" i="2" s="1"/>
  <c r="O791" i="2" a="1"/>
  <c r="O791" i="2" s="1"/>
  <c r="P791" i="2" a="1"/>
  <c r="P791" i="2" s="1"/>
  <c r="Q791" i="2" a="1"/>
  <c r="Q791" i="2" s="1"/>
  <c r="A792" i="2" a="1"/>
  <c r="A792" i="2" s="1"/>
  <c r="B792" i="2" a="1"/>
  <c r="B792" i="2" s="1"/>
  <c r="C792" i="2" a="1"/>
  <c r="C792" i="2" s="1"/>
  <c r="D792" i="2" a="1"/>
  <c r="D792" i="2" s="1"/>
  <c r="E792" i="2" a="1"/>
  <c r="E792" i="2" s="1"/>
  <c r="F792" i="2" a="1"/>
  <c r="F792" i="2" s="1"/>
  <c r="G792" i="2" a="1"/>
  <c r="G792" i="2" s="1"/>
  <c r="H792" i="2" a="1"/>
  <c r="H792" i="2" s="1"/>
  <c r="I792" i="2" a="1"/>
  <c r="I792" i="2" s="1"/>
  <c r="J792" i="2" a="1"/>
  <c r="J792" i="2" s="1"/>
  <c r="K792" i="2" a="1"/>
  <c r="K792" i="2" s="1"/>
  <c r="L792" i="2" a="1"/>
  <c r="L792" i="2" s="1"/>
  <c r="M792" i="2" a="1"/>
  <c r="M792" i="2" s="1"/>
  <c r="N792" i="2" a="1"/>
  <c r="N792" i="2" s="1"/>
  <c r="O792" i="2" a="1"/>
  <c r="O792" i="2" s="1"/>
  <c r="P792" i="2" a="1"/>
  <c r="P792" i="2" s="1"/>
  <c r="Q792" i="2" a="1"/>
  <c r="Q792" i="2" s="1"/>
  <c r="A793" i="2" a="1"/>
  <c r="A793" i="2" s="1"/>
  <c r="B793" i="2" a="1"/>
  <c r="B793" i="2" s="1"/>
  <c r="C793" i="2" a="1"/>
  <c r="C793" i="2" s="1"/>
  <c r="D793" i="2" a="1"/>
  <c r="D793" i="2" s="1"/>
  <c r="E793" i="2" a="1"/>
  <c r="E793" i="2" s="1"/>
  <c r="F793" i="2" a="1"/>
  <c r="F793" i="2" s="1"/>
  <c r="G793" i="2" a="1"/>
  <c r="G793" i="2" s="1"/>
  <c r="H793" i="2" a="1"/>
  <c r="H793" i="2" s="1"/>
  <c r="I793" i="2" a="1"/>
  <c r="I793" i="2" s="1"/>
  <c r="J793" i="2" a="1"/>
  <c r="J793" i="2" s="1"/>
  <c r="K793" i="2" a="1"/>
  <c r="K793" i="2" s="1"/>
  <c r="L793" i="2" a="1"/>
  <c r="L793" i="2" s="1"/>
  <c r="M793" i="2" a="1"/>
  <c r="M793" i="2" s="1"/>
  <c r="N793" i="2" a="1"/>
  <c r="N793" i="2" s="1"/>
  <c r="O793" i="2" a="1"/>
  <c r="O793" i="2" s="1"/>
  <c r="P793" i="2" a="1"/>
  <c r="P793" i="2" s="1"/>
  <c r="Q793" i="2" a="1"/>
  <c r="Q793" i="2" s="1"/>
  <c r="A794" i="2" a="1"/>
  <c r="A794" i="2" s="1"/>
  <c r="B794" i="2" a="1"/>
  <c r="B794" i="2" s="1"/>
  <c r="C794" i="2" a="1"/>
  <c r="C794" i="2" s="1"/>
  <c r="D794" i="2" a="1"/>
  <c r="D794" i="2" s="1"/>
  <c r="E794" i="2" a="1"/>
  <c r="E794" i="2" s="1"/>
  <c r="F794" i="2" a="1"/>
  <c r="F794" i="2" s="1"/>
  <c r="G794" i="2" a="1"/>
  <c r="G794" i="2" s="1"/>
  <c r="H794" i="2" a="1"/>
  <c r="H794" i="2" s="1"/>
  <c r="I794" i="2" a="1"/>
  <c r="I794" i="2" s="1"/>
  <c r="J794" i="2" a="1"/>
  <c r="J794" i="2" s="1"/>
  <c r="K794" i="2" a="1"/>
  <c r="K794" i="2" s="1"/>
  <c r="L794" i="2" a="1"/>
  <c r="L794" i="2" s="1"/>
  <c r="M794" i="2" a="1"/>
  <c r="M794" i="2" s="1"/>
  <c r="N794" i="2" a="1"/>
  <c r="N794" i="2" s="1"/>
  <c r="O794" i="2" a="1"/>
  <c r="O794" i="2" s="1"/>
  <c r="P794" i="2" a="1"/>
  <c r="P794" i="2" s="1"/>
  <c r="Q794" i="2" a="1"/>
  <c r="Q794" i="2" s="1"/>
  <c r="A795" i="2" a="1"/>
  <c r="A795" i="2" s="1"/>
  <c r="B795" i="2" a="1"/>
  <c r="B795" i="2" s="1"/>
  <c r="C795" i="2" a="1"/>
  <c r="C795" i="2" s="1"/>
  <c r="D795" i="2" a="1"/>
  <c r="D795" i="2" s="1"/>
  <c r="E795" i="2" a="1"/>
  <c r="E795" i="2" s="1"/>
  <c r="F795" i="2" a="1"/>
  <c r="F795" i="2" s="1"/>
  <c r="G795" i="2" a="1"/>
  <c r="G795" i="2" s="1"/>
  <c r="H795" i="2" a="1"/>
  <c r="H795" i="2" s="1"/>
  <c r="I795" i="2" a="1"/>
  <c r="I795" i="2" s="1"/>
  <c r="J795" i="2" a="1"/>
  <c r="J795" i="2" s="1"/>
  <c r="K795" i="2" a="1"/>
  <c r="K795" i="2" s="1"/>
  <c r="L795" i="2" a="1"/>
  <c r="L795" i="2" s="1"/>
  <c r="M795" i="2" a="1"/>
  <c r="M795" i="2" s="1"/>
  <c r="N795" i="2" a="1"/>
  <c r="N795" i="2" s="1"/>
  <c r="O795" i="2" a="1"/>
  <c r="O795" i="2" s="1"/>
  <c r="P795" i="2" a="1"/>
  <c r="P795" i="2" s="1"/>
  <c r="Q795" i="2" a="1"/>
  <c r="Q795" i="2" s="1"/>
  <c r="A796" i="2" a="1"/>
  <c r="A796" i="2" s="1"/>
  <c r="B796" i="2" a="1"/>
  <c r="B796" i="2" s="1"/>
  <c r="C796" i="2" a="1"/>
  <c r="C796" i="2" s="1"/>
  <c r="D796" i="2" a="1"/>
  <c r="D796" i="2" s="1"/>
  <c r="E796" i="2" a="1"/>
  <c r="E796" i="2" s="1"/>
  <c r="F796" i="2" a="1"/>
  <c r="F796" i="2" s="1"/>
  <c r="G796" i="2" a="1"/>
  <c r="G796" i="2" s="1"/>
  <c r="H796" i="2" a="1"/>
  <c r="H796" i="2" s="1"/>
  <c r="I796" i="2" a="1"/>
  <c r="I796" i="2" s="1"/>
  <c r="J796" i="2" a="1"/>
  <c r="J796" i="2" s="1"/>
  <c r="K796" i="2" a="1"/>
  <c r="K796" i="2" s="1"/>
  <c r="L796" i="2" a="1"/>
  <c r="L796" i="2" s="1"/>
  <c r="M796" i="2" a="1"/>
  <c r="M796" i="2" s="1"/>
  <c r="N796" i="2" a="1"/>
  <c r="N796" i="2" s="1"/>
  <c r="O796" i="2" a="1"/>
  <c r="O796" i="2" s="1"/>
  <c r="P796" i="2" a="1"/>
  <c r="P796" i="2" s="1"/>
  <c r="Q796" i="2" a="1"/>
  <c r="Q796" i="2" s="1"/>
  <c r="A797" i="2" a="1"/>
  <c r="A797" i="2" s="1"/>
  <c r="B797" i="2" a="1"/>
  <c r="B797" i="2" s="1"/>
  <c r="C797" i="2" a="1"/>
  <c r="C797" i="2" s="1"/>
  <c r="D797" i="2" a="1"/>
  <c r="D797" i="2" s="1"/>
  <c r="E797" i="2" a="1"/>
  <c r="E797" i="2" s="1"/>
  <c r="F797" i="2" a="1"/>
  <c r="F797" i="2" s="1"/>
  <c r="G797" i="2" a="1"/>
  <c r="G797" i="2" s="1"/>
  <c r="H797" i="2" a="1"/>
  <c r="H797" i="2" s="1"/>
  <c r="I797" i="2" a="1"/>
  <c r="I797" i="2" s="1"/>
  <c r="J797" i="2" a="1"/>
  <c r="J797" i="2" s="1"/>
  <c r="K797" i="2" a="1"/>
  <c r="K797" i="2" s="1"/>
  <c r="L797" i="2" a="1"/>
  <c r="L797" i="2" s="1"/>
  <c r="M797" i="2" a="1"/>
  <c r="M797" i="2" s="1"/>
  <c r="N797" i="2" a="1"/>
  <c r="N797" i="2" s="1"/>
  <c r="O797" i="2" a="1"/>
  <c r="O797" i="2" s="1"/>
  <c r="P797" i="2" a="1"/>
  <c r="P797" i="2" s="1"/>
  <c r="Q797" i="2" a="1"/>
  <c r="Q797" i="2" s="1"/>
  <c r="A798" i="2" a="1"/>
  <c r="A798" i="2" s="1"/>
  <c r="B798" i="2" a="1"/>
  <c r="B798" i="2" s="1"/>
  <c r="C798" i="2" a="1"/>
  <c r="C798" i="2" s="1"/>
  <c r="D798" i="2" a="1"/>
  <c r="D798" i="2" s="1"/>
  <c r="E798" i="2" a="1"/>
  <c r="E798" i="2" s="1"/>
  <c r="F798" i="2" a="1"/>
  <c r="F798" i="2" s="1"/>
  <c r="G798" i="2" a="1"/>
  <c r="G798" i="2" s="1"/>
  <c r="H798" i="2" a="1"/>
  <c r="H798" i="2" s="1"/>
  <c r="I798" i="2" a="1"/>
  <c r="I798" i="2" s="1"/>
  <c r="J798" i="2" a="1"/>
  <c r="J798" i="2" s="1"/>
  <c r="K798" i="2" a="1"/>
  <c r="K798" i="2" s="1"/>
  <c r="L798" i="2" a="1"/>
  <c r="L798" i="2" s="1"/>
  <c r="M798" i="2" a="1"/>
  <c r="M798" i="2" s="1"/>
  <c r="N798" i="2" a="1"/>
  <c r="N798" i="2" s="1"/>
  <c r="O798" i="2" a="1"/>
  <c r="O798" i="2" s="1"/>
  <c r="P798" i="2" a="1"/>
  <c r="P798" i="2" s="1"/>
  <c r="Q798" i="2" a="1"/>
  <c r="Q798" i="2" s="1"/>
  <c r="A799" i="2" a="1"/>
  <c r="A799" i="2" s="1"/>
  <c r="B799" i="2" a="1"/>
  <c r="B799" i="2" s="1"/>
  <c r="C799" i="2" a="1"/>
  <c r="C799" i="2" s="1"/>
  <c r="D799" i="2" a="1"/>
  <c r="D799" i="2" s="1"/>
  <c r="E799" i="2" a="1"/>
  <c r="E799" i="2" s="1"/>
  <c r="F799" i="2" a="1"/>
  <c r="F799" i="2" s="1"/>
  <c r="G799" i="2" a="1"/>
  <c r="G799" i="2" s="1"/>
  <c r="H799" i="2" a="1"/>
  <c r="H799" i="2" s="1"/>
  <c r="I799" i="2" a="1"/>
  <c r="I799" i="2" s="1"/>
  <c r="J799" i="2" a="1"/>
  <c r="J799" i="2" s="1"/>
  <c r="K799" i="2" a="1"/>
  <c r="K799" i="2" s="1"/>
  <c r="L799" i="2" a="1"/>
  <c r="L799" i="2" s="1"/>
  <c r="M799" i="2" a="1"/>
  <c r="M799" i="2" s="1"/>
  <c r="N799" i="2" a="1"/>
  <c r="N799" i="2" s="1"/>
  <c r="O799" i="2" a="1"/>
  <c r="O799" i="2" s="1"/>
  <c r="P799" i="2" a="1"/>
  <c r="P799" i="2" s="1"/>
  <c r="Q799" i="2" a="1"/>
  <c r="Q799" i="2" s="1"/>
  <c r="A800" i="2" a="1"/>
  <c r="A800" i="2" s="1"/>
  <c r="B800" i="2" a="1"/>
  <c r="B800" i="2" s="1"/>
  <c r="C800" i="2" a="1"/>
  <c r="C800" i="2" s="1"/>
  <c r="D800" i="2" a="1"/>
  <c r="D800" i="2" s="1"/>
  <c r="E800" i="2" a="1"/>
  <c r="E800" i="2" s="1"/>
  <c r="F800" i="2" a="1"/>
  <c r="F800" i="2" s="1"/>
  <c r="G800" i="2" a="1"/>
  <c r="G800" i="2" s="1"/>
  <c r="H800" i="2" a="1"/>
  <c r="H800" i="2" s="1"/>
  <c r="I800" i="2" a="1"/>
  <c r="I800" i="2" s="1"/>
  <c r="J800" i="2" a="1"/>
  <c r="J800" i="2" s="1"/>
  <c r="K800" i="2" a="1"/>
  <c r="K800" i="2" s="1"/>
  <c r="L800" i="2" a="1"/>
  <c r="L800" i="2" s="1"/>
  <c r="M800" i="2" a="1"/>
  <c r="M800" i="2" s="1"/>
  <c r="N800" i="2" a="1"/>
  <c r="N800" i="2" s="1"/>
  <c r="O800" i="2" a="1"/>
  <c r="O800" i="2" s="1"/>
  <c r="P800" i="2" a="1"/>
  <c r="P800" i="2" s="1"/>
  <c r="Q800" i="2" a="1"/>
  <c r="Q800" i="2" s="1"/>
  <c r="A801" i="2" a="1"/>
  <c r="A801" i="2" s="1"/>
  <c r="B801" i="2" a="1"/>
  <c r="B801" i="2" s="1"/>
  <c r="C801" i="2" a="1"/>
  <c r="C801" i="2" s="1"/>
  <c r="D801" i="2" a="1"/>
  <c r="D801" i="2" s="1"/>
  <c r="E801" i="2" a="1"/>
  <c r="E801" i="2" s="1"/>
  <c r="F801" i="2" a="1"/>
  <c r="F801" i="2" s="1"/>
  <c r="G801" i="2" a="1"/>
  <c r="G801" i="2" s="1"/>
  <c r="H801" i="2" a="1"/>
  <c r="H801" i="2" s="1"/>
  <c r="I801" i="2" a="1"/>
  <c r="I801" i="2" s="1"/>
  <c r="J801" i="2" a="1"/>
  <c r="J801" i="2" s="1"/>
  <c r="K801" i="2" a="1"/>
  <c r="K801" i="2" s="1"/>
  <c r="L801" i="2" a="1"/>
  <c r="L801" i="2" s="1"/>
  <c r="M801" i="2" a="1"/>
  <c r="M801" i="2" s="1"/>
  <c r="N801" i="2" a="1"/>
  <c r="N801" i="2" s="1"/>
  <c r="O801" i="2" a="1"/>
  <c r="O801" i="2" s="1"/>
  <c r="P801" i="2" a="1"/>
  <c r="P801" i="2" s="1"/>
  <c r="Q801" i="2" a="1"/>
  <c r="Q801" i="2" s="1"/>
  <c r="A802" i="2" a="1"/>
  <c r="A802" i="2" s="1"/>
  <c r="B802" i="2" a="1"/>
  <c r="B802" i="2" s="1"/>
  <c r="C802" i="2" a="1"/>
  <c r="C802" i="2" s="1"/>
  <c r="D802" i="2" a="1"/>
  <c r="D802" i="2" s="1"/>
  <c r="E802" i="2" a="1"/>
  <c r="E802" i="2" s="1"/>
  <c r="F802" i="2" a="1"/>
  <c r="F802" i="2" s="1"/>
  <c r="G802" i="2" a="1"/>
  <c r="G802" i="2" s="1"/>
  <c r="H802" i="2" a="1"/>
  <c r="H802" i="2" s="1"/>
  <c r="I802" i="2" a="1"/>
  <c r="I802" i="2" s="1"/>
  <c r="J802" i="2" a="1"/>
  <c r="J802" i="2" s="1"/>
  <c r="K802" i="2" a="1"/>
  <c r="K802" i="2" s="1"/>
  <c r="L802" i="2" a="1"/>
  <c r="L802" i="2" s="1"/>
  <c r="M802" i="2" a="1"/>
  <c r="M802" i="2" s="1"/>
  <c r="N802" i="2" a="1"/>
  <c r="N802" i="2" s="1"/>
  <c r="O802" i="2" a="1"/>
  <c r="O802" i="2" s="1"/>
  <c r="P802" i="2" a="1"/>
  <c r="P802" i="2" s="1"/>
  <c r="Q802" i="2" a="1"/>
  <c r="Q802" i="2" s="1"/>
  <c r="A803" i="2" a="1"/>
  <c r="A803" i="2" s="1"/>
  <c r="B803" i="2" a="1"/>
  <c r="B803" i="2" s="1"/>
  <c r="C803" i="2" a="1"/>
  <c r="C803" i="2" s="1"/>
  <c r="D803" i="2" a="1"/>
  <c r="D803" i="2" s="1"/>
  <c r="E803" i="2" a="1"/>
  <c r="E803" i="2" s="1"/>
  <c r="F803" i="2" a="1"/>
  <c r="F803" i="2" s="1"/>
  <c r="G803" i="2" a="1"/>
  <c r="G803" i="2" s="1"/>
  <c r="H803" i="2" a="1"/>
  <c r="H803" i="2" s="1"/>
  <c r="I803" i="2" a="1"/>
  <c r="I803" i="2" s="1"/>
  <c r="J803" i="2" a="1"/>
  <c r="J803" i="2" s="1"/>
  <c r="K803" i="2" a="1"/>
  <c r="K803" i="2" s="1"/>
  <c r="L803" i="2" a="1"/>
  <c r="L803" i="2" s="1"/>
  <c r="M803" i="2" a="1"/>
  <c r="M803" i="2" s="1"/>
  <c r="N803" i="2" a="1"/>
  <c r="N803" i="2" s="1"/>
  <c r="O803" i="2" a="1"/>
  <c r="O803" i="2" s="1"/>
  <c r="P803" i="2" a="1"/>
  <c r="P803" i="2" s="1"/>
  <c r="Q803" i="2" a="1"/>
  <c r="Q803" i="2" s="1"/>
  <c r="A804" i="2" a="1"/>
  <c r="A804" i="2" s="1"/>
  <c r="B804" i="2" a="1"/>
  <c r="B804" i="2" s="1"/>
  <c r="C804" i="2" a="1"/>
  <c r="C804" i="2" s="1"/>
  <c r="D804" i="2" a="1"/>
  <c r="D804" i="2" s="1"/>
  <c r="E804" i="2" a="1"/>
  <c r="E804" i="2" s="1"/>
  <c r="F804" i="2" a="1"/>
  <c r="F804" i="2" s="1"/>
  <c r="G804" i="2" a="1"/>
  <c r="G804" i="2" s="1"/>
  <c r="H804" i="2" a="1"/>
  <c r="H804" i="2" s="1"/>
  <c r="I804" i="2" a="1"/>
  <c r="I804" i="2" s="1"/>
  <c r="J804" i="2" a="1"/>
  <c r="J804" i="2" s="1"/>
  <c r="K804" i="2" a="1"/>
  <c r="K804" i="2" s="1"/>
  <c r="L804" i="2" a="1"/>
  <c r="L804" i="2" s="1"/>
  <c r="M804" i="2" a="1"/>
  <c r="M804" i="2" s="1"/>
  <c r="N804" i="2" a="1"/>
  <c r="N804" i="2" s="1"/>
  <c r="O804" i="2" a="1"/>
  <c r="O804" i="2" s="1"/>
  <c r="P804" i="2" a="1"/>
  <c r="P804" i="2" s="1"/>
  <c r="Q804" i="2" a="1"/>
  <c r="Q804" i="2" s="1"/>
  <c r="A805" i="2" a="1"/>
  <c r="A805" i="2" s="1"/>
  <c r="B805" i="2" a="1"/>
  <c r="B805" i="2" s="1"/>
  <c r="C805" i="2" a="1"/>
  <c r="C805" i="2" s="1"/>
  <c r="D805" i="2" a="1"/>
  <c r="D805" i="2" s="1"/>
  <c r="E805" i="2" a="1"/>
  <c r="E805" i="2" s="1"/>
  <c r="F805" i="2" a="1"/>
  <c r="F805" i="2" s="1"/>
  <c r="G805" i="2" a="1"/>
  <c r="G805" i="2" s="1"/>
  <c r="H805" i="2" a="1"/>
  <c r="H805" i="2" s="1"/>
  <c r="I805" i="2" a="1"/>
  <c r="I805" i="2" s="1"/>
  <c r="J805" i="2" a="1"/>
  <c r="J805" i="2" s="1"/>
  <c r="K805" i="2" a="1"/>
  <c r="K805" i="2" s="1"/>
  <c r="L805" i="2" a="1"/>
  <c r="L805" i="2" s="1"/>
  <c r="M805" i="2" a="1"/>
  <c r="M805" i="2" s="1"/>
  <c r="N805" i="2" a="1"/>
  <c r="N805" i="2" s="1"/>
  <c r="O805" i="2" a="1"/>
  <c r="O805" i="2" s="1"/>
  <c r="P805" i="2" a="1"/>
  <c r="P805" i="2" s="1"/>
  <c r="Q805" i="2" a="1"/>
  <c r="Q805" i="2" s="1"/>
  <c r="A806" i="2" a="1"/>
  <c r="A806" i="2" s="1"/>
  <c r="B806" i="2" a="1"/>
  <c r="B806" i="2" s="1"/>
  <c r="C806" i="2" a="1"/>
  <c r="C806" i="2" s="1"/>
  <c r="D806" i="2" a="1"/>
  <c r="D806" i="2" s="1"/>
  <c r="E806" i="2" a="1"/>
  <c r="E806" i="2" s="1"/>
  <c r="F806" i="2" a="1"/>
  <c r="F806" i="2" s="1"/>
  <c r="G806" i="2" a="1"/>
  <c r="G806" i="2" s="1"/>
  <c r="H806" i="2" a="1"/>
  <c r="H806" i="2" s="1"/>
  <c r="I806" i="2" a="1"/>
  <c r="I806" i="2" s="1"/>
  <c r="J806" i="2" a="1"/>
  <c r="J806" i="2" s="1"/>
  <c r="K806" i="2" a="1"/>
  <c r="K806" i="2" s="1"/>
  <c r="L806" i="2" a="1"/>
  <c r="L806" i="2" s="1"/>
  <c r="M806" i="2" a="1"/>
  <c r="M806" i="2" s="1"/>
  <c r="N806" i="2" a="1"/>
  <c r="N806" i="2" s="1"/>
  <c r="O806" i="2" a="1"/>
  <c r="O806" i="2" s="1"/>
  <c r="P806" i="2" a="1"/>
  <c r="P806" i="2" s="1"/>
  <c r="Q806" i="2" a="1"/>
  <c r="Q806" i="2" s="1"/>
  <c r="A807" i="2" a="1"/>
  <c r="A807" i="2" s="1"/>
  <c r="B807" i="2" a="1"/>
  <c r="B807" i="2" s="1"/>
  <c r="C807" i="2" a="1"/>
  <c r="C807" i="2" s="1"/>
  <c r="D807" i="2" a="1"/>
  <c r="D807" i="2" s="1"/>
  <c r="E807" i="2" a="1"/>
  <c r="E807" i="2" s="1"/>
  <c r="F807" i="2" a="1"/>
  <c r="F807" i="2" s="1"/>
  <c r="G807" i="2" a="1"/>
  <c r="G807" i="2" s="1"/>
  <c r="H807" i="2" a="1"/>
  <c r="H807" i="2" s="1"/>
  <c r="I807" i="2" a="1"/>
  <c r="I807" i="2" s="1"/>
  <c r="J807" i="2" a="1"/>
  <c r="J807" i="2" s="1"/>
  <c r="K807" i="2" a="1"/>
  <c r="K807" i="2" s="1"/>
  <c r="L807" i="2" a="1"/>
  <c r="L807" i="2" s="1"/>
  <c r="M807" i="2" a="1"/>
  <c r="M807" i="2" s="1"/>
  <c r="N807" i="2" a="1"/>
  <c r="N807" i="2" s="1"/>
  <c r="O807" i="2" a="1"/>
  <c r="O807" i="2" s="1"/>
  <c r="P807" i="2" a="1"/>
  <c r="P807" i="2" s="1"/>
  <c r="Q807" i="2" a="1"/>
  <c r="Q807" i="2" s="1"/>
  <c r="A808" i="2" a="1"/>
  <c r="A808" i="2" s="1"/>
  <c r="B808" i="2" a="1"/>
  <c r="B808" i="2" s="1"/>
  <c r="C808" i="2" a="1"/>
  <c r="C808" i="2" s="1"/>
  <c r="D808" i="2" a="1"/>
  <c r="D808" i="2" s="1"/>
  <c r="E808" i="2" a="1"/>
  <c r="E808" i="2" s="1"/>
  <c r="F808" i="2" a="1"/>
  <c r="F808" i="2" s="1"/>
  <c r="G808" i="2" a="1"/>
  <c r="G808" i="2" s="1"/>
  <c r="H808" i="2" a="1"/>
  <c r="H808" i="2" s="1"/>
  <c r="I808" i="2" a="1"/>
  <c r="I808" i="2" s="1"/>
  <c r="J808" i="2" a="1"/>
  <c r="J808" i="2" s="1"/>
  <c r="K808" i="2" a="1"/>
  <c r="K808" i="2" s="1"/>
  <c r="L808" i="2" a="1"/>
  <c r="L808" i="2" s="1"/>
  <c r="M808" i="2" a="1"/>
  <c r="M808" i="2" s="1"/>
  <c r="N808" i="2" a="1"/>
  <c r="N808" i="2" s="1"/>
  <c r="O808" i="2" a="1"/>
  <c r="O808" i="2" s="1"/>
  <c r="P808" i="2" a="1"/>
  <c r="P808" i="2" s="1"/>
  <c r="Q808" i="2" a="1"/>
  <c r="Q808" i="2" s="1"/>
  <c r="A809" i="2" a="1"/>
  <c r="A809" i="2" s="1"/>
  <c r="B809" i="2" a="1"/>
  <c r="B809" i="2" s="1"/>
  <c r="C809" i="2" a="1"/>
  <c r="C809" i="2" s="1"/>
  <c r="D809" i="2" a="1"/>
  <c r="D809" i="2" s="1"/>
  <c r="E809" i="2" a="1"/>
  <c r="E809" i="2" s="1"/>
  <c r="F809" i="2" a="1"/>
  <c r="F809" i="2" s="1"/>
  <c r="G809" i="2" a="1"/>
  <c r="G809" i="2" s="1"/>
  <c r="H809" i="2" a="1"/>
  <c r="H809" i="2" s="1"/>
  <c r="I809" i="2" a="1"/>
  <c r="I809" i="2" s="1"/>
  <c r="J809" i="2" a="1"/>
  <c r="J809" i="2" s="1"/>
  <c r="K809" i="2" a="1"/>
  <c r="K809" i="2" s="1"/>
  <c r="L809" i="2" a="1"/>
  <c r="L809" i="2" s="1"/>
  <c r="M809" i="2" a="1"/>
  <c r="M809" i="2" s="1"/>
  <c r="N809" i="2" a="1"/>
  <c r="N809" i="2" s="1"/>
  <c r="O809" i="2" a="1"/>
  <c r="O809" i="2" s="1"/>
  <c r="P809" i="2" a="1"/>
  <c r="P809" i="2" s="1"/>
  <c r="Q809" i="2" a="1"/>
  <c r="Q809" i="2" s="1"/>
  <c r="A810" i="2" a="1"/>
  <c r="A810" i="2" s="1"/>
  <c r="B810" i="2" a="1"/>
  <c r="B810" i="2" s="1"/>
  <c r="C810" i="2" a="1"/>
  <c r="C810" i="2" s="1"/>
  <c r="D810" i="2" a="1"/>
  <c r="D810" i="2" s="1"/>
  <c r="E810" i="2" a="1"/>
  <c r="E810" i="2" s="1"/>
  <c r="F810" i="2" a="1"/>
  <c r="F810" i="2" s="1"/>
  <c r="G810" i="2" a="1"/>
  <c r="G810" i="2" s="1"/>
  <c r="H810" i="2" a="1"/>
  <c r="H810" i="2" s="1"/>
  <c r="I810" i="2" a="1"/>
  <c r="I810" i="2" s="1"/>
  <c r="J810" i="2" a="1"/>
  <c r="J810" i="2" s="1"/>
  <c r="K810" i="2" a="1"/>
  <c r="K810" i="2" s="1"/>
  <c r="L810" i="2" a="1"/>
  <c r="L810" i="2" s="1"/>
  <c r="M810" i="2" a="1"/>
  <c r="M810" i="2" s="1"/>
  <c r="N810" i="2" a="1"/>
  <c r="N810" i="2" s="1"/>
  <c r="O810" i="2" a="1"/>
  <c r="O810" i="2" s="1"/>
  <c r="P810" i="2" a="1"/>
  <c r="P810" i="2" s="1"/>
  <c r="Q810" i="2" a="1"/>
  <c r="Q810" i="2" s="1"/>
  <c r="A811" i="2" a="1"/>
  <c r="A811" i="2" s="1"/>
  <c r="B811" i="2" a="1"/>
  <c r="B811" i="2" s="1"/>
  <c r="C811" i="2" a="1"/>
  <c r="C811" i="2" s="1"/>
  <c r="D811" i="2" a="1"/>
  <c r="D811" i="2" s="1"/>
  <c r="E811" i="2" a="1"/>
  <c r="E811" i="2" s="1"/>
  <c r="F811" i="2" a="1"/>
  <c r="F811" i="2" s="1"/>
  <c r="G811" i="2" a="1"/>
  <c r="G811" i="2" s="1"/>
  <c r="H811" i="2" a="1"/>
  <c r="H811" i="2" s="1"/>
  <c r="I811" i="2" a="1"/>
  <c r="I811" i="2" s="1"/>
  <c r="J811" i="2" a="1"/>
  <c r="J811" i="2" s="1"/>
  <c r="K811" i="2" a="1"/>
  <c r="K811" i="2" s="1"/>
  <c r="L811" i="2" a="1"/>
  <c r="L811" i="2" s="1"/>
  <c r="M811" i="2" a="1"/>
  <c r="M811" i="2" s="1"/>
  <c r="N811" i="2" a="1"/>
  <c r="N811" i="2" s="1"/>
  <c r="O811" i="2" a="1"/>
  <c r="O811" i="2" s="1"/>
  <c r="P811" i="2" a="1"/>
  <c r="P811" i="2" s="1"/>
  <c r="Q811" i="2" a="1"/>
  <c r="Q811" i="2" s="1"/>
  <c r="A812" i="2" a="1"/>
  <c r="A812" i="2" s="1"/>
  <c r="B812" i="2" a="1"/>
  <c r="B812" i="2" s="1"/>
  <c r="C812" i="2" a="1"/>
  <c r="C812" i="2" s="1"/>
  <c r="D812" i="2" a="1"/>
  <c r="D812" i="2" s="1"/>
  <c r="E812" i="2" a="1"/>
  <c r="E812" i="2" s="1"/>
  <c r="F812" i="2" a="1"/>
  <c r="F812" i="2" s="1"/>
  <c r="G812" i="2" a="1"/>
  <c r="G812" i="2" s="1"/>
  <c r="H812" i="2" a="1"/>
  <c r="H812" i="2" s="1"/>
  <c r="I812" i="2" a="1"/>
  <c r="I812" i="2" s="1"/>
  <c r="J812" i="2" a="1"/>
  <c r="J812" i="2" s="1"/>
  <c r="K812" i="2" a="1"/>
  <c r="K812" i="2" s="1"/>
  <c r="L812" i="2" a="1"/>
  <c r="L812" i="2" s="1"/>
  <c r="M812" i="2" a="1"/>
  <c r="M812" i="2" s="1"/>
  <c r="N812" i="2" a="1"/>
  <c r="N812" i="2" s="1"/>
  <c r="O812" i="2" a="1"/>
  <c r="O812" i="2" s="1"/>
  <c r="P812" i="2" a="1"/>
  <c r="P812" i="2" s="1"/>
  <c r="Q812" i="2" a="1"/>
  <c r="Q812" i="2" s="1"/>
  <c r="A813" i="2" a="1"/>
  <c r="A813" i="2" s="1"/>
  <c r="B813" i="2" a="1"/>
  <c r="B813" i="2" s="1"/>
  <c r="C813" i="2" a="1"/>
  <c r="C813" i="2" s="1"/>
  <c r="D813" i="2" a="1"/>
  <c r="D813" i="2" s="1"/>
  <c r="E813" i="2" a="1"/>
  <c r="E813" i="2" s="1"/>
  <c r="F813" i="2" a="1"/>
  <c r="F813" i="2" s="1"/>
  <c r="G813" i="2" a="1"/>
  <c r="G813" i="2" s="1"/>
  <c r="H813" i="2" a="1"/>
  <c r="H813" i="2" s="1"/>
  <c r="I813" i="2" a="1"/>
  <c r="I813" i="2" s="1"/>
  <c r="J813" i="2" a="1"/>
  <c r="J813" i="2" s="1"/>
  <c r="K813" i="2" a="1"/>
  <c r="K813" i="2" s="1"/>
  <c r="L813" i="2" a="1"/>
  <c r="L813" i="2" s="1"/>
  <c r="M813" i="2" a="1"/>
  <c r="M813" i="2" s="1"/>
  <c r="N813" i="2" a="1"/>
  <c r="N813" i="2" s="1"/>
  <c r="O813" i="2" a="1"/>
  <c r="O813" i="2" s="1"/>
  <c r="P813" i="2" a="1"/>
  <c r="P813" i="2" s="1"/>
  <c r="Q813" i="2" a="1"/>
  <c r="Q813" i="2" s="1"/>
  <c r="A814" i="2" a="1"/>
  <c r="A814" i="2" s="1"/>
  <c r="B814" i="2" a="1"/>
  <c r="B814" i="2" s="1"/>
  <c r="C814" i="2" a="1"/>
  <c r="C814" i="2" s="1"/>
  <c r="D814" i="2" a="1"/>
  <c r="D814" i="2" s="1"/>
  <c r="E814" i="2" a="1"/>
  <c r="E814" i="2" s="1"/>
  <c r="F814" i="2" a="1"/>
  <c r="F814" i="2" s="1"/>
  <c r="G814" i="2" a="1"/>
  <c r="G814" i="2" s="1"/>
  <c r="H814" i="2" a="1"/>
  <c r="H814" i="2" s="1"/>
  <c r="I814" i="2" a="1"/>
  <c r="I814" i="2" s="1"/>
  <c r="J814" i="2" a="1"/>
  <c r="J814" i="2" s="1"/>
  <c r="K814" i="2" a="1"/>
  <c r="K814" i="2" s="1"/>
  <c r="L814" i="2" a="1"/>
  <c r="L814" i="2" s="1"/>
  <c r="M814" i="2" a="1"/>
  <c r="M814" i="2" s="1"/>
  <c r="N814" i="2" a="1"/>
  <c r="N814" i="2" s="1"/>
  <c r="O814" i="2" a="1"/>
  <c r="O814" i="2" s="1"/>
  <c r="P814" i="2" a="1"/>
  <c r="P814" i="2" s="1"/>
  <c r="Q814" i="2" a="1"/>
  <c r="Q814" i="2" s="1"/>
  <c r="A815" i="2" a="1"/>
  <c r="A815" i="2" s="1"/>
  <c r="B815" i="2" a="1"/>
  <c r="B815" i="2" s="1"/>
  <c r="C815" i="2" a="1"/>
  <c r="C815" i="2" s="1"/>
  <c r="D815" i="2" a="1"/>
  <c r="D815" i="2" s="1"/>
  <c r="E815" i="2" a="1"/>
  <c r="E815" i="2" s="1"/>
  <c r="F815" i="2" a="1"/>
  <c r="F815" i="2" s="1"/>
  <c r="G815" i="2" a="1"/>
  <c r="G815" i="2" s="1"/>
  <c r="H815" i="2" a="1"/>
  <c r="H815" i="2" s="1"/>
  <c r="I815" i="2" a="1"/>
  <c r="I815" i="2" s="1"/>
  <c r="J815" i="2" a="1"/>
  <c r="J815" i="2" s="1"/>
  <c r="K815" i="2" a="1"/>
  <c r="K815" i="2" s="1"/>
  <c r="L815" i="2" a="1"/>
  <c r="L815" i="2" s="1"/>
  <c r="M815" i="2" a="1"/>
  <c r="M815" i="2" s="1"/>
  <c r="N815" i="2" a="1"/>
  <c r="N815" i="2" s="1"/>
  <c r="O815" i="2" a="1"/>
  <c r="O815" i="2" s="1"/>
  <c r="P815" i="2" a="1"/>
  <c r="P815" i="2" s="1"/>
  <c r="Q815" i="2" a="1"/>
  <c r="Q815" i="2" s="1"/>
  <c r="A816" i="2" a="1"/>
  <c r="A816" i="2" s="1"/>
  <c r="B816" i="2" a="1"/>
  <c r="B816" i="2" s="1"/>
  <c r="C816" i="2" a="1"/>
  <c r="C816" i="2" s="1"/>
  <c r="D816" i="2" a="1"/>
  <c r="D816" i="2" s="1"/>
  <c r="E816" i="2" a="1"/>
  <c r="E816" i="2" s="1"/>
  <c r="F816" i="2" a="1"/>
  <c r="F816" i="2" s="1"/>
  <c r="G816" i="2" a="1"/>
  <c r="G816" i="2" s="1"/>
  <c r="H816" i="2" a="1"/>
  <c r="H816" i="2" s="1"/>
  <c r="I816" i="2" a="1"/>
  <c r="I816" i="2" s="1"/>
  <c r="J816" i="2" a="1"/>
  <c r="J816" i="2" s="1"/>
  <c r="K816" i="2" a="1"/>
  <c r="K816" i="2" s="1"/>
  <c r="L816" i="2" a="1"/>
  <c r="L816" i="2" s="1"/>
  <c r="M816" i="2" a="1"/>
  <c r="M816" i="2" s="1"/>
  <c r="N816" i="2" a="1"/>
  <c r="N816" i="2" s="1"/>
  <c r="O816" i="2" a="1"/>
  <c r="O816" i="2" s="1"/>
  <c r="P816" i="2" a="1"/>
  <c r="P816" i="2" s="1"/>
  <c r="Q816" i="2" a="1"/>
  <c r="Q816" i="2" s="1"/>
  <c r="A817" i="2" a="1"/>
  <c r="A817" i="2" s="1"/>
  <c r="B817" i="2" a="1"/>
  <c r="B817" i="2" s="1"/>
  <c r="C817" i="2" a="1"/>
  <c r="C817" i="2" s="1"/>
  <c r="D817" i="2" a="1"/>
  <c r="D817" i="2" s="1"/>
  <c r="E817" i="2" a="1"/>
  <c r="E817" i="2" s="1"/>
  <c r="F817" i="2" a="1"/>
  <c r="F817" i="2" s="1"/>
  <c r="G817" i="2" a="1"/>
  <c r="G817" i="2" s="1"/>
  <c r="H817" i="2" a="1"/>
  <c r="H817" i="2" s="1"/>
  <c r="I817" i="2" a="1"/>
  <c r="I817" i="2" s="1"/>
  <c r="J817" i="2" a="1"/>
  <c r="J817" i="2" s="1"/>
  <c r="K817" i="2" a="1"/>
  <c r="K817" i="2" s="1"/>
  <c r="L817" i="2" a="1"/>
  <c r="L817" i="2" s="1"/>
  <c r="M817" i="2" a="1"/>
  <c r="M817" i="2" s="1"/>
  <c r="N817" i="2" a="1"/>
  <c r="N817" i="2" s="1"/>
  <c r="O817" i="2" a="1"/>
  <c r="O817" i="2" s="1"/>
  <c r="P817" i="2" a="1"/>
  <c r="P817" i="2" s="1"/>
  <c r="Q817" i="2" a="1"/>
  <c r="Q817" i="2" s="1"/>
  <c r="A818" i="2" a="1"/>
  <c r="A818" i="2" s="1"/>
  <c r="B818" i="2" a="1"/>
  <c r="B818" i="2" s="1"/>
  <c r="C818" i="2" a="1"/>
  <c r="C818" i="2" s="1"/>
  <c r="D818" i="2" a="1"/>
  <c r="D818" i="2" s="1"/>
  <c r="E818" i="2" a="1"/>
  <c r="E818" i="2" s="1"/>
  <c r="F818" i="2" a="1"/>
  <c r="F818" i="2" s="1"/>
  <c r="G818" i="2" a="1"/>
  <c r="G818" i="2" s="1"/>
  <c r="H818" i="2" a="1"/>
  <c r="H818" i="2" s="1"/>
  <c r="I818" i="2" a="1"/>
  <c r="I818" i="2" s="1"/>
  <c r="J818" i="2" a="1"/>
  <c r="J818" i="2" s="1"/>
  <c r="K818" i="2" a="1"/>
  <c r="K818" i="2" s="1"/>
  <c r="L818" i="2" a="1"/>
  <c r="L818" i="2" s="1"/>
  <c r="M818" i="2" a="1"/>
  <c r="M818" i="2" s="1"/>
  <c r="N818" i="2" a="1"/>
  <c r="N818" i="2" s="1"/>
  <c r="O818" i="2" a="1"/>
  <c r="O818" i="2" s="1"/>
  <c r="P818" i="2" a="1"/>
  <c r="P818" i="2" s="1"/>
  <c r="Q818" i="2" a="1"/>
  <c r="Q818" i="2" s="1"/>
  <c r="A819" i="2" a="1"/>
  <c r="A819" i="2" s="1"/>
  <c r="B819" i="2" a="1"/>
  <c r="B819" i="2" s="1"/>
  <c r="C819" i="2" a="1"/>
  <c r="C819" i="2" s="1"/>
  <c r="D819" i="2" a="1"/>
  <c r="D819" i="2" s="1"/>
  <c r="E819" i="2" a="1"/>
  <c r="E819" i="2" s="1"/>
  <c r="F819" i="2" a="1"/>
  <c r="F819" i="2" s="1"/>
  <c r="G819" i="2" a="1"/>
  <c r="G819" i="2" s="1"/>
  <c r="H819" i="2" a="1"/>
  <c r="H819" i="2" s="1"/>
  <c r="I819" i="2" a="1"/>
  <c r="I819" i="2" s="1"/>
  <c r="J819" i="2" a="1"/>
  <c r="J819" i="2" s="1"/>
  <c r="K819" i="2" a="1"/>
  <c r="K819" i="2" s="1"/>
  <c r="L819" i="2" a="1"/>
  <c r="L819" i="2" s="1"/>
  <c r="M819" i="2" a="1"/>
  <c r="M819" i="2" s="1"/>
  <c r="N819" i="2" a="1"/>
  <c r="N819" i="2" s="1"/>
  <c r="O819" i="2" a="1"/>
  <c r="O819" i="2" s="1"/>
  <c r="P819" i="2" a="1"/>
  <c r="P819" i="2" s="1"/>
  <c r="Q819" i="2" a="1"/>
  <c r="Q819" i="2" s="1"/>
  <c r="A820" i="2" a="1"/>
  <c r="A820" i="2" s="1"/>
  <c r="B820" i="2" a="1"/>
  <c r="B820" i="2" s="1"/>
  <c r="C820" i="2" a="1"/>
  <c r="C820" i="2" s="1"/>
  <c r="D820" i="2" a="1"/>
  <c r="D820" i="2" s="1"/>
  <c r="E820" i="2" a="1"/>
  <c r="E820" i="2" s="1"/>
  <c r="F820" i="2" a="1"/>
  <c r="F820" i="2" s="1"/>
  <c r="G820" i="2" a="1"/>
  <c r="G820" i="2" s="1"/>
  <c r="H820" i="2" a="1"/>
  <c r="H820" i="2" s="1"/>
  <c r="I820" i="2" a="1"/>
  <c r="I820" i="2" s="1"/>
  <c r="J820" i="2" a="1"/>
  <c r="J820" i="2" s="1"/>
  <c r="K820" i="2" a="1"/>
  <c r="K820" i="2" s="1"/>
  <c r="L820" i="2" a="1"/>
  <c r="L820" i="2" s="1"/>
  <c r="M820" i="2" a="1"/>
  <c r="M820" i="2" s="1"/>
  <c r="N820" i="2" a="1"/>
  <c r="N820" i="2" s="1"/>
  <c r="O820" i="2" a="1"/>
  <c r="O820" i="2" s="1"/>
  <c r="P820" i="2" a="1"/>
  <c r="P820" i="2" s="1"/>
  <c r="Q820" i="2" a="1"/>
  <c r="Q820" i="2" s="1"/>
  <c r="A821" i="2" a="1"/>
  <c r="A821" i="2" s="1"/>
  <c r="B821" i="2" a="1"/>
  <c r="B821" i="2" s="1"/>
  <c r="C821" i="2" a="1"/>
  <c r="C821" i="2" s="1"/>
  <c r="D821" i="2" a="1"/>
  <c r="D821" i="2" s="1"/>
  <c r="E821" i="2" a="1"/>
  <c r="E821" i="2" s="1"/>
  <c r="F821" i="2" a="1"/>
  <c r="F821" i="2" s="1"/>
  <c r="G821" i="2" a="1"/>
  <c r="G821" i="2" s="1"/>
  <c r="H821" i="2" a="1"/>
  <c r="H821" i="2" s="1"/>
  <c r="I821" i="2" a="1"/>
  <c r="I821" i="2" s="1"/>
  <c r="J821" i="2" a="1"/>
  <c r="J821" i="2" s="1"/>
  <c r="K821" i="2" a="1"/>
  <c r="K821" i="2" s="1"/>
  <c r="L821" i="2" a="1"/>
  <c r="L821" i="2" s="1"/>
  <c r="M821" i="2" a="1"/>
  <c r="M821" i="2" s="1"/>
  <c r="N821" i="2" a="1"/>
  <c r="N821" i="2" s="1"/>
  <c r="O821" i="2" a="1"/>
  <c r="O821" i="2" s="1"/>
  <c r="P821" i="2" a="1"/>
  <c r="P821" i="2" s="1"/>
  <c r="Q821" i="2" a="1"/>
  <c r="Q821" i="2" s="1"/>
  <c r="A822" i="2" a="1"/>
  <c r="A822" i="2" s="1"/>
  <c r="B822" i="2" a="1"/>
  <c r="B822" i="2" s="1"/>
  <c r="C822" i="2" a="1"/>
  <c r="C822" i="2" s="1"/>
  <c r="D822" i="2" a="1"/>
  <c r="D822" i="2" s="1"/>
  <c r="E822" i="2" a="1"/>
  <c r="E822" i="2" s="1"/>
  <c r="F822" i="2" a="1"/>
  <c r="F822" i="2" s="1"/>
  <c r="G822" i="2" a="1"/>
  <c r="G822" i="2" s="1"/>
  <c r="H822" i="2" a="1"/>
  <c r="H822" i="2" s="1"/>
  <c r="I822" i="2" a="1"/>
  <c r="I822" i="2" s="1"/>
  <c r="J822" i="2" a="1"/>
  <c r="J822" i="2" s="1"/>
  <c r="K822" i="2" a="1"/>
  <c r="K822" i="2" s="1"/>
  <c r="L822" i="2" a="1"/>
  <c r="L822" i="2" s="1"/>
  <c r="M822" i="2" a="1"/>
  <c r="M822" i="2" s="1"/>
  <c r="N822" i="2" a="1"/>
  <c r="N822" i="2" s="1"/>
  <c r="O822" i="2" a="1"/>
  <c r="O822" i="2" s="1"/>
  <c r="P822" i="2" a="1"/>
  <c r="P822" i="2" s="1"/>
  <c r="Q822" i="2" a="1"/>
  <c r="Q822" i="2" s="1"/>
  <c r="A823" i="2" a="1"/>
  <c r="A823" i="2" s="1"/>
  <c r="B823" i="2" a="1"/>
  <c r="B823" i="2" s="1"/>
  <c r="C823" i="2" a="1"/>
  <c r="C823" i="2" s="1"/>
  <c r="D823" i="2" a="1"/>
  <c r="D823" i="2" s="1"/>
  <c r="E823" i="2" a="1"/>
  <c r="E823" i="2" s="1"/>
  <c r="F823" i="2" a="1"/>
  <c r="F823" i="2" s="1"/>
  <c r="G823" i="2" a="1"/>
  <c r="G823" i="2" s="1"/>
  <c r="H823" i="2" a="1"/>
  <c r="H823" i="2" s="1"/>
  <c r="I823" i="2" a="1"/>
  <c r="I823" i="2" s="1"/>
  <c r="J823" i="2" a="1"/>
  <c r="J823" i="2" s="1"/>
  <c r="K823" i="2" a="1"/>
  <c r="K823" i="2" s="1"/>
  <c r="L823" i="2" a="1"/>
  <c r="L823" i="2" s="1"/>
  <c r="M823" i="2" a="1"/>
  <c r="M823" i="2" s="1"/>
  <c r="N823" i="2" a="1"/>
  <c r="N823" i="2" s="1"/>
  <c r="O823" i="2" a="1"/>
  <c r="O823" i="2" s="1"/>
  <c r="P823" i="2" a="1"/>
  <c r="P823" i="2" s="1"/>
  <c r="Q823" i="2" a="1"/>
  <c r="Q823" i="2" s="1"/>
  <c r="A824" i="2" a="1"/>
  <c r="A824" i="2" s="1"/>
  <c r="B824" i="2" a="1"/>
  <c r="B824" i="2" s="1"/>
  <c r="C824" i="2" a="1"/>
  <c r="C824" i="2" s="1"/>
  <c r="D824" i="2" a="1"/>
  <c r="D824" i="2" s="1"/>
  <c r="E824" i="2" a="1"/>
  <c r="E824" i="2" s="1"/>
  <c r="F824" i="2" a="1"/>
  <c r="F824" i="2" s="1"/>
  <c r="G824" i="2" a="1"/>
  <c r="G824" i="2" s="1"/>
  <c r="H824" i="2" a="1"/>
  <c r="H824" i="2" s="1"/>
  <c r="I824" i="2" a="1"/>
  <c r="I824" i="2" s="1"/>
  <c r="J824" i="2" a="1"/>
  <c r="J824" i="2" s="1"/>
  <c r="K824" i="2" a="1"/>
  <c r="K824" i="2" s="1"/>
  <c r="L824" i="2" a="1"/>
  <c r="L824" i="2" s="1"/>
  <c r="M824" i="2" a="1"/>
  <c r="M824" i="2" s="1"/>
  <c r="N824" i="2" a="1"/>
  <c r="N824" i="2" s="1"/>
  <c r="O824" i="2" a="1"/>
  <c r="O824" i="2" s="1"/>
  <c r="P824" i="2" a="1"/>
  <c r="P824" i="2" s="1"/>
  <c r="Q824" i="2" a="1"/>
  <c r="Q824" i="2" s="1"/>
  <c r="A825" i="2" a="1"/>
  <c r="A825" i="2" s="1"/>
  <c r="B825" i="2" a="1"/>
  <c r="B825" i="2" s="1"/>
  <c r="C825" i="2" a="1"/>
  <c r="C825" i="2" s="1"/>
  <c r="D825" i="2" a="1"/>
  <c r="D825" i="2" s="1"/>
  <c r="E825" i="2" a="1"/>
  <c r="E825" i="2" s="1"/>
  <c r="F825" i="2" a="1"/>
  <c r="F825" i="2" s="1"/>
  <c r="G825" i="2" a="1"/>
  <c r="G825" i="2" s="1"/>
  <c r="H825" i="2" a="1"/>
  <c r="H825" i="2" s="1"/>
  <c r="I825" i="2" a="1"/>
  <c r="I825" i="2" s="1"/>
  <c r="J825" i="2" a="1"/>
  <c r="J825" i="2" s="1"/>
  <c r="K825" i="2" a="1"/>
  <c r="K825" i="2" s="1"/>
  <c r="L825" i="2" a="1"/>
  <c r="L825" i="2" s="1"/>
  <c r="M825" i="2" a="1"/>
  <c r="M825" i="2" s="1"/>
  <c r="N825" i="2" a="1"/>
  <c r="N825" i="2" s="1"/>
  <c r="O825" i="2" a="1"/>
  <c r="O825" i="2" s="1"/>
  <c r="P825" i="2" a="1"/>
  <c r="P825" i="2" s="1"/>
  <c r="Q825" i="2" a="1"/>
  <c r="Q825" i="2" s="1"/>
  <c r="A826" i="2" a="1"/>
  <c r="A826" i="2" s="1"/>
  <c r="B826" i="2" a="1"/>
  <c r="B826" i="2" s="1"/>
  <c r="C826" i="2" a="1"/>
  <c r="C826" i="2" s="1"/>
  <c r="D826" i="2" a="1"/>
  <c r="D826" i="2" s="1"/>
  <c r="E826" i="2" a="1"/>
  <c r="E826" i="2" s="1"/>
  <c r="F826" i="2" a="1"/>
  <c r="F826" i="2" s="1"/>
  <c r="G826" i="2" a="1"/>
  <c r="G826" i="2" s="1"/>
  <c r="H826" i="2" a="1"/>
  <c r="H826" i="2" s="1"/>
  <c r="I826" i="2" a="1"/>
  <c r="I826" i="2" s="1"/>
  <c r="J826" i="2" a="1"/>
  <c r="J826" i="2" s="1"/>
  <c r="K826" i="2" a="1"/>
  <c r="K826" i="2" s="1"/>
  <c r="L826" i="2" a="1"/>
  <c r="L826" i="2" s="1"/>
  <c r="M826" i="2" a="1"/>
  <c r="M826" i="2" s="1"/>
  <c r="N826" i="2" a="1"/>
  <c r="N826" i="2" s="1"/>
  <c r="O826" i="2" a="1"/>
  <c r="O826" i="2" s="1"/>
  <c r="P826" i="2" a="1"/>
  <c r="P826" i="2" s="1"/>
  <c r="Q826" i="2" a="1"/>
  <c r="Q826" i="2" s="1"/>
  <c r="A827" i="2" a="1"/>
  <c r="A827" i="2" s="1"/>
  <c r="B827" i="2" a="1"/>
  <c r="B827" i="2" s="1"/>
  <c r="C827" i="2" a="1"/>
  <c r="C827" i="2" s="1"/>
  <c r="D827" i="2" a="1"/>
  <c r="D827" i="2" s="1"/>
  <c r="E827" i="2" a="1"/>
  <c r="E827" i="2" s="1"/>
  <c r="F827" i="2" a="1"/>
  <c r="F827" i="2" s="1"/>
  <c r="G827" i="2" a="1"/>
  <c r="G827" i="2" s="1"/>
  <c r="H827" i="2" a="1"/>
  <c r="H827" i="2" s="1"/>
  <c r="I827" i="2" a="1"/>
  <c r="I827" i="2" s="1"/>
  <c r="J827" i="2" a="1"/>
  <c r="J827" i="2" s="1"/>
  <c r="K827" i="2" a="1"/>
  <c r="K827" i="2" s="1"/>
  <c r="L827" i="2" a="1"/>
  <c r="L827" i="2" s="1"/>
  <c r="M827" i="2" a="1"/>
  <c r="M827" i="2" s="1"/>
  <c r="N827" i="2" a="1"/>
  <c r="N827" i="2" s="1"/>
  <c r="O827" i="2" a="1"/>
  <c r="O827" i="2" s="1"/>
  <c r="P827" i="2" a="1"/>
  <c r="P827" i="2" s="1"/>
  <c r="Q827" i="2" a="1"/>
  <c r="Q827" i="2" s="1"/>
  <c r="A828" i="2" a="1"/>
  <c r="A828" i="2" s="1"/>
  <c r="B828" i="2" a="1"/>
  <c r="B828" i="2" s="1"/>
  <c r="C828" i="2" a="1"/>
  <c r="C828" i="2" s="1"/>
  <c r="D828" i="2" a="1"/>
  <c r="D828" i="2" s="1"/>
  <c r="E828" i="2" a="1"/>
  <c r="E828" i="2" s="1"/>
  <c r="F828" i="2" a="1"/>
  <c r="F828" i="2" s="1"/>
  <c r="G828" i="2" a="1"/>
  <c r="G828" i="2" s="1"/>
  <c r="H828" i="2" a="1"/>
  <c r="H828" i="2" s="1"/>
  <c r="I828" i="2" a="1"/>
  <c r="I828" i="2" s="1"/>
  <c r="J828" i="2" a="1"/>
  <c r="J828" i="2" s="1"/>
  <c r="K828" i="2" a="1"/>
  <c r="K828" i="2" s="1"/>
  <c r="L828" i="2" a="1"/>
  <c r="L828" i="2" s="1"/>
  <c r="M828" i="2" a="1"/>
  <c r="M828" i="2" s="1"/>
  <c r="N828" i="2" a="1"/>
  <c r="N828" i="2" s="1"/>
  <c r="O828" i="2" a="1"/>
  <c r="O828" i="2" s="1"/>
  <c r="P828" i="2" a="1"/>
  <c r="P828" i="2" s="1"/>
  <c r="Q828" i="2" a="1"/>
  <c r="Q828" i="2" s="1"/>
  <c r="A829" i="2" a="1"/>
  <c r="A829" i="2" s="1"/>
  <c r="B829" i="2" a="1"/>
  <c r="B829" i="2" s="1"/>
  <c r="C829" i="2" a="1"/>
  <c r="C829" i="2" s="1"/>
  <c r="D829" i="2" a="1"/>
  <c r="D829" i="2" s="1"/>
  <c r="E829" i="2" a="1"/>
  <c r="E829" i="2" s="1"/>
  <c r="F829" i="2" a="1"/>
  <c r="F829" i="2" s="1"/>
  <c r="G829" i="2" a="1"/>
  <c r="G829" i="2" s="1"/>
  <c r="H829" i="2" a="1"/>
  <c r="H829" i="2" s="1"/>
  <c r="I829" i="2" a="1"/>
  <c r="I829" i="2" s="1"/>
  <c r="J829" i="2" a="1"/>
  <c r="J829" i="2" s="1"/>
  <c r="K829" i="2" a="1"/>
  <c r="K829" i="2" s="1"/>
  <c r="L829" i="2" a="1"/>
  <c r="L829" i="2" s="1"/>
  <c r="M829" i="2" a="1"/>
  <c r="M829" i="2" s="1"/>
  <c r="N829" i="2" a="1"/>
  <c r="N829" i="2" s="1"/>
  <c r="O829" i="2" a="1"/>
  <c r="O829" i="2" s="1"/>
  <c r="P829" i="2" a="1"/>
  <c r="P829" i="2" s="1"/>
  <c r="Q829" i="2" a="1"/>
  <c r="Q829" i="2" s="1"/>
  <c r="A830" i="2" a="1"/>
  <c r="A830" i="2" s="1"/>
  <c r="B830" i="2" a="1"/>
  <c r="B830" i="2" s="1"/>
  <c r="C830" i="2" a="1"/>
  <c r="C830" i="2" s="1"/>
  <c r="D830" i="2" a="1"/>
  <c r="D830" i="2" s="1"/>
  <c r="E830" i="2" a="1"/>
  <c r="E830" i="2" s="1"/>
  <c r="F830" i="2" a="1"/>
  <c r="F830" i="2" s="1"/>
  <c r="G830" i="2" a="1"/>
  <c r="G830" i="2" s="1"/>
  <c r="H830" i="2" a="1"/>
  <c r="H830" i="2" s="1"/>
  <c r="I830" i="2" a="1"/>
  <c r="I830" i="2" s="1"/>
  <c r="J830" i="2" a="1"/>
  <c r="J830" i="2" s="1"/>
  <c r="K830" i="2" a="1"/>
  <c r="K830" i="2" s="1"/>
  <c r="L830" i="2" a="1"/>
  <c r="L830" i="2" s="1"/>
  <c r="M830" i="2" a="1"/>
  <c r="M830" i="2" s="1"/>
  <c r="N830" i="2" a="1"/>
  <c r="N830" i="2" s="1"/>
  <c r="O830" i="2" a="1"/>
  <c r="O830" i="2" s="1"/>
  <c r="P830" i="2" a="1"/>
  <c r="P830" i="2" s="1"/>
  <c r="Q830" i="2" a="1"/>
  <c r="Q830" i="2" s="1"/>
  <c r="A831" i="2" a="1"/>
  <c r="A831" i="2" s="1"/>
  <c r="B831" i="2" a="1"/>
  <c r="B831" i="2" s="1"/>
  <c r="C831" i="2" a="1"/>
  <c r="C831" i="2" s="1"/>
  <c r="D831" i="2" a="1"/>
  <c r="D831" i="2" s="1"/>
  <c r="E831" i="2" a="1"/>
  <c r="E831" i="2" s="1"/>
  <c r="F831" i="2" a="1"/>
  <c r="F831" i="2" s="1"/>
  <c r="G831" i="2" a="1"/>
  <c r="G831" i="2" s="1"/>
  <c r="H831" i="2" a="1"/>
  <c r="H831" i="2" s="1"/>
  <c r="I831" i="2" a="1"/>
  <c r="I831" i="2" s="1"/>
  <c r="J831" i="2" a="1"/>
  <c r="J831" i="2" s="1"/>
  <c r="K831" i="2" a="1"/>
  <c r="K831" i="2" s="1"/>
  <c r="L831" i="2" a="1"/>
  <c r="L831" i="2" s="1"/>
  <c r="M831" i="2" a="1"/>
  <c r="M831" i="2" s="1"/>
  <c r="N831" i="2" a="1"/>
  <c r="N831" i="2" s="1"/>
  <c r="O831" i="2" a="1"/>
  <c r="O831" i="2" s="1"/>
  <c r="P831" i="2" a="1"/>
  <c r="P831" i="2" s="1"/>
  <c r="Q831" i="2" a="1"/>
  <c r="Q831" i="2" s="1"/>
  <c r="A832" i="2" a="1"/>
  <c r="A832" i="2" s="1"/>
  <c r="B832" i="2" a="1"/>
  <c r="B832" i="2" s="1"/>
  <c r="C832" i="2" a="1"/>
  <c r="C832" i="2" s="1"/>
  <c r="D832" i="2" a="1"/>
  <c r="D832" i="2" s="1"/>
  <c r="E832" i="2" a="1"/>
  <c r="E832" i="2" s="1"/>
  <c r="F832" i="2" a="1"/>
  <c r="F832" i="2" s="1"/>
  <c r="G832" i="2" a="1"/>
  <c r="G832" i="2" s="1"/>
  <c r="H832" i="2" a="1"/>
  <c r="H832" i="2" s="1"/>
  <c r="I832" i="2" a="1"/>
  <c r="I832" i="2" s="1"/>
  <c r="J832" i="2" a="1"/>
  <c r="J832" i="2" s="1"/>
  <c r="K832" i="2" a="1"/>
  <c r="K832" i="2" s="1"/>
  <c r="L832" i="2" a="1"/>
  <c r="L832" i="2" s="1"/>
  <c r="M832" i="2" a="1"/>
  <c r="M832" i="2" s="1"/>
  <c r="N832" i="2" a="1"/>
  <c r="N832" i="2" s="1"/>
  <c r="O832" i="2" a="1"/>
  <c r="O832" i="2" s="1"/>
  <c r="P832" i="2" a="1"/>
  <c r="P832" i="2" s="1"/>
  <c r="Q832" i="2" a="1"/>
  <c r="Q832" i="2" s="1"/>
  <c r="A833" i="2" a="1"/>
  <c r="A833" i="2" s="1"/>
  <c r="B833" i="2" a="1"/>
  <c r="B833" i="2" s="1"/>
  <c r="C833" i="2" a="1"/>
  <c r="C833" i="2" s="1"/>
  <c r="D833" i="2" a="1"/>
  <c r="D833" i="2" s="1"/>
  <c r="E833" i="2" a="1"/>
  <c r="E833" i="2" s="1"/>
  <c r="F833" i="2" a="1"/>
  <c r="F833" i="2" s="1"/>
  <c r="G833" i="2" a="1"/>
  <c r="G833" i="2" s="1"/>
  <c r="H833" i="2" a="1"/>
  <c r="H833" i="2" s="1"/>
  <c r="I833" i="2" a="1"/>
  <c r="I833" i="2" s="1"/>
  <c r="J833" i="2" a="1"/>
  <c r="J833" i="2" s="1"/>
  <c r="K833" i="2" a="1"/>
  <c r="K833" i="2" s="1"/>
  <c r="L833" i="2" a="1"/>
  <c r="L833" i="2" s="1"/>
  <c r="M833" i="2" a="1"/>
  <c r="M833" i="2" s="1"/>
  <c r="N833" i="2" a="1"/>
  <c r="N833" i="2" s="1"/>
  <c r="O833" i="2" a="1"/>
  <c r="O833" i="2" s="1"/>
  <c r="P833" i="2" a="1"/>
  <c r="P833" i="2" s="1"/>
  <c r="Q833" i="2" a="1"/>
  <c r="Q833" i="2" s="1"/>
  <c r="A834" i="2" a="1"/>
  <c r="A834" i="2" s="1"/>
  <c r="B834" i="2" a="1"/>
  <c r="B834" i="2" s="1"/>
  <c r="C834" i="2" a="1"/>
  <c r="C834" i="2" s="1"/>
  <c r="D834" i="2" a="1"/>
  <c r="D834" i="2" s="1"/>
  <c r="E834" i="2" a="1"/>
  <c r="E834" i="2" s="1"/>
  <c r="F834" i="2" a="1"/>
  <c r="F834" i="2" s="1"/>
  <c r="G834" i="2" a="1"/>
  <c r="G834" i="2" s="1"/>
  <c r="H834" i="2" a="1"/>
  <c r="H834" i="2" s="1"/>
  <c r="I834" i="2" a="1"/>
  <c r="I834" i="2" s="1"/>
  <c r="J834" i="2" a="1"/>
  <c r="J834" i="2" s="1"/>
  <c r="K834" i="2" a="1"/>
  <c r="K834" i="2" s="1"/>
  <c r="L834" i="2" a="1"/>
  <c r="L834" i="2" s="1"/>
  <c r="M834" i="2" a="1"/>
  <c r="M834" i="2" s="1"/>
  <c r="N834" i="2" a="1"/>
  <c r="N834" i="2" s="1"/>
  <c r="O834" i="2" a="1"/>
  <c r="O834" i="2" s="1"/>
  <c r="P834" i="2" a="1"/>
  <c r="P834" i="2" s="1"/>
  <c r="Q834" i="2" a="1"/>
  <c r="Q834" i="2" s="1"/>
  <c r="A835" i="2" a="1"/>
  <c r="A835" i="2" s="1"/>
  <c r="B835" i="2" a="1"/>
  <c r="B835" i="2" s="1"/>
  <c r="C835" i="2" a="1"/>
  <c r="C835" i="2" s="1"/>
  <c r="D835" i="2" a="1"/>
  <c r="D835" i="2" s="1"/>
  <c r="E835" i="2" a="1"/>
  <c r="E835" i="2" s="1"/>
  <c r="F835" i="2" a="1"/>
  <c r="F835" i="2" s="1"/>
  <c r="G835" i="2" a="1"/>
  <c r="G835" i="2" s="1"/>
  <c r="H835" i="2" a="1"/>
  <c r="H835" i="2" s="1"/>
  <c r="I835" i="2" a="1"/>
  <c r="I835" i="2" s="1"/>
  <c r="J835" i="2" a="1"/>
  <c r="J835" i="2" s="1"/>
  <c r="K835" i="2" a="1"/>
  <c r="K835" i="2" s="1"/>
  <c r="L835" i="2" a="1"/>
  <c r="L835" i="2" s="1"/>
  <c r="M835" i="2" a="1"/>
  <c r="M835" i="2" s="1"/>
  <c r="N835" i="2" a="1"/>
  <c r="N835" i="2" s="1"/>
  <c r="O835" i="2" a="1"/>
  <c r="O835" i="2" s="1"/>
  <c r="P835" i="2" a="1"/>
  <c r="P835" i="2" s="1"/>
  <c r="Q835" i="2" a="1"/>
  <c r="Q835" i="2" s="1"/>
  <c r="A836" i="2" a="1"/>
  <c r="A836" i="2" s="1"/>
  <c r="B836" i="2" a="1"/>
  <c r="B836" i="2" s="1"/>
  <c r="C836" i="2" a="1"/>
  <c r="C836" i="2" s="1"/>
  <c r="D836" i="2" a="1"/>
  <c r="D836" i="2" s="1"/>
  <c r="E836" i="2" a="1"/>
  <c r="E836" i="2" s="1"/>
  <c r="F836" i="2" a="1"/>
  <c r="F836" i="2" s="1"/>
  <c r="G836" i="2" a="1"/>
  <c r="G836" i="2" s="1"/>
  <c r="H836" i="2" a="1"/>
  <c r="H836" i="2" s="1"/>
  <c r="I836" i="2" a="1"/>
  <c r="I836" i="2" s="1"/>
  <c r="J836" i="2" a="1"/>
  <c r="J836" i="2" s="1"/>
  <c r="K836" i="2" a="1"/>
  <c r="K836" i="2" s="1"/>
  <c r="L836" i="2" a="1"/>
  <c r="L836" i="2" s="1"/>
  <c r="M836" i="2" a="1"/>
  <c r="M836" i="2" s="1"/>
  <c r="N836" i="2" a="1"/>
  <c r="N836" i="2" s="1"/>
  <c r="O836" i="2" a="1"/>
  <c r="O836" i="2" s="1"/>
  <c r="P836" i="2" a="1"/>
  <c r="P836" i="2" s="1"/>
  <c r="Q836" i="2" a="1"/>
  <c r="Q836" i="2" s="1"/>
  <c r="A837" i="2" a="1"/>
  <c r="A837" i="2" s="1"/>
  <c r="B837" i="2" a="1"/>
  <c r="B837" i="2" s="1"/>
  <c r="C837" i="2" a="1"/>
  <c r="C837" i="2" s="1"/>
  <c r="D837" i="2" a="1"/>
  <c r="D837" i="2" s="1"/>
  <c r="E837" i="2" a="1"/>
  <c r="E837" i="2" s="1"/>
  <c r="F837" i="2" a="1"/>
  <c r="F837" i="2" s="1"/>
  <c r="G837" i="2" a="1"/>
  <c r="G837" i="2" s="1"/>
  <c r="H837" i="2" a="1"/>
  <c r="H837" i="2" s="1"/>
  <c r="I837" i="2" a="1"/>
  <c r="I837" i="2" s="1"/>
  <c r="J837" i="2" a="1"/>
  <c r="J837" i="2" s="1"/>
  <c r="K837" i="2" a="1"/>
  <c r="K837" i="2" s="1"/>
  <c r="L837" i="2" a="1"/>
  <c r="L837" i="2" s="1"/>
  <c r="M837" i="2" a="1"/>
  <c r="M837" i="2" s="1"/>
  <c r="N837" i="2" a="1"/>
  <c r="N837" i="2" s="1"/>
  <c r="O837" i="2" a="1"/>
  <c r="O837" i="2" s="1"/>
  <c r="P837" i="2" a="1"/>
  <c r="P837" i="2" s="1"/>
  <c r="Q837" i="2" a="1"/>
  <c r="Q837" i="2" s="1"/>
  <c r="A838" i="2" a="1"/>
  <c r="A838" i="2" s="1"/>
  <c r="B838" i="2" a="1"/>
  <c r="B838" i="2" s="1"/>
  <c r="C838" i="2" a="1"/>
  <c r="C838" i="2" s="1"/>
  <c r="D838" i="2" a="1"/>
  <c r="D838" i="2" s="1"/>
  <c r="E838" i="2" a="1"/>
  <c r="E838" i="2" s="1"/>
  <c r="F838" i="2" a="1"/>
  <c r="F838" i="2" s="1"/>
  <c r="G838" i="2" a="1"/>
  <c r="G838" i="2" s="1"/>
  <c r="H838" i="2" a="1"/>
  <c r="H838" i="2" s="1"/>
  <c r="I838" i="2" a="1"/>
  <c r="I838" i="2" s="1"/>
  <c r="J838" i="2" a="1"/>
  <c r="J838" i="2" s="1"/>
  <c r="K838" i="2" a="1"/>
  <c r="K838" i="2" s="1"/>
  <c r="L838" i="2" a="1"/>
  <c r="L838" i="2" s="1"/>
  <c r="M838" i="2" a="1"/>
  <c r="M838" i="2" s="1"/>
  <c r="N838" i="2" a="1"/>
  <c r="N838" i="2" s="1"/>
  <c r="O838" i="2" a="1"/>
  <c r="O838" i="2" s="1"/>
  <c r="P838" i="2" a="1"/>
  <c r="P838" i="2" s="1"/>
  <c r="Q838" i="2" a="1"/>
  <c r="Q838" i="2" s="1"/>
  <c r="A839" i="2" a="1"/>
  <c r="A839" i="2" s="1"/>
  <c r="B839" i="2" a="1"/>
  <c r="B839" i="2" s="1"/>
  <c r="C839" i="2" a="1"/>
  <c r="C839" i="2" s="1"/>
  <c r="D839" i="2" a="1"/>
  <c r="D839" i="2" s="1"/>
  <c r="E839" i="2" a="1"/>
  <c r="E839" i="2" s="1"/>
  <c r="F839" i="2" a="1"/>
  <c r="F839" i="2" s="1"/>
  <c r="G839" i="2" a="1"/>
  <c r="G839" i="2" s="1"/>
  <c r="H839" i="2" a="1"/>
  <c r="H839" i="2" s="1"/>
  <c r="I839" i="2" a="1"/>
  <c r="I839" i="2" s="1"/>
  <c r="J839" i="2" a="1"/>
  <c r="J839" i="2" s="1"/>
  <c r="K839" i="2" a="1"/>
  <c r="K839" i="2" s="1"/>
  <c r="L839" i="2" a="1"/>
  <c r="L839" i="2" s="1"/>
  <c r="M839" i="2" a="1"/>
  <c r="M839" i="2" s="1"/>
  <c r="N839" i="2" a="1"/>
  <c r="N839" i="2" s="1"/>
  <c r="O839" i="2" a="1"/>
  <c r="O839" i="2" s="1"/>
  <c r="P839" i="2" a="1"/>
  <c r="P839" i="2" s="1"/>
  <c r="Q839" i="2" a="1"/>
  <c r="Q839" i="2" s="1"/>
  <c r="A840" i="2" a="1"/>
  <c r="A840" i="2" s="1"/>
  <c r="B840" i="2" a="1"/>
  <c r="B840" i="2" s="1"/>
  <c r="C840" i="2" a="1"/>
  <c r="C840" i="2" s="1"/>
  <c r="D840" i="2" a="1"/>
  <c r="D840" i="2" s="1"/>
  <c r="E840" i="2" a="1"/>
  <c r="E840" i="2" s="1"/>
  <c r="F840" i="2" a="1"/>
  <c r="F840" i="2" s="1"/>
  <c r="G840" i="2" a="1"/>
  <c r="G840" i="2" s="1"/>
  <c r="H840" i="2" a="1"/>
  <c r="H840" i="2" s="1"/>
  <c r="I840" i="2" a="1"/>
  <c r="I840" i="2" s="1"/>
  <c r="J840" i="2" a="1"/>
  <c r="J840" i="2" s="1"/>
  <c r="K840" i="2" a="1"/>
  <c r="K840" i="2" s="1"/>
  <c r="L840" i="2" a="1"/>
  <c r="L840" i="2" s="1"/>
  <c r="M840" i="2" a="1"/>
  <c r="M840" i="2" s="1"/>
  <c r="N840" i="2" a="1"/>
  <c r="N840" i="2" s="1"/>
  <c r="O840" i="2" a="1"/>
  <c r="O840" i="2" s="1"/>
  <c r="P840" i="2" a="1"/>
  <c r="P840" i="2" s="1"/>
  <c r="Q840" i="2" a="1"/>
  <c r="Q840" i="2" s="1"/>
  <c r="A841" i="2" a="1"/>
  <c r="A841" i="2" s="1"/>
  <c r="B841" i="2" a="1"/>
  <c r="B841" i="2" s="1"/>
  <c r="C841" i="2" a="1"/>
  <c r="C841" i="2" s="1"/>
  <c r="D841" i="2" a="1"/>
  <c r="D841" i="2" s="1"/>
  <c r="E841" i="2" a="1"/>
  <c r="E841" i="2" s="1"/>
  <c r="F841" i="2" a="1"/>
  <c r="F841" i="2" s="1"/>
  <c r="G841" i="2" a="1"/>
  <c r="G841" i="2" s="1"/>
  <c r="H841" i="2" a="1"/>
  <c r="H841" i="2" s="1"/>
  <c r="I841" i="2" a="1"/>
  <c r="I841" i="2" s="1"/>
  <c r="J841" i="2" a="1"/>
  <c r="J841" i="2" s="1"/>
  <c r="K841" i="2" a="1"/>
  <c r="K841" i="2" s="1"/>
  <c r="L841" i="2" a="1"/>
  <c r="L841" i="2" s="1"/>
  <c r="M841" i="2" a="1"/>
  <c r="M841" i="2" s="1"/>
  <c r="N841" i="2" a="1"/>
  <c r="N841" i="2" s="1"/>
  <c r="O841" i="2" a="1"/>
  <c r="O841" i="2" s="1"/>
  <c r="P841" i="2" a="1"/>
  <c r="P841" i="2" s="1"/>
  <c r="Q841" i="2" a="1"/>
  <c r="Q841" i="2" s="1"/>
  <c r="A842" i="2" a="1"/>
  <c r="A842" i="2" s="1"/>
  <c r="B842" i="2" a="1"/>
  <c r="B842" i="2" s="1"/>
  <c r="C842" i="2" a="1"/>
  <c r="C842" i="2" s="1"/>
  <c r="D842" i="2" a="1"/>
  <c r="D842" i="2" s="1"/>
  <c r="E842" i="2" a="1"/>
  <c r="E842" i="2" s="1"/>
  <c r="F842" i="2" a="1"/>
  <c r="F842" i="2" s="1"/>
  <c r="G842" i="2" a="1"/>
  <c r="G842" i="2" s="1"/>
  <c r="H842" i="2" a="1"/>
  <c r="H842" i="2" s="1"/>
  <c r="I842" i="2" a="1"/>
  <c r="I842" i="2" s="1"/>
  <c r="J842" i="2" a="1"/>
  <c r="J842" i="2" s="1"/>
  <c r="K842" i="2" a="1"/>
  <c r="K842" i="2" s="1"/>
  <c r="L842" i="2" a="1"/>
  <c r="L842" i="2" s="1"/>
  <c r="M842" i="2" a="1"/>
  <c r="M842" i="2" s="1"/>
  <c r="N842" i="2" a="1"/>
  <c r="N842" i="2" s="1"/>
  <c r="O842" i="2" a="1"/>
  <c r="O842" i="2" s="1"/>
  <c r="P842" i="2" a="1"/>
  <c r="P842" i="2" s="1"/>
  <c r="Q842" i="2" a="1"/>
  <c r="Q842" i="2" s="1"/>
  <c r="A843" i="2" a="1"/>
  <c r="A843" i="2" s="1"/>
  <c r="B843" i="2" a="1"/>
  <c r="B843" i="2" s="1"/>
  <c r="C843" i="2" a="1"/>
  <c r="C843" i="2" s="1"/>
  <c r="D843" i="2" a="1"/>
  <c r="D843" i="2" s="1"/>
  <c r="E843" i="2" a="1"/>
  <c r="E843" i="2" s="1"/>
  <c r="F843" i="2" a="1"/>
  <c r="F843" i="2" s="1"/>
  <c r="G843" i="2" a="1"/>
  <c r="G843" i="2" s="1"/>
  <c r="H843" i="2" a="1"/>
  <c r="H843" i="2" s="1"/>
  <c r="I843" i="2" a="1"/>
  <c r="I843" i="2" s="1"/>
  <c r="J843" i="2" a="1"/>
  <c r="J843" i="2" s="1"/>
  <c r="K843" i="2" a="1"/>
  <c r="K843" i="2" s="1"/>
  <c r="L843" i="2" a="1"/>
  <c r="L843" i="2" s="1"/>
  <c r="M843" i="2" a="1"/>
  <c r="M843" i="2" s="1"/>
  <c r="N843" i="2" a="1"/>
  <c r="N843" i="2" s="1"/>
  <c r="O843" i="2" a="1"/>
  <c r="O843" i="2" s="1"/>
  <c r="P843" i="2" a="1"/>
  <c r="P843" i="2" s="1"/>
  <c r="Q843" i="2" a="1"/>
  <c r="Q843" i="2" s="1"/>
  <c r="A844" i="2" a="1"/>
  <c r="A844" i="2" s="1"/>
  <c r="B844" i="2" a="1"/>
  <c r="B844" i="2" s="1"/>
  <c r="C844" i="2" a="1"/>
  <c r="C844" i="2" s="1"/>
  <c r="D844" i="2" a="1"/>
  <c r="D844" i="2" s="1"/>
  <c r="E844" i="2" a="1"/>
  <c r="E844" i="2" s="1"/>
  <c r="F844" i="2" a="1"/>
  <c r="F844" i="2" s="1"/>
  <c r="G844" i="2" a="1"/>
  <c r="G844" i="2" s="1"/>
  <c r="H844" i="2" a="1"/>
  <c r="H844" i="2" s="1"/>
  <c r="I844" i="2" a="1"/>
  <c r="I844" i="2" s="1"/>
  <c r="J844" i="2" a="1"/>
  <c r="J844" i="2" s="1"/>
  <c r="K844" i="2" a="1"/>
  <c r="K844" i="2" s="1"/>
  <c r="L844" i="2" a="1"/>
  <c r="L844" i="2" s="1"/>
  <c r="M844" i="2" a="1"/>
  <c r="M844" i="2" s="1"/>
  <c r="N844" i="2" a="1"/>
  <c r="N844" i="2" s="1"/>
  <c r="O844" i="2" a="1"/>
  <c r="O844" i="2" s="1"/>
  <c r="P844" i="2" a="1"/>
  <c r="P844" i="2" s="1"/>
  <c r="Q844" i="2" a="1"/>
  <c r="Q844" i="2" s="1"/>
  <c r="A845" i="2" a="1"/>
  <c r="A845" i="2" s="1"/>
  <c r="B845" i="2" a="1"/>
  <c r="B845" i="2" s="1"/>
  <c r="C845" i="2" a="1"/>
  <c r="C845" i="2" s="1"/>
  <c r="D845" i="2" a="1"/>
  <c r="D845" i="2" s="1"/>
  <c r="E845" i="2" a="1"/>
  <c r="E845" i="2" s="1"/>
  <c r="F845" i="2" a="1"/>
  <c r="F845" i="2" s="1"/>
  <c r="G845" i="2" a="1"/>
  <c r="G845" i="2" s="1"/>
  <c r="H845" i="2" a="1"/>
  <c r="H845" i="2" s="1"/>
  <c r="I845" i="2" a="1"/>
  <c r="I845" i="2" s="1"/>
  <c r="J845" i="2" a="1"/>
  <c r="J845" i="2" s="1"/>
  <c r="K845" i="2" a="1"/>
  <c r="K845" i="2" s="1"/>
  <c r="L845" i="2" a="1"/>
  <c r="L845" i="2" s="1"/>
  <c r="M845" i="2" a="1"/>
  <c r="M845" i="2" s="1"/>
  <c r="N845" i="2" a="1"/>
  <c r="N845" i="2" s="1"/>
  <c r="O845" i="2" a="1"/>
  <c r="O845" i="2" s="1"/>
  <c r="P845" i="2" a="1"/>
  <c r="P845" i="2" s="1"/>
  <c r="Q845" i="2" a="1"/>
  <c r="Q845" i="2" s="1"/>
  <c r="M82" i="2" a="1"/>
  <c r="M82" i="2" s="1"/>
  <c r="G84" i="2" a="1"/>
  <c r="G84" i="2" s="1"/>
  <c r="H84" i="2" a="1"/>
  <c r="H84" i="2" s="1"/>
  <c r="N84" i="2" a="1"/>
  <c r="N84" i="2" s="1"/>
  <c r="B85" i="2" a="1"/>
  <c r="B85" i="2" s="1"/>
  <c r="E85" i="2" a="1"/>
  <c r="E85" i="2" s="1"/>
  <c r="H85" i="2" a="1"/>
  <c r="H85" i="2" s="1"/>
  <c r="G86" i="2" a="1"/>
  <c r="G86" i="2" s="1"/>
  <c r="K86" i="2" a="1"/>
  <c r="K86" i="2" s="1"/>
  <c r="N86" i="2" a="1"/>
  <c r="N86" i="2" s="1"/>
  <c r="P86" i="2" a="1"/>
  <c r="P86" i="2" s="1"/>
  <c r="F87" i="2" a="1"/>
  <c r="F87" i="2" s="1"/>
  <c r="G87" i="2" a="1"/>
  <c r="G87" i="2" s="1"/>
  <c r="J87" i="2" a="1"/>
  <c r="J87" i="2" s="1"/>
  <c r="Q87" i="2" a="1"/>
  <c r="Q87" i="2" s="1"/>
  <c r="D88" i="2" a="1"/>
  <c r="D88" i="2" s="1"/>
  <c r="H88" i="2" a="1"/>
  <c r="H88" i="2" s="1"/>
  <c r="E90" i="2" a="1"/>
  <c r="E90" i="2" s="1"/>
  <c r="G90" i="2" a="1"/>
  <c r="G90" i="2" s="1"/>
  <c r="C92" i="2" a="1"/>
  <c r="C92" i="2" s="1"/>
  <c r="L92" i="2" a="1"/>
  <c r="L92" i="2" s="1"/>
  <c r="M92" i="2" a="1"/>
  <c r="M92" i="2" s="1"/>
  <c r="F93" i="2" a="1"/>
  <c r="F93" i="2" s="1"/>
  <c r="P93" i="2" a="1"/>
  <c r="P93" i="2" s="1"/>
  <c r="B94" i="2" a="1"/>
  <c r="B94" i="2" s="1"/>
  <c r="O94" i="2" a="1"/>
  <c r="O94" i="2" s="1"/>
  <c r="P94" i="2" a="1"/>
  <c r="P94" i="2" s="1"/>
  <c r="A95" i="2" a="1"/>
  <c r="A95" i="2" s="1"/>
  <c r="M95" i="2" a="1"/>
  <c r="M95" i="2" s="1"/>
  <c r="N95" i="2" a="1"/>
  <c r="N95" i="2" s="1"/>
  <c r="J96" i="2" a="1"/>
  <c r="J96" i="2" s="1"/>
  <c r="P97" i="2" a="1"/>
  <c r="P97" i="2" s="1"/>
  <c r="K98" i="2" a="1"/>
  <c r="K98" i="2" s="1"/>
  <c r="M98" i="2" a="1"/>
  <c r="M98" i="2" s="1"/>
  <c r="O98" i="2" a="1"/>
  <c r="O98" i="2" s="1"/>
  <c r="O99" i="2" a="1"/>
  <c r="O99" i="2" s="1"/>
  <c r="Q99" i="2" a="1"/>
  <c r="Q99" i="2" s="1"/>
  <c r="C100" i="2" a="1"/>
  <c r="C100" i="2" s="1"/>
  <c r="I100" i="2" a="1"/>
  <c r="I100" i="2" s="1"/>
  <c r="H101" i="2" a="1"/>
  <c r="H101" i="2" s="1"/>
  <c r="H102" i="2" a="1"/>
  <c r="H102" i="2" s="1"/>
  <c r="M102" i="2" a="1"/>
  <c r="M102" i="2" s="1"/>
  <c r="B104" i="2" a="1"/>
  <c r="B104" i="2" s="1"/>
  <c r="L104" i="2" a="1"/>
  <c r="L104" i="2" s="1"/>
  <c r="M104" i="2" a="1"/>
  <c r="M104" i="2" s="1"/>
  <c r="P104" i="2" a="1"/>
  <c r="P104" i="2" s="1"/>
  <c r="L105" i="2" a="1"/>
  <c r="L105" i="2" s="1"/>
  <c r="Q106" i="2" a="1"/>
  <c r="Q106" i="2" s="1"/>
  <c r="E107" i="2" a="1"/>
  <c r="E107" i="2" s="1"/>
  <c r="I107" i="2" a="1"/>
  <c r="I107" i="2" s="1"/>
  <c r="K107" i="2" a="1"/>
  <c r="K107" i="2" s="1"/>
  <c r="O107" i="2" a="1"/>
  <c r="O107" i="2" s="1"/>
  <c r="I108" i="2" a="1"/>
  <c r="I108" i="2" s="1"/>
  <c r="B109" i="2" a="1"/>
  <c r="B109" i="2" s="1"/>
  <c r="F109" i="2" a="1"/>
  <c r="F109" i="2" s="1"/>
  <c r="L109" i="2" a="1"/>
  <c r="L109" i="2" s="1"/>
  <c r="D110" i="2" a="1"/>
  <c r="D110" i="2" s="1"/>
  <c r="E110" i="2" a="1"/>
  <c r="E110" i="2" s="1"/>
  <c r="O110" i="2" a="1"/>
  <c r="O110" i="2" s="1"/>
  <c r="P110" i="2" a="1"/>
  <c r="P110" i="2" s="1"/>
  <c r="O111" i="2" a="1"/>
  <c r="O111" i="2" s="1"/>
  <c r="B112" i="2" a="1"/>
  <c r="B112" i="2" s="1"/>
  <c r="H112" i="2" a="1"/>
  <c r="H112" i="2" s="1"/>
  <c r="A113" i="2" a="1"/>
  <c r="A113" i="2" s="1"/>
  <c r="G114" i="2" a="1"/>
  <c r="G114" i="2" s="1"/>
  <c r="O115" i="2" a="1"/>
  <c r="O115" i="2" s="1"/>
  <c r="P115" i="2" a="1"/>
  <c r="P115" i="2" s="1"/>
  <c r="Q115" i="2" a="1"/>
  <c r="Q115" i="2" s="1"/>
  <c r="L116" i="2" a="1"/>
  <c r="L116" i="2" s="1"/>
  <c r="B117" i="2" a="1"/>
  <c r="B117" i="2" s="1"/>
  <c r="Q117" i="2" a="1"/>
  <c r="Q117" i="2" s="1"/>
  <c r="D118" i="2" a="1"/>
  <c r="D118" i="2" s="1"/>
  <c r="N118" i="2" a="1"/>
  <c r="N118" i="2" s="1"/>
  <c r="B119" i="2" a="1"/>
  <c r="B119" i="2" s="1"/>
  <c r="N119" i="2" a="1"/>
  <c r="N119" i="2" s="1"/>
  <c r="L120" i="2" a="1"/>
  <c r="L120" i="2" s="1"/>
  <c r="Q120" i="2" a="1"/>
  <c r="Q120" i="2" s="1"/>
  <c r="A121" i="2" a="1"/>
  <c r="A121" i="2" s="1"/>
  <c r="L121" i="2" a="1"/>
  <c r="L121" i="2" s="1"/>
  <c r="N121" i="2" a="1"/>
  <c r="N121" i="2" s="1"/>
  <c r="I122" i="2" a="1"/>
  <c r="I122" i="2" s="1"/>
  <c r="B124" i="2" a="1"/>
  <c r="B124" i="2" s="1"/>
  <c r="J124" i="2" a="1"/>
  <c r="J124" i="2" s="1"/>
  <c r="L124" i="2" a="1"/>
  <c r="L124" i="2" s="1"/>
  <c r="O124" i="2" a="1"/>
  <c r="O124" i="2" s="1"/>
  <c r="B125" i="2" a="1"/>
  <c r="B125" i="2" s="1"/>
  <c r="P125" i="2" a="1"/>
  <c r="P125" i="2" s="1"/>
  <c r="G126" i="2" a="1"/>
  <c r="G126" i="2" s="1"/>
  <c r="K126" i="2" a="1"/>
  <c r="K126" i="2" s="1"/>
  <c r="L126" i="2" a="1"/>
  <c r="L126" i="2" s="1"/>
  <c r="P126" i="2" a="1"/>
  <c r="P126" i="2" s="1"/>
  <c r="Q126" i="2" a="1"/>
  <c r="Q126" i="2" s="1"/>
  <c r="K128" i="2" a="1"/>
  <c r="K128" i="2" s="1"/>
  <c r="N128" i="2" a="1"/>
  <c r="N128" i="2" s="1"/>
  <c r="N129" i="2" a="1"/>
  <c r="N129" i="2" s="1"/>
  <c r="Q129" i="2" a="1"/>
  <c r="Q129" i="2" s="1"/>
  <c r="E130" i="2" a="1"/>
  <c r="E130" i="2" s="1"/>
  <c r="J130" i="2" a="1"/>
  <c r="J130" i="2" s="1"/>
  <c r="L130" i="2" a="1"/>
  <c r="L130" i="2" s="1"/>
  <c r="B131" i="2" a="1"/>
  <c r="B131" i="2" s="1"/>
  <c r="M131" i="2" a="1"/>
  <c r="M131" i="2" s="1"/>
  <c r="P131" i="2" a="1"/>
  <c r="P131" i="2" s="1"/>
  <c r="B132" i="2" a="1"/>
  <c r="B132" i="2" s="1"/>
  <c r="F132" i="2" a="1"/>
  <c r="F132" i="2" s="1"/>
  <c r="B133" i="2" a="1"/>
  <c r="B133" i="2" s="1"/>
  <c r="Q133" i="2" a="1"/>
  <c r="Q133" i="2" s="1"/>
  <c r="I134" i="2" a="1"/>
  <c r="I134" i="2" s="1"/>
  <c r="N134" i="2" a="1"/>
  <c r="N134" i="2" s="1"/>
  <c r="D135" i="2" a="1"/>
  <c r="D135" i="2" s="1"/>
  <c r="F135" i="2" a="1"/>
  <c r="F135" i="2" s="1"/>
  <c r="N136" i="2" a="1"/>
  <c r="N136" i="2" s="1"/>
  <c r="B138" i="2" a="1"/>
  <c r="B138" i="2" s="1"/>
  <c r="H138" i="2" a="1"/>
  <c r="H138" i="2" s="1"/>
  <c r="L138" i="2" a="1"/>
  <c r="L138" i="2" s="1"/>
  <c r="C139" i="2" a="1"/>
  <c r="C139" i="2" s="1"/>
  <c r="A140" i="2" a="1"/>
  <c r="A140" i="2" s="1"/>
  <c r="H140" i="2" a="1"/>
  <c r="H140" i="2" s="1"/>
  <c r="K141" i="2" a="1"/>
  <c r="K141" i="2" s="1"/>
  <c r="P141" i="2" a="1"/>
  <c r="P141" i="2" s="1"/>
  <c r="B142" i="2" a="1"/>
  <c r="B142" i="2" s="1"/>
  <c r="J142" i="2" a="1"/>
  <c r="J142" i="2" s="1"/>
  <c r="A143" i="2" a="1"/>
  <c r="A143" i="2" s="1"/>
  <c r="O143" i="2" a="1"/>
  <c r="O143" i="2" s="1"/>
  <c r="A145" i="2" a="1"/>
  <c r="A145" i="2" s="1"/>
  <c r="B145" i="2" a="1"/>
  <c r="B145" i="2" s="1"/>
  <c r="G145" i="2" a="1"/>
  <c r="G145" i="2" s="1"/>
  <c r="H145" i="2" a="1"/>
  <c r="H145" i="2" s="1"/>
  <c r="N145" i="2" a="1"/>
  <c r="N145" i="2" s="1"/>
  <c r="N146" i="2" a="1"/>
  <c r="N146" i="2" s="1"/>
  <c r="F147" i="2" a="1"/>
  <c r="F147" i="2" s="1"/>
  <c r="M147" i="2" a="1"/>
  <c r="M147" i="2" s="1"/>
  <c r="P147" i="2" a="1"/>
  <c r="P147" i="2" s="1"/>
  <c r="Q147" i="2" a="1"/>
  <c r="Q147" i="2" s="1"/>
  <c r="C148" i="2" a="1"/>
  <c r="C148" i="2" s="1"/>
  <c r="L148" i="2" a="1"/>
  <c r="L148" i="2" s="1"/>
  <c r="E149" i="2" a="1"/>
  <c r="E149" i="2" s="1"/>
  <c r="F149" i="2" a="1"/>
  <c r="F149" i="2" s="1"/>
  <c r="I149" i="2" a="1"/>
  <c r="I149" i="2" s="1"/>
  <c r="O149" i="2" a="1"/>
  <c r="O149" i="2" s="1"/>
  <c r="Q149" i="2" a="1"/>
  <c r="Q149" i="2" s="1"/>
  <c r="Q150" i="2" a="1"/>
  <c r="Q150" i="2" s="1"/>
  <c r="G151" i="2" a="1"/>
  <c r="G151" i="2" s="1"/>
  <c r="L151" i="2" a="1"/>
  <c r="L151" i="2" s="1"/>
  <c r="M151" i="2" a="1"/>
  <c r="M151" i="2" s="1"/>
  <c r="P151" i="2" a="1"/>
  <c r="P151" i="2" s="1"/>
  <c r="A152" i="2" a="1"/>
  <c r="A152" i="2" s="1"/>
  <c r="I152" i="2" a="1"/>
  <c r="I152" i="2" s="1"/>
  <c r="C153" i="2" a="1"/>
  <c r="C153" i="2" s="1"/>
  <c r="Q153" i="2" a="1"/>
  <c r="Q153" i="2" s="1"/>
  <c r="F154" i="2" a="1"/>
  <c r="F154" i="2" s="1"/>
  <c r="J154" i="2" a="1"/>
  <c r="J154" i="2" s="1"/>
  <c r="P154" i="2" a="1"/>
  <c r="P154" i="2" s="1"/>
  <c r="C155" i="2" a="1"/>
  <c r="C155" i="2" s="1"/>
  <c r="A156" i="2" a="1"/>
  <c r="A156" i="2" s="1"/>
  <c r="K156" i="2" a="1"/>
  <c r="K156" i="2" s="1"/>
  <c r="M156" i="2" a="1"/>
  <c r="M156" i="2" s="1"/>
  <c r="E157" i="2" a="1"/>
  <c r="E157" i="2" s="1"/>
  <c r="E158" i="2" a="1"/>
  <c r="E158" i="2" s="1"/>
  <c r="L158" i="2" a="1"/>
  <c r="L158" i="2" s="1"/>
  <c r="O158" i="2" a="1"/>
  <c r="O158" i="2" s="1"/>
  <c r="D160" i="2" a="1"/>
  <c r="D160" i="2" s="1"/>
  <c r="L160" i="2" a="1"/>
  <c r="L160" i="2" s="1"/>
  <c r="D162" i="2" a="1"/>
  <c r="D162" i="2" s="1"/>
  <c r="I163" i="2" a="1"/>
  <c r="I163" i="2" s="1"/>
  <c r="A164" i="2" a="1"/>
  <c r="A164" i="2" s="1"/>
  <c r="N165" i="2" a="1"/>
  <c r="N165" i="2" s="1"/>
  <c r="P165" i="2" a="1"/>
  <c r="P165" i="2" s="1"/>
  <c r="Q165" i="2" a="1"/>
  <c r="Q165" i="2" s="1"/>
  <c r="B167" i="2" a="1"/>
  <c r="B167" i="2" s="1"/>
  <c r="E168" i="2" a="1"/>
  <c r="E168" i="2" s="1"/>
  <c r="F169" i="2" a="1"/>
  <c r="F169" i="2" s="1"/>
  <c r="H169" i="2" a="1"/>
  <c r="H169" i="2" s="1"/>
  <c r="K169" i="2" a="1"/>
  <c r="K169" i="2" s="1"/>
  <c r="B170" i="2" a="1"/>
  <c r="B170" i="2" s="1"/>
  <c r="J170" i="2" a="1"/>
  <c r="J170" i="2" s="1"/>
  <c r="Q170" i="2" a="1"/>
  <c r="Q170" i="2" s="1"/>
  <c r="M171" i="2" a="1"/>
  <c r="M171" i="2" s="1"/>
  <c r="H172" i="2" a="1"/>
  <c r="H172" i="2" s="1"/>
  <c r="P172" i="2" a="1"/>
  <c r="P172" i="2" s="1"/>
  <c r="A173" i="2" a="1"/>
  <c r="A173" i="2" s="1"/>
  <c r="J174" i="2" a="1"/>
  <c r="J174" i="2" s="1"/>
  <c r="E175" i="2" a="1"/>
  <c r="E175" i="2" s="1"/>
  <c r="D176" i="2" a="1"/>
  <c r="D176" i="2" s="1"/>
  <c r="M176" i="2" a="1"/>
  <c r="M176" i="2" s="1"/>
  <c r="P176" i="2" a="1"/>
  <c r="P176" i="2" s="1"/>
  <c r="N180" i="2" a="1"/>
  <c r="N180" i="2" s="1"/>
  <c r="B181" i="2" a="1"/>
  <c r="B181" i="2" s="1"/>
  <c r="G181" i="2" a="1"/>
  <c r="G181" i="2" s="1"/>
  <c r="H181" i="2" a="1"/>
  <c r="H181" i="2" s="1"/>
  <c r="I182" i="2" a="1"/>
  <c r="I182" i="2" s="1"/>
  <c r="E183" i="2" a="1"/>
  <c r="E183" i="2" s="1"/>
  <c r="N184" i="2" a="1"/>
  <c r="N184" i="2" s="1"/>
  <c r="L185" i="2" a="1"/>
  <c r="L185" i="2" s="1"/>
  <c r="E187" i="2" a="1"/>
  <c r="E187" i="2" s="1"/>
  <c r="J187" i="2" a="1"/>
  <c r="J187" i="2" s="1"/>
  <c r="Q187" i="2" a="1"/>
  <c r="Q187" i="2" s="1"/>
  <c r="H189" i="2" a="1"/>
  <c r="H189" i="2" s="1"/>
  <c r="J190" i="2" a="1"/>
  <c r="J190" i="2" s="1"/>
  <c r="L190" i="2" a="1"/>
  <c r="L190" i="2" s="1"/>
  <c r="G195" i="2" a="1"/>
  <c r="G195" i="2" s="1"/>
  <c r="F196" i="2" a="1"/>
  <c r="F196" i="2" s="1"/>
  <c r="G197" i="2" a="1"/>
  <c r="G197" i="2" s="1"/>
  <c r="M197" i="2" a="1"/>
  <c r="M197" i="2" s="1"/>
  <c r="E198" i="2" a="1"/>
  <c r="E198" i="2" s="1"/>
  <c r="H200" i="2" a="1"/>
  <c r="H200" i="2" s="1"/>
  <c r="C201" i="2" a="1"/>
  <c r="C201" i="2" s="1"/>
  <c r="E203" i="2" a="1"/>
  <c r="E203" i="2" s="1"/>
  <c r="M203" i="2" a="1"/>
  <c r="M203" i="2" s="1"/>
  <c r="B204" i="2" a="1"/>
  <c r="B204" i="2" s="1"/>
  <c r="E204" i="2" a="1"/>
  <c r="E204" i="2" s="1"/>
  <c r="J204" i="2" a="1"/>
  <c r="J204" i="2" s="1"/>
  <c r="M204" i="2" a="1"/>
  <c r="M204" i="2" s="1"/>
  <c r="C205" i="2" a="1"/>
  <c r="C205" i="2" s="1"/>
  <c r="F205" i="2" a="1"/>
  <c r="F205" i="2" s="1"/>
  <c r="J205" i="2" a="1"/>
  <c r="J205" i="2" s="1"/>
  <c r="N205" i="2" a="1"/>
  <c r="N205" i="2" s="1"/>
  <c r="Q205" i="2" a="1"/>
  <c r="Q205" i="2" s="1"/>
  <c r="D206" i="2" a="1"/>
  <c r="D206" i="2" s="1"/>
  <c r="F206" i="2" a="1"/>
  <c r="F206" i="2" s="1"/>
  <c r="L206" i="2" a="1"/>
  <c r="L206" i="2" s="1"/>
  <c r="N206" i="2" a="1"/>
  <c r="N206" i="2" s="1"/>
  <c r="J207" i="2" a="1"/>
  <c r="J207" i="2" s="1"/>
  <c r="K207" i="2" a="1"/>
  <c r="K207" i="2" s="1"/>
  <c r="F208" i="2" a="1"/>
  <c r="F208" i="2" s="1"/>
  <c r="L208" i="2" a="1"/>
  <c r="L208" i="2" s="1"/>
  <c r="L209" i="2" a="1"/>
  <c r="L209" i="2" s="1"/>
  <c r="Q209" i="2" a="1"/>
  <c r="Q209" i="2" s="1"/>
  <c r="C210" i="2" a="1"/>
  <c r="C210" i="2" s="1"/>
  <c r="E210" i="2" a="1"/>
  <c r="E210" i="2" s="1"/>
  <c r="Q210" i="2" a="1"/>
  <c r="Q210" i="2" s="1"/>
  <c r="A211" i="2" a="1"/>
  <c r="A211" i="2" s="1"/>
  <c r="C211" i="2" a="1"/>
  <c r="C211" i="2" s="1"/>
  <c r="E213" i="2" a="1"/>
  <c r="E213" i="2" s="1"/>
  <c r="F213" i="2" a="1"/>
  <c r="F213" i="2" s="1"/>
  <c r="D215" i="2" a="1"/>
  <c r="D215" i="2" s="1"/>
  <c r="H215" i="2" a="1"/>
  <c r="H215" i="2" s="1"/>
  <c r="P215" i="2" a="1"/>
  <c r="P215" i="2" s="1"/>
  <c r="H216" i="2" a="1"/>
  <c r="H216" i="2" s="1"/>
  <c r="M218" i="2" a="1"/>
  <c r="M218" i="2" s="1"/>
  <c r="B219" i="2" a="1"/>
  <c r="B219" i="2" s="1"/>
  <c r="F219" i="2" a="1"/>
  <c r="F219" i="2" s="1"/>
  <c r="I219" i="2" a="1"/>
  <c r="I219" i="2" s="1"/>
  <c r="M219" i="2" a="1"/>
  <c r="M219" i="2" s="1"/>
  <c r="N219" i="2" a="1"/>
  <c r="N219" i="2" s="1"/>
  <c r="N220" i="2" a="1"/>
  <c r="N220" i="2" s="1"/>
  <c r="P220" i="2" a="1"/>
  <c r="P220" i="2" s="1"/>
  <c r="D222" i="2" a="1"/>
  <c r="D222" i="2" s="1"/>
  <c r="N222" i="2" a="1"/>
  <c r="N222" i="2" s="1"/>
  <c r="J223" i="2" a="1"/>
  <c r="J223" i="2" s="1"/>
  <c r="B224" i="2" a="1"/>
  <c r="B224" i="2" s="1"/>
  <c r="N224" i="2" a="1"/>
  <c r="N224" i="2" s="1"/>
  <c r="P227" i="2" a="1"/>
  <c r="P227" i="2" s="1"/>
  <c r="B229" i="2" a="1"/>
  <c r="B229" i="2" s="1"/>
  <c r="I229" i="2" a="1"/>
  <c r="I229" i="2" s="1"/>
  <c r="D230" i="2" a="1"/>
  <c r="D230" i="2" s="1"/>
  <c r="M230" i="2" a="1"/>
  <c r="M230" i="2" s="1"/>
  <c r="A231" i="2" a="1"/>
  <c r="A231" i="2" s="1"/>
  <c r="H231" i="2" a="1"/>
  <c r="H231" i="2" s="1"/>
  <c r="N231" i="2" a="1"/>
  <c r="N231" i="2" s="1"/>
  <c r="E232" i="2" a="1"/>
  <c r="E232" i="2" s="1"/>
  <c r="L232" i="2" a="1"/>
  <c r="L232" i="2" s="1"/>
  <c r="P232" i="2" a="1"/>
  <c r="P232" i="2" s="1"/>
  <c r="B233" i="2" a="1"/>
  <c r="B233" i="2" s="1"/>
  <c r="L233" i="2" a="1"/>
  <c r="L233" i="2" s="1"/>
  <c r="B234" i="2" a="1"/>
  <c r="B234" i="2" s="1"/>
  <c r="Q234" i="2" a="1"/>
  <c r="Q234" i="2" s="1"/>
  <c r="I235" i="2" a="1"/>
  <c r="I235" i="2" s="1"/>
  <c r="N235" i="2" a="1"/>
  <c r="N235" i="2" s="1"/>
  <c r="J236" i="2" a="1"/>
  <c r="J236" i="2" s="1"/>
  <c r="A237" i="2" a="1"/>
  <c r="A237" i="2" s="1"/>
  <c r="A240" i="2" a="1"/>
  <c r="A240" i="2" s="1"/>
  <c r="B240" i="2" a="1"/>
  <c r="B240" i="2" s="1"/>
  <c r="K240" i="2" a="1"/>
  <c r="K240" i="2" s="1"/>
  <c r="P240" i="2" a="1"/>
  <c r="P240" i="2" s="1"/>
  <c r="E241" i="2" a="1"/>
  <c r="E241" i="2" s="1"/>
  <c r="D242" i="2" a="1"/>
  <c r="D242" i="2" s="1"/>
  <c r="B244" i="2" a="1"/>
  <c r="B244" i="2" s="1"/>
  <c r="O244" i="2" a="1"/>
  <c r="O244" i="2" s="1"/>
  <c r="P244" i="2" a="1"/>
  <c r="P244" i="2" s="1"/>
  <c r="I245" i="2" a="1"/>
  <c r="I245" i="2" s="1"/>
  <c r="L245" i="2" a="1"/>
  <c r="L245" i="2" s="1"/>
  <c r="C246" i="2" a="1"/>
  <c r="C246" i="2" s="1"/>
  <c r="G246" i="2" a="1"/>
  <c r="G246" i="2" s="1"/>
  <c r="P246" i="2" a="1"/>
  <c r="P246" i="2" s="1"/>
  <c r="P247" i="2" a="1"/>
  <c r="P247" i="2" s="1"/>
  <c r="K249" i="2" a="1"/>
  <c r="K249" i="2" s="1"/>
  <c r="N252" i="2" a="1"/>
  <c r="N252" i="2" s="1"/>
  <c r="A253" i="2" a="1"/>
  <c r="A253" i="2" s="1"/>
  <c r="D253" i="2" a="1"/>
  <c r="D253" i="2" s="1"/>
  <c r="E253" i="2" a="1"/>
  <c r="E253" i="2" s="1"/>
  <c r="G253" i="2" a="1"/>
  <c r="G253" i="2" s="1"/>
  <c r="I253" i="2" a="1"/>
  <c r="I253" i="2" s="1"/>
  <c r="Q253" i="2" a="1"/>
  <c r="Q253" i="2" s="1"/>
  <c r="B254" i="2" a="1"/>
  <c r="B254" i="2" s="1"/>
  <c r="O254" i="2" a="1"/>
  <c r="O254" i="2" s="1"/>
  <c r="B255" i="2" a="1"/>
  <c r="B255" i="2" s="1"/>
  <c r="O255" i="2" a="1"/>
  <c r="O255" i="2" s="1"/>
  <c r="Q255" i="2" a="1"/>
  <c r="Q255" i="2" s="1"/>
  <c r="F256" i="2" a="1"/>
  <c r="F256" i="2" s="1"/>
  <c r="B257" i="2" a="1"/>
  <c r="B257" i="2" s="1"/>
  <c r="M257" i="2" a="1"/>
  <c r="M257" i="2" s="1"/>
  <c r="G258" i="2" a="1"/>
  <c r="G258" i="2" s="1"/>
  <c r="L258" i="2" a="1"/>
  <c r="L258" i="2" s="1"/>
  <c r="N258" i="2" a="1"/>
  <c r="N258" i="2" s="1"/>
  <c r="F259" i="2" a="1"/>
  <c r="F259" i="2" s="1"/>
  <c r="H260" i="2" a="1"/>
  <c r="H260" i="2" s="1"/>
  <c r="N261" i="2" a="1"/>
  <c r="N261" i="2" s="1"/>
  <c r="E262" i="2" a="1"/>
  <c r="E262" i="2" s="1"/>
  <c r="P263" i="2" a="1"/>
  <c r="P263" i="2" s="1"/>
  <c r="Q263" i="2" a="1"/>
  <c r="Q263" i="2" s="1"/>
  <c r="B264" i="2" a="1"/>
  <c r="B264" i="2" s="1"/>
  <c r="G264" i="2" a="1"/>
  <c r="G264" i="2" s="1"/>
  <c r="H264" i="2" a="1"/>
  <c r="H264" i="2" s="1"/>
  <c r="O264" i="2" a="1"/>
  <c r="O264" i="2" s="1"/>
  <c r="H265" i="2" a="1"/>
  <c r="H265" i="2" s="1"/>
  <c r="I265" i="2" a="1"/>
  <c r="I265" i="2" s="1"/>
  <c r="Q265" i="2" a="1"/>
  <c r="Q265" i="2" s="1"/>
  <c r="N267" i="2" a="1"/>
  <c r="N267" i="2" s="1"/>
  <c r="F269" i="2" a="1"/>
  <c r="F269" i="2" s="1"/>
  <c r="J269" i="2" a="1"/>
  <c r="J269" i="2" s="1"/>
  <c r="E270" i="2" a="1"/>
  <c r="E270" i="2" s="1"/>
  <c r="I271" i="2" a="1"/>
  <c r="I271" i="2" s="1"/>
  <c r="N271" i="2" a="1"/>
  <c r="N271" i="2" s="1"/>
  <c r="L272" i="2" a="1"/>
  <c r="L272" i="2" s="1"/>
  <c r="C273" i="2" a="1"/>
  <c r="C273" i="2" s="1"/>
  <c r="G273" i="2" a="1"/>
  <c r="G273" i="2" s="1"/>
  <c r="L273" i="2" a="1"/>
  <c r="L273" i="2" s="1"/>
  <c r="G274" i="2" a="1"/>
  <c r="G274" i="2" s="1"/>
  <c r="L275" i="2" a="1"/>
  <c r="L275" i="2" s="1"/>
  <c r="B276" i="2" a="1"/>
  <c r="B276" i="2" s="1"/>
  <c r="E276" i="2" a="1"/>
  <c r="E276" i="2" s="1"/>
  <c r="H279" i="2" a="1"/>
  <c r="H279" i="2" s="1"/>
  <c r="C281" i="2" a="1"/>
  <c r="C281" i="2" s="1"/>
  <c r="G281" i="2" a="1"/>
  <c r="G281" i="2" s="1"/>
  <c r="N281" i="2" a="1"/>
  <c r="N281" i="2" s="1"/>
  <c r="H282" i="2" a="1"/>
  <c r="H282" i="2" s="1"/>
  <c r="M282" i="2" a="1"/>
  <c r="M282" i="2" s="1"/>
  <c r="Q282" i="2" a="1"/>
  <c r="Q282" i="2" s="1"/>
  <c r="B283" i="2" a="1"/>
  <c r="B283" i="2" s="1"/>
  <c r="O283" i="2" a="1"/>
  <c r="O283" i="2" s="1"/>
  <c r="I284" i="2" a="1"/>
  <c r="I284" i="2" s="1"/>
  <c r="J287" i="2" a="1"/>
  <c r="J287" i="2" s="1"/>
  <c r="P287" i="2" a="1"/>
  <c r="P287" i="2" s="1"/>
  <c r="I288" i="2" a="1"/>
  <c r="I288" i="2" s="1"/>
  <c r="K288" i="2" a="1"/>
  <c r="K288" i="2" s="1"/>
  <c r="B289" i="2" a="1"/>
  <c r="B289" i="2" s="1"/>
  <c r="C289" i="2" a="1"/>
  <c r="C289" i="2" s="1"/>
  <c r="I290" i="2" a="1"/>
  <c r="I290" i="2" s="1"/>
  <c r="P294" i="2" a="1"/>
  <c r="P294" i="2" s="1"/>
  <c r="I295" i="2" a="1"/>
  <c r="I295" i="2" s="1"/>
  <c r="Q295" i="2" a="1"/>
  <c r="Q295" i="2" s="1"/>
  <c r="A297" i="2" a="1"/>
  <c r="A297" i="2" s="1"/>
  <c r="L297" i="2" a="1"/>
  <c r="L297" i="2" s="1"/>
  <c r="M297" i="2" a="1"/>
  <c r="M297" i="2" s="1"/>
  <c r="F298" i="2" a="1"/>
  <c r="F298" i="2" s="1"/>
  <c r="O298" i="2" a="1"/>
  <c r="O298" i="2" s="1"/>
  <c r="P298" i="2" a="1"/>
  <c r="P298" i="2" s="1"/>
  <c r="J299" i="2" a="1"/>
  <c r="J299" i="2" s="1"/>
  <c r="L299" i="2" a="1"/>
  <c r="L299" i="2" s="1"/>
  <c r="A300" i="2" a="1"/>
  <c r="A300" i="2" s="1"/>
  <c r="O300" i="2" a="1"/>
  <c r="O300" i="2" s="1"/>
  <c r="A301" i="2" a="1"/>
  <c r="A301" i="2" s="1"/>
  <c r="B301" i="2" a="1"/>
  <c r="B301" i="2" s="1"/>
  <c r="C301" i="2" a="1"/>
  <c r="C301" i="2" s="1"/>
  <c r="F301" i="2" a="1"/>
  <c r="F301" i="2" s="1"/>
  <c r="N301" i="2" a="1"/>
  <c r="N301" i="2" s="1"/>
  <c r="D302" i="2" a="1"/>
  <c r="D302" i="2" s="1"/>
  <c r="F302" i="2" a="1"/>
  <c r="F302" i="2" s="1"/>
  <c r="G302" i="2" a="1"/>
  <c r="G302" i="2" s="1"/>
  <c r="H302" i="2" a="1"/>
  <c r="H302" i="2" s="1"/>
  <c r="J302" i="2" a="1"/>
  <c r="J302" i="2" s="1"/>
  <c r="K302" i="2" a="1"/>
  <c r="K302" i="2" s="1"/>
  <c r="L302" i="2" a="1"/>
  <c r="L302" i="2" s="1"/>
  <c r="M302" i="2" a="1"/>
  <c r="M302" i="2" s="1"/>
  <c r="P302" i="2" a="1"/>
  <c r="P302" i="2" s="1"/>
  <c r="D303" i="2" a="1"/>
  <c r="D303" i="2" s="1"/>
  <c r="F303" i="2" a="1"/>
  <c r="F303" i="2" s="1"/>
  <c r="I303" i="2" a="1"/>
  <c r="I303" i="2" s="1"/>
  <c r="K303" i="2" a="1"/>
  <c r="K303" i="2" s="1"/>
  <c r="L303" i="2" a="1"/>
  <c r="L303" i="2" s="1"/>
  <c r="N303" i="2" a="1"/>
  <c r="N303" i="2" s="1"/>
  <c r="O303" i="2" a="1"/>
  <c r="O303" i="2" s="1"/>
  <c r="P303" i="2" a="1"/>
  <c r="P303" i="2" s="1"/>
  <c r="Q303" i="2" a="1"/>
  <c r="Q303" i="2" s="1"/>
  <c r="C304" i="2" a="1"/>
  <c r="C304" i="2" s="1"/>
  <c r="F304" i="2" a="1"/>
  <c r="F304" i="2" s="1"/>
  <c r="G304" i="2" a="1"/>
  <c r="G304" i="2" s="1"/>
  <c r="H304" i="2" a="1"/>
  <c r="H304" i="2" s="1"/>
  <c r="I304" i="2" a="1"/>
  <c r="I304" i="2" s="1"/>
  <c r="J304" i="2" a="1"/>
  <c r="J304" i="2" s="1"/>
  <c r="K304" i="2" a="1"/>
  <c r="K304" i="2" s="1"/>
  <c r="L304" i="2" a="1"/>
  <c r="L304" i="2" s="1"/>
  <c r="M304" i="2" a="1"/>
  <c r="M304" i="2" s="1"/>
  <c r="O304" i="2" a="1"/>
  <c r="O304" i="2" s="1"/>
  <c r="P304" i="2" a="1"/>
  <c r="P304" i="2" s="1"/>
  <c r="Q304" i="2" a="1"/>
  <c r="Q304" i="2" s="1"/>
  <c r="A305" i="2" a="1"/>
  <c r="A305" i="2" s="1"/>
  <c r="F305" i="2" a="1"/>
  <c r="F305" i="2" s="1"/>
  <c r="G305" i="2" a="1"/>
  <c r="G305" i="2" s="1"/>
  <c r="J305" i="2" a="1"/>
  <c r="J305" i="2" s="1"/>
  <c r="E306" i="2" a="1"/>
  <c r="E306" i="2" s="1"/>
  <c r="F306" i="2" a="1"/>
  <c r="F306" i="2" s="1"/>
  <c r="H306" i="2" a="1"/>
  <c r="H306" i="2" s="1"/>
  <c r="I306" i="2" a="1"/>
  <c r="I306" i="2" s="1"/>
  <c r="L306" i="2" a="1"/>
  <c r="L306" i="2" s="1"/>
  <c r="A307" i="2" a="1"/>
  <c r="A307" i="2" s="1"/>
  <c r="C307" i="2" a="1"/>
  <c r="C307" i="2" s="1"/>
  <c r="E307" i="2" a="1"/>
  <c r="E307" i="2" s="1"/>
  <c r="F307" i="2" a="1"/>
  <c r="F307" i="2" s="1"/>
  <c r="K307" i="2" a="1"/>
  <c r="K307" i="2" s="1"/>
  <c r="M307" i="2" a="1"/>
  <c r="M307" i="2" s="1"/>
  <c r="B308" i="2" a="1"/>
  <c r="B308" i="2" s="1"/>
  <c r="J308" i="2" a="1"/>
  <c r="J308" i="2" s="1"/>
  <c r="O308" i="2" a="1"/>
  <c r="O308" i="2" s="1"/>
  <c r="I309" i="2" a="1"/>
  <c r="I309" i="2" s="1"/>
  <c r="M309" i="2" a="1"/>
  <c r="M309" i="2" s="1"/>
  <c r="O309" i="2" a="1"/>
  <c r="O309" i="2" s="1"/>
  <c r="O310" i="2" a="1"/>
  <c r="O310" i="2" s="1"/>
  <c r="P310" i="2" a="1"/>
  <c r="P310" i="2" s="1"/>
  <c r="F311" i="2" a="1"/>
  <c r="F311" i="2" s="1"/>
  <c r="I311" i="2" a="1"/>
  <c r="I311" i="2" s="1"/>
  <c r="K311" i="2" a="1"/>
  <c r="K311" i="2" s="1"/>
  <c r="M311" i="2" a="1"/>
  <c r="M311" i="2" s="1"/>
  <c r="P311" i="2" a="1"/>
  <c r="P311" i="2" s="1"/>
  <c r="A312" i="2" a="1"/>
  <c r="A312" i="2" s="1"/>
  <c r="L312" i="2" a="1"/>
  <c r="L312" i="2" s="1"/>
  <c r="N312" i="2" a="1"/>
  <c r="N312" i="2" s="1"/>
  <c r="J313" i="2" a="1"/>
  <c r="J313" i="2" s="1"/>
  <c r="C314" i="2" a="1"/>
  <c r="C314" i="2" s="1"/>
  <c r="I314" i="2" a="1"/>
  <c r="I314" i="2" s="1"/>
  <c r="L321" i="2" a="1"/>
  <c r="L321" i="2" s="1"/>
  <c r="N321" i="2" a="1"/>
  <c r="N321" i="2" s="1"/>
  <c r="C322" i="2" a="1"/>
  <c r="C322" i="2" s="1"/>
  <c r="Q322" i="2" a="1"/>
  <c r="Q322" i="2" s="1"/>
  <c r="G323" i="2" a="1"/>
  <c r="G323" i="2" s="1"/>
  <c r="N323" i="2" a="1"/>
  <c r="N323" i="2" s="1"/>
  <c r="P323" i="2" a="1"/>
  <c r="P323" i="2" s="1"/>
  <c r="Q323" i="2" a="1"/>
  <c r="Q323" i="2" s="1"/>
  <c r="C324" i="2" a="1"/>
  <c r="C324" i="2" s="1"/>
  <c r="H324" i="2" a="1"/>
  <c r="H324" i="2" s="1"/>
  <c r="O324" i="2" a="1"/>
  <c r="O324" i="2" s="1"/>
  <c r="F327" i="2" a="1"/>
  <c r="F327" i="2" s="1"/>
  <c r="K327" i="2" a="1"/>
  <c r="K327" i="2" s="1"/>
  <c r="B328" i="2" a="1"/>
  <c r="B328" i="2" s="1"/>
  <c r="F328" i="2" a="1"/>
  <c r="F328" i="2" s="1"/>
  <c r="J328" i="2" a="1"/>
  <c r="J328" i="2" s="1"/>
  <c r="O328" i="2" a="1"/>
  <c r="O328" i="2" s="1"/>
  <c r="F329" i="2" a="1"/>
  <c r="F329" i="2" s="1"/>
  <c r="J329" i="2" a="1"/>
  <c r="J329" i="2" s="1"/>
  <c r="K329" i="2" a="1"/>
  <c r="K329" i="2" s="1"/>
  <c r="P330" i="2" a="1"/>
  <c r="P330" i="2" s="1"/>
  <c r="C331" i="2" a="1"/>
  <c r="C331" i="2" s="1"/>
  <c r="J331" i="2" a="1"/>
  <c r="J331" i="2" s="1"/>
  <c r="O331" i="2" a="1"/>
  <c r="O331" i="2" s="1"/>
  <c r="P331" i="2" a="1"/>
  <c r="P331" i="2" s="1"/>
  <c r="N332" i="2" a="1"/>
  <c r="N332" i="2" s="1"/>
  <c r="B333" i="2" a="1"/>
  <c r="B333" i="2" s="1"/>
  <c r="Q334" i="2" a="1"/>
  <c r="Q334" i="2" s="1"/>
  <c r="B335" i="2" a="1"/>
  <c r="B335" i="2" s="1"/>
  <c r="D335" i="2" a="1"/>
  <c r="D335" i="2" s="1"/>
  <c r="M335" i="2" a="1"/>
  <c r="M335" i="2" s="1"/>
  <c r="O335" i="2" a="1"/>
  <c r="O335" i="2" s="1"/>
  <c r="G336" i="2" a="1"/>
  <c r="G336" i="2" s="1"/>
  <c r="H336" i="2" a="1"/>
  <c r="H336" i="2" s="1"/>
  <c r="I336" i="2" a="1"/>
  <c r="I336" i="2" s="1"/>
  <c r="K336" i="2" a="1"/>
  <c r="K336" i="2" s="1"/>
  <c r="O336" i="2" a="1"/>
  <c r="O336" i="2" s="1"/>
  <c r="D337" i="2" a="1"/>
  <c r="D337" i="2" s="1"/>
  <c r="J337" i="2" a="1"/>
  <c r="J337" i="2" s="1"/>
  <c r="O337" i="2" a="1"/>
  <c r="O337" i="2" s="1"/>
  <c r="B338" i="2" a="1"/>
  <c r="B338" i="2" s="1"/>
  <c r="O338" i="2" a="1"/>
  <c r="O338" i="2" s="1"/>
  <c r="Q338" i="2" a="1"/>
  <c r="Q338" i="2" s="1"/>
  <c r="C339" i="2" a="1"/>
  <c r="C339" i="2" s="1"/>
  <c r="O339" i="2" a="1"/>
  <c r="O339" i="2" s="1"/>
  <c r="P340" i="2" a="1"/>
  <c r="P340" i="2" s="1"/>
  <c r="B341" i="2" a="1"/>
  <c r="B341" i="2" s="1"/>
  <c r="L341" i="2" a="1"/>
  <c r="L341" i="2" s="1"/>
  <c r="N341" i="2" a="1"/>
  <c r="N341" i="2" s="1"/>
  <c r="Q341" i="2" a="1"/>
  <c r="Q341" i="2" s="1"/>
  <c r="I342" i="2" a="1"/>
  <c r="I342" i="2" s="1"/>
  <c r="E343" i="2" a="1"/>
  <c r="E343" i="2" s="1"/>
  <c r="M343" i="2" a="1"/>
  <c r="M343" i="2" s="1"/>
  <c r="A344" i="2" a="1"/>
  <c r="A344" i="2" s="1"/>
  <c r="E344" i="2" a="1"/>
  <c r="E344" i="2" s="1"/>
  <c r="K345" i="2" a="1"/>
  <c r="K345" i="2" s="1"/>
  <c r="L345" i="2" a="1"/>
  <c r="L345" i="2" s="1"/>
  <c r="N345" i="2" a="1"/>
  <c r="N345" i="2" s="1"/>
  <c r="O345" i="2" a="1"/>
  <c r="O345" i="2" s="1"/>
  <c r="P345" i="2" a="1"/>
  <c r="P345" i="2" s="1"/>
  <c r="A346" i="2" a="1"/>
  <c r="A346" i="2" s="1"/>
  <c r="E346" i="2" a="1"/>
  <c r="E346" i="2" s="1"/>
  <c r="G346" i="2" a="1"/>
  <c r="G346" i="2" s="1"/>
  <c r="L346" i="2" a="1"/>
  <c r="L346" i="2" s="1"/>
  <c r="D347" i="2" a="1"/>
  <c r="D347" i="2" s="1"/>
  <c r="H347" i="2" a="1"/>
  <c r="H347" i="2" s="1"/>
  <c r="K347" i="2" a="1"/>
  <c r="K347" i="2" s="1"/>
  <c r="F348" i="2" a="1"/>
  <c r="F348" i="2" s="1"/>
  <c r="L348" i="2" a="1"/>
  <c r="L348" i="2" s="1"/>
  <c r="G349" i="2" a="1"/>
  <c r="G349" i="2" s="1"/>
  <c r="I349" i="2" a="1"/>
  <c r="I349" i="2" s="1"/>
  <c r="B350" i="2" a="1"/>
  <c r="B350" i="2" s="1"/>
  <c r="E350" i="2" a="1"/>
  <c r="E350" i="2" s="1"/>
  <c r="F350" i="2" a="1"/>
  <c r="F350" i="2" s="1"/>
  <c r="H350" i="2" a="1"/>
  <c r="H350" i="2" s="1"/>
  <c r="N350" i="2" a="1"/>
  <c r="N350" i="2" s="1"/>
  <c r="Q350" i="2" a="1"/>
  <c r="Q350" i="2" s="1"/>
  <c r="F351" i="2" a="1"/>
  <c r="F351" i="2" s="1"/>
  <c r="J351" i="2" a="1"/>
  <c r="J351" i="2" s="1"/>
  <c r="B354" i="2" a="1"/>
  <c r="B354" i="2" s="1"/>
  <c r="F354" i="2" a="1"/>
  <c r="F354" i="2" s="1"/>
  <c r="N354" i="2" a="1"/>
  <c r="N354" i="2" s="1"/>
  <c r="O354" i="2" a="1"/>
  <c r="O354" i="2" s="1"/>
  <c r="D355" i="2" a="1"/>
  <c r="D355" i="2" s="1"/>
  <c r="K355" i="2" a="1"/>
  <c r="K355" i="2" s="1"/>
  <c r="M355" i="2" a="1"/>
  <c r="M355" i="2" s="1"/>
  <c r="B356" i="2" a="1"/>
  <c r="B356" i="2" s="1"/>
  <c r="L356" i="2" a="1"/>
  <c r="L356" i="2" s="1"/>
  <c r="O356" i="2" a="1"/>
  <c r="O356" i="2" s="1"/>
  <c r="Q356" i="2" a="1"/>
  <c r="Q356" i="2" s="1"/>
  <c r="A357" i="2" a="1"/>
  <c r="A357" i="2" s="1"/>
  <c r="E357" i="2" a="1"/>
  <c r="E357" i="2" s="1"/>
  <c r="J357" i="2" a="1"/>
  <c r="J357" i="2" s="1"/>
  <c r="K357" i="2" a="1"/>
  <c r="K357" i="2" s="1"/>
  <c r="L357" i="2" a="1"/>
  <c r="L357" i="2" s="1"/>
  <c r="P357" i="2" a="1"/>
  <c r="P357" i="2" s="1"/>
  <c r="D358" i="2" a="1"/>
  <c r="D358" i="2" s="1"/>
  <c r="O358" i="2" a="1"/>
  <c r="O358" i="2" s="1"/>
  <c r="B359" i="2" a="1"/>
  <c r="B359" i="2" s="1"/>
  <c r="D359" i="2" a="1"/>
  <c r="D359" i="2" s="1"/>
  <c r="N359" i="2" a="1"/>
  <c r="N359" i="2" s="1"/>
  <c r="B360" i="2" a="1"/>
  <c r="B360" i="2" s="1"/>
  <c r="G360" i="2" a="1"/>
  <c r="G360" i="2" s="1"/>
  <c r="Q360" i="2" a="1"/>
  <c r="Q360" i="2" s="1"/>
  <c r="B361" i="2" a="1"/>
  <c r="B361" i="2" s="1"/>
  <c r="E361" i="2" a="1"/>
  <c r="E361" i="2" s="1"/>
  <c r="J361" i="2" a="1"/>
  <c r="J361" i="2" s="1"/>
  <c r="O361" i="2" a="1"/>
  <c r="O361" i="2" s="1"/>
  <c r="P361" i="2" a="1"/>
  <c r="P361" i="2" s="1"/>
  <c r="D362" i="2" a="1"/>
  <c r="D362" i="2" s="1"/>
  <c r="E362" i="2" a="1"/>
  <c r="E362" i="2" s="1"/>
  <c r="G362" i="2" a="1"/>
  <c r="G362" i="2" s="1"/>
  <c r="H362" i="2" a="1"/>
  <c r="H362" i="2" s="1"/>
  <c r="L362" i="2" a="1"/>
  <c r="L362" i="2" s="1"/>
  <c r="M362" i="2" a="1"/>
  <c r="M362" i="2" s="1"/>
  <c r="O362" i="2" a="1"/>
  <c r="O362" i="2" s="1"/>
  <c r="P362" i="2" a="1"/>
  <c r="P362" i="2" s="1"/>
  <c r="D363" i="2" a="1"/>
  <c r="D363" i="2" s="1"/>
  <c r="E363" i="2" a="1"/>
  <c r="E363" i="2" s="1"/>
  <c r="G363" i="2" a="1"/>
  <c r="G363" i="2" s="1"/>
  <c r="H363" i="2" a="1"/>
  <c r="H363" i="2" s="1"/>
  <c r="I363" i="2" a="1"/>
  <c r="I363" i="2" s="1"/>
  <c r="J363" i="2" a="1"/>
  <c r="J363" i="2" s="1"/>
  <c r="M363" i="2" a="1"/>
  <c r="M363" i="2" s="1"/>
  <c r="N363" i="2" a="1"/>
  <c r="N363" i="2" s="1"/>
  <c r="C364" i="2" a="1"/>
  <c r="C364" i="2" s="1"/>
  <c r="D364" i="2" a="1"/>
  <c r="D364" i="2" s="1"/>
  <c r="G364" i="2" a="1"/>
  <c r="G364" i="2" s="1"/>
  <c r="J364" i="2" a="1"/>
  <c r="J364" i="2" s="1"/>
  <c r="L364" i="2" a="1"/>
  <c r="L364" i="2" s="1"/>
  <c r="N364" i="2" a="1"/>
  <c r="N364" i="2" s="1"/>
  <c r="Q364" i="2" a="1"/>
  <c r="Q364" i="2" s="1"/>
  <c r="A365" i="2" a="1"/>
  <c r="A365" i="2" s="1"/>
  <c r="F365" i="2" a="1"/>
  <c r="F365" i="2" s="1"/>
  <c r="I365" i="2" a="1"/>
  <c r="I365" i="2" s="1"/>
  <c r="L365" i="2" a="1"/>
  <c r="L365" i="2" s="1"/>
  <c r="M365" i="2" a="1"/>
  <c r="M365" i="2" s="1"/>
  <c r="O365" i="2" a="1"/>
  <c r="O365" i="2" s="1"/>
  <c r="P365" i="2" a="1"/>
  <c r="P365" i="2" s="1"/>
  <c r="A366" i="2" a="1"/>
  <c r="A366" i="2" s="1"/>
  <c r="B366" i="2" a="1"/>
  <c r="B366" i="2" s="1"/>
  <c r="C366" i="2" a="1"/>
  <c r="C366" i="2" s="1"/>
  <c r="E366" i="2" a="1"/>
  <c r="E366" i="2" s="1"/>
  <c r="G366" i="2" a="1"/>
  <c r="G366" i="2" s="1"/>
  <c r="H366" i="2" a="1"/>
  <c r="H366" i="2" s="1"/>
  <c r="L366" i="2" a="1"/>
  <c r="L366" i="2" s="1"/>
  <c r="N366" i="2" a="1"/>
  <c r="N366" i="2" s="1"/>
  <c r="O366" i="2" a="1"/>
  <c r="O366" i="2" s="1"/>
  <c r="P366" i="2" a="1"/>
  <c r="P366" i="2" s="1"/>
  <c r="Q366" i="2" a="1"/>
  <c r="Q366" i="2" s="1"/>
  <c r="C367" i="2" a="1"/>
  <c r="C367" i="2" s="1"/>
  <c r="G367" i="2" a="1"/>
  <c r="G367" i="2" s="1"/>
  <c r="H367" i="2" a="1"/>
  <c r="H367" i="2" s="1"/>
  <c r="J367" i="2" a="1"/>
  <c r="J367" i="2" s="1"/>
  <c r="M367" i="2" a="1"/>
  <c r="M367" i="2" s="1"/>
  <c r="O367" i="2" a="1"/>
  <c r="O367" i="2" s="1"/>
  <c r="Q367" i="2" a="1"/>
  <c r="Q367" i="2" s="1"/>
  <c r="C368" i="2" a="1"/>
  <c r="C368" i="2" s="1"/>
  <c r="O368" i="2" a="1"/>
  <c r="O368" i="2" s="1"/>
  <c r="Q368" i="2" a="1"/>
  <c r="Q368" i="2" s="1"/>
  <c r="A369" i="2" a="1"/>
  <c r="A369" i="2" s="1"/>
  <c r="C369" i="2" a="1"/>
  <c r="C369" i="2" s="1"/>
  <c r="E369" i="2" a="1"/>
  <c r="E369" i="2" s="1"/>
  <c r="G369" i="2" a="1"/>
  <c r="G369" i="2" s="1"/>
  <c r="H369" i="2" a="1"/>
  <c r="H369" i="2" s="1"/>
  <c r="I369" i="2" a="1"/>
  <c r="I369" i="2" s="1"/>
  <c r="O369" i="2" a="1"/>
  <c r="O369" i="2" s="1"/>
  <c r="Q369" i="2" a="1"/>
  <c r="Q369" i="2" s="1"/>
  <c r="A370" i="2" a="1"/>
  <c r="A370" i="2" s="1"/>
  <c r="B370" i="2" a="1"/>
  <c r="B370" i="2" s="1"/>
  <c r="I370" i="2" a="1"/>
  <c r="I370" i="2" s="1"/>
  <c r="L370" i="2" a="1"/>
  <c r="L370" i="2" s="1"/>
  <c r="M370" i="2" a="1"/>
  <c r="M370" i="2" s="1"/>
  <c r="O370" i="2" a="1"/>
  <c r="O370" i="2" s="1"/>
  <c r="B371" i="2" a="1"/>
  <c r="B371" i="2" s="1"/>
  <c r="C371" i="2" a="1"/>
  <c r="C371" i="2" s="1"/>
  <c r="D371" i="2" a="1"/>
  <c r="D371" i="2" s="1"/>
  <c r="G371" i="2" a="1"/>
  <c r="G371" i="2" s="1"/>
  <c r="J371" i="2" a="1"/>
  <c r="J371" i="2" s="1"/>
  <c r="M371" i="2" a="1"/>
  <c r="M371" i="2" s="1"/>
  <c r="O371" i="2" a="1"/>
  <c r="O371" i="2" s="1"/>
  <c r="A372" i="2" a="1"/>
  <c r="A372" i="2" s="1"/>
  <c r="B372" i="2" a="1"/>
  <c r="B372" i="2" s="1"/>
  <c r="E372" i="2" a="1"/>
  <c r="E372" i="2" s="1"/>
  <c r="M372" i="2" a="1"/>
  <c r="M372" i="2" s="1"/>
  <c r="C373" i="2" a="1"/>
  <c r="C373" i="2" s="1"/>
  <c r="D373" i="2" a="1"/>
  <c r="D373" i="2" s="1"/>
  <c r="E373" i="2" a="1"/>
  <c r="E373" i="2" s="1"/>
  <c r="F373" i="2" a="1"/>
  <c r="F373" i="2" s="1"/>
  <c r="I373" i="2" a="1"/>
  <c r="I373" i="2" s="1"/>
  <c r="K373" i="2" a="1"/>
  <c r="K373" i="2" s="1"/>
  <c r="L373" i="2" a="1"/>
  <c r="L373" i="2" s="1"/>
  <c r="N373" i="2" a="1"/>
  <c r="N373" i="2" s="1"/>
  <c r="A374" i="2" a="1"/>
  <c r="A374" i="2" s="1"/>
  <c r="B374" i="2" a="1"/>
  <c r="B374" i="2" s="1"/>
  <c r="E374" i="2" a="1"/>
  <c r="E374" i="2" s="1"/>
  <c r="F374" i="2" a="1"/>
  <c r="F374" i="2" s="1"/>
  <c r="H374" i="2" a="1"/>
  <c r="H374" i="2" s="1"/>
  <c r="I374" i="2" a="1"/>
  <c r="I374" i="2" s="1"/>
  <c r="J374" i="2" a="1"/>
  <c r="J374" i="2" s="1"/>
  <c r="K374" i="2" a="1"/>
  <c r="K374" i="2" s="1"/>
  <c r="L374" i="2" a="1"/>
  <c r="L374" i="2" s="1"/>
  <c r="M374" i="2" a="1"/>
  <c r="M374" i="2" s="1"/>
  <c r="N374" i="2" a="1"/>
  <c r="N374" i="2" s="1"/>
  <c r="A375" i="2" a="1"/>
  <c r="A375" i="2" s="1"/>
  <c r="B375" i="2" a="1"/>
  <c r="B375" i="2" s="1"/>
  <c r="C375" i="2" a="1"/>
  <c r="C375" i="2" s="1"/>
  <c r="D375" i="2" a="1"/>
  <c r="D375" i="2" s="1"/>
  <c r="E375" i="2" a="1"/>
  <c r="E375" i="2" s="1"/>
  <c r="G375" i="2" a="1"/>
  <c r="G375" i="2" s="1"/>
  <c r="H375" i="2" a="1"/>
  <c r="H375" i="2" s="1"/>
  <c r="K375" i="2" a="1"/>
  <c r="K375" i="2" s="1"/>
  <c r="O375" i="2" a="1"/>
  <c r="O375" i="2" s="1"/>
  <c r="A376" i="2" a="1"/>
  <c r="A376" i="2" s="1"/>
  <c r="B376" i="2" a="1"/>
  <c r="B376" i="2" s="1"/>
  <c r="C376" i="2" a="1"/>
  <c r="C376" i="2" s="1"/>
  <c r="F376" i="2" a="1"/>
  <c r="F376" i="2" s="1"/>
  <c r="G376" i="2" a="1"/>
  <c r="G376" i="2" s="1"/>
  <c r="H376" i="2" a="1"/>
  <c r="H376" i="2" s="1"/>
  <c r="I376" i="2" a="1"/>
  <c r="I376" i="2" s="1"/>
  <c r="J376" i="2" a="1"/>
  <c r="J376" i="2" s="1"/>
  <c r="L376" i="2" a="1"/>
  <c r="L376" i="2" s="1"/>
  <c r="M376" i="2" a="1"/>
  <c r="M376" i="2" s="1"/>
  <c r="N376" i="2" a="1"/>
  <c r="N376" i="2" s="1"/>
  <c r="P376" i="2" a="1"/>
  <c r="P376" i="2" s="1"/>
  <c r="Q376" i="2" a="1"/>
  <c r="Q376" i="2" s="1"/>
  <c r="A377" i="2" a="1"/>
  <c r="A377" i="2" s="1"/>
  <c r="B377" i="2" a="1"/>
  <c r="B377" i="2" s="1"/>
  <c r="C377" i="2" a="1"/>
  <c r="C377" i="2" s="1"/>
  <c r="D377" i="2" a="1"/>
  <c r="D377" i="2" s="1"/>
  <c r="E377" i="2" a="1"/>
  <c r="E377" i="2" s="1"/>
  <c r="F377" i="2" a="1"/>
  <c r="F377" i="2" s="1"/>
  <c r="H377" i="2" a="1"/>
  <c r="H377" i="2" s="1"/>
  <c r="J377" i="2" a="1"/>
  <c r="J377" i="2" s="1"/>
  <c r="K377" i="2" a="1"/>
  <c r="K377" i="2" s="1"/>
  <c r="L377" i="2" a="1"/>
  <c r="L377" i="2" s="1"/>
  <c r="B378" i="2" a="1"/>
  <c r="B378" i="2" s="1"/>
  <c r="D378" i="2" a="1"/>
  <c r="D378" i="2" s="1"/>
  <c r="F378" i="2" a="1"/>
  <c r="F378" i="2" s="1"/>
  <c r="I378" i="2" a="1"/>
  <c r="I378" i="2" s="1"/>
  <c r="K378" i="2" a="1"/>
  <c r="K378" i="2" s="1"/>
  <c r="B379" i="2" a="1"/>
  <c r="B379" i="2" s="1"/>
  <c r="E379" i="2" a="1"/>
  <c r="E379" i="2" s="1"/>
  <c r="G379" i="2" a="1"/>
  <c r="G379" i="2" s="1"/>
  <c r="H379" i="2" a="1"/>
  <c r="H379" i="2" s="1"/>
  <c r="K379" i="2" a="1"/>
  <c r="K379" i="2" s="1"/>
  <c r="P379" i="2" a="1"/>
  <c r="P379" i="2" s="1"/>
  <c r="Q379" i="2" a="1"/>
  <c r="Q379" i="2" s="1"/>
  <c r="C380" i="2" a="1"/>
  <c r="C380" i="2" s="1"/>
  <c r="E380" i="2" a="1"/>
  <c r="E380" i="2" s="1"/>
  <c r="F380" i="2" a="1"/>
  <c r="F380" i="2" s="1"/>
  <c r="G380" i="2" a="1"/>
  <c r="G380" i="2" s="1"/>
  <c r="K380" i="2" a="1"/>
  <c r="K380" i="2" s="1"/>
  <c r="M380" i="2" a="1"/>
  <c r="M380" i="2" s="1"/>
  <c r="N380" i="2" a="1"/>
  <c r="N380" i="2" s="1"/>
  <c r="P380" i="2" a="1"/>
  <c r="P380" i="2" s="1"/>
  <c r="Q380" i="2" a="1"/>
  <c r="Q380" i="2" s="1"/>
  <c r="B381" i="2" a="1"/>
  <c r="B381" i="2" s="1"/>
  <c r="C381" i="2" a="1"/>
  <c r="C381" i="2" s="1"/>
  <c r="E381" i="2" a="1"/>
  <c r="E381" i="2" s="1"/>
  <c r="G381" i="2" a="1"/>
  <c r="G381" i="2" s="1"/>
  <c r="J381" i="2" a="1"/>
  <c r="J381" i="2" s="1"/>
  <c r="D382" i="2" a="1"/>
  <c r="D382" i="2" s="1"/>
  <c r="F382" i="2" a="1"/>
  <c r="F382" i="2" s="1"/>
  <c r="M382" i="2" a="1"/>
  <c r="M382" i="2" s="1"/>
  <c r="O382" i="2" a="1"/>
  <c r="O382" i="2" s="1"/>
  <c r="A383" i="2" a="1"/>
  <c r="A383" i="2" s="1"/>
  <c r="F383" i="2" a="1"/>
  <c r="F383" i="2" s="1"/>
  <c r="G383" i="2" a="1"/>
  <c r="G383" i="2" s="1"/>
  <c r="I383" i="2" a="1"/>
  <c r="I383" i="2" s="1"/>
  <c r="L383" i="2" a="1"/>
  <c r="L383" i="2" s="1"/>
  <c r="M383" i="2" a="1"/>
  <c r="M383" i="2" s="1"/>
  <c r="A384" i="2" a="1"/>
  <c r="A384" i="2" s="1"/>
  <c r="B384" i="2" a="1"/>
  <c r="B384" i="2" s="1"/>
  <c r="E384" i="2" a="1"/>
  <c r="E384" i="2" s="1"/>
  <c r="H384" i="2" a="1"/>
  <c r="H384" i="2" s="1"/>
  <c r="K384" i="2" a="1"/>
  <c r="K384" i="2" s="1"/>
  <c r="O384" i="2" a="1"/>
  <c r="O384" i="2" s="1"/>
  <c r="Q384" i="2" a="1"/>
  <c r="Q384" i="2" s="1"/>
  <c r="C385" i="2" a="1"/>
  <c r="C385" i="2" s="1"/>
  <c r="D385" i="2" a="1"/>
  <c r="D385" i="2" s="1"/>
  <c r="H385" i="2" a="1"/>
  <c r="H385" i="2" s="1"/>
  <c r="J385" i="2" a="1"/>
  <c r="J385" i="2" s="1"/>
  <c r="O385" i="2" a="1"/>
  <c r="O385" i="2" s="1"/>
  <c r="Q385" i="2" a="1"/>
  <c r="Q385" i="2" s="1"/>
  <c r="A386" i="2" a="1"/>
  <c r="A386" i="2" s="1"/>
  <c r="E386" i="2" a="1"/>
  <c r="E386" i="2" s="1"/>
  <c r="I386" i="2" a="1"/>
  <c r="I386" i="2" s="1"/>
  <c r="N386" i="2" a="1"/>
  <c r="N386" i="2" s="1"/>
  <c r="B387" i="2" a="1"/>
  <c r="B387" i="2" s="1"/>
  <c r="C387" i="2" a="1"/>
  <c r="C387" i="2" s="1"/>
  <c r="D387" i="2" a="1"/>
  <c r="D387" i="2" s="1"/>
  <c r="G387" i="2" a="1"/>
  <c r="G387" i="2" s="1"/>
  <c r="H387" i="2" a="1"/>
  <c r="H387" i="2" s="1"/>
  <c r="K387" i="2" a="1"/>
  <c r="K387" i="2" s="1"/>
  <c r="O387" i="2" a="1"/>
  <c r="O387" i="2" s="1"/>
  <c r="Q387" i="2" a="1"/>
  <c r="Q387" i="2" s="1"/>
  <c r="E388" i="2" a="1"/>
  <c r="E388" i="2" s="1"/>
  <c r="F388" i="2" a="1"/>
  <c r="F388" i="2" s="1"/>
  <c r="G388" i="2" a="1"/>
  <c r="G388" i="2" s="1"/>
  <c r="I388" i="2" a="1"/>
  <c r="I388" i="2" s="1"/>
  <c r="K388" i="2" a="1"/>
  <c r="K388" i="2" s="1"/>
  <c r="N388" i="2" a="1"/>
  <c r="N388" i="2" s="1"/>
  <c r="P388" i="2" a="1"/>
  <c r="P388" i="2" s="1"/>
  <c r="Q388" i="2" a="1"/>
  <c r="Q388" i="2" s="1"/>
  <c r="B389" i="2" a="1"/>
  <c r="B389" i="2" s="1"/>
  <c r="E389" i="2" a="1"/>
  <c r="E389" i="2" s="1"/>
  <c r="F389" i="2" a="1"/>
  <c r="F389" i="2" s="1"/>
  <c r="H389" i="2" a="1"/>
  <c r="H389" i="2" s="1"/>
  <c r="I389" i="2" a="1"/>
  <c r="I389" i="2" s="1"/>
  <c r="O389" i="2" a="1"/>
  <c r="O389" i="2" s="1"/>
  <c r="Q389" i="2" a="1"/>
  <c r="Q389" i="2" s="1"/>
  <c r="C390" i="2" a="1"/>
  <c r="C390" i="2" s="1"/>
  <c r="D390" i="2" a="1"/>
  <c r="D390" i="2" s="1"/>
  <c r="F390" i="2" a="1"/>
  <c r="F390" i="2" s="1"/>
  <c r="H390" i="2" a="1"/>
  <c r="H390" i="2" s="1"/>
  <c r="I390" i="2" a="1"/>
  <c r="I390" i="2" s="1"/>
  <c r="J390" i="2" a="1"/>
  <c r="J390" i="2" s="1"/>
  <c r="L390" i="2" a="1"/>
  <c r="L390" i="2" s="1"/>
  <c r="C391" i="2" a="1"/>
  <c r="C391" i="2" s="1"/>
  <c r="D391" i="2" a="1"/>
  <c r="D391" i="2" s="1"/>
  <c r="H391" i="2" a="1"/>
  <c r="H391" i="2" s="1"/>
  <c r="I391" i="2" a="1"/>
  <c r="I391" i="2" s="1"/>
  <c r="J391" i="2" a="1"/>
  <c r="J391" i="2" s="1"/>
  <c r="O391" i="2" a="1"/>
  <c r="O391" i="2" s="1"/>
  <c r="A392" i="2" a="1"/>
  <c r="A392" i="2" s="1"/>
  <c r="D392" i="2" a="1"/>
  <c r="D392" i="2" s="1"/>
  <c r="F392" i="2" a="1"/>
  <c r="F392" i="2" s="1"/>
  <c r="G392" i="2" a="1"/>
  <c r="G392" i="2" s="1"/>
  <c r="H392" i="2" a="1"/>
  <c r="H392" i="2" s="1"/>
  <c r="K392" i="2" a="1"/>
  <c r="K392" i="2" s="1"/>
  <c r="M392" i="2" a="1"/>
  <c r="M392" i="2" s="1"/>
  <c r="N392" i="2" a="1"/>
  <c r="N392" i="2" s="1"/>
  <c r="C393" i="2" a="1"/>
  <c r="C393" i="2" s="1"/>
  <c r="E393" i="2" a="1"/>
  <c r="E393" i="2" s="1"/>
  <c r="F393" i="2" a="1"/>
  <c r="F393" i="2" s="1"/>
  <c r="I393" i="2" a="1"/>
  <c r="I393" i="2" s="1"/>
  <c r="J393" i="2" a="1"/>
  <c r="J393" i="2" s="1"/>
  <c r="O393" i="2" a="1"/>
  <c r="O393" i="2" s="1"/>
  <c r="A394" i="2" a="1"/>
  <c r="A394" i="2" s="1"/>
  <c r="D394" i="2" a="1"/>
  <c r="D394" i="2" s="1"/>
  <c r="E394" i="2" a="1"/>
  <c r="E394" i="2" s="1"/>
  <c r="F394" i="2" a="1"/>
  <c r="F394" i="2" s="1"/>
  <c r="H394" i="2" a="1"/>
  <c r="H394" i="2" s="1"/>
  <c r="I394" i="2" a="1"/>
  <c r="I394" i="2" s="1"/>
  <c r="K394" i="2" a="1"/>
  <c r="K394" i="2" s="1"/>
  <c r="L394" i="2" a="1"/>
  <c r="L394" i="2" s="1"/>
  <c r="N394" i="2" a="1"/>
  <c r="N394" i="2" s="1"/>
  <c r="Q394" i="2" a="1"/>
  <c r="Q394" i="2" s="1"/>
  <c r="I395" i="2" a="1"/>
  <c r="I395" i="2" s="1"/>
  <c r="D396" i="2" a="1"/>
  <c r="D396" i="2" s="1"/>
  <c r="E396" i="2" a="1"/>
  <c r="E396" i="2" s="1"/>
  <c r="F396" i="2" a="1"/>
  <c r="F396" i="2" s="1"/>
  <c r="G396" i="2" a="1"/>
  <c r="G396" i="2" s="1"/>
  <c r="I396" i="2" a="1"/>
  <c r="I396" i="2" s="1"/>
  <c r="K396" i="2" a="1"/>
  <c r="K396" i="2" s="1"/>
  <c r="L396" i="2" a="1"/>
  <c r="L396" i="2" s="1"/>
  <c r="N396" i="2" a="1"/>
  <c r="N396" i="2" s="1"/>
  <c r="P396" i="2" a="1"/>
  <c r="P396" i="2" s="1"/>
  <c r="Q396" i="2" a="1"/>
  <c r="Q396" i="2" s="1"/>
  <c r="F397" i="2" a="1"/>
  <c r="F397" i="2" s="1"/>
  <c r="G397" i="2" a="1"/>
  <c r="G397" i="2" s="1"/>
  <c r="J397" i="2" a="1"/>
  <c r="J397" i="2" s="1"/>
  <c r="L397" i="2" a="1"/>
  <c r="L397" i="2" s="1"/>
  <c r="O397" i="2" a="1"/>
  <c r="O397" i="2" s="1"/>
  <c r="B398" i="2" a="1"/>
  <c r="B398" i="2" s="1"/>
  <c r="H398" i="2" a="1"/>
  <c r="H398" i="2" s="1"/>
  <c r="J398" i="2" a="1"/>
  <c r="J398" i="2" s="1"/>
  <c r="K398" i="2" a="1"/>
  <c r="K398" i="2" s="1"/>
  <c r="O398" i="2" a="1"/>
  <c r="O398" i="2" s="1"/>
  <c r="P398" i="2" a="1"/>
  <c r="P398" i="2" s="1"/>
  <c r="D399" i="2" a="1"/>
  <c r="D399" i="2" s="1"/>
  <c r="G399" i="2" a="1"/>
  <c r="G399" i="2" s="1"/>
  <c r="H399" i="2" a="1"/>
  <c r="H399" i="2" s="1"/>
  <c r="K399" i="2" a="1"/>
  <c r="K399" i="2" s="1"/>
  <c r="A400" i="2" a="1"/>
  <c r="A400" i="2" s="1"/>
  <c r="F400" i="2" a="1"/>
  <c r="F400" i="2" s="1"/>
  <c r="G400" i="2" a="1"/>
  <c r="G400" i="2" s="1"/>
  <c r="I400" i="2" a="1"/>
  <c r="I400" i="2" s="1"/>
  <c r="K400" i="2" a="1"/>
  <c r="K400" i="2" s="1"/>
  <c r="O400" i="2" a="1"/>
  <c r="O400" i="2" s="1"/>
  <c r="P400" i="2" a="1"/>
  <c r="P400" i="2" s="1"/>
  <c r="Q400" i="2" a="1"/>
  <c r="Q400" i="2" s="1"/>
  <c r="A401" i="2" a="1"/>
  <c r="A401" i="2" s="1"/>
  <c r="D401" i="2" a="1"/>
  <c r="D401" i="2" s="1"/>
  <c r="E401" i="2" a="1"/>
  <c r="E401" i="2" s="1"/>
  <c r="I401" i="2" a="1"/>
  <c r="I401" i="2" s="1"/>
  <c r="N401" i="2" a="1"/>
  <c r="N401" i="2" s="1"/>
  <c r="A402" i="2" a="1"/>
  <c r="A402" i="2" s="1"/>
  <c r="D402" i="2" a="1"/>
  <c r="D402" i="2" s="1"/>
  <c r="J402" i="2" a="1"/>
  <c r="J402" i="2" s="1"/>
  <c r="K402" i="2" a="1"/>
  <c r="K402" i="2" s="1"/>
  <c r="L402" i="2" a="1"/>
  <c r="L402" i="2" s="1"/>
  <c r="N402" i="2" a="1"/>
  <c r="N402" i="2" s="1"/>
  <c r="A403" i="2" a="1"/>
  <c r="A403" i="2" s="1"/>
  <c r="B403" i="2" a="1"/>
  <c r="B403" i="2" s="1"/>
  <c r="C403" i="2" a="1"/>
  <c r="C403" i="2" s="1"/>
  <c r="D403" i="2" a="1"/>
  <c r="D403" i="2" s="1"/>
  <c r="F403" i="2" a="1"/>
  <c r="F403" i="2" s="1"/>
  <c r="G403" i="2" a="1"/>
  <c r="G403" i="2" s="1"/>
  <c r="H403" i="2" a="1"/>
  <c r="H403" i="2" s="1"/>
  <c r="J403" i="2" a="1"/>
  <c r="J403" i="2" s="1"/>
  <c r="L403" i="2" a="1"/>
  <c r="L403" i="2" s="1"/>
  <c r="Q403" i="2" a="1"/>
  <c r="Q403" i="2" s="1"/>
  <c r="A404" i="2" a="1"/>
  <c r="A404" i="2" s="1"/>
  <c r="B404" i="2" a="1"/>
  <c r="B404" i="2" s="1"/>
  <c r="D404" i="2" a="1"/>
  <c r="D404" i="2" s="1"/>
  <c r="G404" i="2" a="1"/>
  <c r="G404" i="2" s="1"/>
  <c r="H404" i="2" a="1"/>
  <c r="H404" i="2" s="1"/>
  <c r="I404" i="2" a="1"/>
  <c r="I404" i="2" s="1"/>
  <c r="K404" i="2" a="1"/>
  <c r="K404" i="2" s="1"/>
  <c r="L404" i="2" a="1"/>
  <c r="L404" i="2" s="1"/>
  <c r="N404" i="2" a="1"/>
  <c r="N404" i="2" s="1"/>
  <c r="A405" i="2" a="1"/>
  <c r="A405" i="2" s="1"/>
  <c r="F405" i="2" a="1"/>
  <c r="F405" i="2" s="1"/>
  <c r="I405" i="2" a="1"/>
  <c r="I405" i="2" s="1"/>
  <c r="N405" i="2" a="1"/>
  <c r="N405" i="2" s="1"/>
  <c r="P405" i="2" a="1"/>
  <c r="P405" i="2" s="1"/>
  <c r="A406" i="2" a="1"/>
  <c r="A406" i="2" s="1"/>
  <c r="C406" i="2" a="1"/>
  <c r="C406" i="2" s="1"/>
  <c r="D406" i="2" a="1"/>
  <c r="D406" i="2" s="1"/>
  <c r="G406" i="2" a="1"/>
  <c r="G406" i="2" s="1"/>
  <c r="H406" i="2" a="1"/>
  <c r="H406" i="2" s="1"/>
  <c r="I406" i="2" a="1"/>
  <c r="I406" i="2" s="1"/>
  <c r="J406" i="2" a="1"/>
  <c r="J406" i="2" s="1"/>
  <c r="N406" i="2" a="1"/>
  <c r="N406" i="2" s="1"/>
  <c r="Q406" i="2" a="1"/>
  <c r="Q406" i="2" s="1"/>
  <c r="B407" i="2" a="1"/>
  <c r="B407" i="2" s="1"/>
  <c r="E407" i="2" a="1"/>
  <c r="E407" i="2" s="1"/>
  <c r="M407" i="2" a="1"/>
  <c r="M407" i="2" s="1"/>
  <c r="A408" i="2" a="1"/>
  <c r="A408" i="2" s="1"/>
  <c r="E408" i="2" a="1"/>
  <c r="E408" i="2" s="1"/>
  <c r="I408" i="2" a="1"/>
  <c r="I408" i="2" s="1"/>
  <c r="M408" i="2" a="1"/>
  <c r="M408" i="2" s="1"/>
  <c r="Q408" i="2" a="1"/>
  <c r="Q408" i="2" s="1"/>
  <c r="B409" i="2" a="1"/>
  <c r="B409" i="2" s="1"/>
  <c r="L409" i="2" a="1"/>
  <c r="L409" i="2" s="1"/>
  <c r="Q409" i="2" a="1"/>
  <c r="Q409" i="2" s="1"/>
  <c r="F410" i="2" a="1"/>
  <c r="F410" i="2" s="1"/>
  <c r="H410" i="2" a="1"/>
  <c r="H410" i="2" s="1"/>
  <c r="N410" i="2" a="1"/>
  <c r="N410" i="2" s="1"/>
  <c r="B411" i="2" a="1"/>
  <c r="B411" i="2" s="1"/>
  <c r="C411" i="2" a="1"/>
  <c r="C411" i="2" s="1"/>
  <c r="E411" i="2" a="1"/>
  <c r="E411" i="2" s="1"/>
  <c r="F411" i="2" a="1"/>
  <c r="F411" i="2" s="1"/>
  <c r="J411" i="2" a="1"/>
  <c r="J411" i="2" s="1"/>
  <c r="O411" i="2" a="1"/>
  <c r="O411" i="2" s="1"/>
  <c r="C412" i="2" a="1"/>
  <c r="C412" i="2" s="1"/>
  <c r="D412" i="2" a="1"/>
  <c r="D412" i="2" s="1"/>
  <c r="G412" i="2" a="1"/>
  <c r="G412" i="2" s="1"/>
  <c r="H412" i="2" a="1"/>
  <c r="H412" i="2" s="1"/>
  <c r="I412" i="2" a="1"/>
  <c r="I412" i="2" s="1"/>
  <c r="K412" i="2" a="1"/>
  <c r="K412" i="2" s="1"/>
  <c r="O412" i="2" a="1"/>
  <c r="O412" i="2" s="1"/>
  <c r="B413" i="2" a="1"/>
  <c r="B413" i="2" s="1"/>
  <c r="E413" i="2" a="1"/>
  <c r="E413" i="2" s="1"/>
  <c r="H413" i="2" a="1"/>
  <c r="H413" i="2" s="1"/>
  <c r="M413" i="2" a="1"/>
  <c r="M413" i="2" s="1"/>
  <c r="N413" i="2" a="1"/>
  <c r="N413" i="2" s="1"/>
  <c r="B414" i="2" a="1"/>
  <c r="B414" i="2" s="1"/>
  <c r="E414" i="2" a="1"/>
  <c r="E414" i="2" s="1"/>
  <c r="N414" i="2" a="1"/>
  <c r="N414" i="2" s="1"/>
  <c r="O414" i="2" a="1"/>
  <c r="O414" i="2" s="1"/>
  <c r="B415" i="2" a="1"/>
  <c r="B415" i="2" s="1"/>
  <c r="G415" i="2" a="1"/>
  <c r="G415" i="2" s="1"/>
  <c r="J415" i="2" a="1"/>
  <c r="J415" i="2" s="1"/>
  <c r="L415" i="2" a="1"/>
  <c r="L415" i="2" s="1"/>
  <c r="Q415" i="2" a="1"/>
  <c r="Q415" i="2" s="1"/>
  <c r="A416" i="2" a="1"/>
  <c r="A416" i="2" s="1"/>
  <c r="B416" i="2" a="1"/>
  <c r="B416" i="2" s="1"/>
  <c r="E416" i="2" a="1"/>
  <c r="E416" i="2" s="1"/>
  <c r="F416" i="2" a="1"/>
  <c r="F416" i="2" s="1"/>
  <c r="G416" i="2" a="1"/>
  <c r="G416" i="2" s="1"/>
  <c r="H416" i="2" a="1"/>
  <c r="H416" i="2" s="1"/>
  <c r="J416" i="2" a="1"/>
  <c r="J416" i="2" s="1"/>
  <c r="L416" i="2" a="1"/>
  <c r="L416" i="2" s="1"/>
  <c r="C417" i="2" a="1"/>
  <c r="C417" i="2" s="1"/>
  <c r="D417" i="2" a="1"/>
  <c r="D417" i="2" s="1"/>
  <c r="G417" i="2" a="1"/>
  <c r="G417" i="2" s="1"/>
  <c r="I417" i="2" a="1"/>
  <c r="I417" i="2" s="1"/>
  <c r="N417" i="2" a="1"/>
  <c r="N417" i="2" s="1"/>
  <c r="O417" i="2" a="1"/>
  <c r="O417" i="2" s="1"/>
  <c r="B418" i="2" a="1"/>
  <c r="B418" i="2" s="1"/>
  <c r="E418" i="2" a="1"/>
  <c r="E418" i="2" s="1"/>
  <c r="F418" i="2" a="1"/>
  <c r="F418" i="2" s="1"/>
  <c r="I418" i="2" a="1"/>
  <c r="I418" i="2" s="1"/>
  <c r="N418" i="2" a="1"/>
  <c r="N418" i="2" s="1"/>
  <c r="O418" i="2" a="1"/>
  <c r="O418" i="2" s="1"/>
  <c r="B419" i="2" a="1"/>
  <c r="B419" i="2" s="1"/>
  <c r="D419" i="2" a="1"/>
  <c r="D419" i="2" s="1"/>
  <c r="E419" i="2" a="1"/>
  <c r="E419" i="2" s="1"/>
  <c r="K419" i="2" a="1"/>
  <c r="K419" i="2" s="1"/>
  <c r="O419" i="2" a="1"/>
  <c r="O419" i="2" s="1"/>
  <c r="Q419" i="2" a="1"/>
  <c r="Q419" i="2" s="1"/>
  <c r="C420" i="2" a="1"/>
  <c r="C420" i="2" s="1"/>
  <c r="G420" i="2" a="1"/>
  <c r="G420" i="2" s="1"/>
  <c r="I420" i="2" a="1"/>
  <c r="I420" i="2" s="1"/>
  <c r="M420" i="2" a="1"/>
  <c r="M420" i="2" s="1"/>
  <c r="B421" i="2" a="1"/>
  <c r="B421" i="2" s="1"/>
  <c r="E421" i="2" a="1"/>
  <c r="E421" i="2" s="1"/>
  <c r="K421" i="2" a="1"/>
  <c r="K421" i="2" s="1"/>
  <c r="L421" i="2" a="1"/>
  <c r="L421" i="2" s="1"/>
  <c r="M421" i="2" a="1"/>
  <c r="M421" i="2" s="1"/>
  <c r="B422" i="2" a="1"/>
  <c r="B422" i="2" s="1"/>
  <c r="H422" i="2" a="1"/>
  <c r="H422" i="2" s="1"/>
  <c r="I422" i="2" a="1"/>
  <c r="I422" i="2" s="1"/>
  <c r="M422" i="2" a="1"/>
  <c r="M422" i="2" s="1"/>
  <c r="O422" i="2" a="1"/>
  <c r="O422" i="2" s="1"/>
  <c r="G423" i="2" a="1"/>
  <c r="G423" i="2" s="1"/>
  <c r="I423" i="2" a="1"/>
  <c r="I423" i="2" s="1"/>
  <c r="O423" i="2" a="1"/>
  <c r="O423" i="2" s="1"/>
  <c r="P423" i="2" a="1"/>
  <c r="P423" i="2" s="1"/>
  <c r="A424" i="2" a="1"/>
  <c r="A424" i="2" s="1"/>
  <c r="D424" i="2" a="1"/>
  <c r="D424" i="2" s="1"/>
  <c r="I424" i="2" a="1"/>
  <c r="I424" i="2" s="1"/>
  <c r="L424" i="2" a="1"/>
  <c r="L424" i="2" s="1"/>
  <c r="N424" i="2" a="1"/>
  <c r="N424" i="2" s="1"/>
  <c r="Q424" i="2" a="1"/>
  <c r="Q424" i="2" s="1"/>
  <c r="C425" i="2" a="1"/>
  <c r="C425" i="2" s="1"/>
  <c r="O425" i="2" a="1"/>
  <c r="O425" i="2" s="1"/>
  <c r="A426" i="2" a="1"/>
  <c r="A426" i="2" s="1"/>
  <c r="C426" i="2" a="1"/>
  <c r="C426" i="2" s="1"/>
  <c r="D426" i="2" a="1"/>
  <c r="D426" i="2" s="1"/>
  <c r="I426" i="2" a="1"/>
  <c r="I426" i="2" s="1"/>
  <c r="K426" i="2" a="1"/>
  <c r="K426" i="2" s="1"/>
  <c r="C427" i="2" a="1"/>
  <c r="C427" i="2" s="1"/>
  <c r="F427" i="2" a="1"/>
  <c r="F427" i="2" s="1"/>
  <c r="I427" i="2" a="1"/>
  <c r="I427" i="2" s="1"/>
  <c r="J427" i="2" a="1"/>
  <c r="J427" i="2" s="1"/>
  <c r="K427" i="2" a="1"/>
  <c r="K427" i="2" s="1"/>
  <c r="M427" i="2" a="1"/>
  <c r="M427" i="2" s="1"/>
  <c r="O427" i="2" a="1"/>
  <c r="O427" i="2" s="1"/>
  <c r="A428" i="2" a="1"/>
  <c r="A428" i="2" s="1"/>
  <c r="C428" i="2" a="1"/>
  <c r="C428" i="2" s="1"/>
  <c r="I428" i="2" a="1"/>
  <c r="I428" i="2" s="1"/>
  <c r="L428" i="2" a="1"/>
  <c r="L428" i="2" s="1"/>
  <c r="Q428" i="2" a="1"/>
  <c r="Q428" i="2" s="1"/>
  <c r="A429" i="2" a="1"/>
  <c r="A429" i="2" s="1"/>
  <c r="F429" i="2" a="1"/>
  <c r="F429" i="2" s="1"/>
  <c r="G429" i="2" a="1"/>
  <c r="G429" i="2" s="1"/>
  <c r="I429" i="2" a="1"/>
  <c r="I429" i="2" s="1"/>
  <c r="N429" i="2" a="1"/>
  <c r="N429" i="2" s="1"/>
  <c r="P429" i="2" a="1"/>
  <c r="P429" i="2" s="1"/>
  <c r="Q429" i="2" a="1"/>
  <c r="Q429" i="2" s="1"/>
  <c r="A430" i="2" a="1"/>
  <c r="A430" i="2" s="1"/>
  <c r="B430" i="2" a="1"/>
  <c r="B430" i="2" s="1"/>
  <c r="F430" i="2" a="1"/>
  <c r="F430" i="2" s="1"/>
  <c r="I430" i="2" a="1"/>
  <c r="I430" i="2" s="1"/>
  <c r="M430" i="2" a="1"/>
  <c r="M430" i="2" s="1"/>
  <c r="C431" i="2" a="1"/>
  <c r="C431" i="2" s="1"/>
  <c r="N431" i="2" a="1"/>
  <c r="N431" i="2" s="1"/>
  <c r="O431" i="2" a="1"/>
  <c r="O431" i="2" s="1"/>
  <c r="Q431" i="2" a="1"/>
  <c r="Q431" i="2" s="1"/>
  <c r="A432" i="2" a="1"/>
  <c r="A432" i="2" s="1"/>
  <c r="C432" i="2" a="1"/>
  <c r="C432" i="2" s="1"/>
  <c r="E432" i="2" a="1"/>
  <c r="E432" i="2" s="1"/>
  <c r="H432" i="2" a="1"/>
  <c r="H432" i="2" s="1"/>
  <c r="I432" i="2" a="1"/>
  <c r="I432" i="2" s="1"/>
  <c r="J432" i="2" a="1"/>
  <c r="J432" i="2" s="1"/>
  <c r="K432" i="2" a="1"/>
  <c r="K432" i="2" s="1"/>
  <c r="L432" i="2" a="1"/>
  <c r="L432" i="2" s="1"/>
  <c r="P432" i="2" a="1"/>
  <c r="P432" i="2" s="1"/>
  <c r="D433" i="2" a="1"/>
  <c r="D433" i="2" s="1"/>
  <c r="F433" i="2" a="1"/>
  <c r="F433" i="2" s="1"/>
  <c r="M433" i="2" a="1"/>
  <c r="M433" i="2" s="1"/>
  <c r="N433" i="2" a="1"/>
  <c r="N433" i="2" s="1"/>
  <c r="O433" i="2" a="1"/>
  <c r="O433" i="2" s="1"/>
  <c r="P433" i="2" a="1"/>
  <c r="P433" i="2" s="1"/>
  <c r="Q433" i="2" a="1"/>
  <c r="Q433" i="2" s="1"/>
  <c r="D434" i="2" a="1"/>
  <c r="D434" i="2" s="1"/>
  <c r="F434" i="2" a="1"/>
  <c r="F434" i="2" s="1"/>
  <c r="I434" i="2" a="1"/>
  <c r="I434" i="2" s="1"/>
  <c r="J434" i="2" a="1"/>
  <c r="J434" i="2" s="1"/>
  <c r="M434" i="2" a="1"/>
  <c r="M434" i="2" s="1"/>
  <c r="N434" i="2" a="1"/>
  <c r="N434" i="2" s="1"/>
  <c r="O434" i="2" a="1"/>
  <c r="O434" i="2" s="1"/>
  <c r="C435" i="2" a="1"/>
  <c r="C435" i="2" s="1"/>
  <c r="I435" i="2" a="1"/>
  <c r="I435" i="2" s="1"/>
  <c r="J435" i="2" a="1"/>
  <c r="J435" i="2" s="1"/>
  <c r="M435" i="2" a="1"/>
  <c r="M435" i="2" s="1"/>
  <c r="N435" i="2" a="1"/>
  <c r="N435" i="2" s="1"/>
  <c r="O435" i="2" a="1"/>
  <c r="O435" i="2" s="1"/>
  <c r="C436" i="2" a="1"/>
  <c r="C436" i="2" s="1"/>
  <c r="D436" i="2" a="1"/>
  <c r="D436" i="2" s="1"/>
  <c r="E436" i="2" a="1"/>
  <c r="E436" i="2" s="1"/>
  <c r="G436" i="2" a="1"/>
  <c r="G436" i="2" s="1"/>
  <c r="I436" i="2" a="1"/>
  <c r="I436" i="2" s="1"/>
  <c r="K436" i="2" a="1"/>
  <c r="K436" i="2" s="1"/>
  <c r="M436" i="2" a="1"/>
  <c r="M436" i="2" s="1"/>
  <c r="B437" i="2" a="1"/>
  <c r="B437" i="2" s="1"/>
  <c r="C437" i="2" a="1"/>
  <c r="C437" i="2" s="1"/>
  <c r="D437" i="2" a="1"/>
  <c r="D437" i="2" s="1"/>
  <c r="E437" i="2" a="1"/>
  <c r="E437" i="2" s="1"/>
  <c r="G437" i="2" a="1"/>
  <c r="G437" i="2" s="1"/>
  <c r="I437" i="2" a="1"/>
  <c r="I437" i="2" s="1"/>
  <c r="K437" i="2" a="1"/>
  <c r="K437" i="2" s="1"/>
  <c r="C438" i="2" a="1"/>
  <c r="C438" i="2" s="1"/>
  <c r="D438" i="2" a="1"/>
  <c r="D438" i="2" s="1"/>
  <c r="I438" i="2" a="1"/>
  <c r="I438" i="2" s="1"/>
  <c r="J438" i="2" a="1"/>
  <c r="J438" i="2" s="1"/>
  <c r="K438" i="2" a="1"/>
  <c r="K438" i="2" s="1"/>
  <c r="L438" i="2" a="1"/>
  <c r="L438" i="2" s="1"/>
  <c r="N438" i="2" a="1"/>
  <c r="N438" i="2" s="1"/>
  <c r="Q438" i="2" a="1"/>
  <c r="Q438" i="2" s="1"/>
  <c r="B439" i="2" a="1"/>
  <c r="B439" i="2" s="1"/>
  <c r="D439" i="2" a="1"/>
  <c r="D439" i="2" s="1"/>
  <c r="G439" i="2" a="1"/>
  <c r="G439" i="2" s="1"/>
  <c r="H439" i="2" a="1"/>
  <c r="H439" i="2" s="1"/>
  <c r="I439" i="2" a="1"/>
  <c r="I439" i="2" s="1"/>
  <c r="B440" i="2" a="1"/>
  <c r="B440" i="2" s="1"/>
  <c r="D440" i="2" a="1"/>
  <c r="D440" i="2" s="1"/>
  <c r="J440" i="2" a="1"/>
  <c r="J440" i="2" s="1"/>
  <c r="K440" i="2" a="1"/>
  <c r="K440" i="2" s="1"/>
  <c r="M440" i="2" a="1"/>
  <c r="M440" i="2" s="1"/>
  <c r="O440" i="2" a="1"/>
  <c r="O440" i="2" s="1"/>
  <c r="P440" i="2" a="1"/>
  <c r="P440" i="2" s="1"/>
  <c r="Q440" i="2" a="1"/>
  <c r="Q440" i="2" s="1"/>
  <c r="B441" i="2" a="1"/>
  <c r="B441" i="2" s="1"/>
  <c r="D441" i="2" a="1"/>
  <c r="D441" i="2" s="1"/>
  <c r="E441" i="2" a="1"/>
  <c r="E441" i="2" s="1"/>
  <c r="F441" i="2" a="1"/>
  <c r="F441" i="2" s="1"/>
  <c r="G441" i="2" a="1"/>
  <c r="G441" i="2" s="1"/>
  <c r="K441" i="2" a="1"/>
  <c r="K441" i="2" s="1"/>
  <c r="O441" i="2" a="1"/>
  <c r="O441" i="2" s="1"/>
  <c r="F442" i="2" a="1"/>
  <c r="F442" i="2" s="1"/>
  <c r="K442" i="2" a="1"/>
  <c r="K442" i="2" s="1"/>
  <c r="A443" i="2" a="1"/>
  <c r="A443" i="2" s="1"/>
  <c r="D443" i="2" a="1"/>
  <c r="D443" i="2" s="1"/>
  <c r="F443" i="2" a="1"/>
  <c r="F443" i="2" s="1"/>
  <c r="J443" i="2" a="1"/>
  <c r="J443" i="2" s="1"/>
  <c r="L443" i="2" a="1"/>
  <c r="L443" i="2" s="1"/>
  <c r="M443" i="2" a="1"/>
  <c r="M443" i="2" s="1"/>
  <c r="N443" i="2" a="1"/>
  <c r="N443" i="2" s="1"/>
  <c r="P443" i="2" a="1"/>
  <c r="P443" i="2" s="1"/>
  <c r="Q443" i="2" a="1"/>
  <c r="Q443" i="2" s="1"/>
  <c r="E444" i="2" a="1"/>
  <c r="E444" i="2" s="1"/>
  <c r="G444" i="2" a="1"/>
  <c r="G444" i="2" s="1"/>
  <c r="L444" i="2" a="1"/>
  <c r="L444" i="2" s="1"/>
  <c r="M444" i="2" a="1"/>
  <c r="M444" i="2" s="1"/>
  <c r="Q444" i="2" a="1"/>
  <c r="Q444" i="2" s="1"/>
  <c r="A445" i="2" a="1"/>
  <c r="A445" i="2" s="1"/>
  <c r="E445" i="2" a="1"/>
  <c r="E445" i="2" s="1"/>
  <c r="G445" i="2" a="1"/>
  <c r="G445" i="2" s="1"/>
  <c r="H445" i="2" a="1"/>
  <c r="H445" i="2" s="1"/>
  <c r="J445" i="2" a="1"/>
  <c r="J445" i="2" s="1"/>
  <c r="D446" i="2" a="1"/>
  <c r="D446" i="2" s="1"/>
  <c r="J446" i="2" a="1"/>
  <c r="J446" i="2" s="1"/>
  <c r="M446" i="2" a="1"/>
  <c r="M446" i="2" s="1"/>
  <c r="O446" i="2" a="1"/>
  <c r="O446" i="2" s="1"/>
  <c r="C447" i="2" a="1"/>
  <c r="C447" i="2" s="1"/>
  <c r="E447" i="2" a="1"/>
  <c r="E447" i="2" s="1"/>
  <c r="G447" i="2" a="1"/>
  <c r="G447" i="2" s="1"/>
  <c r="H447" i="2" a="1"/>
  <c r="H447" i="2" s="1"/>
  <c r="K447" i="2" a="1"/>
  <c r="K447" i="2" s="1"/>
  <c r="P447" i="2" a="1"/>
  <c r="P447" i="2" s="1"/>
  <c r="Q447" i="2" a="1"/>
  <c r="Q447" i="2" s="1"/>
  <c r="B448" i="2" a="1"/>
  <c r="B448" i="2" s="1"/>
  <c r="F448" i="2" a="1"/>
  <c r="F448" i="2" s="1"/>
  <c r="H448" i="2" a="1"/>
  <c r="H448" i="2" s="1"/>
  <c r="A449" i="2" a="1"/>
  <c r="A449" i="2" s="1"/>
  <c r="D449" i="2" a="1"/>
  <c r="D449" i="2" s="1"/>
  <c r="F449" i="2" a="1"/>
  <c r="F449" i="2" s="1"/>
  <c r="H449" i="2" a="1"/>
  <c r="H449" i="2" s="1"/>
  <c r="K449" i="2" a="1"/>
  <c r="K449" i="2" s="1"/>
  <c r="Q449" i="2" a="1"/>
  <c r="Q449" i="2" s="1"/>
  <c r="A450" i="2" a="1"/>
  <c r="A450" i="2" s="1"/>
  <c r="C450" i="2" a="1"/>
  <c r="C450" i="2" s="1"/>
  <c r="D450" i="2" a="1"/>
  <c r="D450" i="2" s="1"/>
  <c r="E450" i="2" a="1"/>
  <c r="E450" i="2" s="1"/>
  <c r="K450" i="2" a="1"/>
  <c r="K450" i="2" s="1"/>
  <c r="C451" i="2" a="1"/>
  <c r="C451" i="2" s="1"/>
  <c r="D451" i="2" a="1"/>
  <c r="D451" i="2" s="1"/>
  <c r="J451" i="2" a="1"/>
  <c r="J451" i="2" s="1"/>
  <c r="B452" i="2" a="1"/>
  <c r="B452" i="2" s="1"/>
  <c r="F452" i="2" a="1"/>
  <c r="F452" i="2" s="1"/>
  <c r="G452" i="2" a="1"/>
  <c r="G452" i="2" s="1"/>
  <c r="H452" i="2" a="1"/>
  <c r="H452" i="2" s="1"/>
  <c r="L452" i="2" a="1"/>
  <c r="L452" i="2" s="1"/>
  <c r="A455" i="2" a="1"/>
  <c r="A455" i="2" s="1"/>
  <c r="B455" i="2" a="1"/>
  <c r="B455" i="2" s="1"/>
  <c r="C455" i="2" a="1"/>
  <c r="C455" i="2" s="1"/>
  <c r="G455" i="2" a="1"/>
  <c r="G455" i="2" s="1"/>
  <c r="K455" i="2" a="1"/>
  <c r="K455" i="2" s="1"/>
  <c r="O455" i="2" a="1"/>
  <c r="O455" i="2" s="1"/>
  <c r="H456" i="2" a="1"/>
  <c r="H456" i="2" s="1"/>
  <c r="M456" i="2" a="1"/>
  <c r="M456" i="2" s="1"/>
  <c r="A457" i="2" a="1"/>
  <c r="A457" i="2" s="1"/>
  <c r="G457" i="2" a="1"/>
  <c r="G457" i="2" s="1"/>
  <c r="J457" i="2" a="1"/>
  <c r="J457" i="2" s="1"/>
  <c r="K457" i="2" a="1"/>
  <c r="K457" i="2" s="1"/>
  <c r="M457" i="2" a="1"/>
  <c r="M457" i="2" s="1"/>
  <c r="C458" i="2" a="1"/>
  <c r="C458" i="2" s="1"/>
  <c r="O458" i="2" a="1"/>
  <c r="O458" i="2" s="1"/>
  <c r="Q458" i="2" a="1"/>
  <c r="Q458" i="2" s="1"/>
  <c r="A459" i="2" a="1"/>
  <c r="A459" i="2" s="1"/>
  <c r="G459" i="2" a="1"/>
  <c r="G459" i="2" s="1"/>
  <c r="H459" i="2" a="1"/>
  <c r="H459" i="2" s="1"/>
  <c r="L459" i="2" a="1"/>
  <c r="L459" i="2" s="1"/>
  <c r="M459" i="2" a="1"/>
  <c r="M459" i="2" s="1"/>
  <c r="O459" i="2" a="1"/>
  <c r="O459" i="2" s="1"/>
  <c r="P459" i="2" a="1"/>
  <c r="P459" i="2" s="1"/>
  <c r="C460" i="2" a="1"/>
  <c r="C460" i="2" s="1"/>
  <c r="I460" i="2" a="1"/>
  <c r="I460" i="2" s="1"/>
  <c r="K460" i="2" a="1"/>
  <c r="K460" i="2" s="1"/>
  <c r="N460" i="2" a="1"/>
  <c r="N460" i="2" s="1"/>
  <c r="O460" i="2" a="1"/>
  <c r="O460" i="2" s="1"/>
  <c r="B461" i="2" a="1"/>
  <c r="B461" i="2" s="1"/>
  <c r="C461" i="2" a="1"/>
  <c r="C461" i="2" s="1"/>
  <c r="K461" i="2" a="1"/>
  <c r="K461" i="2" s="1"/>
  <c r="L461" i="2" a="1"/>
  <c r="L461" i="2" s="1"/>
  <c r="Q461" i="2" a="1"/>
  <c r="Q461" i="2" s="1"/>
  <c r="A462" i="2" a="1"/>
  <c r="A462" i="2" s="1"/>
  <c r="B462" i="2" a="1"/>
  <c r="B462" i="2" s="1"/>
  <c r="C462" i="2" a="1"/>
  <c r="C462" i="2" s="1"/>
  <c r="D462" i="2" a="1"/>
  <c r="D462" i="2" s="1"/>
  <c r="F462" i="2" a="1"/>
  <c r="F462" i="2" s="1"/>
  <c r="Q462" i="2" a="1"/>
  <c r="Q462" i="2" s="1"/>
  <c r="B463" i="2" a="1"/>
  <c r="B463" i="2" s="1"/>
  <c r="E463" i="2" a="1"/>
  <c r="E463" i="2" s="1"/>
  <c r="F463" i="2" a="1"/>
  <c r="F463" i="2" s="1"/>
  <c r="H463" i="2" a="1"/>
  <c r="H463" i="2" s="1"/>
  <c r="K463" i="2" a="1"/>
  <c r="K463" i="2" s="1"/>
  <c r="M463" i="2" a="1"/>
  <c r="M463" i="2" s="1"/>
  <c r="N463" i="2" a="1"/>
  <c r="N463" i="2" s="1"/>
  <c r="O463" i="2" a="1"/>
  <c r="O463" i="2" s="1"/>
  <c r="Q463" i="2" a="1"/>
  <c r="Q463" i="2" s="1"/>
  <c r="D464" i="2" a="1"/>
  <c r="D464" i="2" s="1"/>
  <c r="F464" i="2" a="1"/>
  <c r="F464" i="2" s="1"/>
  <c r="I464" i="2" a="1"/>
  <c r="I464" i="2" s="1"/>
  <c r="K464" i="2" a="1"/>
  <c r="K464" i="2" s="1"/>
  <c r="N464" i="2" a="1"/>
  <c r="N464" i="2" s="1"/>
  <c r="D465" i="2" a="1"/>
  <c r="D465" i="2" s="1"/>
  <c r="H465" i="2" a="1"/>
  <c r="H465" i="2" s="1"/>
  <c r="M465" i="2" a="1"/>
  <c r="M465" i="2" s="1"/>
  <c r="N465" i="2" a="1"/>
  <c r="N465" i="2" s="1"/>
  <c r="P465" i="2" a="1"/>
  <c r="P465" i="2" s="1"/>
  <c r="C466" i="2" a="1"/>
  <c r="C466" i="2" s="1"/>
  <c r="E466" i="2" a="1"/>
  <c r="E466" i="2" s="1"/>
  <c r="J466" i="2" a="1"/>
  <c r="J466" i="2" s="1"/>
  <c r="K466" i="2" a="1"/>
  <c r="K466" i="2" s="1"/>
  <c r="L466" i="2" a="1"/>
  <c r="L466" i="2" s="1"/>
  <c r="O466" i="2" a="1"/>
  <c r="O466" i="2" s="1"/>
  <c r="A467" i="2" a="1"/>
  <c r="A467" i="2" s="1"/>
  <c r="E467" i="2" a="1"/>
  <c r="E467" i="2" s="1"/>
  <c r="G467" i="2" a="1"/>
  <c r="G467" i="2" s="1"/>
  <c r="J467" i="2" a="1"/>
  <c r="J467" i="2" s="1"/>
  <c r="N467" i="2" a="1"/>
  <c r="N467" i="2" s="1"/>
  <c r="E468" i="2" a="1"/>
  <c r="E468" i="2" s="1"/>
  <c r="I468" i="2" a="1"/>
  <c r="I468" i="2" s="1"/>
  <c r="L468" i="2" a="1"/>
  <c r="L468" i="2" s="1"/>
  <c r="B469" i="2" a="1"/>
  <c r="B469" i="2" s="1"/>
  <c r="D469" i="2" a="1"/>
  <c r="D469" i="2" s="1"/>
  <c r="G469" i="2" a="1"/>
  <c r="G469" i="2" s="1"/>
  <c r="I469" i="2" a="1"/>
  <c r="I469" i="2" s="1"/>
  <c r="D470" i="2" a="1"/>
  <c r="D470" i="2" s="1"/>
  <c r="G470" i="2" a="1"/>
  <c r="G470" i="2" s="1"/>
  <c r="I470" i="2" a="1"/>
  <c r="I470" i="2" s="1"/>
  <c r="Q470" i="2" a="1"/>
  <c r="Q470" i="2" s="1"/>
  <c r="J471" i="2" a="1"/>
  <c r="J471" i="2" s="1"/>
  <c r="L471" i="2" a="1"/>
  <c r="L471" i="2" s="1"/>
  <c r="N471" i="2" a="1"/>
  <c r="N471" i="2" s="1"/>
  <c r="A472" i="2" a="1"/>
  <c r="A472" i="2" s="1"/>
  <c r="B472" i="2" a="1"/>
  <c r="B472" i="2" s="1"/>
  <c r="D472" i="2" a="1"/>
  <c r="D472" i="2" s="1"/>
  <c r="G472" i="2" a="1"/>
  <c r="G472" i="2" s="1"/>
  <c r="H472" i="2" a="1"/>
  <c r="H472" i="2" s="1"/>
  <c r="K472" i="2" a="1"/>
  <c r="K472" i="2" s="1"/>
  <c r="N472" i="2" a="1"/>
  <c r="N472" i="2" s="1"/>
  <c r="O472" i="2" a="1"/>
  <c r="O472" i="2" s="1"/>
  <c r="P472" i="2" a="1"/>
  <c r="P472" i="2" s="1"/>
  <c r="Q472" i="2" a="1"/>
  <c r="Q472" i="2" s="1"/>
  <c r="A473" i="2" a="1"/>
  <c r="A473" i="2" s="1"/>
  <c r="C473" i="2" a="1"/>
  <c r="C473" i="2" s="1"/>
  <c r="D473" i="2" a="1"/>
  <c r="D473" i="2" s="1"/>
  <c r="E473" i="2" a="1"/>
  <c r="E473" i="2" s="1"/>
  <c r="F473" i="2" a="1"/>
  <c r="F473" i="2" s="1"/>
  <c r="H473" i="2" a="1"/>
  <c r="H473" i="2" s="1"/>
  <c r="I473" i="2" a="1"/>
  <c r="I473" i="2" s="1"/>
  <c r="O473" i="2" a="1"/>
  <c r="O473" i="2" s="1"/>
  <c r="D474" i="2" a="1"/>
  <c r="D474" i="2" s="1"/>
  <c r="F474" i="2" a="1"/>
  <c r="F474" i="2" s="1"/>
  <c r="L474" i="2" a="1"/>
  <c r="L474" i="2" s="1"/>
  <c r="P474" i="2" a="1"/>
  <c r="P474" i="2" s="1"/>
  <c r="Q474" i="2" a="1"/>
  <c r="Q474" i="2" s="1"/>
  <c r="A475" i="2" a="1"/>
  <c r="A475" i="2" s="1"/>
  <c r="E475" i="2" a="1"/>
  <c r="E475" i="2" s="1"/>
  <c r="J475" i="2" a="1"/>
  <c r="J475" i="2" s="1"/>
  <c r="P475" i="2" a="1"/>
  <c r="P475" i="2" s="1"/>
  <c r="Q475" i="2" a="1"/>
  <c r="Q475" i="2" s="1"/>
  <c r="B476" i="2" a="1"/>
  <c r="B476" i="2" s="1"/>
  <c r="D476" i="2" a="1"/>
  <c r="D476" i="2" s="1"/>
  <c r="N476" i="2" a="1"/>
  <c r="N476" i="2" s="1"/>
  <c r="P476" i="2" a="1"/>
  <c r="P476" i="2" s="1"/>
  <c r="B477" i="2" a="1"/>
  <c r="B477" i="2" s="1"/>
  <c r="E477" i="2" a="1"/>
  <c r="E477" i="2" s="1"/>
  <c r="G477" i="2" a="1"/>
  <c r="G477" i="2" s="1"/>
  <c r="H477" i="2" a="1"/>
  <c r="H477" i="2" s="1"/>
  <c r="I477" i="2" a="1"/>
  <c r="I477" i="2" s="1"/>
  <c r="J477" i="2" a="1"/>
  <c r="J477" i="2" s="1"/>
  <c r="K477" i="2" a="1"/>
  <c r="K477" i="2" s="1"/>
  <c r="M477" i="2" a="1"/>
  <c r="M477" i="2" s="1"/>
  <c r="O477" i="2" a="1"/>
  <c r="O477" i="2" s="1"/>
  <c r="E478" i="2" a="1"/>
  <c r="E478" i="2" s="1"/>
  <c r="H478" i="2" a="1"/>
  <c r="H478" i="2" s="1"/>
  <c r="I478" i="2" a="1"/>
  <c r="I478" i="2" s="1"/>
  <c r="K478" i="2" a="1"/>
  <c r="K478" i="2" s="1"/>
  <c r="O478" i="2" a="1"/>
  <c r="O478" i="2" s="1"/>
  <c r="P478" i="2" a="1"/>
  <c r="P478" i="2" s="1"/>
  <c r="C479" i="2" a="1"/>
  <c r="C479" i="2" s="1"/>
  <c r="E479" i="2" a="1"/>
  <c r="E479" i="2" s="1"/>
  <c r="F479" i="2" a="1"/>
  <c r="F479" i="2" s="1"/>
  <c r="G479" i="2" a="1"/>
  <c r="G479" i="2" s="1"/>
  <c r="H479" i="2" a="1"/>
  <c r="H479" i="2" s="1"/>
  <c r="I479" i="2" a="1"/>
  <c r="I479" i="2" s="1"/>
  <c r="J479" i="2" a="1"/>
  <c r="J479" i="2" s="1"/>
  <c r="K479" i="2" a="1"/>
  <c r="K479" i="2" s="1"/>
  <c r="Q479" i="2" a="1"/>
  <c r="Q479" i="2" s="1"/>
  <c r="J480" i="2" a="1"/>
  <c r="J480" i="2" s="1"/>
  <c r="N480" i="2" a="1"/>
  <c r="N480" i="2" s="1"/>
  <c r="O480" i="2" a="1"/>
  <c r="O480" i="2" s="1"/>
  <c r="P480" i="2" a="1"/>
  <c r="P480" i="2" s="1"/>
  <c r="E481" i="2" a="1"/>
  <c r="E481" i="2" s="1"/>
  <c r="F481" i="2" a="1"/>
  <c r="F481" i="2" s="1"/>
  <c r="G481" i="2" a="1"/>
  <c r="G481" i="2" s="1"/>
  <c r="J481" i="2" a="1"/>
  <c r="J481" i="2" s="1"/>
  <c r="M481" i="2" a="1"/>
  <c r="M481" i="2" s="1"/>
  <c r="N481" i="2" a="1"/>
  <c r="N481" i="2" s="1"/>
  <c r="O481" i="2" a="1"/>
  <c r="O481" i="2" s="1"/>
  <c r="P481" i="2" a="1"/>
  <c r="P481" i="2" s="1"/>
  <c r="B482" i="2" a="1"/>
  <c r="B482" i="2" s="1"/>
  <c r="H482" i="2" a="1"/>
  <c r="H482" i="2" s="1"/>
  <c r="J482" i="2" a="1"/>
  <c r="J482" i="2" s="1"/>
  <c r="K482" i="2" a="1"/>
  <c r="K482" i="2" s="1"/>
  <c r="M482" i="2" a="1"/>
  <c r="M482" i="2" s="1"/>
  <c r="N482" i="2" a="1"/>
  <c r="N482" i="2" s="1"/>
  <c r="Q482" i="2" a="1"/>
  <c r="Q482" i="2" s="1"/>
  <c r="A483" i="2" a="1"/>
  <c r="A483" i="2" s="1"/>
  <c r="B483" i="2" a="1"/>
  <c r="B483" i="2" s="1"/>
  <c r="C483" i="2" a="1"/>
  <c r="C483" i="2" s="1"/>
  <c r="E483" i="2" a="1"/>
  <c r="E483" i="2" s="1"/>
  <c r="G483" i="2" a="1"/>
  <c r="G483" i="2" s="1"/>
  <c r="J483" i="2" a="1"/>
  <c r="J483" i="2" s="1"/>
  <c r="L483" i="2" a="1"/>
  <c r="L483" i="2" s="1"/>
  <c r="O483" i="2" a="1"/>
  <c r="O483" i="2" s="1"/>
  <c r="G484" i="2" a="1"/>
  <c r="G484" i="2" s="1"/>
  <c r="I484" i="2" a="1"/>
  <c r="I484" i="2" s="1"/>
  <c r="Q484" i="2" a="1"/>
  <c r="Q484" i="2" s="1"/>
  <c r="F485" i="2" a="1"/>
  <c r="F485" i="2" s="1"/>
  <c r="I485" i="2" a="1"/>
  <c r="I485" i="2" s="1"/>
  <c r="K485" i="2" a="1"/>
  <c r="K485" i="2" s="1"/>
  <c r="M485" i="2" a="1"/>
  <c r="M485" i="2" s="1"/>
  <c r="Q485" i="2" a="1"/>
  <c r="Q485" i="2" s="1"/>
  <c r="F486" i="2" a="1"/>
  <c r="F486" i="2" s="1"/>
  <c r="G486" i="2" a="1"/>
  <c r="G486" i="2" s="1"/>
  <c r="I486" i="2" a="1"/>
  <c r="I486" i="2" s="1"/>
  <c r="K486" i="2" a="1"/>
  <c r="K486" i="2" s="1"/>
  <c r="L486" i="2" a="1"/>
  <c r="L486" i="2" s="1"/>
  <c r="N486" i="2" a="1"/>
  <c r="N486" i="2" s="1"/>
  <c r="B487" i="2" a="1"/>
  <c r="B487" i="2" s="1"/>
  <c r="D487" i="2" a="1"/>
  <c r="D487" i="2" s="1"/>
  <c r="G487" i="2" a="1"/>
  <c r="G487" i="2" s="1"/>
  <c r="C488" i="2" a="1"/>
  <c r="C488" i="2" s="1"/>
  <c r="F488" i="2" a="1"/>
  <c r="F488" i="2" s="1"/>
  <c r="H488" i="2" a="1"/>
  <c r="H488" i="2" s="1"/>
  <c r="J488" i="2" a="1"/>
  <c r="J488" i="2" s="1"/>
  <c r="M488" i="2" a="1"/>
  <c r="M488" i="2" s="1"/>
  <c r="Q488" i="2" a="1"/>
  <c r="Q488" i="2" s="1"/>
  <c r="C489" i="2" a="1"/>
  <c r="C489" i="2" s="1"/>
  <c r="E489" i="2" a="1"/>
  <c r="E489" i="2" s="1"/>
  <c r="Q489" i="2" a="1"/>
  <c r="Q489" i="2" s="1"/>
  <c r="B490" i="2" a="1"/>
  <c r="B490" i="2" s="1"/>
  <c r="C490" i="2" a="1"/>
  <c r="C490" i="2" s="1"/>
  <c r="E490" i="2" a="1"/>
  <c r="E490" i="2" s="1"/>
  <c r="H490" i="2" a="1"/>
  <c r="H490" i="2" s="1"/>
  <c r="I490" i="2" a="1"/>
  <c r="I490" i="2" s="1"/>
  <c r="Q490" i="2" a="1"/>
  <c r="Q490" i="2" s="1"/>
  <c r="E491" i="2" a="1"/>
  <c r="E491" i="2" s="1"/>
  <c r="J491" i="2" a="1"/>
  <c r="J491" i="2" s="1"/>
  <c r="K491" i="2" a="1"/>
  <c r="K491" i="2" s="1"/>
  <c r="L491" i="2" a="1"/>
  <c r="L491" i="2" s="1"/>
  <c r="N491" i="2" a="1"/>
  <c r="N491" i="2" s="1"/>
  <c r="O491" i="2" a="1"/>
  <c r="O491" i="2" s="1"/>
  <c r="Q491" i="2" a="1"/>
  <c r="Q491" i="2" s="1"/>
  <c r="B492" i="2" a="1"/>
  <c r="B492" i="2" s="1"/>
  <c r="C492" i="2" a="1"/>
  <c r="C492" i="2" s="1"/>
  <c r="A493" i="2" a="1"/>
  <c r="A493" i="2" s="1"/>
  <c r="I493" i="2" a="1"/>
  <c r="I493" i="2" s="1"/>
  <c r="J493" i="2" a="1"/>
  <c r="J493" i="2" s="1"/>
  <c r="K493" i="2" a="1"/>
  <c r="K493" i="2" s="1"/>
  <c r="M493" i="2" a="1"/>
  <c r="M493" i="2" s="1"/>
  <c r="F494" i="2" a="1"/>
  <c r="F494" i="2" s="1"/>
  <c r="M494" i="2" a="1"/>
  <c r="M494" i="2" s="1"/>
  <c r="O494" i="2" a="1"/>
  <c r="O494" i="2" s="1"/>
  <c r="B495" i="2" a="1"/>
  <c r="B495" i="2" s="1"/>
  <c r="F495" i="2" a="1"/>
  <c r="F495" i="2" s="1"/>
  <c r="J495" i="2" a="1"/>
  <c r="J495" i="2" s="1"/>
  <c r="L495" i="2" a="1"/>
  <c r="L495" i="2" s="1"/>
  <c r="P495" i="2" a="1"/>
  <c r="P495" i="2" s="1"/>
  <c r="Q495" i="2" a="1"/>
  <c r="Q495" i="2" s="1"/>
  <c r="D496" i="2" a="1"/>
  <c r="D496" i="2" s="1"/>
  <c r="H496" i="2" a="1"/>
  <c r="H496" i="2" s="1"/>
  <c r="I496" i="2" a="1"/>
  <c r="I496" i="2" s="1"/>
  <c r="K496" i="2" a="1"/>
  <c r="K496" i="2" s="1"/>
  <c r="M496" i="2" a="1"/>
  <c r="M496" i="2" s="1"/>
  <c r="B497" i="2" a="1"/>
  <c r="B497" i="2" s="1"/>
  <c r="D497" i="2" a="1"/>
  <c r="D497" i="2" s="1"/>
  <c r="E497" i="2" a="1"/>
  <c r="E497" i="2" s="1"/>
  <c r="F497" i="2" a="1"/>
  <c r="F497" i="2" s="1"/>
  <c r="K497" i="2" a="1"/>
  <c r="K497" i="2" s="1"/>
  <c r="L497" i="2" a="1"/>
  <c r="L497" i="2" s="1"/>
  <c r="M497" i="2" a="1"/>
  <c r="M497" i="2" s="1"/>
  <c r="B498" i="2" a="1"/>
  <c r="B498" i="2" s="1"/>
  <c r="C498" i="2" a="1"/>
  <c r="C498" i="2" s="1"/>
  <c r="G498" i="2" a="1"/>
  <c r="G498" i="2" s="1"/>
  <c r="N498" i="2" a="1"/>
  <c r="N498" i="2" s="1"/>
  <c r="I499" i="2" a="1"/>
  <c r="I499" i="2" s="1"/>
  <c r="Q499" i="2" a="1"/>
  <c r="Q499" i="2" s="1"/>
  <c r="A500" i="2" a="1"/>
  <c r="A500" i="2" s="1"/>
  <c r="F500" i="2" a="1"/>
  <c r="F500" i="2" s="1"/>
  <c r="O500" i="2" a="1"/>
  <c r="O500" i="2" s="1"/>
  <c r="Q500" i="2" a="1"/>
  <c r="Q500" i="2" s="1"/>
  <c r="C501" i="2" a="1"/>
  <c r="C501" i="2" s="1"/>
  <c r="F501" i="2" a="1"/>
  <c r="F501" i="2" s="1"/>
  <c r="K501" i="2" a="1"/>
  <c r="K501" i="2" s="1"/>
  <c r="L501" i="2" a="1"/>
  <c r="L501" i="2" s="1"/>
  <c r="O501" i="2" a="1"/>
  <c r="O501" i="2" s="1"/>
  <c r="C502" i="2" a="1"/>
  <c r="C502" i="2" s="1"/>
  <c r="D502" i="2" a="1"/>
  <c r="D502" i="2" s="1"/>
  <c r="E502" i="2" a="1"/>
  <c r="E502" i="2" s="1"/>
  <c r="G502" i="2" a="1"/>
  <c r="G502" i="2" s="1"/>
  <c r="O502" i="2" a="1"/>
  <c r="O502" i="2" s="1"/>
  <c r="P502" i="2" a="1"/>
  <c r="P502" i="2" s="1"/>
  <c r="Q502" i="2" a="1"/>
  <c r="Q502" i="2" s="1"/>
  <c r="B503" i="2" a="1"/>
  <c r="B503" i="2" s="1"/>
  <c r="D503" i="2" a="1"/>
  <c r="D503" i="2" s="1"/>
  <c r="F503" i="2" a="1"/>
  <c r="F503" i="2" s="1"/>
  <c r="I503" i="2" a="1"/>
  <c r="I503" i="2" s="1"/>
  <c r="N503" i="2" a="1"/>
  <c r="N503" i="2" s="1"/>
  <c r="O503" i="2" a="1"/>
  <c r="O503" i="2" s="1"/>
  <c r="Q503" i="2" a="1"/>
  <c r="Q503" i="2" s="1"/>
  <c r="E504" i="2" a="1"/>
  <c r="E504" i="2" s="1"/>
  <c r="G504" i="2" a="1"/>
  <c r="G504" i="2" s="1"/>
  <c r="K504" i="2" a="1"/>
  <c r="K504" i="2" s="1"/>
  <c r="L504" i="2" a="1"/>
  <c r="L504" i="2" s="1"/>
  <c r="O504" i="2" a="1"/>
  <c r="O504" i="2" s="1"/>
  <c r="F505" i="2" a="1"/>
  <c r="F505" i="2" s="1"/>
  <c r="G505" i="2" a="1"/>
  <c r="G505" i="2" s="1"/>
  <c r="I505" i="2" a="1"/>
  <c r="I505" i="2" s="1"/>
  <c r="N505" i="2" a="1"/>
  <c r="N505" i="2" s="1"/>
  <c r="C506" i="2" a="1"/>
  <c r="C506" i="2" s="1"/>
  <c r="K506" i="2" a="1"/>
  <c r="K506" i="2" s="1"/>
  <c r="O506" i="2" a="1"/>
  <c r="O506" i="2" s="1"/>
  <c r="A507" i="2" a="1"/>
  <c r="A507" i="2" s="1"/>
  <c r="E507" i="2" a="1"/>
  <c r="E507" i="2" s="1"/>
  <c r="F507" i="2" a="1"/>
  <c r="F507" i="2" s="1"/>
  <c r="I507" i="2" a="1"/>
  <c r="I507" i="2" s="1"/>
  <c r="L507" i="2" a="1"/>
  <c r="L507" i="2" s="1"/>
  <c r="I508" i="2" a="1"/>
  <c r="I508" i="2" s="1"/>
  <c r="K508" i="2" a="1"/>
  <c r="K508" i="2" s="1"/>
  <c r="L508" i="2" a="1"/>
  <c r="L508" i="2" s="1"/>
  <c r="O508" i="2" a="1"/>
  <c r="O508" i="2" s="1"/>
  <c r="A509" i="2" a="1"/>
  <c r="A509" i="2" s="1"/>
  <c r="C509" i="2" a="1"/>
  <c r="C509" i="2" s="1"/>
  <c r="D509" i="2" a="1"/>
  <c r="D509" i="2" s="1"/>
  <c r="G509" i="2" a="1"/>
  <c r="G509" i="2" s="1"/>
  <c r="H509" i="2" a="1"/>
  <c r="H509" i="2" s="1"/>
  <c r="K509" i="2" a="1"/>
  <c r="K509" i="2" s="1"/>
  <c r="M509" i="2" a="1"/>
  <c r="M509" i="2" s="1"/>
  <c r="O509" i="2" a="1"/>
  <c r="O509" i="2" s="1"/>
  <c r="E510" i="2" a="1"/>
  <c r="E510" i="2" s="1"/>
  <c r="G510" i="2" a="1"/>
  <c r="G510" i="2" s="1"/>
  <c r="H510" i="2" a="1"/>
  <c r="H510" i="2" s="1"/>
  <c r="K510" i="2" a="1"/>
  <c r="K510" i="2" s="1"/>
  <c r="M510" i="2" a="1"/>
  <c r="M510" i="2" s="1"/>
  <c r="A511" i="2" a="1"/>
  <c r="A511" i="2" s="1"/>
  <c r="B511" i="2" a="1"/>
  <c r="B511" i="2" s="1"/>
  <c r="D511" i="2" a="1"/>
  <c r="D511" i="2" s="1"/>
  <c r="G511" i="2" a="1"/>
  <c r="G511" i="2" s="1"/>
  <c r="K511" i="2" a="1"/>
  <c r="K511" i="2" s="1"/>
  <c r="O511" i="2" a="1"/>
  <c r="O511" i="2" s="1"/>
  <c r="C512" i="2" a="1"/>
  <c r="C512" i="2" s="1"/>
  <c r="D512" i="2" a="1"/>
  <c r="D512" i="2" s="1"/>
  <c r="E512" i="2" a="1"/>
  <c r="E512" i="2" s="1"/>
  <c r="F512" i="2" a="1"/>
  <c r="F512" i="2" s="1"/>
  <c r="H512" i="2" a="1"/>
  <c r="H512" i="2" s="1"/>
  <c r="K512" i="2" a="1"/>
  <c r="K512" i="2" s="1"/>
  <c r="L512" i="2" a="1"/>
  <c r="L512" i="2" s="1"/>
  <c r="M512" i="2" a="1"/>
  <c r="M512" i="2" s="1"/>
  <c r="O512" i="2" a="1"/>
  <c r="O512" i="2" s="1"/>
  <c r="D513" i="2" a="1"/>
  <c r="D513" i="2" s="1"/>
  <c r="E513" i="2" a="1"/>
  <c r="E513" i="2" s="1"/>
  <c r="F513" i="2" a="1"/>
  <c r="F513" i="2" s="1"/>
  <c r="H513" i="2" a="1"/>
  <c r="H513" i="2" s="1"/>
  <c r="I513" i="2" a="1"/>
  <c r="I513" i="2" s="1"/>
  <c r="L513" i="2" a="1"/>
  <c r="L513" i="2" s="1"/>
  <c r="M513" i="2" a="1"/>
  <c r="M513" i="2" s="1"/>
  <c r="C514" i="2" a="1"/>
  <c r="C514" i="2" s="1"/>
  <c r="D514" i="2" a="1"/>
  <c r="D514" i="2" s="1"/>
  <c r="G514" i="2" a="1"/>
  <c r="G514" i="2" s="1"/>
  <c r="K514" i="2" a="1"/>
  <c r="K514" i="2" s="1"/>
  <c r="L514" i="2" a="1"/>
  <c r="L514" i="2" s="1"/>
  <c r="B515" i="2" a="1"/>
  <c r="B515" i="2" s="1"/>
  <c r="F515" i="2" a="1"/>
  <c r="F515" i="2" s="1"/>
  <c r="J515" i="2" a="1"/>
  <c r="J515" i="2" s="1"/>
  <c r="M515" i="2" a="1"/>
  <c r="M515" i="2" s="1"/>
  <c r="O515" i="2" a="1"/>
  <c r="O515" i="2" s="1"/>
  <c r="B516" i="2" a="1"/>
  <c r="B516" i="2" s="1"/>
  <c r="C516" i="2" a="1"/>
  <c r="C516" i="2" s="1"/>
  <c r="F516" i="2" a="1"/>
  <c r="F516" i="2" s="1"/>
  <c r="G516" i="2" a="1"/>
  <c r="G516" i="2" s="1"/>
  <c r="H516" i="2" a="1"/>
  <c r="H516" i="2" s="1"/>
  <c r="I516" i="2" a="1"/>
  <c r="I516" i="2" s="1"/>
  <c r="N516" i="2" a="1"/>
  <c r="N516" i="2" s="1"/>
  <c r="P516" i="2" a="1"/>
  <c r="P516" i="2" s="1"/>
  <c r="Q516" i="2" a="1"/>
  <c r="Q516" i="2" s="1"/>
  <c r="A517" i="2" a="1"/>
  <c r="A517" i="2" s="1"/>
  <c r="H517" i="2" a="1"/>
  <c r="H517" i="2" s="1"/>
  <c r="L517" i="2" a="1"/>
  <c r="L517" i="2" s="1"/>
  <c r="N517" i="2" a="1"/>
  <c r="N517" i="2" s="1"/>
  <c r="B518" i="2" a="1"/>
  <c r="B518" i="2" s="1"/>
  <c r="D518" i="2" a="1"/>
  <c r="D518" i="2" s="1"/>
  <c r="E518" i="2" a="1"/>
  <c r="E518" i="2" s="1"/>
  <c r="F518" i="2" a="1"/>
  <c r="F518" i="2" s="1"/>
  <c r="J518" i="2" a="1"/>
  <c r="J518" i="2" s="1"/>
  <c r="K518" i="2" a="1"/>
  <c r="K518" i="2" s="1"/>
  <c r="D519" i="2" a="1"/>
  <c r="D519" i="2" s="1"/>
  <c r="E519" i="2" a="1"/>
  <c r="E519" i="2" s="1"/>
  <c r="I519" i="2" a="1"/>
  <c r="I519" i="2" s="1"/>
  <c r="K519" i="2" a="1"/>
  <c r="K519" i="2" s="1"/>
  <c r="N519" i="2" a="1"/>
  <c r="N519" i="2" s="1"/>
  <c r="E520" i="2" a="1"/>
  <c r="E520" i="2" s="1"/>
  <c r="G520" i="2" a="1"/>
  <c r="G520" i="2" s="1"/>
  <c r="Q520" i="2" a="1"/>
  <c r="Q520" i="2" s="1"/>
  <c r="C521" i="2" a="1"/>
  <c r="C521" i="2" s="1"/>
  <c r="F521" i="2" a="1"/>
  <c r="F521" i="2" s="1"/>
  <c r="K521" i="2" a="1"/>
  <c r="K521" i="2" s="1"/>
  <c r="L521" i="2" a="1"/>
  <c r="L521" i="2" s="1"/>
  <c r="M521" i="2" a="1"/>
  <c r="M521" i="2" s="1"/>
  <c r="O521" i="2" a="1"/>
  <c r="O521" i="2" s="1"/>
  <c r="A522" i="2" a="1"/>
  <c r="A522" i="2" s="1"/>
  <c r="B522" i="2" a="1"/>
  <c r="B522" i="2" s="1"/>
  <c r="D522" i="2" a="1"/>
  <c r="D522" i="2" s="1"/>
  <c r="G522" i="2" a="1"/>
  <c r="G522" i="2" s="1"/>
  <c r="N522" i="2" a="1"/>
  <c r="N522" i="2" s="1"/>
  <c r="C523" i="2" a="1"/>
  <c r="C523" i="2" s="1"/>
  <c r="F523" i="2" a="1"/>
  <c r="F523" i="2" s="1"/>
  <c r="J523" i="2" a="1"/>
  <c r="J523" i="2" s="1"/>
  <c r="K523" i="2" a="1"/>
  <c r="K523" i="2" s="1"/>
  <c r="L523" i="2" a="1"/>
  <c r="L523" i="2" s="1"/>
  <c r="P523" i="2" a="1"/>
  <c r="P523" i="2" s="1"/>
  <c r="A524" i="2" a="1"/>
  <c r="A524" i="2" s="1"/>
  <c r="B524" i="2" a="1"/>
  <c r="B524" i="2" s="1"/>
  <c r="C524" i="2" a="1"/>
  <c r="C524" i="2" s="1"/>
  <c r="D524" i="2" a="1"/>
  <c r="D524" i="2" s="1"/>
  <c r="H524" i="2" a="1"/>
  <c r="H524" i="2" s="1"/>
  <c r="N524" i="2" a="1"/>
  <c r="N524" i="2" s="1"/>
  <c r="O524" i="2" a="1"/>
  <c r="O524" i="2" s="1"/>
  <c r="B525" i="2" a="1"/>
  <c r="B525" i="2" s="1"/>
  <c r="D525" i="2" a="1"/>
  <c r="D525" i="2" s="1"/>
  <c r="E525" i="2" a="1"/>
  <c r="E525" i="2" s="1"/>
  <c r="G525" i="2" a="1"/>
  <c r="G525" i="2" s="1"/>
  <c r="H525" i="2" a="1"/>
  <c r="H525" i="2" s="1"/>
  <c r="J525" i="2" a="1"/>
  <c r="J525" i="2" s="1"/>
  <c r="M525" i="2" a="1"/>
  <c r="M525" i="2" s="1"/>
  <c r="P525" i="2" a="1"/>
  <c r="P525" i="2" s="1"/>
  <c r="C526" i="2" a="1"/>
  <c r="C526" i="2" s="1"/>
  <c r="F526" i="2" a="1"/>
  <c r="F526" i="2" s="1"/>
  <c r="I526" i="2" a="1"/>
  <c r="I526" i="2" s="1"/>
  <c r="J526" i="2" a="1"/>
  <c r="J526" i="2" s="1"/>
  <c r="K526" i="2" a="1"/>
  <c r="K526" i="2" s="1"/>
  <c r="L526" i="2" a="1"/>
  <c r="L526" i="2" s="1"/>
  <c r="M526" i="2" a="1"/>
  <c r="M526" i="2" s="1"/>
  <c r="O526" i="2" a="1"/>
  <c r="O526" i="2" s="1"/>
  <c r="P526" i="2" a="1"/>
  <c r="P526" i="2" s="1"/>
  <c r="Q526" i="2" a="1"/>
  <c r="Q526" i="2" s="1"/>
  <c r="A527" i="2" a="1"/>
  <c r="A527" i="2" s="1"/>
  <c r="B527" i="2" a="1"/>
  <c r="B527" i="2" s="1"/>
  <c r="C527" i="2" a="1"/>
  <c r="C527" i="2" s="1"/>
  <c r="F527" i="2" a="1"/>
  <c r="F527" i="2" s="1"/>
  <c r="H527" i="2" a="1"/>
  <c r="H527" i="2" s="1"/>
  <c r="J527" i="2" a="1"/>
  <c r="J527" i="2" s="1"/>
  <c r="L527" i="2" a="1"/>
  <c r="L527" i="2" s="1"/>
  <c r="M527" i="2" a="1"/>
  <c r="M527" i="2" s="1"/>
  <c r="N527" i="2" a="1"/>
  <c r="N527" i="2" s="1"/>
  <c r="P527" i="2" a="1"/>
  <c r="P527" i="2" s="1"/>
  <c r="C528" i="2" a="1"/>
  <c r="C528" i="2" s="1"/>
  <c r="G528" i="2" a="1"/>
  <c r="G528" i="2" s="1"/>
  <c r="J528" i="2" a="1"/>
  <c r="J528" i="2" s="1"/>
  <c r="K528" i="2" a="1"/>
  <c r="K528" i="2" s="1"/>
  <c r="M528" i="2" a="1"/>
  <c r="M528" i="2" s="1"/>
  <c r="N528" i="2" a="1"/>
  <c r="N528" i="2" s="1"/>
  <c r="O528" i="2" a="1"/>
  <c r="O528" i="2" s="1"/>
  <c r="P528" i="2" a="1"/>
  <c r="P528" i="2" s="1"/>
  <c r="Q528" i="2" a="1"/>
  <c r="Q528" i="2" s="1"/>
  <c r="A529" i="2" a="1"/>
  <c r="A529" i="2" s="1"/>
  <c r="B529" i="2" a="1"/>
  <c r="B529" i="2" s="1"/>
  <c r="D529" i="2" a="1"/>
  <c r="D529" i="2" s="1"/>
  <c r="E529" i="2" a="1"/>
  <c r="E529" i="2" s="1"/>
  <c r="F529" i="2" a="1"/>
  <c r="F529" i="2" s="1"/>
  <c r="J529" i="2" a="1"/>
  <c r="J529" i="2" s="1"/>
  <c r="K529" i="2" a="1"/>
  <c r="K529" i="2" s="1"/>
  <c r="M529" i="2" a="1"/>
  <c r="M529" i="2" s="1"/>
  <c r="N529" i="2" a="1"/>
  <c r="N529" i="2" s="1"/>
  <c r="P529" i="2" a="1"/>
  <c r="P529" i="2" s="1"/>
  <c r="Q529" i="2" a="1"/>
  <c r="Q529" i="2" s="1"/>
  <c r="A530" i="2" a="1"/>
  <c r="A530" i="2" s="1"/>
  <c r="B530" i="2" a="1"/>
  <c r="B530" i="2" s="1"/>
  <c r="F530" i="2" a="1"/>
  <c r="F530" i="2" s="1"/>
  <c r="G530" i="2" a="1"/>
  <c r="G530" i="2" s="1"/>
  <c r="H530" i="2" a="1"/>
  <c r="H530" i="2" s="1"/>
  <c r="L530" i="2" a="1"/>
  <c r="L530" i="2" s="1"/>
  <c r="M530" i="2" a="1"/>
  <c r="M530" i="2" s="1"/>
  <c r="E531" i="2" a="1"/>
  <c r="E531" i="2" s="1"/>
  <c r="H531" i="2" a="1"/>
  <c r="H531" i="2" s="1"/>
  <c r="I531" i="2" a="1"/>
  <c r="I531" i="2" s="1"/>
  <c r="O531" i="2" a="1"/>
  <c r="O531" i="2" s="1"/>
  <c r="A532" i="2" a="1"/>
  <c r="A532" i="2" s="1"/>
  <c r="B532" i="2" a="1"/>
  <c r="B532" i="2" s="1"/>
  <c r="C532" i="2" a="1"/>
  <c r="C532" i="2" s="1"/>
  <c r="E532" i="2" a="1"/>
  <c r="E532" i="2" s="1"/>
  <c r="F532" i="2" a="1"/>
  <c r="F532" i="2" s="1"/>
  <c r="G532" i="2" a="1"/>
  <c r="G532" i="2" s="1"/>
  <c r="H532" i="2" a="1"/>
  <c r="H532" i="2" s="1"/>
  <c r="K532" i="2" a="1"/>
  <c r="K532" i="2" s="1"/>
  <c r="L532" i="2" a="1"/>
  <c r="L532" i="2" s="1"/>
  <c r="N532" i="2" a="1"/>
  <c r="N532" i="2" s="1"/>
  <c r="P532" i="2" a="1"/>
  <c r="P532" i="2" s="1"/>
  <c r="A533" i="2" a="1"/>
  <c r="A533" i="2" s="1"/>
  <c r="B533" i="2" a="1"/>
  <c r="B533" i="2" s="1"/>
  <c r="C533" i="2" a="1"/>
  <c r="C533" i="2" s="1"/>
  <c r="G533" i="2" a="1"/>
  <c r="G533" i="2" s="1"/>
  <c r="L533" i="2" a="1"/>
  <c r="L533" i="2" s="1"/>
  <c r="O533" i="2" a="1"/>
  <c r="O533" i="2" s="1"/>
  <c r="Q533" i="2" a="1"/>
  <c r="Q533" i="2" s="1"/>
  <c r="C534" i="2" a="1"/>
  <c r="C534" i="2" s="1"/>
  <c r="G534" i="2" a="1"/>
  <c r="G534" i="2" s="1"/>
  <c r="I534" i="2" a="1"/>
  <c r="I534" i="2" s="1"/>
  <c r="K534" i="2" a="1"/>
  <c r="K534" i="2" s="1"/>
  <c r="N534" i="2" a="1"/>
  <c r="N534" i="2" s="1"/>
  <c r="P534" i="2" a="1"/>
  <c r="P534" i="2" s="1"/>
  <c r="E535" i="2" a="1"/>
  <c r="E535" i="2" s="1"/>
  <c r="G535" i="2" a="1"/>
  <c r="G535" i="2" s="1"/>
  <c r="I535" i="2" a="1"/>
  <c r="I535" i="2" s="1"/>
  <c r="J535" i="2" a="1"/>
  <c r="J535" i="2" s="1"/>
  <c r="K535" i="2" a="1"/>
  <c r="K535" i="2" s="1"/>
  <c r="P535" i="2" a="1"/>
  <c r="P535" i="2" s="1"/>
  <c r="D536" i="2" a="1"/>
  <c r="D536" i="2" s="1"/>
  <c r="F536" i="2" a="1"/>
  <c r="F536" i="2" s="1"/>
  <c r="G536" i="2" a="1"/>
  <c r="G536" i="2" s="1"/>
  <c r="H536" i="2" a="1"/>
  <c r="H536" i="2" s="1"/>
  <c r="J536" i="2" a="1"/>
  <c r="J536" i="2" s="1"/>
  <c r="K536" i="2" a="1"/>
  <c r="K536" i="2" s="1"/>
  <c r="L536" i="2" a="1"/>
  <c r="L536" i="2" s="1"/>
  <c r="M536" i="2" a="1"/>
  <c r="M536" i="2" s="1"/>
  <c r="N536" i="2" a="1"/>
  <c r="N536" i="2" s="1"/>
  <c r="C537" i="2" a="1"/>
  <c r="C537" i="2" s="1"/>
  <c r="D537" i="2" a="1"/>
  <c r="D537" i="2" s="1"/>
  <c r="I537" i="2" a="1"/>
  <c r="I537" i="2" s="1"/>
  <c r="O537" i="2" a="1"/>
  <c r="O537" i="2" s="1"/>
  <c r="P537" i="2" a="1"/>
  <c r="P537" i="2" s="1"/>
  <c r="Q537" i="2" a="1"/>
  <c r="Q537" i="2" s="1"/>
  <c r="A538" i="2" a="1"/>
  <c r="A538" i="2" s="1"/>
  <c r="F538" i="2" a="1"/>
  <c r="F538" i="2" s="1"/>
  <c r="H538" i="2" a="1"/>
  <c r="H538" i="2" s="1"/>
  <c r="J538" i="2" a="1"/>
  <c r="J538" i="2" s="1"/>
  <c r="L538" i="2" a="1"/>
  <c r="L538" i="2" s="1"/>
  <c r="N538" i="2" a="1"/>
  <c r="N538" i="2" s="1"/>
  <c r="I769" i="2" a="1"/>
  <c r="I769" i="2" s="1"/>
  <c r="J769" i="2" a="1"/>
  <c r="J769" i="2" s="1"/>
  <c r="K769" i="2" a="1"/>
  <c r="K769" i="2" s="1"/>
  <c r="L769" i="2" a="1"/>
  <c r="L769" i="2" s="1"/>
  <c r="M769" i="2" a="1"/>
  <c r="M769" i="2" s="1"/>
  <c r="N769" i="2" a="1"/>
  <c r="N769" i="2" s="1"/>
  <c r="O769" i="2" a="1"/>
  <c r="O769" i="2" s="1"/>
  <c r="P769" i="2" a="1"/>
  <c r="P769" i="2" s="1"/>
  <c r="A770" i="2" a="1"/>
  <c r="A770" i="2" s="1"/>
  <c r="C770" i="2" a="1"/>
  <c r="C770" i="2" s="1"/>
  <c r="D770" i="2" a="1"/>
  <c r="D770" i="2" s="1"/>
  <c r="E770" i="2" a="1"/>
  <c r="E770" i="2" s="1"/>
  <c r="F770" i="2" a="1"/>
  <c r="F770" i="2" s="1"/>
  <c r="H770" i="2" a="1"/>
  <c r="H770" i="2" s="1"/>
  <c r="I770" i="2" a="1"/>
  <c r="I770" i="2" s="1"/>
  <c r="J770" i="2" a="1"/>
  <c r="J770" i="2" s="1"/>
  <c r="K770" i="2" a="1"/>
  <c r="K770" i="2" s="1"/>
  <c r="L770" i="2" a="1"/>
  <c r="L770" i="2" s="1"/>
  <c r="M770" i="2" a="1"/>
  <c r="M770" i="2" s="1"/>
  <c r="N770" i="2" a="1"/>
  <c r="N770" i="2" s="1"/>
  <c r="O770" i="2" a="1"/>
  <c r="O770" i="2" s="1"/>
  <c r="P770" i="2" a="1"/>
  <c r="P770" i="2" s="1"/>
  <c r="Q770" i="2" a="1"/>
  <c r="Q770" i="2" s="1"/>
  <c r="B771" i="2" a="1"/>
  <c r="B771" i="2" s="1"/>
  <c r="C771" i="2" a="1"/>
  <c r="C771" i="2" s="1"/>
  <c r="D771" i="2" a="1"/>
  <c r="D771" i="2" s="1"/>
  <c r="F771" i="2" a="1"/>
  <c r="F771" i="2" s="1"/>
  <c r="G771" i="2" a="1"/>
  <c r="G771" i="2" s="1"/>
  <c r="H771" i="2" a="1"/>
  <c r="H771" i="2" s="1"/>
  <c r="I771" i="2" a="1"/>
  <c r="I771" i="2" s="1"/>
  <c r="J771" i="2" a="1"/>
  <c r="J771" i="2" s="1"/>
  <c r="K771" i="2" a="1"/>
  <c r="K771" i="2" s="1"/>
  <c r="L771" i="2" a="1"/>
  <c r="L771" i="2" s="1"/>
  <c r="M771" i="2" a="1"/>
  <c r="M771" i="2" s="1"/>
  <c r="N771" i="2" a="1"/>
  <c r="N771" i="2" s="1"/>
  <c r="O771" i="2" a="1"/>
  <c r="O771" i="2" s="1"/>
  <c r="P771" i="2" a="1"/>
  <c r="P771" i="2" s="1"/>
  <c r="A772" i="2" a="1"/>
  <c r="A772" i="2" s="1"/>
  <c r="C772" i="2" a="1"/>
  <c r="C772" i="2" s="1"/>
  <c r="D772" i="2" a="1"/>
  <c r="D772" i="2" s="1"/>
  <c r="F772" i="2" a="1"/>
  <c r="F772" i="2" s="1"/>
  <c r="H772" i="2" a="1"/>
  <c r="H772" i="2" s="1"/>
  <c r="I772" i="2" a="1"/>
  <c r="I772" i="2" s="1"/>
  <c r="J772" i="2" a="1"/>
  <c r="J772" i="2" s="1"/>
  <c r="L772" i="2" a="1"/>
  <c r="L772" i="2" s="1"/>
  <c r="M772" i="2" a="1"/>
  <c r="M772" i="2" s="1"/>
  <c r="N772" i="2" a="1"/>
  <c r="N772" i="2" s="1"/>
  <c r="O772" i="2" a="1"/>
  <c r="O772" i="2" s="1"/>
  <c r="E773" i="2" a="1"/>
  <c r="E773" i="2" s="1"/>
  <c r="F773" i="2" a="1"/>
  <c r="F773" i="2" s="1"/>
  <c r="G773" i="2" a="1"/>
  <c r="G773" i="2" s="1"/>
  <c r="I773" i="2" a="1"/>
  <c r="I773" i="2" s="1"/>
  <c r="J773" i="2" a="1"/>
  <c r="J773" i="2" s="1"/>
  <c r="K773" i="2" a="1"/>
  <c r="K773" i="2" s="1"/>
  <c r="L773" i="2" a="1"/>
  <c r="L773" i="2" s="1"/>
  <c r="M773" i="2" a="1"/>
  <c r="M773" i="2" s="1"/>
  <c r="N773" i="2" a="1"/>
  <c r="N773" i="2" s="1"/>
  <c r="O773" i="2" a="1"/>
  <c r="O773" i="2" s="1"/>
  <c r="P773" i="2" a="1"/>
  <c r="P773" i="2" s="1"/>
  <c r="A774" i="2" a="1"/>
  <c r="A774" i="2" s="1"/>
  <c r="B774" i="2" a="1"/>
  <c r="B774" i="2" s="1"/>
  <c r="C774" i="2" a="1"/>
  <c r="C774" i="2" s="1"/>
  <c r="O774" i="2" a="1"/>
  <c r="O774" i="2" s="1"/>
  <c r="A775" i="2" a="1"/>
  <c r="A775" i="2" s="1"/>
  <c r="B775" i="2" a="1"/>
  <c r="B775" i="2" s="1"/>
  <c r="C775" i="2" a="1"/>
  <c r="C775" i="2" s="1"/>
  <c r="D775" i="2" a="1"/>
  <c r="D775" i="2" s="1"/>
  <c r="E775" i="2" a="1"/>
  <c r="E775" i="2" s="1"/>
  <c r="F775" i="2" a="1"/>
  <c r="F775" i="2" s="1"/>
  <c r="G775" i="2" a="1"/>
  <c r="G775" i="2" s="1"/>
  <c r="H775" i="2" a="1"/>
  <c r="H775" i="2" s="1"/>
  <c r="I775" i="2" a="1"/>
  <c r="I775" i="2" s="1"/>
  <c r="J775" i="2" a="1"/>
  <c r="J775" i="2" s="1"/>
  <c r="K775" i="2" a="1"/>
  <c r="K775" i="2" s="1"/>
  <c r="M775" i="2" a="1"/>
  <c r="M775" i="2" s="1"/>
  <c r="N775" i="2" a="1"/>
  <c r="N775" i="2" s="1"/>
  <c r="O775" i="2" a="1"/>
  <c r="O775" i="2" s="1"/>
  <c r="A776" i="2" a="1"/>
  <c r="A776" i="2" s="1"/>
  <c r="C776" i="2" a="1"/>
  <c r="C776" i="2" s="1"/>
  <c r="D776" i="2" a="1"/>
  <c r="D776" i="2" s="1"/>
  <c r="E776" i="2" a="1"/>
  <c r="E776" i="2" s="1"/>
  <c r="F776" i="2" a="1"/>
  <c r="F776" i="2" s="1"/>
  <c r="G776" i="2" a="1"/>
  <c r="G776" i="2" s="1"/>
  <c r="H776" i="2" a="1"/>
  <c r="H776" i="2" s="1"/>
  <c r="I776" i="2" a="1"/>
  <c r="I776" i="2" s="1"/>
  <c r="J776" i="2" a="1"/>
  <c r="J776" i="2" s="1"/>
  <c r="K776" i="2" a="1"/>
  <c r="K776" i="2" s="1"/>
  <c r="L776" i="2" a="1"/>
  <c r="L776" i="2" s="1"/>
  <c r="M776" i="2" a="1"/>
  <c r="M776" i="2" s="1"/>
  <c r="N776" i="2" a="1"/>
  <c r="N776" i="2" s="1"/>
  <c r="O776" i="2" a="1"/>
  <c r="O776" i="2" s="1"/>
  <c r="P776" i="2" a="1"/>
  <c r="P776" i="2" s="1"/>
  <c r="Q776" i="2" a="1"/>
  <c r="Q776" i="2" s="1"/>
  <c r="A777" i="2" a="1"/>
  <c r="A777" i="2" s="1"/>
  <c r="B777" i="2" a="1"/>
  <c r="B777" i="2" s="1"/>
  <c r="C777" i="2" a="1"/>
  <c r="C777" i="2" s="1"/>
  <c r="D777" i="2" a="1"/>
  <c r="D777" i="2" s="1"/>
  <c r="E777" i="2" a="1"/>
  <c r="E777" i="2" s="1"/>
  <c r="F777" i="2" a="1"/>
  <c r="F777" i="2" s="1"/>
  <c r="G777" i="2" a="1"/>
  <c r="G777" i="2" s="1"/>
  <c r="H777" i="2" a="1"/>
  <c r="H777" i="2" s="1"/>
  <c r="I777" i="2" a="1"/>
  <c r="I777" i="2" s="1"/>
  <c r="J777" i="2" a="1"/>
  <c r="J777" i="2" s="1"/>
  <c r="K777" i="2" a="1"/>
  <c r="K777" i="2" s="1"/>
  <c r="L777" i="2" a="1"/>
  <c r="L777" i="2" s="1"/>
  <c r="M777" i="2" a="1"/>
  <c r="M777" i="2" s="1"/>
  <c r="N777" i="2" a="1"/>
  <c r="N777" i="2" s="1"/>
  <c r="O777" i="2" a="1"/>
  <c r="O777" i="2" s="1"/>
  <c r="P777" i="2" a="1"/>
  <c r="P777" i="2" s="1"/>
  <c r="Q777" i="2" a="1"/>
  <c r="Q777" i="2" s="1"/>
  <c r="A778" i="2" a="1"/>
  <c r="A778" i="2" s="1"/>
  <c r="B778" i="2" a="1"/>
  <c r="B778" i="2" s="1"/>
  <c r="C778" i="2" a="1"/>
  <c r="C778" i="2" s="1"/>
  <c r="D778" i="2" a="1"/>
  <c r="D778" i="2" s="1"/>
  <c r="F778" i="2" a="1"/>
  <c r="F778" i="2" s="1"/>
  <c r="G778" i="2" a="1"/>
  <c r="G778" i="2" s="1"/>
  <c r="I778" i="2" a="1"/>
  <c r="I778" i="2" s="1"/>
  <c r="J778" i="2" a="1"/>
  <c r="J778" i="2" s="1"/>
  <c r="K778" i="2" a="1"/>
  <c r="K778" i="2" s="1"/>
  <c r="L778" i="2" a="1"/>
  <c r="L778" i="2" s="1"/>
  <c r="M778" i="2" a="1"/>
  <c r="M778" i="2" s="1"/>
  <c r="O778" i="2" a="1"/>
  <c r="O778" i="2" s="1"/>
  <c r="P778" i="2" a="1"/>
  <c r="P778" i="2" s="1"/>
  <c r="Q778" i="2" a="1"/>
  <c r="Q778" i="2" s="1"/>
  <c r="A779" i="2" a="1"/>
  <c r="A779" i="2" s="1"/>
  <c r="B779" i="2" a="1"/>
  <c r="B779" i="2" s="1"/>
  <c r="C779" i="2" a="1"/>
  <c r="C779" i="2" s="1"/>
  <c r="D779" i="2" a="1"/>
  <c r="D779" i="2" s="1"/>
  <c r="E779" i="2" a="1"/>
  <c r="E779" i="2" s="1"/>
  <c r="F779" i="2" a="1"/>
  <c r="F779" i="2" s="1"/>
  <c r="G779" i="2" a="1"/>
  <c r="G779" i="2" s="1"/>
  <c r="H779" i="2" a="1"/>
  <c r="H779" i="2" s="1"/>
  <c r="J779" i="2" a="1"/>
  <c r="J779" i="2" s="1"/>
  <c r="K779" i="2" a="1"/>
  <c r="K779" i="2" s="1"/>
  <c r="L779" i="2" a="1"/>
  <c r="L779" i="2" s="1"/>
  <c r="M779" i="2" a="1"/>
  <c r="M779" i="2" s="1"/>
  <c r="N779" i="2" a="1"/>
  <c r="N779" i="2" s="1"/>
  <c r="O779" i="2" a="1"/>
  <c r="O779" i="2" s="1"/>
  <c r="P779" i="2" a="1"/>
  <c r="P779" i="2" s="1"/>
  <c r="A780" i="2" a="1"/>
  <c r="A780" i="2" s="1"/>
  <c r="B780" i="2" a="1"/>
  <c r="B780" i="2" s="1"/>
  <c r="C780" i="2" a="1"/>
  <c r="C780" i="2" s="1"/>
  <c r="D780" i="2" a="1"/>
  <c r="D780" i="2" s="1"/>
  <c r="E780" i="2" a="1"/>
  <c r="E780" i="2" s="1"/>
  <c r="F780" i="2" a="1"/>
  <c r="F780" i="2" s="1"/>
  <c r="G780" i="2" a="1"/>
  <c r="G780" i="2" s="1"/>
  <c r="H780" i="2" a="1"/>
  <c r="H780" i="2" s="1"/>
  <c r="I780" i="2" a="1"/>
  <c r="I780" i="2" s="1"/>
  <c r="J780" i="2" a="1"/>
  <c r="J780" i="2" s="1"/>
  <c r="K780" i="2" a="1"/>
  <c r="K780" i="2" s="1"/>
  <c r="L780" i="2" a="1"/>
  <c r="L780" i="2" s="1"/>
  <c r="N780" i="2" a="1"/>
  <c r="N780" i="2" s="1"/>
  <c r="O780" i="2" a="1"/>
  <c r="O780" i="2" s="1"/>
  <c r="P780" i="2" a="1"/>
  <c r="P780" i="2" s="1"/>
  <c r="Q780" i="2" a="1"/>
  <c r="Q780" i="2" s="1"/>
  <c r="A781" i="2" a="1"/>
  <c r="A781" i="2" s="1"/>
  <c r="B781" i="2" a="1"/>
  <c r="B781" i="2" s="1"/>
  <c r="C781" i="2" a="1"/>
  <c r="C781" i="2" s="1"/>
  <c r="D781" i="2" a="1"/>
  <c r="D781" i="2" s="1"/>
  <c r="E781" i="2" a="1"/>
  <c r="E781" i="2" s="1"/>
  <c r="F781" i="2" a="1"/>
  <c r="F781" i="2" s="1"/>
  <c r="G781" i="2" a="1"/>
  <c r="G781" i="2" s="1"/>
  <c r="H781" i="2" a="1"/>
  <c r="H781" i="2" s="1"/>
  <c r="I781" i="2" a="1"/>
  <c r="I781" i="2" s="1"/>
  <c r="J781" i="2" a="1"/>
  <c r="J781" i="2" s="1"/>
  <c r="K781" i="2" a="1"/>
  <c r="K781" i="2" s="1"/>
  <c r="L781" i="2" a="1"/>
  <c r="L781" i="2" s="1"/>
  <c r="M781" i="2" a="1"/>
  <c r="M781" i="2" s="1"/>
  <c r="N781" i="2" a="1"/>
  <c r="N781" i="2" s="1"/>
  <c r="O781" i="2" a="1"/>
  <c r="O781" i="2" s="1"/>
  <c r="A782" i="2" a="1"/>
  <c r="A782" i="2" s="1"/>
  <c r="B782" i="2" a="1"/>
  <c r="B782" i="2" s="1"/>
  <c r="C782" i="2" a="1"/>
  <c r="C782" i="2" s="1"/>
  <c r="D782" i="2" a="1"/>
  <c r="D782" i="2" s="1"/>
  <c r="E782" i="2" a="1"/>
  <c r="E782" i="2" s="1"/>
  <c r="F782" i="2" a="1"/>
  <c r="F782" i="2" s="1"/>
  <c r="G782" i="2" a="1"/>
  <c r="G782" i="2" s="1"/>
  <c r="H782" i="2" a="1"/>
  <c r="H782" i="2" s="1"/>
  <c r="I782" i="2" a="1"/>
  <c r="I782" i="2" s="1"/>
  <c r="J782" i="2" a="1"/>
  <c r="J782" i="2" s="1"/>
  <c r="K782" i="2" a="1"/>
  <c r="K782" i="2" s="1"/>
  <c r="L782" i="2" a="1"/>
  <c r="L782" i="2" s="1"/>
  <c r="M782" i="2" a="1"/>
  <c r="M782" i="2" s="1"/>
  <c r="N782" i="2" a="1"/>
  <c r="N782" i="2" s="1"/>
  <c r="O782" i="2" a="1"/>
  <c r="O782" i="2" s="1"/>
  <c r="A783" i="2" a="1"/>
  <c r="A783" i="2" s="1"/>
  <c r="B783" i="2" a="1"/>
  <c r="B783" i="2" s="1"/>
  <c r="C783" i="2" a="1"/>
  <c r="C783" i="2" s="1"/>
  <c r="D783" i="2" a="1"/>
  <c r="D783" i="2" s="1"/>
  <c r="E783" i="2" a="1"/>
  <c r="E783" i="2" s="1"/>
  <c r="F783" i="2" a="1"/>
  <c r="F783" i="2" s="1"/>
  <c r="G783" i="2" a="1"/>
  <c r="G783" i="2" s="1"/>
  <c r="H783" i="2" a="1"/>
  <c r="H783" i="2" s="1"/>
  <c r="I783" i="2" a="1"/>
  <c r="I783" i="2" s="1"/>
  <c r="J783" i="2" a="1"/>
  <c r="J783" i="2" s="1"/>
  <c r="K783" i="2" a="1"/>
  <c r="K783" i="2" s="1"/>
  <c r="L783" i="2" a="1"/>
  <c r="L783" i="2" s="1"/>
  <c r="M783" i="2" a="1"/>
  <c r="M783" i="2" s="1"/>
  <c r="N783" i="2" a="1"/>
  <c r="N783" i="2" s="1"/>
  <c r="O783" i="2" a="1"/>
  <c r="O783" i="2" s="1"/>
  <c r="P783" i="2" a="1"/>
  <c r="P783" i="2" s="1"/>
  <c r="A784" i="2" a="1"/>
  <c r="A784" i="2" s="1"/>
  <c r="B784" i="2" a="1"/>
  <c r="B784" i="2" s="1"/>
  <c r="C784" i="2" a="1"/>
  <c r="C784" i="2" s="1"/>
  <c r="D784" i="2" a="1"/>
  <c r="D784" i="2" s="1"/>
  <c r="E784" i="2" a="1"/>
  <c r="E784" i="2" s="1"/>
  <c r="F784" i="2" a="1"/>
  <c r="F784" i="2" s="1"/>
  <c r="H784" i="2" a="1"/>
  <c r="H784" i="2" s="1"/>
  <c r="I784" i="2" a="1"/>
  <c r="I784" i="2" s="1"/>
  <c r="J784" i="2" a="1"/>
  <c r="J784" i="2" s="1"/>
  <c r="K784" i="2" a="1"/>
  <c r="K784" i="2" s="1"/>
  <c r="L784" i="2" a="1"/>
  <c r="L784" i="2" s="1"/>
  <c r="M784" i="2" a="1"/>
  <c r="M784" i="2" s="1"/>
  <c r="N784" i="2" a="1"/>
  <c r="N784" i="2" s="1"/>
  <c r="O784" i="2" a="1"/>
  <c r="O784" i="2" s="1"/>
  <c r="P784" i="2" a="1"/>
  <c r="P784" i="2" s="1"/>
  <c r="A785" i="2" a="1"/>
  <c r="A785" i="2" s="1"/>
  <c r="B785" i="2" a="1"/>
  <c r="B785" i="2" s="1"/>
  <c r="C785" i="2" a="1"/>
  <c r="C785" i="2" s="1"/>
  <c r="D785" i="2" a="1"/>
  <c r="D785" i="2" s="1"/>
  <c r="E785" i="2" a="1"/>
  <c r="E785" i="2" s="1"/>
  <c r="F785" i="2" a="1"/>
  <c r="F785" i="2" s="1"/>
  <c r="G785" i="2" a="1"/>
  <c r="G785" i="2" s="1"/>
  <c r="H785" i="2" a="1"/>
  <c r="H785" i="2" s="1"/>
  <c r="I785" i="2" a="1"/>
  <c r="I785" i="2" s="1"/>
  <c r="J785" i="2" a="1"/>
  <c r="J785" i="2" s="1"/>
  <c r="K785" i="2" a="1"/>
  <c r="K785" i="2" s="1"/>
  <c r="L785" i="2" a="1"/>
  <c r="L785" i="2" s="1"/>
  <c r="M785" i="2" a="1"/>
  <c r="M785" i="2" s="1"/>
  <c r="N785" i="2" a="1"/>
  <c r="N785" i="2" s="1"/>
  <c r="K788" i="2" a="1"/>
  <c r="K788" i="2" s="1"/>
  <c r="M788" i="2" a="1"/>
  <c r="M788" i="2" s="1"/>
  <c r="N788" i="2" a="1"/>
  <c r="N788" i="2" s="1"/>
  <c r="O788" i="2" a="1"/>
  <c r="O788" i="2" s="1"/>
  <c r="P788" i="2" a="1"/>
  <c r="P788" i="2" s="1"/>
  <c r="Q788" i="2" a="1"/>
  <c r="Q788" i="2" s="1"/>
  <c r="A789" i="2" a="1"/>
  <c r="A789" i="2" s="1"/>
  <c r="B789" i="2" a="1"/>
  <c r="B789" i="2" s="1"/>
  <c r="C789" i="2" a="1"/>
  <c r="C789" i="2" s="1"/>
  <c r="D789" i="2" a="1"/>
  <c r="D789" i="2" s="1"/>
  <c r="E789" i="2" a="1"/>
  <c r="E789" i="2" s="1"/>
  <c r="G789" i="2" a="1"/>
  <c r="G789" i="2" s="1"/>
  <c r="H789" i="2" a="1"/>
  <c r="H789" i="2" s="1"/>
  <c r="J789" i="2" a="1"/>
  <c r="J789" i="2" s="1"/>
  <c r="K789" i="2" a="1"/>
  <c r="K789" i="2" s="1"/>
  <c r="L789" i="2" a="1"/>
  <c r="L789" i="2" s="1"/>
  <c r="M789" i="2" a="1"/>
  <c r="M789" i="2" s="1"/>
  <c r="N789" i="2" a="1"/>
  <c r="N789" i="2" s="1"/>
  <c r="O789" i="2" a="1"/>
  <c r="O789" i="2" s="1"/>
  <c r="P789" i="2" a="1"/>
  <c r="P789" i="2" s="1"/>
  <c r="Q789" i="2" a="1"/>
  <c r="Q789" i="2" s="1"/>
  <c r="A790" i="2" a="1"/>
  <c r="A790" i="2" s="1"/>
  <c r="C790" i="2" a="1"/>
  <c r="C790" i="2" s="1"/>
  <c r="D790" i="2" a="1"/>
  <c r="D790" i="2" s="1"/>
  <c r="E790" i="2" a="1"/>
  <c r="E790" i="2" s="1"/>
  <c r="F790" i="2" a="1"/>
  <c r="F790" i="2" s="1"/>
  <c r="G790" i="2" a="1"/>
  <c r="G790" i="2" s="1"/>
  <c r="H790" i="2" a="1"/>
  <c r="H790" i="2" s="1"/>
  <c r="J790" i="2" a="1"/>
  <c r="J790" i="2" s="1"/>
  <c r="K790" i="2" a="1"/>
  <c r="K790" i="2" s="1"/>
  <c r="L790" i="2" a="1"/>
  <c r="L790" i="2" s="1"/>
  <c r="M790" i="2" a="1"/>
  <c r="M790" i="2" s="1"/>
  <c r="N790" i="2" a="1"/>
  <c r="N790" i="2" s="1"/>
  <c r="O790" i="2" a="1"/>
  <c r="O790" i="2" s="1"/>
  <c r="A846" i="2" a="1"/>
  <c r="A846" i="2" s="1"/>
  <c r="B846" i="2" a="1"/>
  <c r="B846" i="2" s="1"/>
  <c r="C846" i="2" a="1"/>
  <c r="C846" i="2" s="1"/>
  <c r="D846" i="2" a="1"/>
  <c r="D846" i="2" s="1"/>
  <c r="E846" i="2" a="1"/>
  <c r="E846" i="2" s="1"/>
  <c r="F846" i="2" a="1"/>
  <c r="F846" i="2" s="1"/>
  <c r="G846" i="2" a="1"/>
  <c r="G846" i="2" s="1"/>
  <c r="H846" i="2" a="1"/>
  <c r="H846" i="2" s="1"/>
  <c r="I846" i="2" a="1"/>
  <c r="I846" i="2" s="1"/>
  <c r="J846" i="2" a="1"/>
  <c r="J846" i="2" s="1"/>
  <c r="K846" i="2" a="1"/>
  <c r="K846" i="2" s="1"/>
  <c r="L846" i="2" a="1"/>
  <c r="L846" i="2" s="1"/>
  <c r="M846" i="2" a="1"/>
  <c r="M846" i="2" s="1"/>
  <c r="N846" i="2" a="1"/>
  <c r="N846" i="2" s="1"/>
  <c r="O846" i="2" a="1"/>
  <c r="O846" i="2" s="1"/>
  <c r="P846" i="2" a="1"/>
  <c r="P846" i="2" s="1"/>
  <c r="Q846" i="2" a="1"/>
  <c r="Q846" i="2" s="1"/>
  <c r="A847" i="2" a="1"/>
  <c r="A847" i="2" s="1"/>
  <c r="B847" i="2" a="1"/>
  <c r="B847" i="2" s="1"/>
  <c r="C847" i="2" a="1"/>
  <c r="C847" i="2" s="1"/>
  <c r="D847" i="2" a="1"/>
  <c r="D847" i="2" s="1"/>
  <c r="E847" i="2" a="1"/>
  <c r="E847" i="2" s="1"/>
  <c r="F847" i="2" a="1"/>
  <c r="F847" i="2" s="1"/>
  <c r="G847" i="2" a="1"/>
  <c r="G847" i="2" s="1"/>
  <c r="H847" i="2" a="1"/>
  <c r="H847" i="2" s="1"/>
  <c r="I847" i="2" a="1"/>
  <c r="I847" i="2" s="1"/>
  <c r="J847" i="2" a="1"/>
  <c r="J847" i="2" s="1"/>
  <c r="K847" i="2" a="1"/>
  <c r="K847" i="2" s="1"/>
  <c r="L847" i="2" a="1"/>
  <c r="L847" i="2" s="1"/>
  <c r="M847" i="2" a="1"/>
  <c r="M847" i="2" s="1"/>
  <c r="N847" i="2" a="1"/>
  <c r="N847" i="2" s="1"/>
  <c r="O847" i="2" a="1"/>
  <c r="O847" i="2" s="1"/>
  <c r="P847" i="2" a="1"/>
  <c r="P847" i="2" s="1"/>
  <c r="Q847" i="2" a="1"/>
  <c r="Q847" i="2" s="1"/>
  <c r="A848" i="2" a="1"/>
  <c r="A848" i="2" s="1"/>
  <c r="B848" i="2" a="1"/>
  <c r="B848" i="2" s="1"/>
  <c r="C848" i="2" a="1"/>
  <c r="C848" i="2" s="1"/>
  <c r="D848" i="2" a="1"/>
  <c r="D848" i="2" s="1"/>
  <c r="E848" i="2" a="1"/>
  <c r="E848" i="2" s="1"/>
  <c r="F848" i="2" a="1"/>
  <c r="F848" i="2" s="1"/>
  <c r="G848" i="2" a="1"/>
  <c r="G848" i="2" s="1"/>
  <c r="H848" i="2" a="1"/>
  <c r="H848" i="2" s="1"/>
  <c r="I848" i="2" a="1"/>
  <c r="I848" i="2" s="1"/>
  <c r="J848" i="2" a="1"/>
  <c r="J848" i="2" s="1"/>
  <c r="K848" i="2" a="1"/>
  <c r="K848" i="2" s="1"/>
  <c r="L848" i="2" a="1"/>
  <c r="L848" i="2" s="1"/>
  <c r="M848" i="2" a="1"/>
  <c r="M848" i="2" s="1"/>
  <c r="N848" i="2" a="1"/>
  <c r="N848" i="2" s="1"/>
  <c r="O848" i="2" a="1"/>
  <c r="O848" i="2" s="1"/>
  <c r="P848" i="2" a="1"/>
  <c r="P848" i="2" s="1"/>
  <c r="Q848" i="2" a="1"/>
  <c r="Q848" i="2" s="1"/>
  <c r="A849" i="2" a="1"/>
  <c r="A849" i="2" s="1"/>
  <c r="B849" i="2" a="1"/>
  <c r="B849" i="2" s="1"/>
  <c r="C849" i="2" a="1"/>
  <c r="C849" i="2" s="1"/>
  <c r="D849" i="2" a="1"/>
  <c r="D849" i="2" s="1"/>
  <c r="E849" i="2" a="1"/>
  <c r="E849" i="2" s="1"/>
  <c r="F849" i="2" a="1"/>
  <c r="F849" i="2" s="1"/>
  <c r="G849" i="2" a="1"/>
  <c r="G849" i="2" s="1"/>
  <c r="H849" i="2" a="1"/>
  <c r="H849" i="2" s="1"/>
  <c r="I849" i="2" a="1"/>
  <c r="I849" i="2" s="1"/>
  <c r="J849" i="2" a="1"/>
  <c r="J849" i="2" s="1"/>
  <c r="K849" i="2" a="1"/>
  <c r="K849" i="2" s="1"/>
  <c r="L849" i="2" a="1"/>
  <c r="L849" i="2" s="1"/>
  <c r="M849" i="2" a="1"/>
  <c r="M849" i="2" s="1"/>
  <c r="N849" i="2" a="1"/>
  <c r="N849" i="2" s="1"/>
  <c r="O849" i="2" a="1"/>
  <c r="O849" i="2" s="1"/>
  <c r="P849" i="2" a="1"/>
  <c r="P849" i="2" s="1"/>
  <c r="Q849" i="2" a="1"/>
  <c r="Q849" i="2" s="1"/>
  <c r="A850" i="2" a="1"/>
  <c r="A850" i="2" s="1"/>
  <c r="B850" i="2" a="1"/>
  <c r="B850" i="2" s="1"/>
  <c r="C850" i="2" a="1"/>
  <c r="C850" i="2" s="1"/>
  <c r="D850" i="2" a="1"/>
  <c r="D850" i="2" s="1"/>
  <c r="E850" i="2" a="1"/>
  <c r="E850" i="2" s="1"/>
  <c r="F850" i="2" a="1"/>
  <c r="F850" i="2" s="1"/>
  <c r="G850" i="2" a="1"/>
  <c r="G850" i="2" s="1"/>
  <c r="H850" i="2" a="1"/>
  <c r="H850" i="2" s="1"/>
  <c r="I850" i="2" a="1"/>
  <c r="I850" i="2" s="1"/>
  <c r="J850" i="2" a="1"/>
  <c r="J850" i="2" s="1"/>
  <c r="K850" i="2" a="1"/>
  <c r="K850" i="2" s="1"/>
  <c r="L850" i="2" a="1"/>
  <c r="L850" i="2" s="1"/>
  <c r="M850" i="2" a="1"/>
  <c r="M850" i="2" s="1"/>
  <c r="N850" i="2" a="1"/>
  <c r="N850" i="2" s="1"/>
  <c r="O850" i="2" a="1"/>
  <c r="O850" i="2" s="1"/>
  <c r="P850" i="2" a="1"/>
  <c r="P850" i="2" s="1"/>
  <c r="Q850" i="2" a="1"/>
  <c r="Q850" i="2" s="1"/>
  <c r="A851" i="2" a="1"/>
  <c r="A851" i="2" s="1"/>
  <c r="B851" i="2" a="1"/>
  <c r="B851" i="2" s="1"/>
  <c r="C851" i="2" a="1"/>
  <c r="C851" i="2" s="1"/>
  <c r="D851" i="2" a="1"/>
  <c r="D851" i="2" s="1"/>
  <c r="E851" i="2" a="1"/>
  <c r="E851" i="2" s="1"/>
  <c r="F851" i="2" a="1"/>
  <c r="F851" i="2" s="1"/>
  <c r="G851" i="2" a="1"/>
  <c r="G851" i="2" s="1"/>
  <c r="H851" i="2" a="1"/>
  <c r="H851" i="2" s="1"/>
  <c r="I851" i="2" a="1"/>
  <c r="I851" i="2" s="1"/>
  <c r="J851" i="2" a="1"/>
  <c r="J851" i="2" s="1"/>
  <c r="K851" i="2" a="1"/>
  <c r="K851" i="2" s="1"/>
  <c r="L851" i="2" a="1"/>
  <c r="L851" i="2" s="1"/>
  <c r="M851" i="2" a="1"/>
  <c r="M851" i="2" s="1"/>
  <c r="N851" i="2" a="1"/>
  <c r="N851" i="2" s="1"/>
  <c r="O851" i="2" a="1"/>
  <c r="O851" i="2" s="1"/>
  <c r="P851" i="2" a="1"/>
  <c r="P851" i="2" s="1"/>
  <c r="Q851" i="2" a="1"/>
  <c r="Q851" i="2" s="1"/>
  <c r="A852" i="2" a="1"/>
  <c r="A852" i="2" s="1"/>
  <c r="B852" i="2" a="1"/>
  <c r="B852" i="2" s="1"/>
  <c r="C852" i="2" a="1"/>
  <c r="C852" i="2" s="1"/>
  <c r="D852" i="2" a="1"/>
  <c r="D852" i="2" s="1"/>
  <c r="E852" i="2" a="1"/>
  <c r="E852" i="2" s="1"/>
  <c r="F852" i="2" a="1"/>
  <c r="F852" i="2" s="1"/>
  <c r="G852" i="2" a="1"/>
  <c r="G852" i="2" s="1"/>
  <c r="H852" i="2" a="1"/>
  <c r="H852" i="2" s="1"/>
  <c r="I852" i="2" a="1"/>
  <c r="I852" i="2" s="1"/>
  <c r="J852" i="2" a="1"/>
  <c r="J852" i="2" s="1"/>
  <c r="K852" i="2" a="1"/>
  <c r="K852" i="2" s="1"/>
  <c r="L852" i="2" a="1"/>
  <c r="L852" i="2" s="1"/>
  <c r="M852" i="2" a="1"/>
  <c r="M852" i="2" s="1"/>
  <c r="N852" i="2" a="1"/>
  <c r="N852" i="2" s="1"/>
  <c r="O852" i="2" a="1"/>
  <c r="O852" i="2" s="1"/>
  <c r="P852" i="2" a="1"/>
  <c r="P852" i="2" s="1"/>
  <c r="Q852" i="2" a="1"/>
  <c r="Q852" i="2" s="1"/>
  <c r="A853" i="2" a="1"/>
  <c r="A853" i="2" s="1"/>
  <c r="B853" i="2" a="1"/>
  <c r="B853" i="2" s="1"/>
  <c r="C853" i="2" a="1"/>
  <c r="C853" i="2" s="1"/>
  <c r="D853" i="2" a="1"/>
  <c r="D853" i="2" s="1"/>
  <c r="E853" i="2" a="1"/>
  <c r="E853" i="2" s="1"/>
  <c r="F853" i="2" a="1"/>
  <c r="F853" i="2" s="1"/>
  <c r="G853" i="2" a="1"/>
  <c r="G853" i="2" s="1"/>
  <c r="H853" i="2" a="1"/>
  <c r="H853" i="2" s="1"/>
  <c r="I853" i="2" a="1"/>
  <c r="I853" i="2" s="1"/>
  <c r="J853" i="2" a="1"/>
  <c r="J853" i="2" s="1"/>
  <c r="K853" i="2" a="1"/>
  <c r="K853" i="2" s="1"/>
  <c r="L853" i="2" a="1"/>
  <c r="L853" i="2" s="1"/>
  <c r="M853" i="2" a="1"/>
  <c r="M853" i="2" s="1"/>
  <c r="N853" i="2" a="1"/>
  <c r="N853" i="2" s="1"/>
  <c r="O853" i="2" a="1"/>
  <c r="O853" i="2" s="1"/>
  <c r="P853" i="2" a="1"/>
  <c r="P853" i="2" s="1"/>
  <c r="Q853" i="2" a="1"/>
  <c r="Q853" i="2" s="1"/>
  <c r="A854" i="2" a="1"/>
  <c r="A854" i="2" s="1"/>
  <c r="B854" i="2" a="1"/>
  <c r="B854" i="2" s="1"/>
  <c r="C854" i="2" a="1"/>
  <c r="C854" i="2" s="1"/>
  <c r="D854" i="2" a="1"/>
  <c r="D854" i="2" s="1"/>
  <c r="E854" i="2" a="1"/>
  <c r="E854" i="2" s="1"/>
  <c r="F854" i="2" a="1"/>
  <c r="F854" i="2" s="1"/>
  <c r="G854" i="2" a="1"/>
  <c r="G854" i="2" s="1"/>
  <c r="H854" i="2" a="1"/>
  <c r="H854" i="2" s="1"/>
  <c r="I854" i="2" a="1"/>
  <c r="I854" i="2" s="1"/>
  <c r="J854" i="2" a="1"/>
  <c r="J854" i="2" s="1"/>
  <c r="K854" i="2" a="1"/>
  <c r="K854" i="2" s="1"/>
  <c r="L854" i="2" a="1"/>
  <c r="L854" i="2" s="1"/>
  <c r="M854" i="2" a="1"/>
  <c r="M854" i="2" s="1"/>
  <c r="N854" i="2" a="1"/>
  <c r="N854" i="2" s="1"/>
  <c r="O854" i="2" a="1"/>
  <c r="O854" i="2" s="1"/>
  <c r="P854" i="2" a="1"/>
  <c r="P854" i="2" s="1"/>
  <c r="Q854" i="2" a="1"/>
  <c r="Q854" i="2" s="1"/>
  <c r="A855" i="2" a="1"/>
  <c r="A855" i="2" s="1"/>
  <c r="B855" i="2" a="1"/>
  <c r="B855" i="2" s="1"/>
  <c r="C855" i="2" a="1"/>
  <c r="C855" i="2" s="1"/>
  <c r="D855" i="2" a="1"/>
  <c r="D855" i="2" s="1"/>
  <c r="E855" i="2" a="1"/>
  <c r="E855" i="2" s="1"/>
  <c r="F855" i="2" a="1"/>
  <c r="F855" i="2" s="1"/>
  <c r="G855" i="2" a="1"/>
  <c r="G855" i="2" s="1"/>
  <c r="H855" i="2" a="1"/>
  <c r="H855" i="2" s="1"/>
  <c r="I855" i="2" a="1"/>
  <c r="I855" i="2" s="1"/>
  <c r="J855" i="2" a="1"/>
  <c r="J855" i="2" s="1"/>
  <c r="K855" i="2" a="1"/>
  <c r="K855" i="2" s="1"/>
  <c r="L855" i="2" a="1"/>
  <c r="L855" i="2" s="1"/>
  <c r="M855" i="2" a="1"/>
  <c r="M855" i="2" s="1"/>
  <c r="N855" i="2" a="1"/>
  <c r="N855" i="2" s="1"/>
  <c r="O855" i="2" a="1"/>
  <c r="O855" i="2" s="1"/>
  <c r="P855" i="2" a="1"/>
  <c r="P855" i="2" s="1"/>
  <c r="Q855" i="2" a="1"/>
  <c r="Q855" i="2" s="1"/>
  <c r="A856" i="2" a="1"/>
  <c r="A856" i="2" s="1"/>
  <c r="B856" i="2" a="1"/>
  <c r="B856" i="2" s="1"/>
  <c r="C856" i="2" a="1"/>
  <c r="C856" i="2" s="1"/>
  <c r="D856" i="2" a="1"/>
  <c r="D856" i="2" s="1"/>
  <c r="E856" i="2" a="1"/>
  <c r="E856" i="2" s="1"/>
  <c r="F856" i="2" a="1"/>
  <c r="F856" i="2" s="1"/>
  <c r="G856" i="2" a="1"/>
  <c r="G856" i="2" s="1"/>
  <c r="H856" i="2" a="1"/>
  <c r="H856" i="2" s="1"/>
  <c r="I856" i="2" a="1"/>
  <c r="I856" i="2" s="1"/>
  <c r="J856" i="2" a="1"/>
  <c r="J856" i="2" s="1"/>
  <c r="K856" i="2" a="1"/>
  <c r="K856" i="2" s="1"/>
  <c r="L856" i="2" a="1"/>
  <c r="L856" i="2" s="1"/>
  <c r="M856" i="2" a="1"/>
  <c r="M856" i="2" s="1"/>
  <c r="N856" i="2" a="1"/>
  <c r="N856" i="2" s="1"/>
  <c r="O856" i="2" a="1"/>
  <c r="O856" i="2" s="1"/>
  <c r="P856" i="2" a="1"/>
  <c r="P856" i="2" s="1"/>
  <c r="Q856" i="2" a="1"/>
  <c r="Q856" i="2" s="1"/>
  <c r="A857" i="2" a="1"/>
  <c r="A857" i="2" s="1"/>
  <c r="B857" i="2" a="1"/>
  <c r="B857" i="2" s="1"/>
  <c r="C857" i="2" a="1"/>
  <c r="C857" i="2" s="1"/>
  <c r="D857" i="2" a="1"/>
  <c r="D857" i="2" s="1"/>
  <c r="E857" i="2" a="1"/>
  <c r="E857" i="2" s="1"/>
  <c r="F857" i="2" a="1"/>
  <c r="F857" i="2" s="1"/>
  <c r="G857" i="2" a="1"/>
  <c r="G857" i="2" s="1"/>
  <c r="H857" i="2" a="1"/>
  <c r="H857" i="2" s="1"/>
  <c r="I857" i="2" a="1"/>
  <c r="I857" i="2" s="1"/>
  <c r="J857" i="2" a="1"/>
  <c r="J857" i="2" s="1"/>
  <c r="K857" i="2" a="1"/>
  <c r="K857" i="2" s="1"/>
  <c r="L857" i="2" a="1"/>
  <c r="L857" i="2" s="1"/>
  <c r="M857" i="2" a="1"/>
  <c r="M857" i="2" s="1"/>
  <c r="N857" i="2" a="1"/>
  <c r="N857" i="2" s="1"/>
  <c r="O857" i="2" a="1"/>
  <c r="O857" i="2" s="1"/>
  <c r="P857" i="2" a="1"/>
  <c r="P857" i="2" s="1"/>
  <c r="Q857" i="2" a="1"/>
  <c r="Q857" i="2" s="1"/>
  <c r="A858" i="2" a="1"/>
  <c r="A858" i="2" s="1"/>
  <c r="B858" i="2" a="1"/>
  <c r="B858" i="2" s="1"/>
  <c r="C858" i="2" a="1"/>
  <c r="C858" i="2" s="1"/>
  <c r="D858" i="2" a="1"/>
  <c r="D858" i="2" s="1"/>
  <c r="E858" i="2" a="1"/>
  <c r="E858" i="2" s="1"/>
  <c r="F858" i="2" a="1"/>
  <c r="F858" i="2" s="1"/>
  <c r="G858" i="2" a="1"/>
  <c r="G858" i="2" s="1"/>
  <c r="H858" i="2" a="1"/>
  <c r="H858" i="2" s="1"/>
  <c r="I858" i="2" a="1"/>
  <c r="I858" i="2" s="1"/>
  <c r="J858" i="2" a="1"/>
  <c r="J858" i="2" s="1"/>
  <c r="K858" i="2" a="1"/>
  <c r="K858" i="2" s="1"/>
  <c r="L858" i="2" a="1"/>
  <c r="L858" i="2" s="1"/>
  <c r="M858" i="2" a="1"/>
  <c r="M858" i="2" s="1"/>
  <c r="N858" i="2" a="1"/>
  <c r="N858" i="2" s="1"/>
  <c r="O858" i="2" a="1"/>
  <c r="O858" i="2" s="1"/>
  <c r="P858" i="2" a="1"/>
  <c r="P858" i="2" s="1"/>
  <c r="Q858" i="2" a="1"/>
  <c r="Q858" i="2" s="1"/>
  <c r="A859" i="2" a="1"/>
  <c r="A859" i="2" s="1"/>
  <c r="B859" i="2" a="1"/>
  <c r="B859" i="2" s="1"/>
  <c r="C859" i="2" a="1"/>
  <c r="C859" i="2" s="1"/>
  <c r="D859" i="2" a="1"/>
  <c r="D859" i="2" s="1"/>
  <c r="E859" i="2" a="1"/>
  <c r="E859" i="2" s="1"/>
  <c r="F859" i="2" a="1"/>
  <c r="F859" i="2" s="1"/>
  <c r="G859" i="2" a="1"/>
  <c r="G859" i="2" s="1"/>
  <c r="H859" i="2" a="1"/>
  <c r="H859" i="2" s="1"/>
  <c r="I859" i="2" a="1"/>
  <c r="I859" i="2" s="1"/>
  <c r="J859" i="2" a="1"/>
  <c r="J859" i="2" s="1"/>
  <c r="K859" i="2" a="1"/>
  <c r="K859" i="2" s="1"/>
  <c r="L859" i="2" a="1"/>
  <c r="L859" i="2" s="1"/>
  <c r="M859" i="2" a="1"/>
  <c r="M859" i="2" s="1"/>
  <c r="N859" i="2" a="1"/>
  <c r="N859" i="2" s="1"/>
  <c r="O859" i="2" a="1"/>
  <c r="O859" i="2" s="1"/>
  <c r="P859" i="2" a="1"/>
  <c r="P859" i="2" s="1"/>
  <c r="Q859" i="2" a="1"/>
  <c r="Q859" i="2" s="1"/>
  <c r="A860" i="2" a="1"/>
  <c r="A860" i="2" s="1"/>
  <c r="B860" i="2" a="1"/>
  <c r="B860" i="2" s="1"/>
  <c r="C860" i="2" a="1"/>
  <c r="C860" i="2" s="1"/>
  <c r="D860" i="2" a="1"/>
  <c r="D860" i="2" s="1"/>
  <c r="E860" i="2" a="1"/>
  <c r="E860" i="2" s="1"/>
  <c r="F860" i="2" a="1"/>
  <c r="F860" i="2" s="1"/>
  <c r="G860" i="2" a="1"/>
  <c r="G860" i="2" s="1"/>
  <c r="H860" i="2" a="1"/>
  <c r="H860" i="2" s="1"/>
  <c r="I860" i="2" a="1"/>
  <c r="I860" i="2" s="1"/>
  <c r="J860" i="2" a="1"/>
  <c r="J860" i="2" s="1"/>
  <c r="K860" i="2" a="1"/>
  <c r="K860" i="2" s="1"/>
  <c r="L860" i="2" a="1"/>
  <c r="L860" i="2" s="1"/>
  <c r="M860" i="2" a="1"/>
  <c r="M860" i="2" s="1"/>
  <c r="N860" i="2" a="1"/>
  <c r="N860" i="2" s="1"/>
  <c r="O860" i="2" a="1"/>
  <c r="O860" i="2" s="1"/>
  <c r="P860" i="2" a="1"/>
  <c r="P860" i="2" s="1"/>
  <c r="Q860" i="2" a="1"/>
  <c r="Q860" i="2" s="1"/>
  <c r="A861" i="2" a="1"/>
  <c r="A861" i="2" s="1"/>
  <c r="B861" i="2" a="1"/>
  <c r="B861" i="2" s="1"/>
  <c r="C861" i="2" a="1"/>
  <c r="C861" i="2" s="1"/>
  <c r="D861" i="2" a="1"/>
  <c r="D861" i="2" s="1"/>
  <c r="E861" i="2" a="1"/>
  <c r="E861" i="2" s="1"/>
  <c r="F861" i="2" a="1"/>
  <c r="F861" i="2" s="1"/>
  <c r="G861" i="2" a="1"/>
  <c r="G861" i="2" s="1"/>
  <c r="H861" i="2" a="1"/>
  <c r="H861" i="2" s="1"/>
  <c r="I861" i="2" a="1"/>
  <c r="I861" i="2" s="1"/>
  <c r="J861" i="2" a="1"/>
  <c r="J861" i="2" s="1"/>
  <c r="K861" i="2" a="1"/>
  <c r="K861" i="2" s="1"/>
  <c r="L861" i="2" a="1"/>
  <c r="L861" i="2" s="1"/>
  <c r="M861" i="2" a="1"/>
  <c r="M861" i="2" s="1"/>
  <c r="N861" i="2" a="1"/>
  <c r="N861" i="2" s="1"/>
  <c r="O861" i="2" a="1"/>
  <c r="O861" i="2" s="1"/>
  <c r="P861" i="2" a="1"/>
  <c r="P861" i="2" s="1"/>
  <c r="Q861" i="2" a="1"/>
  <c r="Q861" i="2" s="1"/>
  <c r="A862" i="2" a="1"/>
  <c r="A862" i="2" s="1"/>
  <c r="B862" i="2" a="1"/>
  <c r="B862" i="2" s="1"/>
  <c r="C862" i="2" a="1"/>
  <c r="C862" i="2" s="1"/>
  <c r="D862" i="2" a="1"/>
  <c r="D862" i="2" s="1"/>
  <c r="E862" i="2" a="1"/>
  <c r="E862" i="2" s="1"/>
  <c r="F862" i="2" a="1"/>
  <c r="F862" i="2" s="1"/>
  <c r="G862" i="2" a="1"/>
  <c r="G862" i="2" s="1"/>
  <c r="H862" i="2" a="1"/>
  <c r="H862" i="2" s="1"/>
  <c r="I862" i="2" a="1"/>
  <c r="I862" i="2" s="1"/>
  <c r="J862" i="2" a="1"/>
  <c r="J862" i="2" s="1"/>
  <c r="K862" i="2" a="1"/>
  <c r="K862" i="2" s="1"/>
  <c r="L862" i="2" a="1"/>
  <c r="L862" i="2" s="1"/>
  <c r="M862" i="2" a="1"/>
  <c r="M862" i="2" s="1"/>
  <c r="N862" i="2" a="1"/>
  <c r="N862" i="2" s="1"/>
  <c r="O862" i="2" a="1"/>
  <c r="O862" i="2" s="1"/>
  <c r="P862" i="2" a="1"/>
  <c r="P862" i="2" s="1"/>
  <c r="Q862" i="2" a="1"/>
  <c r="Q862" i="2" s="1"/>
  <c r="A863" i="2" a="1"/>
  <c r="A863" i="2" s="1"/>
  <c r="B863" i="2" a="1"/>
  <c r="B863" i="2" s="1"/>
  <c r="C863" i="2" a="1"/>
  <c r="C863" i="2" s="1"/>
  <c r="D863" i="2" a="1"/>
  <c r="D863" i="2" s="1"/>
  <c r="E863" i="2" a="1"/>
  <c r="E863" i="2" s="1"/>
  <c r="F863" i="2" a="1"/>
  <c r="F863" i="2" s="1"/>
  <c r="G863" i="2" a="1"/>
  <c r="G863" i="2" s="1"/>
  <c r="H863" i="2" a="1"/>
  <c r="H863" i="2" s="1"/>
  <c r="I863" i="2" a="1"/>
  <c r="I863" i="2" s="1"/>
  <c r="J863" i="2" a="1"/>
  <c r="J863" i="2" s="1"/>
  <c r="K863" i="2" a="1"/>
  <c r="K863" i="2" s="1"/>
  <c r="L863" i="2" a="1"/>
  <c r="L863" i="2" s="1"/>
  <c r="M863" i="2" a="1"/>
  <c r="M863" i="2" s="1"/>
  <c r="N863" i="2" a="1"/>
  <c r="N863" i="2" s="1"/>
  <c r="O863" i="2" a="1"/>
  <c r="O863" i="2" s="1"/>
  <c r="P863" i="2" a="1"/>
  <c r="P863" i="2" s="1"/>
  <c r="Q863" i="2" a="1"/>
  <c r="Q863" i="2" s="1"/>
  <c r="A864" i="2" a="1"/>
  <c r="A864" i="2" s="1"/>
  <c r="B864" i="2" a="1"/>
  <c r="B864" i="2" s="1"/>
  <c r="C864" i="2" a="1"/>
  <c r="C864" i="2" s="1"/>
  <c r="D864" i="2" a="1"/>
  <c r="D864" i="2" s="1"/>
  <c r="E864" i="2" a="1"/>
  <c r="E864" i="2" s="1"/>
  <c r="F864" i="2" a="1"/>
  <c r="F864" i="2" s="1"/>
  <c r="G864" i="2" a="1"/>
  <c r="G864" i="2" s="1"/>
  <c r="H864" i="2" a="1"/>
  <c r="H864" i="2" s="1"/>
  <c r="I864" i="2" a="1"/>
  <c r="I864" i="2" s="1"/>
  <c r="J864" i="2" a="1"/>
  <c r="J864" i="2" s="1"/>
  <c r="K864" i="2" a="1"/>
  <c r="K864" i="2" s="1"/>
  <c r="L864" i="2" a="1"/>
  <c r="L864" i="2" s="1"/>
  <c r="M864" i="2" a="1"/>
  <c r="M864" i="2" s="1"/>
  <c r="N864" i="2" a="1"/>
  <c r="N864" i="2" s="1"/>
  <c r="O864" i="2" a="1"/>
  <c r="O864" i="2" s="1"/>
  <c r="P864" i="2" a="1"/>
  <c r="P864" i="2" s="1"/>
  <c r="Q864" i="2" a="1"/>
  <c r="Q864" i="2" s="1"/>
  <c r="A865" i="2" a="1"/>
  <c r="A865" i="2" s="1"/>
  <c r="B865" i="2" a="1"/>
  <c r="B865" i="2" s="1"/>
  <c r="C865" i="2" a="1"/>
  <c r="C865" i="2" s="1"/>
  <c r="D865" i="2" a="1"/>
  <c r="D865" i="2" s="1"/>
  <c r="E865" i="2" a="1"/>
  <c r="E865" i="2" s="1"/>
  <c r="F865" i="2" a="1"/>
  <c r="F865" i="2" s="1"/>
  <c r="G865" i="2" a="1"/>
  <c r="G865" i="2" s="1"/>
  <c r="H865" i="2" a="1"/>
  <c r="H865" i="2" s="1"/>
  <c r="I865" i="2" a="1"/>
  <c r="I865" i="2" s="1"/>
  <c r="J865" i="2" a="1"/>
  <c r="J865" i="2" s="1"/>
  <c r="K865" i="2" a="1"/>
  <c r="K865" i="2" s="1"/>
  <c r="L865" i="2" a="1"/>
  <c r="L865" i="2" s="1"/>
  <c r="M865" i="2" a="1"/>
  <c r="M865" i="2" s="1"/>
  <c r="N865" i="2" a="1"/>
  <c r="N865" i="2" s="1"/>
  <c r="O865" i="2" a="1"/>
  <c r="O865" i="2" s="1"/>
  <c r="P865" i="2" a="1"/>
  <c r="P865" i="2" s="1"/>
  <c r="Q865" i="2" a="1"/>
  <c r="Q865" i="2" s="1"/>
  <c r="A866" i="2" a="1"/>
  <c r="A866" i="2" s="1"/>
  <c r="B866" i="2" a="1"/>
  <c r="B866" i="2" s="1"/>
  <c r="C866" i="2" a="1"/>
  <c r="C866" i="2" s="1"/>
  <c r="D866" i="2" a="1"/>
  <c r="D866" i="2" s="1"/>
  <c r="E866" i="2" a="1"/>
  <c r="E866" i="2" s="1"/>
  <c r="F866" i="2" a="1"/>
  <c r="F866" i="2" s="1"/>
  <c r="G866" i="2" a="1"/>
  <c r="G866" i="2" s="1"/>
  <c r="H866" i="2" a="1"/>
  <c r="H866" i="2" s="1"/>
  <c r="I866" i="2" a="1"/>
  <c r="I866" i="2" s="1"/>
  <c r="J866" i="2" a="1"/>
  <c r="J866" i="2" s="1"/>
  <c r="K866" i="2" a="1"/>
  <c r="K866" i="2" s="1"/>
  <c r="L866" i="2" a="1"/>
  <c r="L866" i="2" s="1"/>
  <c r="M866" i="2" a="1"/>
  <c r="M866" i="2" s="1"/>
  <c r="N866" i="2" a="1"/>
  <c r="N866" i="2" s="1"/>
  <c r="O866" i="2" a="1"/>
  <c r="O866" i="2" s="1"/>
  <c r="P866" i="2" a="1"/>
  <c r="P866" i="2" s="1"/>
  <c r="Q866" i="2" a="1"/>
  <c r="Q866" i="2" s="1"/>
  <c r="A867" i="2" a="1"/>
  <c r="A867" i="2" s="1"/>
  <c r="B867" i="2" a="1"/>
  <c r="B867" i="2" s="1"/>
  <c r="C867" i="2" a="1"/>
  <c r="C867" i="2" s="1"/>
  <c r="D867" i="2" a="1"/>
  <c r="D867" i="2" s="1"/>
  <c r="E867" i="2" a="1"/>
  <c r="E867" i="2" s="1"/>
  <c r="F867" i="2" a="1"/>
  <c r="F867" i="2" s="1"/>
  <c r="G867" i="2" a="1"/>
  <c r="G867" i="2" s="1"/>
  <c r="H867" i="2" a="1"/>
  <c r="H867" i="2" s="1"/>
  <c r="I867" i="2" a="1"/>
  <c r="I867" i="2" s="1"/>
  <c r="J867" i="2" a="1"/>
  <c r="J867" i="2" s="1"/>
  <c r="K867" i="2" a="1"/>
  <c r="K867" i="2" s="1"/>
  <c r="L867" i="2" a="1"/>
  <c r="L867" i="2" s="1"/>
  <c r="M867" i="2" a="1"/>
  <c r="M867" i="2" s="1"/>
  <c r="N867" i="2" a="1"/>
  <c r="N867" i="2" s="1"/>
  <c r="O867" i="2" a="1"/>
  <c r="O867" i="2" s="1"/>
  <c r="P867" i="2" a="1"/>
  <c r="P867" i="2" s="1"/>
  <c r="Q867" i="2" a="1"/>
  <c r="Q867" i="2" s="1"/>
  <c r="A868" i="2" a="1"/>
  <c r="A868" i="2" s="1"/>
  <c r="B868" i="2" a="1"/>
  <c r="B868" i="2" s="1"/>
  <c r="C868" i="2" a="1"/>
  <c r="C868" i="2" s="1"/>
  <c r="D868" i="2" a="1"/>
  <c r="D868" i="2" s="1"/>
  <c r="E868" i="2" a="1"/>
  <c r="E868" i="2" s="1"/>
  <c r="F868" i="2" a="1"/>
  <c r="F868" i="2" s="1"/>
  <c r="G868" i="2" a="1"/>
  <c r="G868" i="2" s="1"/>
  <c r="H868" i="2" a="1"/>
  <c r="H868" i="2" s="1"/>
  <c r="I868" i="2" a="1"/>
  <c r="I868" i="2" s="1"/>
  <c r="J868" i="2" a="1"/>
  <c r="J868" i="2" s="1"/>
  <c r="K868" i="2" a="1"/>
  <c r="K868" i="2" s="1"/>
  <c r="L868" i="2" a="1"/>
  <c r="L868" i="2" s="1"/>
  <c r="M868" i="2" a="1"/>
  <c r="M868" i="2" s="1"/>
  <c r="N868" i="2" a="1"/>
  <c r="N868" i="2" s="1"/>
  <c r="O868" i="2" a="1"/>
  <c r="O868" i="2" s="1"/>
  <c r="P868" i="2" a="1"/>
  <c r="P868" i="2" s="1"/>
  <c r="Q868" i="2" a="1"/>
  <c r="Q868" i="2" s="1"/>
  <c r="A869" i="2" a="1"/>
  <c r="A869" i="2" s="1"/>
  <c r="B869" i="2" a="1"/>
  <c r="B869" i="2" s="1"/>
  <c r="C869" i="2" a="1"/>
  <c r="C869" i="2" s="1"/>
  <c r="D869" i="2" a="1"/>
  <c r="D869" i="2" s="1"/>
  <c r="E869" i="2" a="1"/>
  <c r="E869" i="2" s="1"/>
  <c r="F869" i="2" a="1"/>
  <c r="F869" i="2" s="1"/>
  <c r="G869" i="2" a="1"/>
  <c r="G869" i="2" s="1"/>
  <c r="H869" i="2" a="1"/>
  <c r="H869" i="2" s="1"/>
  <c r="I869" i="2" a="1"/>
  <c r="I869" i="2" s="1"/>
  <c r="J869" i="2" a="1"/>
  <c r="J869" i="2" s="1"/>
  <c r="K869" i="2" a="1"/>
  <c r="K869" i="2" s="1"/>
  <c r="L869" i="2" a="1"/>
  <c r="L869" i="2" s="1"/>
  <c r="M869" i="2" a="1"/>
  <c r="M869" i="2" s="1"/>
  <c r="N869" i="2" a="1"/>
  <c r="N869" i="2" s="1"/>
  <c r="O869" i="2" a="1"/>
  <c r="O869" i="2" s="1"/>
  <c r="P869" i="2" a="1"/>
  <c r="P869" i="2" s="1"/>
  <c r="Q869" i="2" a="1"/>
  <c r="Q869" i="2" s="1"/>
  <c r="A870" i="2" a="1"/>
  <c r="A870" i="2" s="1"/>
  <c r="B870" i="2" a="1"/>
  <c r="B870" i="2" s="1"/>
  <c r="C870" i="2" a="1"/>
  <c r="C870" i="2" s="1"/>
  <c r="D870" i="2" a="1"/>
  <c r="D870" i="2" s="1"/>
  <c r="E870" i="2" a="1"/>
  <c r="E870" i="2" s="1"/>
  <c r="F870" i="2" a="1"/>
  <c r="F870" i="2" s="1"/>
  <c r="G870" i="2" a="1"/>
  <c r="G870" i="2" s="1"/>
  <c r="H870" i="2" a="1"/>
  <c r="H870" i="2" s="1"/>
  <c r="I870" i="2" a="1"/>
  <c r="I870" i="2" s="1"/>
  <c r="J870" i="2" a="1"/>
  <c r="J870" i="2" s="1"/>
  <c r="K870" i="2" a="1"/>
  <c r="K870" i="2" s="1"/>
  <c r="L870" i="2" a="1"/>
  <c r="L870" i="2" s="1"/>
  <c r="M870" i="2" a="1"/>
  <c r="M870" i="2" s="1"/>
  <c r="N870" i="2" a="1"/>
  <c r="N870" i="2" s="1"/>
  <c r="O870" i="2" a="1"/>
  <c r="O870" i="2" s="1"/>
  <c r="P870" i="2" a="1"/>
  <c r="P870" i="2" s="1"/>
  <c r="Q870" i="2" a="1"/>
  <c r="Q870" i="2" s="1"/>
  <c r="A871" i="2" a="1"/>
  <c r="A871" i="2" s="1"/>
  <c r="B871" i="2" a="1"/>
  <c r="B871" i="2" s="1"/>
  <c r="C871" i="2" a="1"/>
  <c r="C871" i="2" s="1"/>
  <c r="D871" i="2" a="1"/>
  <c r="D871" i="2" s="1"/>
  <c r="E871" i="2" a="1"/>
  <c r="E871" i="2" s="1"/>
  <c r="F871" i="2" a="1"/>
  <c r="F871" i="2" s="1"/>
  <c r="G871" i="2" a="1"/>
  <c r="G871" i="2" s="1"/>
  <c r="H871" i="2" a="1"/>
  <c r="H871" i="2" s="1"/>
  <c r="I871" i="2" a="1"/>
  <c r="I871" i="2" s="1"/>
  <c r="J871" i="2" a="1"/>
  <c r="J871" i="2" s="1"/>
  <c r="K871" i="2" a="1"/>
  <c r="K871" i="2" s="1"/>
  <c r="L871" i="2" a="1"/>
  <c r="L871" i="2" s="1"/>
  <c r="M871" i="2" a="1"/>
  <c r="M871" i="2" s="1"/>
  <c r="N871" i="2" a="1"/>
  <c r="N871" i="2" s="1"/>
  <c r="O871" i="2" a="1"/>
  <c r="O871" i="2" s="1"/>
  <c r="P871" i="2" a="1"/>
  <c r="P871" i="2" s="1"/>
  <c r="Q871" i="2" a="1"/>
  <c r="Q871" i="2" s="1"/>
  <c r="A872" i="2" a="1"/>
  <c r="A872" i="2" s="1"/>
  <c r="B872" i="2" a="1"/>
  <c r="B872" i="2" s="1"/>
  <c r="C872" i="2" a="1"/>
  <c r="C872" i="2" s="1"/>
  <c r="D872" i="2" a="1"/>
  <c r="D872" i="2" s="1"/>
  <c r="E872" i="2" a="1"/>
  <c r="E872" i="2" s="1"/>
  <c r="F872" i="2" a="1"/>
  <c r="F872" i="2" s="1"/>
  <c r="G872" i="2" a="1"/>
  <c r="G872" i="2" s="1"/>
  <c r="H872" i="2" a="1"/>
  <c r="H872" i="2" s="1"/>
  <c r="I872" i="2" a="1"/>
  <c r="I872" i="2" s="1"/>
  <c r="J872" i="2" a="1"/>
  <c r="J872" i="2" s="1"/>
  <c r="K872" i="2" a="1"/>
  <c r="K872" i="2" s="1"/>
  <c r="L872" i="2" a="1"/>
  <c r="L872" i="2" s="1"/>
  <c r="M872" i="2" a="1"/>
  <c r="M872" i="2" s="1"/>
  <c r="N872" i="2" a="1"/>
  <c r="N872" i="2" s="1"/>
  <c r="O872" i="2" a="1"/>
  <c r="O872" i="2" s="1"/>
  <c r="P872" i="2" a="1"/>
  <c r="P872" i="2" s="1"/>
  <c r="Q872" i="2" a="1"/>
  <c r="Q872" i="2" s="1"/>
  <c r="A873" i="2" a="1"/>
  <c r="A873" i="2" s="1"/>
  <c r="B873" i="2" a="1"/>
  <c r="B873" i="2" s="1"/>
  <c r="C873" i="2" a="1"/>
  <c r="C873" i="2" s="1"/>
  <c r="D873" i="2" a="1"/>
  <c r="D873" i="2" s="1"/>
  <c r="E873" i="2" a="1"/>
  <c r="E873" i="2" s="1"/>
  <c r="F873" i="2" a="1"/>
  <c r="F873" i="2" s="1"/>
  <c r="G873" i="2" a="1"/>
  <c r="G873" i="2" s="1"/>
  <c r="H873" i="2" a="1"/>
  <c r="H873" i="2" s="1"/>
  <c r="I873" i="2" a="1"/>
  <c r="I873" i="2" s="1"/>
  <c r="J873" i="2" a="1"/>
  <c r="J873" i="2" s="1"/>
  <c r="K873" i="2" a="1"/>
  <c r="K873" i="2" s="1"/>
  <c r="L873" i="2" a="1"/>
  <c r="L873" i="2" s="1"/>
  <c r="M873" i="2" a="1"/>
  <c r="M873" i="2" s="1"/>
  <c r="N873" i="2" a="1"/>
  <c r="N873" i="2" s="1"/>
  <c r="O873" i="2" a="1"/>
  <c r="O873" i="2" s="1"/>
  <c r="P873" i="2" a="1"/>
  <c r="P873" i="2" s="1"/>
  <c r="Q873" i="2" a="1"/>
  <c r="Q873" i="2" s="1"/>
  <c r="A874" i="2" a="1"/>
  <c r="A874" i="2" s="1"/>
  <c r="B874" i="2" a="1"/>
  <c r="B874" i="2" s="1"/>
  <c r="C874" i="2" a="1"/>
  <c r="C874" i="2" s="1"/>
  <c r="D874" i="2" a="1"/>
  <c r="D874" i="2" s="1"/>
  <c r="E874" i="2" a="1"/>
  <c r="E874" i="2" s="1"/>
  <c r="F874" i="2" a="1"/>
  <c r="F874" i="2" s="1"/>
  <c r="G874" i="2" a="1"/>
  <c r="G874" i="2" s="1"/>
  <c r="H874" i="2" a="1"/>
  <c r="H874" i="2" s="1"/>
  <c r="I874" i="2" a="1"/>
  <c r="I874" i="2" s="1"/>
  <c r="J874" i="2" a="1"/>
  <c r="J874" i="2" s="1"/>
  <c r="K874" i="2" a="1"/>
  <c r="K874" i="2" s="1"/>
  <c r="L874" i="2" a="1"/>
  <c r="L874" i="2" s="1"/>
  <c r="M874" i="2" a="1"/>
  <c r="M874" i="2" s="1"/>
  <c r="N874" i="2" a="1"/>
  <c r="N874" i="2" s="1"/>
  <c r="O874" i="2" a="1"/>
  <c r="O874" i="2" s="1"/>
  <c r="P874" i="2" a="1"/>
  <c r="P874" i="2" s="1"/>
  <c r="Q874" i="2" a="1"/>
  <c r="Q874" i="2" s="1"/>
  <c r="A875" i="2" a="1"/>
  <c r="A875" i="2" s="1"/>
  <c r="B875" i="2" a="1"/>
  <c r="B875" i="2" s="1"/>
  <c r="C875" i="2" a="1"/>
  <c r="C875" i="2" s="1"/>
  <c r="D875" i="2" a="1"/>
  <c r="D875" i="2" s="1"/>
  <c r="E875" i="2" a="1"/>
  <c r="E875" i="2" s="1"/>
  <c r="F875" i="2" a="1"/>
  <c r="F875" i="2" s="1"/>
  <c r="G875" i="2" a="1"/>
  <c r="G875" i="2" s="1"/>
  <c r="H875" i="2" a="1"/>
  <c r="H875" i="2" s="1"/>
  <c r="I875" i="2" a="1"/>
  <c r="I875" i="2" s="1"/>
  <c r="J875" i="2" a="1"/>
  <c r="J875" i="2" s="1"/>
  <c r="K875" i="2" a="1"/>
  <c r="K875" i="2" s="1"/>
  <c r="L875" i="2" a="1"/>
  <c r="L875" i="2" s="1"/>
  <c r="M875" i="2" a="1"/>
  <c r="M875" i="2" s="1"/>
  <c r="N875" i="2" a="1"/>
  <c r="N875" i="2" s="1"/>
  <c r="O875" i="2" a="1"/>
  <c r="O875" i="2" s="1"/>
  <c r="P875" i="2" a="1"/>
  <c r="P875" i="2" s="1"/>
  <c r="Q875" i="2" a="1"/>
  <c r="Q875" i="2" s="1"/>
  <c r="A876" i="2" a="1"/>
  <c r="A876" i="2" s="1"/>
  <c r="B876" i="2" a="1"/>
  <c r="B876" i="2" s="1"/>
  <c r="C876" i="2" a="1"/>
  <c r="C876" i="2" s="1"/>
  <c r="D876" i="2" a="1"/>
  <c r="D876" i="2" s="1"/>
  <c r="E876" i="2" a="1"/>
  <c r="E876" i="2" s="1"/>
  <c r="F876" i="2" a="1"/>
  <c r="F876" i="2" s="1"/>
  <c r="G876" i="2" a="1"/>
  <c r="G876" i="2" s="1"/>
  <c r="H876" i="2" a="1"/>
  <c r="H876" i="2" s="1"/>
  <c r="I876" i="2" a="1"/>
  <c r="I876" i="2" s="1"/>
  <c r="J876" i="2" a="1"/>
  <c r="J876" i="2" s="1"/>
  <c r="K876" i="2" a="1"/>
  <c r="K876" i="2" s="1"/>
  <c r="L876" i="2" a="1"/>
  <c r="L876" i="2" s="1"/>
  <c r="M876" i="2" a="1"/>
  <c r="M876" i="2" s="1"/>
  <c r="N876" i="2" a="1"/>
  <c r="N876" i="2" s="1"/>
  <c r="O876" i="2" a="1"/>
  <c r="O876" i="2" s="1"/>
  <c r="P876" i="2" a="1"/>
  <c r="P876" i="2" s="1"/>
  <c r="Q876" i="2" a="1"/>
  <c r="Q876" i="2" s="1"/>
  <c r="A877" i="2" a="1"/>
  <c r="A877" i="2" s="1"/>
  <c r="B877" i="2" a="1"/>
  <c r="B877" i="2" s="1"/>
  <c r="C877" i="2" a="1"/>
  <c r="C877" i="2" s="1"/>
  <c r="D877" i="2" a="1"/>
  <c r="D877" i="2" s="1"/>
  <c r="E877" i="2" a="1"/>
  <c r="E877" i="2" s="1"/>
  <c r="F877" i="2" a="1"/>
  <c r="F877" i="2" s="1"/>
  <c r="G877" i="2" a="1"/>
  <c r="G877" i="2" s="1"/>
  <c r="H877" i="2" a="1"/>
  <c r="H877" i="2" s="1"/>
  <c r="I877" i="2" a="1"/>
  <c r="I877" i="2" s="1"/>
  <c r="J877" i="2" a="1"/>
  <c r="J877" i="2" s="1"/>
  <c r="K877" i="2" a="1"/>
  <c r="K877" i="2" s="1"/>
  <c r="L877" i="2" a="1"/>
  <c r="L877" i="2" s="1"/>
  <c r="M877" i="2" a="1"/>
  <c r="M877" i="2" s="1"/>
  <c r="N877" i="2" a="1"/>
  <c r="N877" i="2" s="1"/>
  <c r="O877" i="2" a="1"/>
  <c r="O877" i="2" s="1"/>
  <c r="P877" i="2" a="1"/>
  <c r="P877" i="2" s="1"/>
  <c r="Q877" i="2" a="1"/>
  <c r="Q877" i="2" s="1"/>
  <c r="A878" i="2" a="1"/>
  <c r="A878" i="2" s="1"/>
  <c r="B878" i="2" a="1"/>
  <c r="B878" i="2" s="1"/>
  <c r="C878" i="2" a="1"/>
  <c r="C878" i="2" s="1"/>
  <c r="D878" i="2" a="1"/>
  <c r="D878" i="2" s="1"/>
  <c r="E878" i="2" a="1"/>
  <c r="E878" i="2" s="1"/>
  <c r="F878" i="2" a="1"/>
  <c r="F878" i="2" s="1"/>
  <c r="G878" i="2" a="1"/>
  <c r="G878" i="2" s="1"/>
  <c r="H878" i="2" a="1"/>
  <c r="H878" i="2" s="1"/>
  <c r="I878" i="2" a="1"/>
  <c r="I878" i="2" s="1"/>
  <c r="J878" i="2" a="1"/>
  <c r="J878" i="2" s="1"/>
  <c r="K878" i="2" a="1"/>
  <c r="K878" i="2" s="1"/>
  <c r="L878" i="2" a="1"/>
  <c r="L878" i="2" s="1"/>
  <c r="M878" i="2" a="1"/>
  <c r="M878" i="2" s="1"/>
  <c r="N878" i="2" a="1"/>
  <c r="N878" i="2" s="1"/>
  <c r="O878" i="2" a="1"/>
  <c r="O878" i="2" s="1"/>
  <c r="P878" i="2" a="1"/>
  <c r="P878" i="2" s="1"/>
  <c r="Q878" i="2" a="1"/>
  <c r="Q878" i="2" s="1"/>
  <c r="A879" i="2" a="1"/>
  <c r="A879" i="2" s="1"/>
  <c r="B879" i="2" a="1"/>
  <c r="B879" i="2" s="1"/>
  <c r="C879" i="2" a="1"/>
  <c r="C879" i="2" s="1"/>
  <c r="D879" i="2" a="1"/>
  <c r="D879" i="2" s="1"/>
  <c r="E879" i="2" a="1"/>
  <c r="E879" i="2" s="1"/>
  <c r="F879" i="2" a="1"/>
  <c r="F879" i="2" s="1"/>
  <c r="G879" i="2" a="1"/>
  <c r="G879" i="2" s="1"/>
  <c r="H879" i="2" a="1"/>
  <c r="H879" i="2" s="1"/>
  <c r="I879" i="2" a="1"/>
  <c r="I879" i="2" s="1"/>
  <c r="J879" i="2" a="1"/>
  <c r="J879" i="2" s="1"/>
  <c r="K879" i="2" a="1"/>
  <c r="K879" i="2" s="1"/>
  <c r="L879" i="2" a="1"/>
  <c r="L879" i="2" s="1"/>
  <c r="M879" i="2" a="1"/>
  <c r="M879" i="2" s="1"/>
  <c r="N879" i="2" a="1"/>
  <c r="N879" i="2" s="1"/>
  <c r="O879" i="2" a="1"/>
  <c r="O879" i="2" s="1"/>
  <c r="P879" i="2" a="1"/>
  <c r="P879" i="2" s="1"/>
  <c r="Q879" i="2" a="1"/>
  <c r="Q879" i="2" s="1"/>
  <c r="A880" i="2" a="1"/>
  <c r="A880" i="2" s="1"/>
  <c r="B880" i="2" a="1"/>
  <c r="B880" i="2" s="1"/>
  <c r="C880" i="2" a="1"/>
  <c r="C880" i="2" s="1"/>
  <c r="D880" i="2" a="1"/>
  <c r="D880" i="2" s="1"/>
  <c r="E880" i="2" a="1"/>
  <c r="E880" i="2" s="1"/>
  <c r="F880" i="2" a="1"/>
  <c r="F880" i="2" s="1"/>
  <c r="G880" i="2" a="1"/>
  <c r="G880" i="2" s="1"/>
  <c r="H880" i="2" a="1"/>
  <c r="H880" i="2" s="1"/>
  <c r="I880" i="2" a="1"/>
  <c r="I880" i="2" s="1"/>
  <c r="J880" i="2" a="1"/>
  <c r="J880" i="2" s="1"/>
  <c r="K880" i="2" a="1"/>
  <c r="K880" i="2" s="1"/>
  <c r="L880" i="2" a="1"/>
  <c r="L880" i="2" s="1"/>
  <c r="M880" i="2" a="1"/>
  <c r="M880" i="2" s="1"/>
  <c r="N880" i="2" a="1"/>
  <c r="N880" i="2" s="1"/>
  <c r="O880" i="2" a="1"/>
  <c r="O880" i="2" s="1"/>
  <c r="P880" i="2" a="1"/>
  <c r="P880" i="2" s="1"/>
  <c r="Q880" i="2" a="1"/>
  <c r="Q880" i="2" s="1"/>
  <c r="A881" i="2" a="1"/>
  <c r="A881" i="2" s="1"/>
  <c r="B881" i="2" a="1"/>
  <c r="B881" i="2" s="1"/>
  <c r="C881" i="2" a="1"/>
  <c r="C881" i="2" s="1"/>
  <c r="D881" i="2" a="1"/>
  <c r="D881" i="2" s="1"/>
  <c r="E881" i="2" a="1"/>
  <c r="E881" i="2" s="1"/>
  <c r="F881" i="2" a="1"/>
  <c r="F881" i="2" s="1"/>
  <c r="G881" i="2" a="1"/>
  <c r="G881" i="2" s="1"/>
  <c r="H881" i="2" a="1"/>
  <c r="H881" i="2" s="1"/>
  <c r="I881" i="2" a="1"/>
  <c r="I881" i="2" s="1"/>
  <c r="J881" i="2" a="1"/>
  <c r="J881" i="2" s="1"/>
  <c r="K881" i="2" a="1"/>
  <c r="K881" i="2" s="1"/>
  <c r="L881" i="2" a="1"/>
  <c r="L881" i="2" s="1"/>
  <c r="M881" i="2" a="1"/>
  <c r="M881" i="2" s="1"/>
  <c r="N881" i="2" a="1"/>
  <c r="N881" i="2" s="1"/>
  <c r="O881" i="2" a="1"/>
  <c r="O881" i="2" s="1"/>
  <c r="P881" i="2" a="1"/>
  <c r="P881" i="2" s="1"/>
  <c r="Q881" i="2" a="1"/>
  <c r="Q881" i="2" s="1"/>
  <c r="A882" i="2" a="1"/>
  <c r="A882" i="2" s="1"/>
  <c r="B882" i="2" a="1"/>
  <c r="B882" i="2" s="1"/>
  <c r="C882" i="2" a="1"/>
  <c r="C882" i="2" s="1"/>
  <c r="D882" i="2" a="1"/>
  <c r="D882" i="2" s="1"/>
  <c r="E882" i="2" a="1"/>
  <c r="E882" i="2" s="1"/>
  <c r="F882" i="2" a="1"/>
  <c r="F882" i="2" s="1"/>
  <c r="G882" i="2" a="1"/>
  <c r="G882" i="2" s="1"/>
  <c r="H882" i="2" a="1"/>
  <c r="H882" i="2" s="1"/>
  <c r="I882" i="2" a="1"/>
  <c r="I882" i="2" s="1"/>
  <c r="J882" i="2" a="1"/>
  <c r="J882" i="2" s="1"/>
  <c r="K882" i="2" a="1"/>
  <c r="K882" i="2" s="1"/>
  <c r="L882" i="2" a="1"/>
  <c r="L882" i="2" s="1"/>
  <c r="M882" i="2" a="1"/>
  <c r="M882" i="2" s="1"/>
  <c r="N882" i="2" a="1"/>
  <c r="N882" i="2" s="1"/>
  <c r="O882" i="2" a="1"/>
  <c r="O882" i="2" s="1"/>
  <c r="P882" i="2" a="1"/>
  <c r="P882" i="2" s="1"/>
  <c r="Q882" i="2" a="1"/>
  <c r="Q882" i="2" s="1"/>
  <c r="A883" i="2" a="1"/>
  <c r="A883" i="2" s="1"/>
  <c r="B883" i="2" a="1"/>
  <c r="B883" i="2" s="1"/>
  <c r="C883" i="2" a="1"/>
  <c r="C883" i="2" s="1"/>
  <c r="D883" i="2" a="1"/>
  <c r="D883" i="2" s="1"/>
  <c r="E883" i="2" a="1"/>
  <c r="E883" i="2" s="1"/>
  <c r="F883" i="2" a="1"/>
  <c r="F883" i="2" s="1"/>
  <c r="G883" i="2" a="1"/>
  <c r="G883" i="2" s="1"/>
  <c r="H883" i="2" a="1"/>
  <c r="H883" i="2" s="1"/>
  <c r="I883" i="2" a="1"/>
  <c r="I883" i="2" s="1"/>
  <c r="J883" i="2" a="1"/>
  <c r="J883" i="2" s="1"/>
  <c r="K883" i="2" a="1"/>
  <c r="K883" i="2" s="1"/>
  <c r="L883" i="2" a="1"/>
  <c r="L883" i="2" s="1"/>
  <c r="M883" i="2" a="1"/>
  <c r="M883" i="2" s="1"/>
  <c r="N883" i="2" a="1"/>
  <c r="N883" i="2" s="1"/>
  <c r="O883" i="2" a="1"/>
  <c r="O883" i="2" s="1"/>
  <c r="P883" i="2" a="1"/>
  <c r="P883" i="2" s="1"/>
  <c r="Q883" i="2" a="1"/>
  <c r="Q883" i="2" s="1"/>
  <c r="A884" i="2" a="1"/>
  <c r="A884" i="2" s="1"/>
  <c r="B884" i="2" a="1"/>
  <c r="B884" i="2" s="1"/>
  <c r="C884" i="2" a="1"/>
  <c r="C884" i="2" s="1"/>
  <c r="D884" i="2" a="1"/>
  <c r="D884" i="2" s="1"/>
  <c r="E884" i="2" a="1"/>
  <c r="E884" i="2" s="1"/>
  <c r="F884" i="2" a="1"/>
  <c r="F884" i="2" s="1"/>
  <c r="G884" i="2" a="1"/>
  <c r="G884" i="2" s="1"/>
  <c r="H884" i="2" a="1"/>
  <c r="H884" i="2" s="1"/>
  <c r="I884" i="2" a="1"/>
  <c r="I884" i="2" s="1"/>
  <c r="J884" i="2" a="1"/>
  <c r="J884" i="2" s="1"/>
  <c r="K884" i="2" a="1"/>
  <c r="K884" i="2" s="1"/>
  <c r="L884" i="2" a="1"/>
  <c r="L884" i="2" s="1"/>
  <c r="M884" i="2" a="1"/>
  <c r="M884" i="2" s="1"/>
  <c r="N884" i="2" a="1"/>
  <c r="N884" i="2" s="1"/>
  <c r="O884" i="2" a="1"/>
  <c r="O884" i="2" s="1"/>
  <c r="P884" i="2" a="1"/>
  <c r="P884" i="2" s="1"/>
  <c r="Q884" i="2" a="1"/>
  <c r="Q884" i="2" s="1"/>
  <c r="A885" i="2" a="1"/>
  <c r="A885" i="2" s="1"/>
  <c r="B885" i="2" a="1"/>
  <c r="B885" i="2" s="1"/>
  <c r="C885" i="2" a="1"/>
  <c r="C885" i="2" s="1"/>
  <c r="D885" i="2" a="1"/>
  <c r="D885" i="2" s="1"/>
  <c r="E885" i="2" a="1"/>
  <c r="E885" i="2" s="1"/>
  <c r="F885" i="2" a="1"/>
  <c r="F885" i="2" s="1"/>
  <c r="G885" i="2" a="1"/>
  <c r="G885" i="2" s="1"/>
  <c r="H885" i="2" a="1"/>
  <c r="H885" i="2" s="1"/>
  <c r="I885" i="2" a="1"/>
  <c r="I885" i="2" s="1"/>
  <c r="J885" i="2" a="1"/>
  <c r="J885" i="2" s="1"/>
  <c r="K885" i="2" a="1"/>
  <c r="K885" i="2" s="1"/>
  <c r="L885" i="2" a="1"/>
  <c r="L885" i="2" s="1"/>
  <c r="M885" i="2" a="1"/>
  <c r="M885" i="2" s="1"/>
  <c r="N885" i="2" a="1"/>
  <c r="N885" i="2" s="1"/>
  <c r="O885" i="2" a="1"/>
  <c r="O885" i="2" s="1"/>
  <c r="P885" i="2" a="1"/>
  <c r="P885" i="2" s="1"/>
  <c r="Q885" i="2" a="1"/>
  <c r="Q885" i="2" s="1"/>
  <c r="A886" i="2" a="1"/>
  <c r="A886" i="2" s="1"/>
  <c r="B886" i="2" a="1"/>
  <c r="B886" i="2" s="1"/>
  <c r="C886" i="2" a="1"/>
  <c r="C886" i="2" s="1"/>
  <c r="D886" i="2" a="1"/>
  <c r="D886" i="2" s="1"/>
  <c r="E886" i="2" a="1"/>
  <c r="E886" i="2" s="1"/>
  <c r="F886" i="2" a="1"/>
  <c r="F886" i="2" s="1"/>
  <c r="G886" i="2" a="1"/>
  <c r="G886" i="2" s="1"/>
  <c r="H886" i="2" a="1"/>
  <c r="H886" i="2" s="1"/>
  <c r="I886" i="2" a="1"/>
  <c r="I886" i="2" s="1"/>
  <c r="J886" i="2" a="1"/>
  <c r="J886" i="2" s="1"/>
  <c r="K886" i="2" a="1"/>
  <c r="K886" i="2" s="1"/>
  <c r="L886" i="2" a="1"/>
  <c r="L886" i="2" s="1"/>
  <c r="M886" i="2" a="1"/>
  <c r="M886" i="2" s="1"/>
  <c r="N886" i="2" a="1"/>
  <c r="N886" i="2" s="1"/>
  <c r="O886" i="2" a="1"/>
  <c r="O886" i="2" s="1"/>
  <c r="P886" i="2" a="1"/>
  <c r="P886" i="2" s="1"/>
  <c r="Q886" i="2" a="1"/>
  <c r="Q886" i="2" s="1"/>
  <c r="A887" i="2" a="1"/>
  <c r="A887" i="2" s="1"/>
  <c r="B887" i="2" a="1"/>
  <c r="B887" i="2" s="1"/>
  <c r="C887" i="2" a="1"/>
  <c r="C887" i="2" s="1"/>
  <c r="D887" i="2" a="1"/>
  <c r="D887" i="2" s="1"/>
  <c r="E887" i="2" a="1"/>
  <c r="E887" i="2" s="1"/>
  <c r="F887" i="2" a="1"/>
  <c r="F887" i="2" s="1"/>
  <c r="G887" i="2" a="1"/>
  <c r="G887" i="2" s="1"/>
  <c r="H887" i="2" a="1"/>
  <c r="H887" i="2" s="1"/>
  <c r="I887" i="2" a="1"/>
  <c r="I887" i="2" s="1"/>
  <c r="J887" i="2" a="1"/>
  <c r="J887" i="2" s="1"/>
  <c r="K887" i="2" a="1"/>
  <c r="K887" i="2" s="1"/>
  <c r="L887" i="2" a="1"/>
  <c r="L887" i="2" s="1"/>
  <c r="M887" i="2" a="1"/>
  <c r="M887" i="2" s="1"/>
  <c r="N887" i="2" a="1"/>
  <c r="N887" i="2" s="1"/>
  <c r="O887" i="2" a="1"/>
  <c r="O887" i="2" s="1"/>
  <c r="P887" i="2" a="1"/>
  <c r="P887" i="2" s="1"/>
  <c r="Q887" i="2" a="1"/>
  <c r="Q887" i="2" s="1"/>
  <c r="A888" i="2" a="1"/>
  <c r="A888" i="2" s="1"/>
  <c r="B888" i="2" a="1"/>
  <c r="B888" i="2" s="1"/>
  <c r="C888" i="2" a="1"/>
  <c r="C888" i="2" s="1"/>
  <c r="D888" i="2" a="1"/>
  <c r="D888" i="2" s="1"/>
  <c r="E888" i="2" a="1"/>
  <c r="E888" i="2" s="1"/>
  <c r="F888" i="2" a="1"/>
  <c r="F888" i="2" s="1"/>
  <c r="G888" i="2" a="1"/>
  <c r="G888" i="2" s="1"/>
  <c r="H888" i="2" a="1"/>
  <c r="H888" i="2" s="1"/>
  <c r="I888" i="2" a="1"/>
  <c r="I888" i="2" s="1"/>
  <c r="J888" i="2" a="1"/>
  <c r="J888" i="2" s="1"/>
  <c r="K888" i="2" a="1"/>
  <c r="K888" i="2" s="1"/>
  <c r="L888" i="2" a="1"/>
  <c r="L888" i="2" s="1"/>
  <c r="M888" i="2" a="1"/>
  <c r="M888" i="2" s="1"/>
  <c r="N888" i="2" a="1"/>
  <c r="N888" i="2" s="1"/>
  <c r="O888" i="2" a="1"/>
  <c r="O888" i="2" s="1"/>
  <c r="P888" i="2" a="1"/>
  <c r="P888" i="2" s="1"/>
  <c r="Q888" i="2" a="1"/>
  <c r="Q888" i="2" s="1"/>
  <c r="A889" i="2" a="1"/>
  <c r="A889" i="2" s="1"/>
  <c r="B889" i="2" a="1"/>
  <c r="B889" i="2" s="1"/>
  <c r="C889" i="2" a="1"/>
  <c r="C889" i="2" s="1"/>
  <c r="D889" i="2" a="1"/>
  <c r="D889" i="2" s="1"/>
  <c r="E889" i="2" a="1"/>
  <c r="E889" i="2" s="1"/>
  <c r="F889" i="2" a="1"/>
  <c r="F889" i="2" s="1"/>
  <c r="G889" i="2" a="1"/>
  <c r="G889" i="2" s="1"/>
  <c r="H889" i="2" a="1"/>
  <c r="H889" i="2" s="1"/>
  <c r="I889" i="2" a="1"/>
  <c r="I889" i="2" s="1"/>
  <c r="J889" i="2" a="1"/>
  <c r="J889" i="2" s="1"/>
  <c r="K889" i="2" a="1"/>
  <c r="K889" i="2" s="1"/>
  <c r="L889" i="2" a="1"/>
  <c r="L889" i="2" s="1"/>
  <c r="M889" i="2" a="1"/>
  <c r="M889" i="2" s="1"/>
  <c r="N889" i="2" a="1"/>
  <c r="N889" i="2" s="1"/>
  <c r="O889" i="2" a="1"/>
  <c r="O889" i="2" s="1"/>
  <c r="P889" i="2" a="1"/>
  <c r="P889" i="2" s="1"/>
  <c r="Q889" i="2" a="1"/>
  <c r="Q889" i="2" s="1"/>
  <c r="A890" i="2" a="1"/>
  <c r="A890" i="2" s="1"/>
  <c r="B890" i="2" a="1"/>
  <c r="B890" i="2" s="1"/>
  <c r="C890" i="2" a="1"/>
  <c r="C890" i="2" s="1"/>
  <c r="D890" i="2" a="1"/>
  <c r="D890" i="2" s="1"/>
  <c r="E890" i="2" a="1"/>
  <c r="E890" i="2" s="1"/>
  <c r="F890" i="2" a="1"/>
  <c r="F890" i="2" s="1"/>
  <c r="G890" i="2" a="1"/>
  <c r="G890" i="2" s="1"/>
  <c r="H890" i="2" a="1"/>
  <c r="H890" i="2" s="1"/>
  <c r="I890" i="2" a="1"/>
  <c r="I890" i="2" s="1"/>
  <c r="J890" i="2" a="1"/>
  <c r="J890" i="2" s="1"/>
  <c r="K890" i="2" a="1"/>
  <c r="K890" i="2" s="1"/>
  <c r="L890" i="2" a="1"/>
  <c r="L890" i="2" s="1"/>
  <c r="M890" i="2" a="1"/>
  <c r="M890" i="2" s="1"/>
  <c r="N890" i="2" a="1"/>
  <c r="N890" i="2" s="1"/>
  <c r="O890" i="2" a="1"/>
  <c r="O890" i="2" s="1"/>
  <c r="P890" i="2" a="1"/>
  <c r="P890" i="2" s="1"/>
  <c r="Q890" i="2" a="1"/>
  <c r="Q890" i="2" s="1"/>
  <c r="A891" i="2" a="1"/>
  <c r="A891" i="2" s="1"/>
  <c r="B891" i="2" a="1"/>
  <c r="B891" i="2" s="1"/>
  <c r="C891" i="2" a="1"/>
  <c r="C891" i="2" s="1"/>
  <c r="D891" i="2" a="1"/>
  <c r="D891" i="2" s="1"/>
  <c r="E891" i="2" a="1"/>
  <c r="E891" i="2" s="1"/>
  <c r="F891" i="2" a="1"/>
  <c r="F891" i="2" s="1"/>
  <c r="G891" i="2" a="1"/>
  <c r="G891" i="2" s="1"/>
  <c r="H891" i="2" a="1"/>
  <c r="H891" i="2" s="1"/>
  <c r="I891" i="2" a="1"/>
  <c r="I891" i="2" s="1"/>
  <c r="J891" i="2" a="1"/>
  <c r="J891" i="2" s="1"/>
  <c r="K891" i="2" a="1"/>
  <c r="K891" i="2" s="1"/>
  <c r="L891" i="2" a="1"/>
  <c r="L891" i="2" s="1"/>
  <c r="M891" i="2" a="1"/>
  <c r="M891" i="2" s="1"/>
  <c r="N891" i="2" a="1"/>
  <c r="N891" i="2" s="1"/>
  <c r="O891" i="2" a="1"/>
  <c r="O891" i="2" s="1"/>
  <c r="P891" i="2" a="1"/>
  <c r="P891" i="2" s="1"/>
  <c r="Q891" i="2" a="1"/>
  <c r="Q891" i="2" s="1"/>
  <c r="A892" i="2" a="1"/>
  <c r="A892" i="2" s="1"/>
  <c r="B892" i="2" a="1"/>
  <c r="B892" i="2" s="1"/>
  <c r="C892" i="2" a="1"/>
  <c r="C892" i="2" s="1"/>
  <c r="D892" i="2" a="1"/>
  <c r="D892" i="2" s="1"/>
  <c r="E892" i="2" a="1"/>
  <c r="E892" i="2" s="1"/>
  <c r="F892" i="2" a="1"/>
  <c r="F892" i="2" s="1"/>
  <c r="G892" i="2" a="1"/>
  <c r="G892" i="2" s="1"/>
  <c r="H892" i="2" a="1"/>
  <c r="H892" i="2" s="1"/>
  <c r="I892" i="2" a="1"/>
  <c r="I892" i="2" s="1"/>
  <c r="J892" i="2" a="1"/>
  <c r="J892" i="2" s="1"/>
  <c r="K892" i="2" a="1"/>
  <c r="K892" i="2" s="1"/>
  <c r="L892" i="2" a="1"/>
  <c r="L892" i="2" s="1"/>
  <c r="M892" i="2" a="1"/>
  <c r="M892" i="2" s="1"/>
  <c r="N892" i="2" a="1"/>
  <c r="N892" i="2" s="1"/>
  <c r="O892" i="2" a="1"/>
  <c r="O892" i="2" s="1"/>
  <c r="P892" i="2" a="1"/>
  <c r="P892" i="2" s="1"/>
  <c r="Q892" i="2" a="1"/>
  <c r="Q892" i="2" s="1"/>
  <c r="A893" i="2" a="1"/>
  <c r="A893" i="2" s="1"/>
  <c r="B893" i="2" a="1"/>
  <c r="B893" i="2" s="1"/>
  <c r="C893" i="2" a="1"/>
  <c r="C893" i="2" s="1"/>
  <c r="D893" i="2" a="1"/>
  <c r="D893" i="2" s="1"/>
  <c r="E893" i="2" a="1"/>
  <c r="E893" i="2" s="1"/>
  <c r="F893" i="2" a="1"/>
  <c r="F893" i="2" s="1"/>
  <c r="G893" i="2" a="1"/>
  <c r="G893" i="2" s="1"/>
  <c r="H893" i="2" a="1"/>
  <c r="H893" i="2" s="1"/>
  <c r="I893" i="2" a="1"/>
  <c r="I893" i="2" s="1"/>
  <c r="J893" i="2" a="1"/>
  <c r="J893" i="2" s="1"/>
  <c r="K893" i="2" a="1"/>
  <c r="K893" i="2" s="1"/>
  <c r="L893" i="2" a="1"/>
  <c r="L893" i="2" s="1"/>
  <c r="M893" i="2" a="1"/>
  <c r="M893" i="2" s="1"/>
  <c r="N893" i="2" a="1"/>
  <c r="N893" i="2" s="1"/>
  <c r="O893" i="2" a="1"/>
  <c r="O893" i="2" s="1"/>
  <c r="P893" i="2" a="1"/>
  <c r="P893" i="2" s="1"/>
  <c r="Q893" i="2" a="1"/>
  <c r="Q893" i="2" s="1"/>
  <c r="A894" i="2" a="1"/>
  <c r="A894" i="2" s="1"/>
  <c r="B894" i="2" a="1"/>
  <c r="B894" i="2" s="1"/>
  <c r="C894" i="2" a="1"/>
  <c r="C894" i="2" s="1"/>
  <c r="D894" i="2" a="1"/>
  <c r="D894" i="2" s="1"/>
  <c r="E894" i="2" a="1"/>
  <c r="E894" i="2" s="1"/>
  <c r="F894" i="2" a="1"/>
  <c r="F894" i="2" s="1"/>
  <c r="G894" i="2" a="1"/>
  <c r="G894" i="2" s="1"/>
  <c r="H894" i="2" a="1"/>
  <c r="H894" i="2" s="1"/>
  <c r="I894" i="2" a="1"/>
  <c r="I894" i="2" s="1"/>
  <c r="J894" i="2" a="1"/>
  <c r="J894" i="2" s="1"/>
  <c r="K894" i="2" a="1"/>
  <c r="K894" i="2" s="1"/>
  <c r="L894" i="2" a="1"/>
  <c r="L894" i="2" s="1"/>
  <c r="M894" i="2" a="1"/>
  <c r="M894" i="2" s="1"/>
  <c r="N894" i="2" a="1"/>
  <c r="N894" i="2" s="1"/>
  <c r="O894" i="2" a="1"/>
  <c r="O894" i="2" s="1"/>
  <c r="P894" i="2" a="1"/>
  <c r="P894" i="2" s="1"/>
  <c r="Q894" i="2" a="1"/>
  <c r="Q894" i="2" s="1"/>
  <c r="A895" i="2" a="1"/>
  <c r="A895" i="2" s="1"/>
  <c r="B895" i="2" a="1"/>
  <c r="B895" i="2" s="1"/>
  <c r="C895" i="2" a="1"/>
  <c r="C895" i="2" s="1"/>
  <c r="D895" i="2" a="1"/>
  <c r="D895" i="2" s="1"/>
  <c r="E895" i="2" a="1"/>
  <c r="E895" i="2" s="1"/>
  <c r="F895" i="2" a="1"/>
  <c r="F895" i="2" s="1"/>
  <c r="G895" i="2" a="1"/>
  <c r="G895" i="2" s="1"/>
  <c r="H895" i="2" a="1"/>
  <c r="H895" i="2" s="1"/>
  <c r="I895" i="2" a="1"/>
  <c r="I895" i="2" s="1"/>
  <c r="J895" i="2" a="1"/>
  <c r="J895" i="2" s="1"/>
  <c r="K895" i="2" a="1"/>
  <c r="K895" i="2" s="1"/>
  <c r="L895" i="2" a="1"/>
  <c r="L895" i="2" s="1"/>
  <c r="M895" i="2" a="1"/>
  <c r="M895" i="2" s="1"/>
  <c r="N895" i="2" a="1"/>
  <c r="N895" i="2" s="1"/>
  <c r="O895" i="2" a="1"/>
  <c r="O895" i="2" s="1"/>
  <c r="P895" i="2" a="1"/>
  <c r="P895" i="2" s="1"/>
  <c r="Q895" i="2" a="1"/>
  <c r="Q895" i="2" s="1"/>
  <c r="A896" i="2" a="1"/>
  <c r="A896" i="2" s="1"/>
  <c r="B896" i="2" a="1"/>
  <c r="B896" i="2" s="1"/>
  <c r="C896" i="2" a="1"/>
  <c r="C896" i="2" s="1"/>
  <c r="D896" i="2" a="1"/>
  <c r="D896" i="2" s="1"/>
  <c r="E896" i="2" a="1"/>
  <c r="E896" i="2" s="1"/>
  <c r="F896" i="2" a="1"/>
  <c r="F896" i="2" s="1"/>
  <c r="G896" i="2" a="1"/>
  <c r="G896" i="2" s="1"/>
  <c r="H896" i="2" a="1"/>
  <c r="H896" i="2" s="1"/>
  <c r="I896" i="2" a="1"/>
  <c r="I896" i="2" s="1"/>
  <c r="J896" i="2" a="1"/>
  <c r="J896" i="2" s="1"/>
  <c r="K896" i="2" a="1"/>
  <c r="K896" i="2" s="1"/>
  <c r="L896" i="2" a="1"/>
  <c r="L896" i="2" s="1"/>
  <c r="M896" i="2" a="1"/>
  <c r="M896" i="2" s="1"/>
  <c r="N896" i="2" a="1"/>
  <c r="N896" i="2" s="1"/>
  <c r="O896" i="2" a="1"/>
  <c r="O896" i="2" s="1"/>
  <c r="P896" i="2" a="1"/>
  <c r="P896" i="2" s="1"/>
  <c r="Q896" i="2" a="1"/>
  <c r="Q896" i="2" s="1"/>
  <c r="A897" i="2" a="1"/>
  <c r="A897" i="2" s="1"/>
  <c r="B897" i="2" a="1"/>
  <c r="B897" i="2" s="1"/>
  <c r="C897" i="2" a="1"/>
  <c r="C897" i="2" s="1"/>
  <c r="D897" i="2" a="1"/>
  <c r="D897" i="2" s="1"/>
  <c r="E897" i="2" a="1"/>
  <c r="E897" i="2" s="1"/>
  <c r="F897" i="2" a="1"/>
  <c r="F897" i="2" s="1"/>
  <c r="G897" i="2" a="1"/>
  <c r="G897" i="2" s="1"/>
  <c r="H897" i="2" a="1"/>
  <c r="H897" i="2" s="1"/>
  <c r="I897" i="2" a="1"/>
  <c r="I897" i="2" s="1"/>
  <c r="J897" i="2" a="1"/>
  <c r="J897" i="2" s="1"/>
  <c r="K897" i="2" a="1"/>
  <c r="K897" i="2" s="1"/>
  <c r="L897" i="2" a="1"/>
  <c r="L897" i="2" s="1"/>
  <c r="M897" i="2" a="1"/>
  <c r="M897" i="2" s="1"/>
  <c r="N897" i="2" a="1"/>
  <c r="N897" i="2" s="1"/>
  <c r="O897" i="2" a="1"/>
  <c r="O897" i="2" s="1"/>
  <c r="P897" i="2" a="1"/>
  <c r="P897" i="2" s="1"/>
  <c r="Q897" i="2" a="1"/>
  <c r="Q897" i="2" s="1"/>
  <c r="A898" i="2" a="1"/>
  <c r="A898" i="2" s="1"/>
  <c r="B898" i="2" a="1"/>
  <c r="B898" i="2" s="1"/>
  <c r="C898" i="2" a="1"/>
  <c r="C898" i="2" s="1"/>
  <c r="D898" i="2" a="1"/>
  <c r="D898" i="2" s="1"/>
  <c r="E898" i="2" a="1"/>
  <c r="E898" i="2" s="1"/>
  <c r="F898" i="2" a="1"/>
  <c r="F898" i="2" s="1"/>
  <c r="G898" i="2" a="1"/>
  <c r="G898" i="2" s="1"/>
  <c r="H898" i="2" a="1"/>
  <c r="H898" i="2" s="1"/>
  <c r="I898" i="2" a="1"/>
  <c r="I898" i="2" s="1"/>
  <c r="J898" i="2" a="1"/>
  <c r="J898" i="2" s="1"/>
  <c r="K898" i="2" a="1"/>
  <c r="K898" i="2" s="1"/>
  <c r="L898" i="2" a="1"/>
  <c r="L898" i="2" s="1"/>
  <c r="M898" i="2" a="1"/>
  <c r="M898" i="2" s="1"/>
  <c r="N898" i="2" a="1"/>
  <c r="N898" i="2" s="1"/>
  <c r="O898" i="2" a="1"/>
  <c r="O898" i="2" s="1"/>
  <c r="P898" i="2" a="1"/>
  <c r="P898" i="2" s="1"/>
  <c r="Q898" i="2" a="1"/>
  <c r="Q898" i="2" s="1"/>
  <c r="A899" i="2" a="1"/>
  <c r="A899" i="2" s="1"/>
  <c r="B899" i="2" a="1"/>
  <c r="B899" i="2" s="1"/>
  <c r="C899" i="2" a="1"/>
  <c r="C899" i="2" s="1"/>
  <c r="D899" i="2" a="1"/>
  <c r="D899" i="2" s="1"/>
  <c r="E899" i="2" a="1"/>
  <c r="E899" i="2" s="1"/>
  <c r="F899" i="2" a="1"/>
  <c r="F899" i="2" s="1"/>
  <c r="G899" i="2" a="1"/>
  <c r="G899" i="2" s="1"/>
  <c r="H899" i="2" a="1"/>
  <c r="H899" i="2" s="1"/>
  <c r="I899" i="2" a="1"/>
  <c r="I899" i="2" s="1"/>
  <c r="J899" i="2" a="1"/>
  <c r="J899" i="2" s="1"/>
  <c r="K899" i="2" a="1"/>
  <c r="K899" i="2" s="1"/>
  <c r="L899" i="2" a="1"/>
  <c r="L899" i="2" s="1"/>
  <c r="M899" i="2" a="1"/>
  <c r="M899" i="2" s="1"/>
  <c r="N899" i="2" a="1"/>
  <c r="N899" i="2" s="1"/>
  <c r="O899" i="2" a="1"/>
  <c r="O899" i="2" s="1"/>
  <c r="P899" i="2" a="1"/>
  <c r="P899" i="2" s="1"/>
  <c r="Q899" i="2" a="1"/>
  <c r="Q899" i="2" s="1"/>
  <c r="A900" i="2" a="1"/>
  <c r="A900" i="2" s="1"/>
  <c r="B900" i="2" a="1"/>
  <c r="B900" i="2" s="1"/>
  <c r="C900" i="2" a="1"/>
  <c r="C900" i="2" s="1"/>
  <c r="D900" i="2" a="1"/>
  <c r="D900" i="2" s="1"/>
  <c r="E900" i="2" a="1"/>
  <c r="E900" i="2" s="1"/>
  <c r="F900" i="2" a="1"/>
  <c r="F900" i="2" s="1"/>
  <c r="G900" i="2" a="1"/>
  <c r="G900" i="2" s="1"/>
  <c r="H900" i="2" a="1"/>
  <c r="H900" i="2" s="1"/>
  <c r="I900" i="2" a="1"/>
  <c r="I900" i="2" s="1"/>
  <c r="J900" i="2" a="1"/>
  <c r="J900" i="2" s="1"/>
  <c r="K900" i="2" a="1"/>
  <c r="K900" i="2" s="1"/>
  <c r="L900" i="2" a="1"/>
  <c r="L900" i="2" s="1"/>
  <c r="M900" i="2" a="1"/>
  <c r="M900" i="2" s="1"/>
  <c r="N900" i="2" a="1"/>
  <c r="N900" i="2" s="1"/>
  <c r="O900" i="2" a="1"/>
  <c r="O900" i="2" s="1"/>
  <c r="P900" i="2" a="1"/>
  <c r="P900" i="2" s="1"/>
  <c r="Q900" i="2" a="1"/>
  <c r="Q900" i="2" s="1"/>
  <c r="A901" i="2" a="1"/>
  <c r="A901" i="2" s="1"/>
  <c r="B901" i="2" a="1"/>
  <c r="B901" i="2" s="1"/>
  <c r="C901" i="2" a="1"/>
  <c r="C901" i="2" s="1"/>
  <c r="D901" i="2" a="1"/>
  <c r="D901" i="2" s="1"/>
  <c r="E901" i="2" a="1"/>
  <c r="E901" i="2" s="1"/>
  <c r="F901" i="2" a="1"/>
  <c r="F901" i="2" s="1"/>
  <c r="G901" i="2" a="1"/>
  <c r="G901" i="2" s="1"/>
  <c r="H901" i="2" a="1"/>
  <c r="H901" i="2" s="1"/>
  <c r="I901" i="2" a="1"/>
  <c r="I901" i="2" s="1"/>
  <c r="J901" i="2" a="1"/>
  <c r="J901" i="2" s="1"/>
  <c r="K901" i="2" a="1"/>
  <c r="K901" i="2" s="1"/>
  <c r="L901" i="2" a="1"/>
  <c r="L901" i="2" s="1"/>
  <c r="M901" i="2" a="1"/>
  <c r="M901" i="2" s="1"/>
  <c r="N901" i="2" a="1"/>
  <c r="N901" i="2" s="1"/>
  <c r="O901" i="2" a="1"/>
  <c r="O901" i="2" s="1"/>
  <c r="P901" i="2" a="1"/>
  <c r="P901" i="2" s="1"/>
  <c r="Q901" i="2" a="1"/>
  <c r="Q901" i="2" s="1"/>
  <c r="A902" i="2" a="1"/>
  <c r="A902" i="2" s="1"/>
  <c r="B902" i="2" a="1"/>
  <c r="B902" i="2" s="1"/>
  <c r="C902" i="2" a="1"/>
  <c r="C902" i="2" s="1"/>
  <c r="D902" i="2" a="1"/>
  <c r="D902" i="2" s="1"/>
  <c r="E902" i="2" a="1"/>
  <c r="E902" i="2" s="1"/>
  <c r="F902" i="2" a="1"/>
  <c r="F902" i="2" s="1"/>
  <c r="G902" i="2" a="1"/>
  <c r="G902" i="2" s="1"/>
  <c r="H902" i="2" a="1"/>
  <c r="H902" i="2" s="1"/>
  <c r="I902" i="2" a="1"/>
  <c r="I902" i="2" s="1"/>
  <c r="J902" i="2" a="1"/>
  <c r="J902" i="2" s="1"/>
  <c r="K902" i="2" a="1"/>
  <c r="K902" i="2" s="1"/>
  <c r="L902" i="2" a="1"/>
  <c r="L902" i="2" s="1"/>
  <c r="M902" i="2" a="1"/>
  <c r="M902" i="2" s="1"/>
  <c r="N902" i="2" a="1"/>
  <c r="N902" i="2" s="1"/>
  <c r="O902" i="2" a="1"/>
  <c r="O902" i="2" s="1"/>
  <c r="P902" i="2" a="1"/>
  <c r="P902" i="2" s="1"/>
  <c r="Q902" i="2" a="1"/>
  <c r="Q902" i="2" s="1"/>
  <c r="A903" i="2" a="1"/>
  <c r="A903" i="2" s="1"/>
  <c r="B903" i="2" a="1"/>
  <c r="B903" i="2" s="1"/>
  <c r="C903" i="2" a="1"/>
  <c r="C903" i="2" s="1"/>
  <c r="D903" i="2" a="1"/>
  <c r="D903" i="2" s="1"/>
  <c r="E903" i="2" a="1"/>
  <c r="E903" i="2" s="1"/>
  <c r="F903" i="2" a="1"/>
  <c r="F903" i="2" s="1"/>
  <c r="G903" i="2" a="1"/>
  <c r="G903" i="2" s="1"/>
  <c r="H903" i="2" a="1"/>
  <c r="H903" i="2" s="1"/>
  <c r="I903" i="2" a="1"/>
  <c r="I903" i="2" s="1"/>
  <c r="J903" i="2" a="1"/>
  <c r="J903" i="2" s="1"/>
  <c r="K903" i="2" a="1"/>
  <c r="K903" i="2" s="1"/>
  <c r="L903" i="2" a="1"/>
  <c r="L903" i="2" s="1"/>
  <c r="M903" i="2" a="1"/>
  <c r="M903" i="2" s="1"/>
  <c r="N903" i="2" a="1"/>
  <c r="N903" i="2" s="1"/>
  <c r="O903" i="2" a="1"/>
  <c r="O903" i="2" s="1"/>
  <c r="P903" i="2" a="1"/>
  <c r="P903" i="2" s="1"/>
  <c r="Q903" i="2" a="1"/>
  <c r="Q903" i="2" s="1"/>
  <c r="A904" i="2" a="1"/>
  <c r="A904" i="2" s="1"/>
  <c r="B904" i="2" a="1"/>
  <c r="B904" i="2" s="1"/>
  <c r="C904" i="2" a="1"/>
  <c r="C904" i="2" s="1"/>
  <c r="D904" i="2" a="1"/>
  <c r="D904" i="2" s="1"/>
  <c r="E904" i="2" a="1"/>
  <c r="E904" i="2" s="1"/>
  <c r="F904" i="2" a="1"/>
  <c r="F904" i="2" s="1"/>
  <c r="G904" i="2" a="1"/>
  <c r="G904" i="2" s="1"/>
  <c r="H904" i="2" a="1"/>
  <c r="H904" i="2" s="1"/>
  <c r="I904" i="2" a="1"/>
  <c r="I904" i="2" s="1"/>
  <c r="J904" i="2" a="1"/>
  <c r="J904" i="2" s="1"/>
  <c r="K904" i="2" a="1"/>
  <c r="K904" i="2" s="1"/>
  <c r="L904" i="2" a="1"/>
  <c r="L904" i="2" s="1"/>
  <c r="M904" i="2" a="1"/>
  <c r="M904" i="2" s="1"/>
  <c r="N904" i="2" a="1"/>
  <c r="N904" i="2" s="1"/>
  <c r="O904" i="2" a="1"/>
  <c r="O904" i="2" s="1"/>
  <c r="P904" i="2" a="1"/>
  <c r="P904" i="2" s="1"/>
  <c r="Q904" i="2" a="1"/>
  <c r="Q904" i="2" s="1"/>
  <c r="A905" i="2" a="1"/>
  <c r="A905" i="2" s="1"/>
  <c r="B905" i="2" a="1"/>
  <c r="B905" i="2" s="1"/>
  <c r="C905" i="2" a="1"/>
  <c r="C905" i="2" s="1"/>
  <c r="D905" i="2" a="1"/>
  <c r="D905" i="2" s="1"/>
  <c r="E905" i="2" a="1"/>
  <c r="E905" i="2" s="1"/>
  <c r="F905" i="2" a="1"/>
  <c r="F905" i="2" s="1"/>
  <c r="G905" i="2" a="1"/>
  <c r="G905" i="2" s="1"/>
  <c r="H905" i="2" a="1"/>
  <c r="H905" i="2" s="1"/>
  <c r="I905" i="2" a="1"/>
  <c r="I905" i="2" s="1"/>
  <c r="J905" i="2" a="1"/>
  <c r="J905" i="2" s="1"/>
  <c r="K905" i="2" a="1"/>
  <c r="K905" i="2" s="1"/>
  <c r="L905" i="2" a="1"/>
  <c r="L905" i="2" s="1"/>
  <c r="M905" i="2" a="1"/>
  <c r="M905" i="2" s="1"/>
  <c r="N905" i="2" a="1"/>
  <c r="N905" i="2" s="1"/>
  <c r="O905" i="2" a="1"/>
  <c r="O905" i="2" s="1"/>
  <c r="P905" i="2" a="1"/>
  <c r="P905" i="2" s="1"/>
  <c r="Q905" i="2" a="1"/>
  <c r="Q905" i="2" s="1"/>
  <c r="A906" i="2" a="1"/>
  <c r="A906" i="2" s="1"/>
  <c r="B906" i="2" a="1"/>
  <c r="B906" i="2" s="1"/>
  <c r="C906" i="2" a="1"/>
  <c r="C906" i="2" s="1"/>
  <c r="D906" i="2" a="1"/>
  <c r="D906" i="2" s="1"/>
  <c r="E906" i="2" a="1"/>
  <c r="E906" i="2" s="1"/>
  <c r="F906" i="2" a="1"/>
  <c r="F906" i="2" s="1"/>
  <c r="G906" i="2" a="1"/>
  <c r="G906" i="2" s="1"/>
  <c r="H906" i="2" a="1"/>
  <c r="H906" i="2" s="1"/>
  <c r="I906" i="2" a="1"/>
  <c r="I906" i="2" s="1"/>
  <c r="J906" i="2" a="1"/>
  <c r="J906" i="2" s="1"/>
  <c r="K906" i="2" a="1"/>
  <c r="K906" i="2" s="1"/>
  <c r="L906" i="2" a="1"/>
  <c r="L906" i="2" s="1"/>
  <c r="M906" i="2" a="1"/>
  <c r="M906" i="2" s="1"/>
  <c r="N906" i="2" a="1"/>
  <c r="N906" i="2" s="1"/>
  <c r="O906" i="2" a="1"/>
  <c r="O906" i="2" s="1"/>
  <c r="P906" i="2" a="1"/>
  <c r="P906" i="2" s="1"/>
  <c r="Q906" i="2" a="1"/>
  <c r="Q906" i="2" s="1"/>
  <c r="A907" i="2" a="1"/>
  <c r="A907" i="2" s="1"/>
  <c r="B907" i="2" a="1"/>
  <c r="B907" i="2" s="1"/>
  <c r="C907" i="2" a="1"/>
  <c r="C907" i="2" s="1"/>
  <c r="D907" i="2" a="1"/>
  <c r="D907" i="2" s="1"/>
  <c r="E907" i="2" a="1"/>
  <c r="E907" i="2" s="1"/>
  <c r="F907" i="2" a="1"/>
  <c r="F907" i="2" s="1"/>
  <c r="G907" i="2" a="1"/>
  <c r="G907" i="2" s="1"/>
  <c r="H907" i="2" a="1"/>
  <c r="H907" i="2" s="1"/>
  <c r="I907" i="2" a="1"/>
  <c r="I907" i="2" s="1"/>
  <c r="J907" i="2" a="1"/>
  <c r="J907" i="2" s="1"/>
  <c r="K907" i="2" a="1"/>
  <c r="K907" i="2" s="1"/>
  <c r="L907" i="2" a="1"/>
  <c r="L907" i="2" s="1"/>
  <c r="M907" i="2" a="1"/>
  <c r="M907" i="2" s="1"/>
  <c r="N907" i="2" a="1"/>
  <c r="N907" i="2" s="1"/>
  <c r="O907" i="2" a="1"/>
  <c r="O907" i="2" s="1"/>
  <c r="P907" i="2" a="1"/>
  <c r="P907" i="2" s="1"/>
  <c r="Q907" i="2" a="1"/>
  <c r="Q907" i="2" s="1"/>
  <c r="A908" i="2" a="1"/>
  <c r="A908" i="2" s="1"/>
  <c r="B908" i="2" a="1"/>
  <c r="B908" i="2" s="1"/>
  <c r="C908" i="2" a="1"/>
  <c r="C908" i="2" s="1"/>
  <c r="D908" i="2" a="1"/>
  <c r="D908" i="2" s="1"/>
  <c r="E908" i="2" a="1"/>
  <c r="E908" i="2" s="1"/>
  <c r="F908" i="2" a="1"/>
  <c r="F908" i="2" s="1"/>
  <c r="G908" i="2" a="1"/>
  <c r="G908" i="2" s="1"/>
  <c r="H908" i="2" a="1"/>
  <c r="H908" i="2" s="1"/>
  <c r="I908" i="2" a="1"/>
  <c r="I908" i="2" s="1"/>
  <c r="J908" i="2" a="1"/>
  <c r="J908" i="2" s="1"/>
  <c r="K908" i="2" a="1"/>
  <c r="K908" i="2" s="1"/>
  <c r="L908" i="2" a="1"/>
  <c r="L908" i="2" s="1"/>
  <c r="M908" i="2" a="1"/>
  <c r="M908" i="2" s="1"/>
  <c r="N908" i="2" a="1"/>
  <c r="N908" i="2" s="1"/>
  <c r="O908" i="2" a="1"/>
  <c r="O908" i="2" s="1"/>
  <c r="P908" i="2" a="1"/>
  <c r="P908" i="2" s="1"/>
  <c r="Q908" i="2" a="1"/>
  <c r="Q908" i="2" s="1"/>
  <c r="A909" i="2" a="1"/>
  <c r="A909" i="2" s="1"/>
  <c r="B909" i="2" a="1"/>
  <c r="B909" i="2" s="1"/>
  <c r="C909" i="2" a="1"/>
  <c r="C909" i="2" s="1"/>
  <c r="D909" i="2" a="1"/>
  <c r="D909" i="2" s="1"/>
  <c r="E909" i="2" a="1"/>
  <c r="E909" i="2" s="1"/>
  <c r="F909" i="2" a="1"/>
  <c r="F909" i="2" s="1"/>
  <c r="G909" i="2" a="1"/>
  <c r="G909" i="2" s="1"/>
  <c r="H909" i="2" a="1"/>
  <c r="H909" i="2" s="1"/>
  <c r="I909" i="2" a="1"/>
  <c r="I909" i="2" s="1"/>
  <c r="J909" i="2" a="1"/>
  <c r="J909" i="2" s="1"/>
  <c r="K909" i="2" a="1"/>
  <c r="K909" i="2" s="1"/>
  <c r="L909" i="2" a="1"/>
  <c r="L909" i="2" s="1"/>
  <c r="M909" i="2" a="1"/>
  <c r="M909" i="2" s="1"/>
  <c r="N909" i="2" a="1"/>
  <c r="N909" i="2" s="1"/>
  <c r="O909" i="2" a="1"/>
  <c r="O909" i="2" s="1"/>
  <c r="P909" i="2" a="1"/>
  <c r="P909" i="2" s="1"/>
  <c r="Q909" i="2" a="1"/>
  <c r="Q909" i="2" s="1"/>
  <c r="A910" i="2" a="1"/>
  <c r="A910" i="2" s="1"/>
  <c r="B910" i="2" a="1"/>
  <c r="B910" i="2" s="1"/>
  <c r="C910" i="2" a="1"/>
  <c r="C910" i="2" s="1"/>
  <c r="D910" i="2" a="1"/>
  <c r="D910" i="2" s="1"/>
  <c r="E910" i="2" a="1"/>
  <c r="E910" i="2" s="1"/>
  <c r="F910" i="2" a="1"/>
  <c r="F910" i="2" s="1"/>
  <c r="G910" i="2" a="1"/>
  <c r="G910" i="2" s="1"/>
  <c r="H910" i="2" a="1"/>
  <c r="H910" i="2" s="1"/>
  <c r="I910" i="2" a="1"/>
  <c r="I910" i="2" s="1"/>
  <c r="J910" i="2" a="1"/>
  <c r="J910" i="2" s="1"/>
  <c r="K910" i="2" a="1"/>
  <c r="K910" i="2" s="1"/>
  <c r="L910" i="2" a="1"/>
  <c r="L910" i="2" s="1"/>
  <c r="M910" i="2" a="1"/>
  <c r="M910" i="2" s="1"/>
  <c r="N910" i="2" a="1"/>
  <c r="N910" i="2" s="1"/>
  <c r="O910" i="2" a="1"/>
  <c r="O910" i="2" s="1"/>
  <c r="P910" i="2" a="1"/>
  <c r="P910" i="2" s="1"/>
  <c r="Q910" i="2" a="1"/>
  <c r="Q910" i="2" s="1"/>
  <c r="A911" i="2" a="1"/>
  <c r="A911" i="2" s="1"/>
  <c r="B911" i="2" a="1"/>
  <c r="B911" i="2" s="1"/>
  <c r="C911" i="2" a="1"/>
  <c r="C911" i="2" s="1"/>
  <c r="D911" i="2" a="1"/>
  <c r="D911" i="2" s="1"/>
  <c r="E911" i="2" a="1"/>
  <c r="E911" i="2" s="1"/>
  <c r="F911" i="2" a="1"/>
  <c r="F911" i="2" s="1"/>
  <c r="G911" i="2" a="1"/>
  <c r="G911" i="2" s="1"/>
  <c r="H911" i="2" a="1"/>
  <c r="H911" i="2" s="1"/>
  <c r="I911" i="2" a="1"/>
  <c r="I911" i="2" s="1"/>
  <c r="J911" i="2" a="1"/>
  <c r="J911" i="2" s="1"/>
  <c r="K911" i="2" a="1"/>
  <c r="K911" i="2" s="1"/>
  <c r="L911" i="2" a="1"/>
  <c r="L911" i="2" s="1"/>
  <c r="M911" i="2" a="1"/>
  <c r="M911" i="2" s="1"/>
  <c r="N911" i="2" a="1"/>
  <c r="N911" i="2" s="1"/>
  <c r="O911" i="2" a="1"/>
  <c r="O911" i="2" s="1"/>
  <c r="P911" i="2" a="1"/>
  <c r="P911" i="2" s="1"/>
  <c r="Q911" i="2" a="1"/>
  <c r="Q911" i="2" s="1"/>
  <c r="A912" i="2" a="1"/>
  <c r="A912" i="2" s="1"/>
  <c r="B912" i="2" a="1"/>
  <c r="B912" i="2" s="1"/>
  <c r="C912" i="2" a="1"/>
  <c r="C912" i="2" s="1"/>
  <c r="D912" i="2" a="1"/>
  <c r="D912" i="2" s="1"/>
  <c r="E912" i="2" a="1"/>
  <c r="E912" i="2" s="1"/>
  <c r="F912" i="2" a="1"/>
  <c r="F912" i="2" s="1"/>
  <c r="G912" i="2" a="1"/>
  <c r="G912" i="2" s="1"/>
  <c r="H912" i="2" a="1"/>
  <c r="H912" i="2" s="1"/>
  <c r="I912" i="2" a="1"/>
  <c r="I912" i="2" s="1"/>
  <c r="J912" i="2" a="1"/>
  <c r="J912" i="2" s="1"/>
  <c r="K912" i="2" a="1"/>
  <c r="K912" i="2" s="1"/>
  <c r="L912" i="2" a="1"/>
  <c r="L912" i="2" s="1"/>
  <c r="M912" i="2" a="1"/>
  <c r="M912" i="2" s="1"/>
  <c r="N912" i="2" a="1"/>
  <c r="N912" i="2" s="1"/>
  <c r="O912" i="2" a="1"/>
  <c r="O912" i="2" s="1"/>
  <c r="P912" i="2" a="1"/>
  <c r="P912" i="2" s="1"/>
  <c r="Q912" i="2" a="1"/>
  <c r="Q912" i="2" s="1"/>
  <c r="A913" i="2" a="1"/>
  <c r="A913" i="2" s="1"/>
  <c r="B913" i="2" a="1"/>
  <c r="B913" i="2" s="1"/>
  <c r="C913" i="2" a="1"/>
  <c r="C913" i="2" s="1"/>
  <c r="D913" i="2" a="1"/>
  <c r="D913" i="2" s="1"/>
  <c r="E913" i="2" a="1"/>
  <c r="E913" i="2" s="1"/>
  <c r="F913" i="2" a="1"/>
  <c r="F913" i="2" s="1"/>
  <c r="G913" i="2" a="1"/>
  <c r="G913" i="2" s="1"/>
  <c r="H913" i="2" a="1"/>
  <c r="H913" i="2" s="1"/>
  <c r="I913" i="2" a="1"/>
  <c r="I913" i="2" s="1"/>
  <c r="J913" i="2" a="1"/>
  <c r="J913" i="2" s="1"/>
  <c r="K913" i="2" a="1"/>
  <c r="K913" i="2" s="1"/>
  <c r="L913" i="2" a="1"/>
  <c r="L913" i="2" s="1"/>
  <c r="M913" i="2" a="1"/>
  <c r="M913" i="2" s="1"/>
  <c r="N913" i="2" a="1"/>
  <c r="N913" i="2" s="1"/>
  <c r="O913" i="2" a="1"/>
  <c r="O913" i="2" s="1"/>
  <c r="P913" i="2" a="1"/>
  <c r="P913" i="2" s="1"/>
  <c r="Q913" i="2" a="1"/>
  <c r="Q913" i="2" s="1"/>
  <c r="A914" i="2" a="1"/>
  <c r="A914" i="2" s="1"/>
  <c r="B914" i="2" a="1"/>
  <c r="B914" i="2" s="1"/>
  <c r="C914" i="2" a="1"/>
  <c r="C914" i="2" s="1"/>
  <c r="D914" i="2" a="1"/>
  <c r="D914" i="2" s="1"/>
  <c r="E914" i="2" a="1"/>
  <c r="E914" i="2" s="1"/>
  <c r="F914" i="2" a="1"/>
  <c r="F914" i="2" s="1"/>
  <c r="G914" i="2" a="1"/>
  <c r="G914" i="2" s="1"/>
  <c r="H914" i="2" a="1"/>
  <c r="H914" i="2" s="1"/>
  <c r="I914" i="2" a="1"/>
  <c r="I914" i="2" s="1"/>
  <c r="J914" i="2" a="1"/>
  <c r="J914" i="2" s="1"/>
  <c r="K914" i="2" a="1"/>
  <c r="K914" i="2" s="1"/>
  <c r="L914" i="2" a="1"/>
  <c r="L914" i="2" s="1"/>
  <c r="M914" i="2" a="1"/>
  <c r="M914" i="2" s="1"/>
  <c r="N914" i="2" a="1"/>
  <c r="N914" i="2" s="1"/>
  <c r="O914" i="2" a="1"/>
  <c r="O914" i="2" s="1"/>
  <c r="P914" i="2" a="1"/>
  <c r="P914" i="2" s="1"/>
  <c r="Q914" i="2" a="1"/>
  <c r="Q914" i="2" s="1"/>
  <c r="A915" i="2" a="1"/>
  <c r="A915" i="2" s="1"/>
  <c r="B915" i="2" a="1"/>
  <c r="B915" i="2" s="1"/>
  <c r="C915" i="2" a="1"/>
  <c r="C915" i="2" s="1"/>
  <c r="D915" i="2" a="1"/>
  <c r="D915" i="2" s="1"/>
  <c r="E915" i="2" a="1"/>
  <c r="E915" i="2" s="1"/>
  <c r="F915" i="2" a="1"/>
  <c r="F915" i="2" s="1"/>
  <c r="G915" i="2" a="1"/>
  <c r="G915" i="2" s="1"/>
  <c r="H915" i="2" a="1"/>
  <c r="H915" i="2" s="1"/>
  <c r="I915" i="2" a="1"/>
  <c r="I915" i="2" s="1"/>
  <c r="J915" i="2" a="1"/>
  <c r="J915" i="2" s="1"/>
  <c r="K915" i="2" a="1"/>
  <c r="K915" i="2" s="1"/>
  <c r="L915" i="2" a="1"/>
  <c r="L915" i="2" s="1"/>
  <c r="M915" i="2" a="1"/>
  <c r="M915" i="2" s="1"/>
  <c r="N915" i="2" a="1"/>
  <c r="N915" i="2" s="1"/>
  <c r="O915" i="2" a="1"/>
  <c r="O915" i="2" s="1"/>
  <c r="P915" i="2" a="1"/>
  <c r="P915" i="2" s="1"/>
  <c r="Q915" i="2" a="1"/>
  <c r="Q915" i="2" s="1"/>
  <c r="A916" i="2" a="1"/>
  <c r="A916" i="2" s="1"/>
  <c r="B916" i="2" a="1"/>
  <c r="B916" i="2" s="1"/>
  <c r="C916" i="2" a="1"/>
  <c r="C916" i="2" s="1"/>
  <c r="D916" i="2" a="1"/>
  <c r="D916" i="2" s="1"/>
  <c r="E916" i="2" a="1"/>
  <c r="E916" i="2" s="1"/>
  <c r="F916" i="2" a="1"/>
  <c r="F916" i="2" s="1"/>
  <c r="G916" i="2" a="1"/>
  <c r="G916" i="2" s="1"/>
  <c r="H916" i="2" a="1"/>
  <c r="H916" i="2" s="1"/>
  <c r="I916" i="2" a="1"/>
  <c r="I916" i="2" s="1"/>
  <c r="J916" i="2" a="1"/>
  <c r="J916" i="2" s="1"/>
  <c r="K916" i="2" a="1"/>
  <c r="K916" i="2" s="1"/>
  <c r="L916" i="2" a="1"/>
  <c r="L916" i="2" s="1"/>
  <c r="M916" i="2" a="1"/>
  <c r="M916" i="2" s="1"/>
  <c r="N916" i="2" a="1"/>
  <c r="N916" i="2" s="1"/>
  <c r="O916" i="2" a="1"/>
  <c r="O916" i="2" s="1"/>
  <c r="P916" i="2" a="1"/>
  <c r="P916" i="2" s="1"/>
  <c r="Q916" i="2" a="1"/>
  <c r="Q916" i="2" s="1"/>
  <c r="A917" i="2" a="1"/>
  <c r="A917" i="2" s="1"/>
  <c r="B917" i="2" a="1"/>
  <c r="B917" i="2" s="1"/>
  <c r="C917" i="2" a="1"/>
  <c r="C917" i="2" s="1"/>
  <c r="D917" i="2" a="1"/>
  <c r="D917" i="2" s="1"/>
  <c r="E917" i="2" a="1"/>
  <c r="E917" i="2" s="1"/>
  <c r="F917" i="2" a="1"/>
  <c r="F917" i="2" s="1"/>
  <c r="G917" i="2" a="1"/>
  <c r="G917" i="2" s="1"/>
  <c r="H917" i="2" a="1"/>
  <c r="H917" i="2" s="1"/>
  <c r="I917" i="2" a="1"/>
  <c r="I917" i="2" s="1"/>
  <c r="J917" i="2" a="1"/>
  <c r="J917" i="2" s="1"/>
  <c r="K917" i="2" a="1"/>
  <c r="K917" i="2" s="1"/>
  <c r="L917" i="2" a="1"/>
  <c r="L917" i="2" s="1"/>
  <c r="M917" i="2" a="1"/>
  <c r="M917" i="2" s="1"/>
  <c r="N917" i="2" a="1"/>
  <c r="N917" i="2" s="1"/>
  <c r="O917" i="2" a="1"/>
  <c r="O917" i="2" s="1"/>
  <c r="P917" i="2" a="1"/>
  <c r="P917" i="2" s="1"/>
  <c r="Q917" i="2" a="1"/>
  <c r="Q917" i="2" s="1"/>
  <c r="A918" i="2" a="1"/>
  <c r="A918" i="2" s="1"/>
  <c r="B918" i="2" a="1"/>
  <c r="B918" i="2" s="1"/>
  <c r="C918" i="2" a="1"/>
  <c r="C918" i="2" s="1"/>
  <c r="D918" i="2" a="1"/>
  <c r="D918" i="2" s="1"/>
  <c r="E918" i="2" a="1"/>
  <c r="E918" i="2" s="1"/>
  <c r="F918" i="2" a="1"/>
  <c r="F918" i="2" s="1"/>
  <c r="G918" i="2" a="1"/>
  <c r="G918" i="2" s="1"/>
  <c r="H918" i="2" a="1"/>
  <c r="H918" i="2" s="1"/>
  <c r="I918" i="2" a="1"/>
  <c r="I918" i="2" s="1"/>
  <c r="J918" i="2" a="1"/>
  <c r="J918" i="2" s="1"/>
  <c r="K918" i="2" a="1"/>
  <c r="K918" i="2" s="1"/>
  <c r="L918" i="2" a="1"/>
  <c r="L918" i="2" s="1"/>
  <c r="M918" i="2" a="1"/>
  <c r="M918" i="2" s="1"/>
  <c r="N918" i="2" a="1"/>
  <c r="N918" i="2" s="1"/>
  <c r="O918" i="2" a="1"/>
  <c r="O918" i="2" s="1"/>
  <c r="P918" i="2" a="1"/>
  <c r="P918" i="2" s="1"/>
  <c r="Q918" i="2" a="1"/>
  <c r="Q918" i="2" s="1"/>
  <c r="A919" i="2" a="1"/>
  <c r="A919" i="2" s="1"/>
  <c r="B919" i="2" a="1"/>
  <c r="B919" i="2" s="1"/>
  <c r="C919" i="2" a="1"/>
  <c r="C919" i="2" s="1"/>
  <c r="D919" i="2" a="1"/>
  <c r="D919" i="2" s="1"/>
  <c r="E919" i="2" a="1"/>
  <c r="E919" i="2" s="1"/>
  <c r="F919" i="2" a="1"/>
  <c r="F919" i="2" s="1"/>
  <c r="G919" i="2" a="1"/>
  <c r="G919" i="2" s="1"/>
  <c r="H919" i="2" a="1"/>
  <c r="H919" i="2" s="1"/>
  <c r="I919" i="2" a="1"/>
  <c r="I919" i="2" s="1"/>
  <c r="J919" i="2" a="1"/>
  <c r="J919" i="2" s="1"/>
  <c r="K919" i="2" a="1"/>
  <c r="K919" i="2" s="1"/>
  <c r="L919" i="2" a="1"/>
  <c r="L919" i="2" s="1"/>
  <c r="M919" i="2" a="1"/>
  <c r="M919" i="2" s="1"/>
  <c r="N919" i="2" a="1"/>
  <c r="N919" i="2" s="1"/>
  <c r="O919" i="2" a="1"/>
  <c r="O919" i="2" s="1"/>
  <c r="P919" i="2" a="1"/>
  <c r="P919" i="2" s="1"/>
  <c r="Q919" i="2" a="1"/>
  <c r="Q919" i="2" s="1"/>
  <c r="A920" i="2" a="1"/>
  <c r="A920" i="2" s="1"/>
  <c r="B920" i="2" a="1"/>
  <c r="B920" i="2" s="1"/>
  <c r="C920" i="2" a="1"/>
  <c r="C920" i="2" s="1"/>
  <c r="D920" i="2" a="1"/>
  <c r="D920" i="2" s="1"/>
  <c r="E920" i="2" a="1"/>
  <c r="E920" i="2" s="1"/>
  <c r="F920" i="2" a="1"/>
  <c r="F920" i="2" s="1"/>
  <c r="G920" i="2" a="1"/>
  <c r="G920" i="2" s="1"/>
  <c r="H920" i="2" a="1"/>
  <c r="H920" i="2" s="1"/>
  <c r="I920" i="2" a="1"/>
  <c r="I920" i="2" s="1"/>
  <c r="J920" i="2" a="1"/>
  <c r="J920" i="2" s="1"/>
  <c r="K920" i="2" a="1"/>
  <c r="K920" i="2" s="1"/>
  <c r="L920" i="2" a="1"/>
  <c r="L920" i="2" s="1"/>
  <c r="M920" i="2" a="1"/>
  <c r="M920" i="2" s="1"/>
  <c r="N920" i="2" a="1"/>
  <c r="N920" i="2" s="1"/>
  <c r="O920" i="2" a="1"/>
  <c r="O920" i="2" s="1"/>
  <c r="P920" i="2" a="1"/>
  <c r="P920" i="2" s="1"/>
  <c r="Q920" i="2" a="1"/>
  <c r="Q920" i="2" s="1"/>
  <c r="A921" i="2" a="1"/>
  <c r="A921" i="2" s="1"/>
  <c r="B921" i="2" a="1"/>
  <c r="B921" i="2" s="1"/>
  <c r="C921" i="2" a="1"/>
  <c r="C921" i="2" s="1"/>
  <c r="D921" i="2" a="1"/>
  <c r="D921" i="2" s="1"/>
  <c r="E921" i="2" a="1"/>
  <c r="E921" i="2" s="1"/>
  <c r="F921" i="2" a="1"/>
  <c r="F921" i="2" s="1"/>
  <c r="G921" i="2" a="1"/>
  <c r="G921" i="2" s="1"/>
  <c r="H921" i="2" a="1"/>
  <c r="H921" i="2" s="1"/>
  <c r="I921" i="2" a="1"/>
  <c r="I921" i="2" s="1"/>
  <c r="J921" i="2" a="1"/>
  <c r="J921" i="2" s="1"/>
  <c r="K921" i="2" a="1"/>
  <c r="K921" i="2" s="1"/>
  <c r="L921" i="2" a="1"/>
  <c r="L921" i="2" s="1"/>
  <c r="M921" i="2" a="1"/>
  <c r="M921" i="2" s="1"/>
  <c r="N921" i="2" a="1"/>
  <c r="N921" i="2" s="1"/>
  <c r="O921" i="2" a="1"/>
  <c r="O921" i="2" s="1"/>
  <c r="P921" i="2" a="1"/>
  <c r="P921" i="2" s="1"/>
  <c r="Q921" i="2" a="1"/>
  <c r="Q921" i="2" s="1"/>
  <c r="A922" i="2" a="1"/>
  <c r="A922" i="2" s="1"/>
  <c r="B922" i="2" a="1"/>
  <c r="B922" i="2" s="1"/>
  <c r="C922" i="2" a="1"/>
  <c r="C922" i="2" s="1"/>
  <c r="D922" i="2" a="1"/>
  <c r="D922" i="2" s="1"/>
  <c r="F178" i="2" a="1"/>
  <c r="F178" i="2" s="1"/>
  <c r="A179" i="2" a="1"/>
  <c r="A179" i="2" s="1"/>
  <c r="B179" i="2" a="1"/>
  <c r="B179" i="2" s="1"/>
  <c r="D179" i="2" a="1"/>
  <c r="D179" i="2" s="1"/>
  <c r="G179" i="2" a="1"/>
  <c r="G179" i="2" s="1"/>
  <c r="J179" i="2" a="1"/>
  <c r="J179" i="2" s="1"/>
  <c r="N179" i="2" a="1"/>
  <c r="N179" i="2" s="1"/>
  <c r="B180" i="2" a="1"/>
  <c r="B180" i="2" s="1"/>
  <c r="D180" i="2" a="1"/>
  <c r="D180" i="2" s="1"/>
  <c r="K180" i="2" a="1"/>
  <c r="K180" i="2" s="1"/>
  <c r="P180" i="2" a="1"/>
  <c r="P180" i="2" s="1"/>
  <c r="Q180" i="2" a="1"/>
  <c r="Q180" i="2" s="1"/>
  <c r="C181" i="2" a="1"/>
  <c r="C181" i="2" s="1"/>
  <c r="E181" i="2" a="1"/>
  <c r="E181" i="2" s="1"/>
  <c r="I181" i="2" a="1"/>
  <c r="I181" i="2" s="1"/>
  <c r="K181" i="2" a="1"/>
  <c r="K181" i="2" s="1"/>
  <c r="L181" i="2" a="1"/>
  <c r="L181" i="2" s="1"/>
  <c r="H182" i="2" a="1"/>
  <c r="H182" i="2" s="1"/>
  <c r="K182" i="2" a="1"/>
  <c r="K182" i="2" s="1"/>
  <c r="F183" i="2" a="1"/>
  <c r="F183" i="2" s="1"/>
  <c r="H183" i="2" a="1"/>
  <c r="H183" i="2" s="1"/>
  <c r="I183" i="2" a="1"/>
  <c r="I183" i="2" s="1"/>
  <c r="K183" i="2" a="1"/>
  <c r="K183" i="2" s="1"/>
  <c r="O183" i="2" a="1"/>
  <c r="O183" i="2" s="1"/>
  <c r="Q183" i="2" a="1"/>
  <c r="Q183" i="2" s="1"/>
  <c r="C184" i="2" a="1"/>
  <c r="C184" i="2" s="1"/>
  <c r="I184" i="2" a="1"/>
  <c r="I184" i="2" s="1"/>
  <c r="A185" i="2" a="1"/>
  <c r="A185" i="2" s="1"/>
  <c r="G185" i="2" a="1"/>
  <c r="G185" i="2" s="1"/>
  <c r="I185" i="2" a="1"/>
  <c r="I185" i="2" s="1"/>
  <c r="O185" i="2" a="1"/>
  <c r="O185" i="2" s="1"/>
  <c r="P185" i="2" a="1"/>
  <c r="P185" i="2" s="1"/>
  <c r="A186" i="2" a="1"/>
  <c r="A186" i="2" s="1"/>
  <c r="D186" i="2" a="1"/>
  <c r="D186" i="2" s="1"/>
  <c r="M186" i="2" a="1"/>
  <c r="M186" i="2" s="1"/>
  <c r="C187" i="2" a="1"/>
  <c r="C187" i="2" s="1"/>
  <c r="F187" i="2" a="1"/>
  <c r="F187" i="2" s="1"/>
  <c r="I187" i="2" a="1"/>
  <c r="I187" i="2" s="1"/>
  <c r="K187" i="2" a="1"/>
  <c r="K187" i="2" s="1"/>
  <c r="M187" i="2" a="1"/>
  <c r="M187" i="2" s="1"/>
  <c r="O187" i="2" a="1"/>
  <c r="O187" i="2" s="1"/>
  <c r="A188" i="2" a="1"/>
  <c r="A188" i="2" s="1"/>
  <c r="C188" i="2" a="1"/>
  <c r="C188" i="2" s="1"/>
  <c r="D188" i="2" a="1"/>
  <c r="D188" i="2" s="1"/>
  <c r="E188" i="2" a="1"/>
  <c r="E188" i="2" s="1"/>
  <c r="H188" i="2" a="1"/>
  <c r="H188" i="2" s="1"/>
  <c r="M188" i="2" a="1"/>
  <c r="M188" i="2" s="1"/>
  <c r="N188" i="2" a="1"/>
  <c r="N188" i="2" s="1"/>
  <c r="Q188" i="2" a="1"/>
  <c r="Q188" i="2" s="1"/>
  <c r="D189" i="2" a="1"/>
  <c r="D189" i="2" s="1"/>
  <c r="G189" i="2" a="1"/>
  <c r="G189" i="2" s="1"/>
  <c r="J189" i="2" a="1"/>
  <c r="J189" i="2" s="1"/>
  <c r="M189" i="2" a="1"/>
  <c r="M189" i="2" s="1"/>
  <c r="O189" i="2" a="1"/>
  <c r="O189" i="2" s="1"/>
  <c r="P189" i="2" a="1"/>
  <c r="P189" i="2" s="1"/>
  <c r="E190" i="2" a="1"/>
  <c r="E190" i="2" s="1"/>
  <c r="M190" i="2" a="1"/>
  <c r="M190" i="2" s="1"/>
  <c r="A191" i="2" a="1"/>
  <c r="A191" i="2" s="1"/>
  <c r="B191" i="2" a="1"/>
  <c r="B191" i="2" s="1"/>
  <c r="C191" i="2" a="1"/>
  <c r="C191" i="2" s="1"/>
  <c r="F191" i="2" a="1"/>
  <c r="F191" i="2" s="1"/>
  <c r="G191" i="2" a="1"/>
  <c r="G191" i="2" s="1"/>
  <c r="K191" i="2" a="1"/>
  <c r="K191" i="2" s="1"/>
  <c r="M191" i="2" a="1"/>
  <c r="M191" i="2" s="1"/>
  <c r="Q191" i="2" a="1"/>
  <c r="Q191" i="2" s="1"/>
  <c r="C192" i="2" a="1"/>
  <c r="C192" i="2" s="1"/>
  <c r="G192" i="2" a="1"/>
  <c r="G192" i="2" s="1"/>
  <c r="I192" i="2" a="1"/>
  <c r="I192" i="2" s="1"/>
  <c r="J192" i="2" a="1"/>
  <c r="J192" i="2" s="1"/>
  <c r="K192" i="2" a="1"/>
  <c r="K192" i="2" s="1"/>
  <c r="N192" i="2" a="1"/>
  <c r="N192" i="2" s="1"/>
  <c r="O192" i="2" a="1"/>
  <c r="O192" i="2" s="1"/>
  <c r="P192" i="2" a="1"/>
  <c r="P192" i="2" s="1"/>
  <c r="B193" i="2" a="1"/>
  <c r="B193" i="2" s="1"/>
  <c r="C193" i="2" a="1"/>
  <c r="C193" i="2" s="1"/>
  <c r="E193" i="2" a="1"/>
  <c r="E193" i="2" s="1"/>
  <c r="I193" i="2" a="1"/>
  <c r="I193" i="2" s="1"/>
  <c r="L193" i="2" a="1"/>
  <c r="L193" i="2" s="1"/>
  <c r="M193" i="2" a="1"/>
  <c r="M193" i="2" s="1"/>
  <c r="O193" i="2" a="1"/>
  <c r="O193" i="2" s="1"/>
  <c r="E194" i="2" a="1"/>
  <c r="E194" i="2" s="1"/>
  <c r="H194" i="2" a="1"/>
  <c r="H194" i="2" s="1"/>
  <c r="L194" i="2" a="1"/>
  <c r="L194" i="2" s="1"/>
  <c r="M194" i="2" a="1"/>
  <c r="M194" i="2" s="1"/>
  <c r="O194" i="2" a="1"/>
  <c r="O194" i="2" s="1"/>
  <c r="P194" i="2" a="1"/>
  <c r="P194" i="2" s="1"/>
  <c r="C195" i="2" a="1"/>
  <c r="C195" i="2" s="1"/>
  <c r="F195" i="2" a="1"/>
  <c r="F195" i="2" s="1"/>
  <c r="H195" i="2" a="1"/>
  <c r="H195" i="2" s="1"/>
  <c r="K195" i="2" a="1"/>
  <c r="K195" i="2" s="1"/>
  <c r="B196" i="2" a="1"/>
  <c r="B196" i="2" s="1"/>
  <c r="H196" i="2" a="1"/>
  <c r="H196" i="2" s="1"/>
  <c r="I196" i="2" a="1"/>
  <c r="I196" i="2" s="1"/>
  <c r="J196" i="2" a="1"/>
  <c r="J196" i="2" s="1"/>
  <c r="L196" i="2" a="1"/>
  <c r="L196" i="2" s="1"/>
  <c r="M196" i="2" a="1"/>
  <c r="M196" i="2" s="1"/>
  <c r="O196" i="2" a="1"/>
  <c r="O196" i="2" s="1"/>
  <c r="Q196" i="2" a="1"/>
  <c r="Q196" i="2" s="1"/>
  <c r="A197" i="2" a="1"/>
  <c r="A197" i="2" s="1"/>
  <c r="B197" i="2" a="1"/>
  <c r="B197" i="2" s="1"/>
  <c r="E197" i="2" a="1"/>
  <c r="E197" i="2" s="1"/>
  <c r="F197" i="2" a="1"/>
  <c r="F197" i="2" s="1"/>
  <c r="L197" i="2" a="1"/>
  <c r="L197" i="2" s="1"/>
  <c r="A198" i="2" a="1"/>
  <c r="A198" i="2" s="1"/>
  <c r="B198" i="2" a="1"/>
  <c r="B198" i="2" s="1"/>
  <c r="G198" i="2" a="1"/>
  <c r="G198" i="2" s="1"/>
  <c r="M198" i="2" a="1"/>
  <c r="M198" i="2" s="1"/>
  <c r="C199" i="2" a="1"/>
  <c r="C199" i="2" s="1"/>
  <c r="E199" i="2" a="1"/>
  <c r="E199" i="2" s="1"/>
  <c r="G199" i="2" a="1"/>
  <c r="G199" i="2" s="1"/>
  <c r="I199" i="2" a="1"/>
  <c r="I199" i="2" s="1"/>
  <c r="J199" i="2" a="1"/>
  <c r="J199" i="2" s="1"/>
  <c r="K199" i="2" a="1"/>
  <c r="K199" i="2" s="1"/>
  <c r="L199" i="2" a="1"/>
  <c r="L199" i="2" s="1"/>
  <c r="M199" i="2" a="1"/>
  <c r="M199" i="2" s="1"/>
  <c r="A200" i="2" a="1"/>
  <c r="A200" i="2" s="1"/>
  <c r="B200" i="2" a="1"/>
  <c r="B200" i="2" s="1"/>
  <c r="E200" i="2" a="1"/>
  <c r="E200" i="2" s="1"/>
  <c r="F200" i="2" a="1"/>
  <c r="F200" i="2" s="1"/>
  <c r="L200" i="2" a="1"/>
  <c r="L200" i="2" s="1"/>
  <c r="O200" i="2" a="1"/>
  <c r="O200" i="2" s="1"/>
  <c r="P200" i="2" a="1"/>
  <c r="P200" i="2" s="1"/>
  <c r="E201" i="2" a="1"/>
  <c r="E201" i="2" s="1"/>
  <c r="G201" i="2" a="1"/>
  <c r="G201" i="2" s="1"/>
  <c r="K201" i="2" a="1"/>
  <c r="K201" i="2" s="1"/>
  <c r="L201" i="2" a="1"/>
  <c r="L201" i="2" s="1"/>
  <c r="M201" i="2" a="1"/>
  <c r="M201" i="2" s="1"/>
  <c r="N201" i="2" a="1"/>
  <c r="N201" i="2" s="1"/>
  <c r="B202" i="2" a="1"/>
  <c r="B202" i="2" s="1"/>
  <c r="E202" i="2" a="1"/>
  <c r="E202" i="2" s="1"/>
  <c r="G202" i="2" a="1"/>
  <c r="G202" i="2" s="1"/>
  <c r="H202" i="2" a="1"/>
  <c r="H202" i="2" s="1"/>
  <c r="K202" i="2" a="1"/>
  <c r="K202" i="2" s="1"/>
  <c r="L202" i="2" a="1"/>
  <c r="L202" i="2" s="1"/>
  <c r="O202" i="2" a="1"/>
  <c r="O202" i="2" s="1"/>
  <c r="Q202" i="2" a="1"/>
  <c r="Q202" i="2" s="1"/>
  <c r="H203" i="2" a="1"/>
  <c r="H203" i="2" s="1"/>
  <c r="I203" i="2" a="1"/>
  <c r="I203" i="2" s="1"/>
  <c r="A204" i="2" a="1"/>
  <c r="A204" i="2" s="1"/>
  <c r="F204" i="2" a="1"/>
  <c r="F204" i="2" s="1"/>
  <c r="I204" i="2" a="1"/>
  <c r="I204" i="2" s="1"/>
  <c r="B205" i="2" a="1"/>
  <c r="B205" i="2" s="1"/>
  <c r="H205" i="2" a="1"/>
  <c r="H205" i="2" s="1"/>
  <c r="I205" i="2" a="1"/>
  <c r="I205" i="2" s="1"/>
  <c r="B206" i="2" a="1"/>
  <c r="B206" i="2" s="1"/>
  <c r="C206" i="2" a="1"/>
  <c r="C206" i="2" s="1"/>
  <c r="G206" i="2" a="1"/>
  <c r="G206" i="2" s="1"/>
  <c r="J206" i="2" a="1"/>
  <c r="J206" i="2" s="1"/>
  <c r="M206" i="2" a="1"/>
  <c r="M206" i="2" s="1"/>
  <c r="O206" i="2" a="1"/>
  <c r="O206" i="2" s="1"/>
  <c r="P206" i="2" a="1"/>
  <c r="P206" i="2" s="1"/>
  <c r="D207" i="2" a="1"/>
  <c r="D207" i="2" s="1"/>
  <c r="G207" i="2" a="1"/>
  <c r="G207" i="2" s="1"/>
  <c r="M207" i="2" a="1"/>
  <c r="M207" i="2" s="1"/>
  <c r="B208" i="2" a="1"/>
  <c r="B208" i="2" s="1"/>
  <c r="C208" i="2" a="1"/>
  <c r="C208" i="2" s="1"/>
  <c r="D208" i="2" a="1"/>
  <c r="D208" i="2" s="1"/>
  <c r="E208" i="2" a="1"/>
  <c r="E208" i="2" s="1"/>
  <c r="I208" i="2" a="1"/>
  <c r="I208" i="2" s="1"/>
  <c r="K208" i="2" a="1"/>
  <c r="K208" i="2" s="1"/>
  <c r="N208" i="2" a="1"/>
  <c r="N208" i="2" s="1"/>
  <c r="O208" i="2" a="1"/>
  <c r="O208" i="2" s="1"/>
  <c r="Q208" i="2" a="1"/>
  <c r="Q208" i="2" s="1"/>
  <c r="C209" i="2" a="1"/>
  <c r="C209" i="2" s="1"/>
  <c r="D209" i="2" a="1"/>
  <c r="D209" i="2" s="1"/>
  <c r="E209" i="2" a="1"/>
  <c r="E209" i="2" s="1"/>
  <c r="J209" i="2" a="1"/>
  <c r="J209" i="2" s="1"/>
  <c r="O209" i="2" a="1"/>
  <c r="O209" i="2" s="1"/>
  <c r="B210" i="2" a="1"/>
  <c r="B210" i="2" s="1"/>
  <c r="G210" i="2" a="1"/>
  <c r="G210" i="2" s="1"/>
  <c r="K210" i="2" a="1"/>
  <c r="K210" i="2" s="1"/>
  <c r="L210" i="2" a="1"/>
  <c r="L210" i="2" s="1"/>
  <c r="O210" i="2" a="1"/>
  <c r="O210" i="2" s="1"/>
  <c r="D211" i="2" a="1"/>
  <c r="D211" i="2" s="1"/>
  <c r="G211" i="2" a="1"/>
  <c r="G211" i="2" s="1"/>
  <c r="L211" i="2" a="1"/>
  <c r="L211" i="2" s="1"/>
  <c r="M211" i="2" a="1"/>
  <c r="M211" i="2" s="1"/>
  <c r="O211" i="2" a="1"/>
  <c r="O211" i="2" s="1"/>
  <c r="C212" i="2" a="1"/>
  <c r="C212" i="2" s="1"/>
  <c r="D212" i="2" a="1"/>
  <c r="D212" i="2" s="1"/>
  <c r="F212" i="2" a="1"/>
  <c r="F212" i="2" s="1"/>
  <c r="G212" i="2" a="1"/>
  <c r="G212" i="2" s="1"/>
  <c r="H212" i="2" a="1"/>
  <c r="H212" i="2" s="1"/>
  <c r="A213" i="2" a="1"/>
  <c r="A213" i="2" s="1"/>
  <c r="D213" i="2" a="1"/>
  <c r="D213" i="2" s="1"/>
  <c r="H213" i="2" a="1"/>
  <c r="H213" i="2" s="1"/>
  <c r="J213" i="2" a="1"/>
  <c r="J213" i="2" s="1"/>
  <c r="N213" i="2" a="1"/>
  <c r="N213" i="2" s="1"/>
  <c r="Q213" i="2" a="1"/>
  <c r="Q213" i="2" s="1"/>
  <c r="A214" i="2" a="1"/>
  <c r="A214" i="2" s="1"/>
  <c r="C214" i="2" a="1"/>
  <c r="C214" i="2" s="1"/>
  <c r="D214" i="2" a="1"/>
  <c r="D214" i="2" s="1"/>
  <c r="H214" i="2" a="1"/>
  <c r="H214" i="2" s="1"/>
  <c r="I214" i="2" a="1"/>
  <c r="I214" i="2" s="1"/>
  <c r="L214" i="2" a="1"/>
  <c r="L214" i="2" s="1"/>
  <c r="N214" i="2" a="1"/>
  <c r="N214" i="2" s="1"/>
  <c r="E215" i="2" a="1"/>
  <c r="E215" i="2" s="1"/>
  <c r="G215" i="2" a="1"/>
  <c r="G215" i="2" s="1"/>
  <c r="I215" i="2" a="1"/>
  <c r="I215" i="2" s="1"/>
  <c r="K215" i="2" a="1"/>
  <c r="K215" i="2" s="1"/>
  <c r="M215" i="2" a="1"/>
  <c r="M215" i="2" s="1"/>
  <c r="B216" i="2" a="1"/>
  <c r="B216" i="2" s="1"/>
  <c r="D216" i="2" a="1"/>
  <c r="D216" i="2" s="1"/>
  <c r="F216" i="2" a="1"/>
  <c r="F216" i="2" s="1"/>
  <c r="M216" i="2" a="1"/>
  <c r="M216" i="2" s="1"/>
  <c r="N216" i="2" a="1"/>
  <c r="N216" i="2" s="1"/>
  <c r="A217" i="2" a="1"/>
  <c r="A217" i="2" s="1"/>
  <c r="B217" i="2" a="1"/>
  <c r="B217" i="2" s="1"/>
  <c r="E217" i="2" a="1"/>
  <c r="E217" i="2" s="1"/>
  <c r="I217" i="2" a="1"/>
  <c r="I217" i="2" s="1"/>
  <c r="L217" i="2" a="1"/>
  <c r="L217" i="2" s="1"/>
  <c r="M217" i="2" a="1"/>
  <c r="M217" i="2" s="1"/>
  <c r="A218" i="2" a="1"/>
  <c r="A218" i="2" s="1"/>
  <c r="C218" i="2" a="1"/>
  <c r="C218" i="2" s="1"/>
  <c r="H218" i="2" a="1"/>
  <c r="H218" i="2" s="1"/>
  <c r="K218" i="2" a="1"/>
  <c r="K218" i="2" s="1"/>
  <c r="O218" i="2" a="1"/>
  <c r="O218" i="2" s="1"/>
  <c r="A219" i="2" a="1"/>
  <c r="A219" i="2" s="1"/>
  <c r="E219" i="2" a="1"/>
  <c r="E219" i="2" s="1"/>
  <c r="H219" i="2" a="1"/>
  <c r="H219" i="2" s="1"/>
  <c r="C220" i="2" a="1"/>
  <c r="C220" i="2" s="1"/>
  <c r="D220" i="2" a="1"/>
  <c r="D220" i="2" s="1"/>
  <c r="G220" i="2" a="1"/>
  <c r="G220" i="2" s="1"/>
  <c r="I220" i="2" a="1"/>
  <c r="I220" i="2" s="1"/>
  <c r="K220" i="2" a="1"/>
  <c r="K220" i="2" s="1"/>
  <c r="A221" i="2" a="1"/>
  <c r="A221" i="2" s="1"/>
  <c r="B221" i="2" a="1"/>
  <c r="B221" i="2" s="1"/>
  <c r="E221" i="2" a="1"/>
  <c r="E221" i="2" s="1"/>
  <c r="G221" i="2" a="1"/>
  <c r="G221" i="2" s="1"/>
  <c r="H221" i="2" a="1"/>
  <c r="H221" i="2" s="1"/>
  <c r="J221" i="2" a="1"/>
  <c r="J221" i="2" s="1"/>
  <c r="K221" i="2" a="1"/>
  <c r="K221" i="2" s="1"/>
  <c r="N221" i="2" a="1"/>
  <c r="N221" i="2" s="1"/>
  <c r="G222" i="2" a="1"/>
  <c r="G222" i="2" s="1"/>
  <c r="H222" i="2" a="1"/>
  <c r="H222" i="2" s="1"/>
  <c r="I222" i="2" a="1"/>
  <c r="I222" i="2" s="1"/>
  <c r="J222" i="2" a="1"/>
  <c r="J222" i="2" s="1"/>
  <c r="M222" i="2" a="1"/>
  <c r="M222" i="2" s="1"/>
  <c r="A223" i="2" a="1"/>
  <c r="A223" i="2" s="1"/>
  <c r="C223" i="2" a="1"/>
  <c r="C223" i="2" s="1"/>
  <c r="E223" i="2" a="1"/>
  <c r="E223" i="2" s="1"/>
  <c r="H223" i="2" a="1"/>
  <c r="H223" i="2" s="1"/>
  <c r="I223" i="2" a="1"/>
  <c r="I223" i="2" s="1"/>
  <c r="L223" i="2" a="1"/>
  <c r="L223" i="2" s="1"/>
  <c r="N223" i="2" a="1"/>
  <c r="N223" i="2" s="1"/>
  <c r="P223" i="2" a="1"/>
  <c r="P223" i="2" s="1"/>
  <c r="A224" i="2" a="1"/>
  <c r="A224" i="2" s="1"/>
  <c r="D224" i="2" a="1"/>
  <c r="D224" i="2" s="1"/>
  <c r="F224" i="2" a="1"/>
  <c r="F224" i="2" s="1"/>
  <c r="G224" i="2" a="1"/>
  <c r="G224" i="2" s="1"/>
  <c r="I224" i="2" a="1"/>
  <c r="I224" i="2" s="1"/>
  <c r="K224" i="2" a="1"/>
  <c r="K224" i="2" s="1"/>
  <c r="A225" i="2" a="1"/>
  <c r="A225" i="2" s="1"/>
  <c r="B225" i="2" a="1"/>
  <c r="B225" i="2" s="1"/>
  <c r="D225" i="2" a="1"/>
  <c r="D225" i="2" s="1"/>
  <c r="F225" i="2" a="1"/>
  <c r="F225" i="2" s="1"/>
  <c r="J225" i="2" a="1"/>
  <c r="J225" i="2" s="1"/>
  <c r="P225" i="2" a="1"/>
  <c r="P225" i="2" s="1"/>
  <c r="K226" i="2" a="1"/>
  <c r="K226" i="2" s="1"/>
  <c r="F227" i="2" a="1"/>
  <c r="F227" i="2" s="1"/>
  <c r="J227" i="2" a="1"/>
  <c r="J227" i="2" s="1"/>
  <c r="K227" i="2" a="1"/>
  <c r="K227" i="2" s="1"/>
  <c r="L227" i="2" a="1"/>
  <c r="L227" i="2" s="1"/>
  <c r="N227" i="2" a="1"/>
  <c r="N227" i="2" s="1"/>
  <c r="E228" i="2" a="1"/>
  <c r="E228" i="2" s="1"/>
  <c r="K228" i="2" a="1"/>
  <c r="K228" i="2" s="1"/>
  <c r="M228" i="2" a="1"/>
  <c r="M228" i="2" s="1"/>
  <c r="N228" i="2" a="1"/>
  <c r="N228" i="2" s="1"/>
  <c r="P228" i="2" a="1"/>
  <c r="P228" i="2" s="1"/>
  <c r="G229" i="2" a="1"/>
  <c r="G229" i="2" s="1"/>
  <c r="M229" i="2" a="1"/>
  <c r="M229" i="2" s="1"/>
  <c r="A230" i="2" a="1"/>
  <c r="A230" i="2" s="1"/>
  <c r="C230" i="2" a="1"/>
  <c r="C230" i="2" s="1"/>
  <c r="K230" i="2" a="1"/>
  <c r="K230" i="2" s="1"/>
  <c r="L230" i="2" a="1"/>
  <c r="L230" i="2" s="1"/>
  <c r="Q230" i="2" a="1"/>
  <c r="Q230" i="2" s="1"/>
  <c r="B231" i="2" a="1"/>
  <c r="B231" i="2" s="1"/>
  <c r="E231" i="2" a="1"/>
  <c r="E231" i="2" s="1"/>
  <c r="I231" i="2" a="1"/>
  <c r="I231" i="2" s="1"/>
  <c r="L231" i="2" a="1"/>
  <c r="L231" i="2" s="1"/>
  <c r="P231" i="2" a="1"/>
  <c r="P231" i="2" s="1"/>
  <c r="B232" i="2" a="1"/>
  <c r="B232" i="2" s="1"/>
  <c r="D232" i="2" a="1"/>
  <c r="D232" i="2" s="1"/>
  <c r="F232" i="2" a="1"/>
  <c r="F232" i="2" s="1"/>
  <c r="I232" i="2" a="1"/>
  <c r="I232" i="2" s="1"/>
  <c r="K232" i="2" a="1"/>
  <c r="K232" i="2" s="1"/>
  <c r="M232" i="2" a="1"/>
  <c r="M232" i="2" s="1"/>
  <c r="O232" i="2" a="1"/>
  <c r="O232" i="2" s="1"/>
  <c r="J233" i="2" a="1"/>
  <c r="J233" i="2" s="1"/>
  <c r="D234" i="2" a="1"/>
  <c r="D234" i="2" s="1"/>
  <c r="E234" i="2" a="1"/>
  <c r="E234" i="2" s="1"/>
  <c r="G234" i="2" a="1"/>
  <c r="G234" i="2" s="1"/>
  <c r="I234" i="2" a="1"/>
  <c r="I234" i="2" s="1"/>
  <c r="J234" i="2" a="1"/>
  <c r="J234" i="2" s="1"/>
  <c r="N234" i="2" a="1"/>
  <c r="N234" i="2" s="1"/>
  <c r="C235" i="2" a="1"/>
  <c r="C235" i="2" s="1"/>
  <c r="E235" i="2" a="1"/>
  <c r="E235" i="2" s="1"/>
  <c r="F235" i="2" a="1"/>
  <c r="F235" i="2" s="1"/>
  <c r="H235" i="2" a="1"/>
  <c r="H235" i="2" s="1"/>
  <c r="P235" i="2" a="1"/>
  <c r="P235" i="2" s="1"/>
  <c r="A236" i="2" a="1"/>
  <c r="A236" i="2" s="1"/>
  <c r="B236" i="2" a="1"/>
  <c r="B236" i="2" s="1"/>
  <c r="C236" i="2" a="1"/>
  <c r="C236" i="2" s="1"/>
  <c r="G236" i="2" a="1"/>
  <c r="G236" i="2" s="1"/>
  <c r="I236" i="2" a="1"/>
  <c r="I236" i="2" s="1"/>
  <c r="K236" i="2" a="1"/>
  <c r="K236" i="2" s="1"/>
  <c r="L236" i="2" a="1"/>
  <c r="L236" i="2" s="1"/>
  <c r="O236" i="2" a="1"/>
  <c r="O236" i="2" s="1"/>
  <c r="B237" i="2" a="1"/>
  <c r="B237" i="2" s="1"/>
  <c r="K237" i="2" a="1"/>
  <c r="K237" i="2" s="1"/>
  <c r="O237" i="2" a="1"/>
  <c r="O237" i="2" s="1"/>
  <c r="A238" i="2" a="1"/>
  <c r="A238" i="2" s="1"/>
  <c r="B238" i="2" a="1"/>
  <c r="B238" i="2" s="1"/>
  <c r="C238" i="2" a="1"/>
  <c r="C238" i="2" s="1"/>
  <c r="M238" i="2" a="1"/>
  <c r="M238" i="2" s="1"/>
  <c r="C239" i="2" a="1"/>
  <c r="C239" i="2" s="1"/>
  <c r="D239" i="2" a="1"/>
  <c r="D239" i="2" s="1"/>
  <c r="O239" i="2" a="1"/>
  <c r="O239" i="2" s="1"/>
  <c r="C240" i="2" a="1"/>
  <c r="C240" i="2" s="1"/>
  <c r="F240" i="2" a="1"/>
  <c r="F240" i="2" s="1"/>
  <c r="H240" i="2" a="1"/>
  <c r="H240" i="2" s="1"/>
  <c r="M240" i="2" a="1"/>
  <c r="M240" i="2" s="1"/>
  <c r="Q240" i="2" a="1"/>
  <c r="Q240" i="2" s="1"/>
  <c r="B241" i="2" a="1"/>
  <c r="B241" i="2" s="1"/>
  <c r="D241" i="2" a="1"/>
  <c r="D241" i="2" s="1"/>
  <c r="F241" i="2" a="1"/>
  <c r="F241" i="2" s="1"/>
  <c r="G241" i="2" a="1"/>
  <c r="G241" i="2" s="1"/>
  <c r="H241" i="2" a="1"/>
  <c r="H241" i="2" s="1"/>
  <c r="I241" i="2" a="1"/>
  <c r="I241" i="2" s="1"/>
  <c r="J241" i="2" a="1"/>
  <c r="J241" i="2" s="1"/>
  <c r="N241" i="2" a="1"/>
  <c r="N241" i="2" s="1"/>
  <c r="B242" i="2" a="1"/>
  <c r="B242" i="2" s="1"/>
  <c r="C242" i="2" a="1"/>
  <c r="C242" i="2" s="1"/>
  <c r="F242" i="2" a="1"/>
  <c r="F242" i="2" s="1"/>
  <c r="G242" i="2" a="1"/>
  <c r="G242" i="2" s="1"/>
  <c r="H242" i="2" a="1"/>
  <c r="H242" i="2" s="1"/>
  <c r="N242" i="2" a="1"/>
  <c r="N242" i="2" s="1"/>
  <c r="O242" i="2" a="1"/>
  <c r="O242" i="2" s="1"/>
  <c r="P242" i="2" a="1"/>
  <c r="P242" i="2" s="1"/>
  <c r="F243" i="2" a="1"/>
  <c r="F243" i="2" s="1"/>
  <c r="H243" i="2" a="1"/>
  <c r="H243" i="2" s="1"/>
  <c r="I243" i="2" a="1"/>
  <c r="I243" i="2" s="1"/>
  <c r="J243" i="2" a="1"/>
  <c r="J243" i="2" s="1"/>
  <c r="K243" i="2" a="1"/>
  <c r="K243" i="2" s="1"/>
  <c r="L243" i="2" a="1"/>
  <c r="L243" i="2" s="1"/>
  <c r="N243" i="2" a="1"/>
  <c r="N243" i="2" s="1"/>
  <c r="P243" i="2" a="1"/>
  <c r="P243" i="2" s="1"/>
  <c r="D244" i="2" a="1"/>
  <c r="D244" i="2" s="1"/>
  <c r="F244" i="2" a="1"/>
  <c r="F244" i="2" s="1"/>
  <c r="G244" i="2" a="1"/>
  <c r="G244" i="2" s="1"/>
  <c r="K244" i="2" a="1"/>
  <c r="K244" i="2" s="1"/>
  <c r="M244" i="2" a="1"/>
  <c r="M244" i="2" s="1"/>
  <c r="Q244" i="2" a="1"/>
  <c r="Q244" i="2" s="1"/>
  <c r="E245" i="2" a="1"/>
  <c r="E245" i="2" s="1"/>
  <c r="F245" i="2" a="1"/>
  <c r="F245" i="2" s="1"/>
  <c r="H245" i="2" a="1"/>
  <c r="H245" i="2" s="1"/>
  <c r="K245" i="2" a="1"/>
  <c r="K245" i="2" s="1"/>
  <c r="M245" i="2" a="1"/>
  <c r="M245" i="2" s="1"/>
  <c r="N245" i="2" a="1"/>
  <c r="N245" i="2" s="1"/>
  <c r="A246" i="2" a="1"/>
  <c r="A246" i="2" s="1"/>
  <c r="B246" i="2" a="1"/>
  <c r="B246" i="2" s="1"/>
  <c r="E246" i="2" a="1"/>
  <c r="E246" i="2" s="1"/>
  <c r="F246" i="2" a="1"/>
  <c r="F246" i="2" s="1"/>
  <c r="H246" i="2" a="1"/>
  <c r="H246" i="2" s="1"/>
  <c r="J246" i="2" a="1"/>
  <c r="J246" i="2" s="1"/>
  <c r="L246" i="2" a="1"/>
  <c r="L246" i="2" s="1"/>
  <c r="A247" i="2" a="1"/>
  <c r="A247" i="2" s="1"/>
  <c r="C247" i="2" a="1"/>
  <c r="C247" i="2" s="1"/>
  <c r="E247" i="2" a="1"/>
  <c r="E247" i="2" s="1"/>
  <c r="H247" i="2" a="1"/>
  <c r="H247" i="2" s="1"/>
  <c r="I247" i="2" a="1"/>
  <c r="I247" i="2" s="1"/>
  <c r="J247" i="2" a="1"/>
  <c r="J247" i="2" s="1"/>
  <c r="M247" i="2" a="1"/>
  <c r="M247" i="2" s="1"/>
  <c r="O247" i="2" a="1"/>
  <c r="O247" i="2" s="1"/>
  <c r="C248" i="2" a="1"/>
  <c r="C248" i="2" s="1"/>
  <c r="D248" i="2" a="1"/>
  <c r="D248" i="2" s="1"/>
  <c r="E248" i="2" a="1"/>
  <c r="E248" i="2" s="1"/>
  <c r="I248" i="2" a="1"/>
  <c r="I248" i="2" s="1"/>
  <c r="P248" i="2" a="1"/>
  <c r="P248" i="2" s="1"/>
  <c r="A249" i="2" a="1"/>
  <c r="A249" i="2" s="1"/>
  <c r="D249" i="2" a="1"/>
  <c r="D249" i="2" s="1"/>
  <c r="F249" i="2" a="1"/>
  <c r="F249" i="2" s="1"/>
  <c r="G249" i="2" a="1"/>
  <c r="G249" i="2" s="1"/>
  <c r="J249" i="2" a="1"/>
  <c r="J249" i="2" s="1"/>
  <c r="L249" i="2" a="1"/>
  <c r="L249" i="2" s="1"/>
  <c r="O249" i="2" a="1"/>
  <c r="O249" i="2" s="1"/>
  <c r="P249" i="2" a="1"/>
  <c r="P249" i="2" s="1"/>
  <c r="Q249" i="2" a="1"/>
  <c r="Q249" i="2" s="1"/>
  <c r="I250" i="2" a="1"/>
  <c r="I250" i="2" s="1"/>
  <c r="N250" i="2" a="1"/>
  <c r="N250" i="2" s="1"/>
  <c r="P250" i="2" a="1"/>
  <c r="P250" i="2" s="1"/>
  <c r="B251" i="2" a="1"/>
  <c r="B251" i="2" s="1"/>
  <c r="F251" i="2" a="1"/>
  <c r="F251" i="2" s="1"/>
  <c r="G251" i="2" a="1"/>
  <c r="G251" i="2" s="1"/>
  <c r="I251" i="2" a="1"/>
  <c r="I251" i="2" s="1"/>
  <c r="M251" i="2" a="1"/>
  <c r="M251" i="2" s="1"/>
  <c r="O251" i="2" a="1"/>
  <c r="O251" i="2" s="1"/>
  <c r="A252" i="2" a="1"/>
  <c r="A252" i="2" s="1"/>
  <c r="C252" i="2" a="1"/>
  <c r="C252" i="2" s="1"/>
  <c r="D252" i="2" a="1"/>
  <c r="D252" i="2" s="1"/>
  <c r="F252" i="2" a="1"/>
  <c r="F252" i="2" s="1"/>
  <c r="H252" i="2" a="1"/>
  <c r="H252" i="2" s="1"/>
  <c r="K252" i="2" a="1"/>
  <c r="K252" i="2" s="1"/>
  <c r="C253" i="2" a="1"/>
  <c r="C253" i="2" s="1"/>
  <c r="H253" i="2" a="1"/>
  <c r="H253" i="2" s="1"/>
  <c r="J253" i="2" a="1"/>
  <c r="J253" i="2" s="1"/>
  <c r="N253" i="2" a="1"/>
  <c r="N253" i="2" s="1"/>
  <c r="P253" i="2" a="1"/>
  <c r="P253" i="2" s="1"/>
  <c r="A254" i="2" a="1"/>
  <c r="A254" i="2" s="1"/>
  <c r="N254" i="2" a="1"/>
  <c r="N254" i="2" s="1"/>
  <c r="M255" i="2" a="1"/>
  <c r="M255" i="2" s="1"/>
  <c r="A256" i="2" a="1"/>
  <c r="A256" i="2" s="1"/>
  <c r="C256" i="2" a="1"/>
  <c r="C256" i="2" s="1"/>
  <c r="E256" i="2" a="1"/>
  <c r="E256" i="2" s="1"/>
  <c r="I256" i="2" a="1"/>
  <c r="I256" i="2" s="1"/>
  <c r="J256" i="2" a="1"/>
  <c r="J256" i="2" s="1"/>
  <c r="D257" i="2" a="1"/>
  <c r="D257" i="2" s="1"/>
  <c r="G257" i="2" a="1"/>
  <c r="G257" i="2" s="1"/>
  <c r="L257" i="2" a="1"/>
  <c r="L257" i="2" s="1"/>
  <c r="N257" i="2" a="1"/>
  <c r="N257" i="2" s="1"/>
  <c r="A258" i="2" a="1"/>
  <c r="A258" i="2" s="1"/>
  <c r="C258" i="2" a="1"/>
  <c r="C258" i="2" s="1"/>
  <c r="D258" i="2" a="1"/>
  <c r="D258" i="2" s="1"/>
  <c r="M258" i="2" a="1"/>
  <c r="M258" i="2" s="1"/>
  <c r="A259" i="2" a="1"/>
  <c r="A259" i="2" s="1"/>
  <c r="C259" i="2" a="1"/>
  <c r="C259" i="2" s="1"/>
  <c r="E259" i="2" a="1"/>
  <c r="E259" i="2" s="1"/>
  <c r="G259" i="2" a="1"/>
  <c r="G259" i="2" s="1"/>
  <c r="M259" i="2" a="1"/>
  <c r="M259" i="2" s="1"/>
  <c r="O259" i="2" a="1"/>
  <c r="O259" i="2" s="1"/>
  <c r="Q259" i="2" a="1"/>
  <c r="Q259" i="2" s="1"/>
  <c r="A260" i="2" a="1"/>
  <c r="A260" i="2" s="1"/>
  <c r="B260" i="2" a="1"/>
  <c r="B260" i="2" s="1"/>
  <c r="G260" i="2" a="1"/>
  <c r="G260" i="2" s="1"/>
  <c r="K260" i="2" a="1"/>
  <c r="K260" i="2" s="1"/>
  <c r="L260" i="2" a="1"/>
  <c r="L260" i="2" s="1"/>
  <c r="M260" i="2" a="1"/>
  <c r="M260" i="2" s="1"/>
  <c r="O260" i="2" a="1"/>
  <c r="O260" i="2" s="1"/>
  <c r="C261" i="2" a="1"/>
  <c r="C261" i="2" s="1"/>
  <c r="E261" i="2" a="1"/>
  <c r="E261" i="2" s="1"/>
  <c r="H261" i="2" a="1"/>
  <c r="H261" i="2" s="1"/>
  <c r="K261" i="2" a="1"/>
  <c r="K261" i="2" s="1"/>
  <c r="L261" i="2" a="1"/>
  <c r="L261" i="2" s="1"/>
  <c r="O261" i="2" a="1"/>
  <c r="O261" i="2" s="1"/>
  <c r="Q261" i="2" a="1"/>
  <c r="Q261" i="2" s="1"/>
  <c r="A262" i="2" a="1"/>
  <c r="A262" i="2" s="1"/>
  <c r="C262" i="2" a="1"/>
  <c r="C262" i="2" s="1"/>
  <c r="D262" i="2" a="1"/>
  <c r="D262" i="2" s="1"/>
  <c r="H262" i="2" a="1"/>
  <c r="H262" i="2" s="1"/>
  <c r="I262" i="2" a="1"/>
  <c r="I262" i="2" s="1"/>
  <c r="K262" i="2" a="1"/>
  <c r="K262" i="2" s="1"/>
  <c r="L262" i="2" a="1"/>
  <c r="L262" i="2" s="1"/>
  <c r="D263" i="2" a="1"/>
  <c r="D263" i="2" s="1"/>
  <c r="F263" i="2" a="1"/>
  <c r="F263" i="2" s="1"/>
  <c r="G263" i="2" a="1"/>
  <c r="G263" i="2" s="1"/>
  <c r="H263" i="2" a="1"/>
  <c r="H263" i="2" s="1"/>
  <c r="N263" i="2" a="1"/>
  <c r="N263" i="2" s="1"/>
  <c r="A264" i="2" a="1"/>
  <c r="A264" i="2" s="1"/>
  <c r="C264" i="2" a="1"/>
  <c r="C264" i="2" s="1"/>
  <c r="E264" i="2" a="1"/>
  <c r="E264" i="2" s="1"/>
  <c r="M264" i="2" a="1"/>
  <c r="M264" i="2" s="1"/>
  <c r="Q264" i="2" a="1"/>
  <c r="Q264" i="2" s="1"/>
  <c r="B265" i="2" a="1"/>
  <c r="B265" i="2" s="1"/>
  <c r="C265" i="2" a="1"/>
  <c r="C265" i="2" s="1"/>
  <c r="E265" i="2" a="1"/>
  <c r="E265" i="2" s="1"/>
  <c r="F265" i="2" a="1"/>
  <c r="F265" i="2" s="1"/>
  <c r="G265" i="2" a="1"/>
  <c r="G265" i="2" s="1"/>
  <c r="K265" i="2" a="1"/>
  <c r="K265" i="2" s="1"/>
  <c r="M265" i="2" a="1"/>
  <c r="M265" i="2" s="1"/>
  <c r="I266" i="2" a="1"/>
  <c r="I266" i="2" s="1"/>
  <c r="J266" i="2" a="1"/>
  <c r="J266" i="2" s="1"/>
  <c r="Q266" i="2" a="1"/>
  <c r="Q266" i="2" s="1"/>
  <c r="A267" i="2" a="1"/>
  <c r="A267" i="2" s="1"/>
  <c r="B267" i="2" a="1"/>
  <c r="B267" i="2" s="1"/>
  <c r="D267" i="2" a="1"/>
  <c r="D267" i="2" s="1"/>
  <c r="G267" i="2" a="1"/>
  <c r="G267" i="2" s="1"/>
  <c r="H267" i="2" a="1"/>
  <c r="H267" i="2" s="1"/>
  <c r="K267" i="2" a="1"/>
  <c r="K267" i="2" s="1"/>
  <c r="O267" i="2" a="1"/>
  <c r="O267" i="2" s="1"/>
  <c r="C268" i="2" a="1"/>
  <c r="C268" i="2" s="1"/>
  <c r="D268" i="2" a="1"/>
  <c r="D268" i="2" s="1"/>
  <c r="E268" i="2" a="1"/>
  <c r="E268" i="2" s="1"/>
  <c r="K268" i="2" a="1"/>
  <c r="K268" i="2" s="1"/>
  <c r="L268" i="2" a="1"/>
  <c r="L268" i="2" s="1"/>
  <c r="A269" i="2" a="1"/>
  <c r="A269" i="2" s="1"/>
  <c r="G269" i="2" a="1"/>
  <c r="G269" i="2" s="1"/>
  <c r="A270" i="2" a="1"/>
  <c r="A270" i="2" s="1"/>
  <c r="C270" i="2" a="1"/>
  <c r="C270" i="2" s="1"/>
  <c r="J270" i="2" a="1"/>
  <c r="J270" i="2" s="1"/>
  <c r="O270" i="2" a="1"/>
  <c r="O270" i="2" s="1"/>
  <c r="Q270" i="2" a="1"/>
  <c r="Q270" i="2" s="1"/>
  <c r="A271" i="2" a="1"/>
  <c r="A271" i="2" s="1"/>
  <c r="B271" i="2" a="1"/>
  <c r="B271" i="2" s="1"/>
  <c r="C271" i="2" a="1"/>
  <c r="C271" i="2" s="1"/>
  <c r="D271" i="2" a="1"/>
  <c r="D271" i="2" s="1"/>
  <c r="G271" i="2" a="1"/>
  <c r="G271" i="2" s="1"/>
  <c r="Q271" i="2" a="1"/>
  <c r="Q271" i="2" s="1"/>
  <c r="A272" i="2" a="1"/>
  <c r="A272" i="2" s="1"/>
  <c r="E272" i="2" a="1"/>
  <c r="E272" i="2" s="1"/>
  <c r="G272" i="2" a="1"/>
  <c r="G272" i="2" s="1"/>
  <c r="H272" i="2" a="1"/>
  <c r="H272" i="2" s="1"/>
  <c r="J272" i="2" a="1"/>
  <c r="J272" i="2" s="1"/>
  <c r="N272" i="2" a="1"/>
  <c r="N272" i="2" s="1"/>
  <c r="B273" i="2" a="1"/>
  <c r="B273" i="2" s="1"/>
  <c r="E273" i="2" a="1"/>
  <c r="E273" i="2" s="1"/>
  <c r="H273" i="2" a="1"/>
  <c r="H273" i="2" s="1"/>
  <c r="I273" i="2" a="1"/>
  <c r="I273" i="2" s="1"/>
  <c r="K273" i="2" a="1"/>
  <c r="K273" i="2" s="1"/>
  <c r="M273" i="2" a="1"/>
  <c r="M273" i="2" s="1"/>
  <c r="L274" i="2" a="1"/>
  <c r="L274" i="2" s="1"/>
  <c r="M274" i="2" a="1"/>
  <c r="M274" i="2" s="1"/>
  <c r="N274" i="2" a="1"/>
  <c r="N274" i="2" s="1"/>
  <c r="B275" i="2" a="1"/>
  <c r="B275" i="2" s="1"/>
  <c r="C275" i="2" a="1"/>
  <c r="C275" i="2" s="1"/>
  <c r="G275" i="2" a="1"/>
  <c r="G275" i="2" s="1"/>
  <c r="O275" i="2" a="1"/>
  <c r="O275" i="2" s="1"/>
  <c r="C276" i="2" a="1"/>
  <c r="C276" i="2" s="1"/>
  <c r="D276" i="2" a="1"/>
  <c r="D276" i="2" s="1"/>
  <c r="F276" i="2" a="1"/>
  <c r="F276" i="2" s="1"/>
  <c r="G276" i="2" a="1"/>
  <c r="G276" i="2" s="1"/>
  <c r="I276" i="2" a="1"/>
  <c r="I276" i="2" s="1"/>
  <c r="J276" i="2" a="1"/>
  <c r="J276" i="2" s="1"/>
  <c r="L276" i="2" a="1"/>
  <c r="L276" i="2" s="1"/>
  <c r="M276" i="2" a="1"/>
  <c r="M276" i="2" s="1"/>
  <c r="N276" i="2" a="1"/>
  <c r="N276" i="2" s="1"/>
  <c r="H277" i="2" a="1"/>
  <c r="H277" i="2" s="1"/>
  <c r="K277" i="2" a="1"/>
  <c r="K277" i="2" s="1"/>
  <c r="P277" i="2" a="1"/>
  <c r="P277" i="2" s="1"/>
  <c r="B278" i="2" a="1"/>
  <c r="B278" i="2" s="1"/>
  <c r="G278" i="2" a="1"/>
  <c r="G278" i="2" s="1"/>
  <c r="I278" i="2" a="1"/>
  <c r="I278" i="2" s="1"/>
  <c r="O278" i="2" a="1"/>
  <c r="O278" i="2" s="1"/>
  <c r="B279" i="2" a="1"/>
  <c r="B279" i="2" s="1"/>
  <c r="C279" i="2" a="1"/>
  <c r="C279" i="2" s="1"/>
  <c r="E279" i="2" a="1"/>
  <c r="E279" i="2" s="1"/>
  <c r="J279" i="2" a="1"/>
  <c r="J279" i="2" s="1"/>
  <c r="M279" i="2" a="1"/>
  <c r="M279" i="2" s="1"/>
  <c r="C280" i="2" a="1"/>
  <c r="C280" i="2" s="1"/>
  <c r="D280" i="2" a="1"/>
  <c r="D280" i="2" s="1"/>
  <c r="E280" i="2" a="1"/>
  <c r="E280" i="2" s="1"/>
  <c r="H280" i="2" a="1"/>
  <c r="H280" i="2" s="1"/>
  <c r="J280" i="2" a="1"/>
  <c r="J280" i="2" s="1"/>
  <c r="K280" i="2" a="1"/>
  <c r="K280" i="2" s="1"/>
  <c r="M280" i="2" a="1"/>
  <c r="M280" i="2" s="1"/>
  <c r="F281" i="2" a="1"/>
  <c r="F281" i="2" s="1"/>
  <c r="J281" i="2" a="1"/>
  <c r="J281" i="2" s="1"/>
  <c r="M281" i="2" a="1"/>
  <c r="M281" i="2" s="1"/>
  <c r="C282" i="2" a="1"/>
  <c r="C282" i="2" s="1"/>
  <c r="F282" i="2" a="1"/>
  <c r="F282" i="2" s="1"/>
  <c r="L282" i="2" a="1"/>
  <c r="L282" i="2" s="1"/>
  <c r="C283" i="2" a="1"/>
  <c r="C283" i="2" s="1"/>
  <c r="E283" i="2" a="1"/>
  <c r="E283" i="2" s="1"/>
  <c r="F283" i="2" a="1"/>
  <c r="F283" i="2" s="1"/>
  <c r="G283" i="2" a="1"/>
  <c r="G283" i="2" s="1"/>
  <c r="M283" i="2" a="1"/>
  <c r="M283" i="2" s="1"/>
  <c r="P283" i="2" a="1"/>
  <c r="P283" i="2" s="1"/>
  <c r="Q283" i="2" a="1"/>
  <c r="Q283" i="2" s="1"/>
  <c r="B284" i="2" a="1"/>
  <c r="B284" i="2" s="1"/>
  <c r="C284" i="2" a="1"/>
  <c r="C284" i="2" s="1"/>
  <c r="F284" i="2" a="1"/>
  <c r="F284" i="2" s="1"/>
  <c r="J284" i="2" a="1"/>
  <c r="J284" i="2" s="1"/>
  <c r="K284" i="2" a="1"/>
  <c r="K284" i="2" s="1"/>
  <c r="M284" i="2" a="1"/>
  <c r="M284" i="2" s="1"/>
  <c r="P284" i="2" a="1"/>
  <c r="P284" i="2" s="1"/>
  <c r="C285" i="2" a="1"/>
  <c r="C285" i="2" s="1"/>
  <c r="E285" i="2" a="1"/>
  <c r="E285" i="2" s="1"/>
  <c r="L285" i="2" a="1"/>
  <c r="L285" i="2" s="1"/>
  <c r="O285" i="2" a="1"/>
  <c r="O285" i="2" s="1"/>
  <c r="A286" i="2" a="1"/>
  <c r="A286" i="2" s="1"/>
  <c r="C286" i="2" a="1"/>
  <c r="C286" i="2" s="1"/>
  <c r="E286" i="2" a="1"/>
  <c r="E286" i="2" s="1"/>
  <c r="F286" i="2" a="1"/>
  <c r="F286" i="2" s="1"/>
  <c r="G286" i="2" a="1"/>
  <c r="G286" i="2" s="1"/>
  <c r="I286" i="2" a="1"/>
  <c r="I286" i="2" s="1"/>
  <c r="J286" i="2" a="1"/>
  <c r="J286" i="2" s="1"/>
  <c r="K286" i="2" a="1"/>
  <c r="K286" i="2" s="1"/>
  <c r="N286" i="2" a="1"/>
  <c r="N286" i="2" s="1"/>
  <c r="O286" i="2" a="1"/>
  <c r="O286" i="2" s="1"/>
  <c r="P286" i="2" a="1"/>
  <c r="P286" i="2" s="1"/>
  <c r="A287" i="2" a="1"/>
  <c r="A287" i="2" s="1"/>
  <c r="B287" i="2" a="1"/>
  <c r="B287" i="2" s="1"/>
  <c r="E287" i="2" a="1"/>
  <c r="E287" i="2" s="1"/>
  <c r="H287" i="2" a="1"/>
  <c r="H287" i="2" s="1"/>
  <c r="K287" i="2" a="1"/>
  <c r="K287" i="2" s="1"/>
  <c r="A288" i="2" a="1"/>
  <c r="A288" i="2" s="1"/>
  <c r="B288" i="2" a="1"/>
  <c r="B288" i="2" s="1"/>
  <c r="C288" i="2" a="1"/>
  <c r="C288" i="2" s="1"/>
  <c r="E288" i="2" a="1"/>
  <c r="E288" i="2" s="1"/>
  <c r="F288" i="2" a="1"/>
  <c r="F288" i="2" s="1"/>
  <c r="G288" i="2" a="1"/>
  <c r="G288" i="2" s="1"/>
  <c r="J288" i="2" a="1"/>
  <c r="J288" i="2" s="1"/>
  <c r="M288" i="2" a="1"/>
  <c r="M288" i="2" s="1"/>
  <c r="N288" i="2" a="1"/>
  <c r="N288" i="2" s="1"/>
  <c r="P288" i="2" a="1"/>
  <c r="P288" i="2" s="1"/>
  <c r="E289" i="2" a="1"/>
  <c r="E289" i="2" s="1"/>
  <c r="G289" i="2" a="1"/>
  <c r="G289" i="2" s="1"/>
  <c r="K289" i="2" a="1"/>
  <c r="K289" i="2" s="1"/>
  <c r="P289" i="2" a="1"/>
  <c r="P289" i="2" s="1"/>
  <c r="Q289" i="2" a="1"/>
  <c r="Q289" i="2" s="1"/>
  <c r="B290" i="2" a="1"/>
  <c r="B290" i="2" s="1"/>
  <c r="C290" i="2" a="1"/>
  <c r="C290" i="2" s="1"/>
  <c r="D290" i="2" a="1"/>
  <c r="D290" i="2" s="1"/>
  <c r="G290" i="2" a="1"/>
  <c r="G290" i="2" s="1"/>
  <c r="L290" i="2" a="1"/>
  <c r="L290" i="2" s="1"/>
  <c r="O290" i="2" a="1"/>
  <c r="O290" i="2" s="1"/>
  <c r="B291" i="2" a="1"/>
  <c r="B291" i="2" s="1"/>
  <c r="E291" i="2" a="1"/>
  <c r="E291" i="2" s="1"/>
  <c r="F291" i="2" a="1"/>
  <c r="F291" i="2" s="1"/>
  <c r="I291" i="2" a="1"/>
  <c r="I291" i="2" s="1"/>
  <c r="J291" i="2" a="1"/>
  <c r="J291" i="2" s="1"/>
  <c r="K291" i="2" a="1"/>
  <c r="K291" i="2" s="1"/>
  <c r="M291" i="2" a="1"/>
  <c r="M291" i="2" s="1"/>
  <c r="O291" i="2" a="1"/>
  <c r="O291" i="2" s="1"/>
  <c r="P291" i="2" a="1"/>
  <c r="P291" i="2" s="1"/>
  <c r="C292" i="2" a="1"/>
  <c r="C292" i="2" s="1"/>
  <c r="I292" i="2" a="1"/>
  <c r="I292" i="2" s="1"/>
  <c r="M292" i="2" a="1"/>
  <c r="M292" i="2" s="1"/>
  <c r="P292" i="2" a="1"/>
  <c r="P292" i="2" s="1"/>
  <c r="Q292" i="2" a="1"/>
  <c r="Q292" i="2" s="1"/>
  <c r="B293" i="2" a="1"/>
  <c r="B293" i="2" s="1"/>
  <c r="C293" i="2" a="1"/>
  <c r="C293" i="2" s="1"/>
  <c r="E293" i="2" a="1"/>
  <c r="E293" i="2" s="1"/>
  <c r="J293" i="2" a="1"/>
  <c r="J293" i="2" s="1"/>
  <c r="O293" i="2" a="1"/>
  <c r="O293" i="2" s="1"/>
  <c r="P293" i="2" a="1"/>
  <c r="P293" i="2" s="1"/>
  <c r="B294" i="2" a="1"/>
  <c r="B294" i="2" s="1"/>
  <c r="C294" i="2" a="1"/>
  <c r="C294" i="2" s="1"/>
  <c r="I294" i="2" a="1"/>
  <c r="I294" i="2" s="1"/>
  <c r="J294" i="2" a="1"/>
  <c r="J294" i="2" s="1"/>
  <c r="L294" i="2" a="1"/>
  <c r="L294" i="2" s="1"/>
  <c r="Q294" i="2" a="1"/>
  <c r="Q294" i="2" s="1"/>
  <c r="A295" i="2" a="1"/>
  <c r="A295" i="2" s="1"/>
  <c r="C295" i="2" a="1"/>
  <c r="C295" i="2" s="1"/>
  <c r="E295" i="2" a="1"/>
  <c r="E295" i="2" s="1"/>
  <c r="G295" i="2" a="1"/>
  <c r="G295" i="2" s="1"/>
  <c r="A296" i="2" a="1"/>
  <c r="A296" i="2" s="1"/>
  <c r="C296" i="2" a="1"/>
  <c r="C296" i="2" s="1"/>
  <c r="D296" i="2" a="1"/>
  <c r="D296" i="2" s="1"/>
  <c r="E296" i="2" a="1"/>
  <c r="E296" i="2" s="1"/>
  <c r="G296" i="2" a="1"/>
  <c r="G296" i="2" s="1"/>
  <c r="K296" i="2" a="1"/>
  <c r="K296" i="2" s="1"/>
  <c r="L296" i="2" a="1"/>
  <c r="L296" i="2" s="1"/>
  <c r="P296" i="2" a="1"/>
  <c r="P296" i="2" s="1"/>
  <c r="M377" i="2" a="1"/>
  <c r="M377" i="2" s="1"/>
  <c r="O377" i="2" a="1"/>
  <c r="O377" i="2" s="1"/>
  <c r="A378" i="2" a="1"/>
  <c r="A378" i="2" s="1"/>
  <c r="C378" i="2" a="1"/>
  <c r="C378" i="2" s="1"/>
  <c r="E378" i="2" a="1"/>
  <c r="E378" i="2" s="1"/>
  <c r="G378" i="2" a="1"/>
  <c r="G378" i="2" s="1"/>
  <c r="H378" i="2" a="1"/>
  <c r="H378" i="2" s="1"/>
  <c r="J378" i="2" a="1"/>
  <c r="J378" i="2" s="1"/>
  <c r="L378" i="2" a="1"/>
  <c r="L378" i="2" s="1"/>
  <c r="M378" i="2" a="1"/>
  <c r="M378" i="2" s="1"/>
  <c r="N378" i="2" a="1"/>
  <c r="N378" i="2" s="1"/>
  <c r="O378" i="2" a="1"/>
  <c r="O378" i="2" s="1"/>
  <c r="P378" i="2" a="1"/>
  <c r="P378" i="2" s="1"/>
  <c r="Q378" i="2" a="1"/>
  <c r="Q378" i="2" s="1"/>
  <c r="A379" i="2" a="1"/>
  <c r="A379" i="2" s="1"/>
  <c r="C379" i="2" a="1"/>
  <c r="C379" i="2" s="1"/>
  <c r="D379" i="2" a="1"/>
  <c r="D379" i="2" s="1"/>
  <c r="F379" i="2" a="1"/>
  <c r="F379" i="2" s="1"/>
  <c r="I379" i="2" a="1"/>
  <c r="I379" i="2" s="1"/>
  <c r="J379" i="2" a="1"/>
  <c r="J379" i="2" s="1"/>
  <c r="L379" i="2" a="1"/>
  <c r="L379" i="2" s="1"/>
  <c r="M379" i="2" a="1"/>
  <c r="M379" i="2" s="1"/>
  <c r="N379" i="2" a="1"/>
  <c r="N379" i="2" s="1"/>
  <c r="A380" i="2" a="1"/>
  <c r="A380" i="2" s="1"/>
  <c r="H380" i="2" a="1"/>
  <c r="H380" i="2" s="1"/>
  <c r="I380" i="2" a="1"/>
  <c r="I380" i="2" s="1"/>
  <c r="J380" i="2" a="1"/>
  <c r="J380" i="2" s="1"/>
  <c r="L380" i="2" a="1"/>
  <c r="L380" i="2" s="1"/>
  <c r="A381" i="2" a="1"/>
  <c r="A381" i="2" s="1"/>
  <c r="F381" i="2" a="1"/>
  <c r="F381" i="2" s="1"/>
  <c r="H381" i="2" a="1"/>
  <c r="H381" i="2" s="1"/>
  <c r="L381" i="2" a="1"/>
  <c r="L381" i="2" s="1"/>
  <c r="N381" i="2" a="1"/>
  <c r="N381" i="2" s="1"/>
  <c r="O381" i="2" a="1"/>
  <c r="O381" i="2" s="1"/>
  <c r="Q381" i="2" a="1"/>
  <c r="Q381" i="2" s="1"/>
  <c r="C382" i="2" a="1"/>
  <c r="C382" i="2" s="1"/>
  <c r="I382" i="2" a="1"/>
  <c r="I382" i="2" s="1"/>
  <c r="J382" i="2" a="1"/>
  <c r="J382" i="2" s="1"/>
  <c r="K382" i="2" a="1"/>
  <c r="K382" i="2" s="1"/>
  <c r="L382" i="2" a="1"/>
  <c r="L382" i="2" s="1"/>
  <c r="N382" i="2" a="1"/>
  <c r="N382" i="2" s="1"/>
  <c r="C383" i="2" a="1"/>
  <c r="C383" i="2" s="1"/>
  <c r="D383" i="2" a="1"/>
  <c r="D383" i="2" s="1"/>
  <c r="H383" i="2" a="1"/>
  <c r="H383" i="2" s="1"/>
  <c r="K383" i="2" a="1"/>
  <c r="K383" i="2" s="1"/>
  <c r="N383" i="2" a="1"/>
  <c r="N383" i="2" s="1"/>
  <c r="P383" i="2" a="1"/>
  <c r="P383" i="2" s="1"/>
  <c r="F384" i="2" a="1"/>
  <c r="F384" i="2" s="1"/>
  <c r="G384" i="2" a="1"/>
  <c r="G384" i="2" s="1"/>
  <c r="J384" i="2" a="1"/>
  <c r="J384" i="2" s="1"/>
  <c r="M384" i="2" a="1"/>
  <c r="M384" i="2" s="1"/>
  <c r="N384" i="2" a="1"/>
  <c r="N384" i="2" s="1"/>
  <c r="A385" i="2" a="1"/>
  <c r="A385" i="2" s="1"/>
  <c r="B385" i="2" a="1"/>
  <c r="B385" i="2" s="1"/>
  <c r="E385" i="2" a="1"/>
  <c r="E385" i="2" s="1"/>
  <c r="G385" i="2" a="1"/>
  <c r="G385" i="2" s="1"/>
  <c r="I385" i="2" a="1"/>
  <c r="I385" i="2" s="1"/>
  <c r="K385" i="2" a="1"/>
  <c r="K385" i="2" s="1"/>
  <c r="L385" i="2" a="1"/>
  <c r="L385" i="2" s="1"/>
  <c r="M385" i="2" a="1"/>
  <c r="M385" i="2" s="1"/>
  <c r="C386" i="2" a="1"/>
  <c r="C386" i="2" s="1"/>
  <c r="G386" i="2" a="1"/>
  <c r="G386" i="2" s="1"/>
  <c r="H386" i="2" a="1"/>
  <c r="H386" i="2" s="1"/>
  <c r="K386" i="2" a="1"/>
  <c r="K386" i="2" s="1"/>
  <c r="L386" i="2" a="1"/>
  <c r="L386" i="2" s="1"/>
  <c r="P386" i="2" a="1"/>
  <c r="P386" i="2" s="1"/>
  <c r="I387" i="2" a="1"/>
  <c r="I387" i="2" s="1"/>
  <c r="J387" i="2" a="1"/>
  <c r="J387" i="2" s="1"/>
  <c r="M387" i="2" a="1"/>
  <c r="M387" i="2" s="1"/>
  <c r="N387" i="2" a="1"/>
  <c r="N387" i="2" s="1"/>
  <c r="A388" i="2" a="1"/>
  <c r="A388" i="2" s="1"/>
  <c r="B388" i="2" a="1"/>
  <c r="B388" i="2" s="1"/>
  <c r="D388" i="2" a="1"/>
  <c r="D388" i="2" s="1"/>
  <c r="H388" i="2" a="1"/>
  <c r="H388" i="2" s="1"/>
  <c r="J388" i="2" a="1"/>
  <c r="J388" i="2" s="1"/>
  <c r="L388" i="2" a="1"/>
  <c r="L388" i="2" s="1"/>
  <c r="M388" i="2" a="1"/>
  <c r="M388" i="2" s="1"/>
  <c r="O388" i="2" a="1"/>
  <c r="O388" i="2" s="1"/>
  <c r="A389" i="2" a="1"/>
  <c r="A389" i="2" s="1"/>
  <c r="C389" i="2" a="1"/>
  <c r="C389" i="2" s="1"/>
  <c r="D389" i="2" a="1"/>
  <c r="D389" i="2" s="1"/>
  <c r="G389" i="2" a="1"/>
  <c r="G389" i="2" s="1"/>
  <c r="J389" i="2" a="1"/>
  <c r="J389" i="2" s="1"/>
  <c r="L389" i="2" a="1"/>
  <c r="L389" i="2" s="1"/>
  <c r="A390" i="2" a="1"/>
  <c r="A390" i="2" s="1"/>
  <c r="B390" i="2" a="1"/>
  <c r="B390" i="2" s="1"/>
  <c r="E390" i="2" a="1"/>
  <c r="E390" i="2" s="1"/>
  <c r="K390" i="2" a="1"/>
  <c r="K390" i="2" s="1"/>
  <c r="M390" i="2" a="1"/>
  <c r="M390" i="2" s="1"/>
  <c r="O390" i="2" a="1"/>
  <c r="O390" i="2" s="1"/>
  <c r="Q390" i="2" a="1"/>
  <c r="Q390" i="2" s="1"/>
  <c r="A391" i="2" a="1"/>
  <c r="A391" i="2" s="1"/>
  <c r="B391" i="2" a="1"/>
  <c r="B391" i="2" s="1"/>
  <c r="F391" i="2" a="1"/>
  <c r="F391" i="2" s="1"/>
  <c r="G391" i="2" a="1"/>
  <c r="G391" i="2" s="1"/>
  <c r="K391" i="2" a="1"/>
  <c r="K391" i="2" s="1"/>
  <c r="C392" i="2" a="1"/>
  <c r="C392" i="2" s="1"/>
  <c r="I392" i="2" a="1"/>
  <c r="I392" i="2" s="1"/>
  <c r="P392" i="2" a="1"/>
  <c r="P392" i="2" s="1"/>
  <c r="B393" i="2" a="1"/>
  <c r="B393" i="2" s="1"/>
  <c r="D393" i="2" a="1"/>
  <c r="D393" i="2" s="1"/>
  <c r="H393" i="2" a="1"/>
  <c r="H393" i="2" s="1"/>
  <c r="K393" i="2" a="1"/>
  <c r="K393" i="2" s="1"/>
  <c r="L393" i="2" a="1"/>
  <c r="L393" i="2" s="1"/>
  <c r="M393" i="2" a="1"/>
  <c r="M393" i="2" s="1"/>
  <c r="P393" i="2" a="1"/>
  <c r="P393" i="2" s="1"/>
  <c r="B394" i="2" a="1"/>
  <c r="B394" i="2" s="1"/>
  <c r="J394" i="2" a="1"/>
  <c r="J394" i="2" s="1"/>
  <c r="O394" i="2" a="1"/>
  <c r="O394" i="2" s="1"/>
  <c r="P394" i="2" a="1"/>
  <c r="P394" i="2" s="1"/>
  <c r="C395" i="2" a="1"/>
  <c r="C395" i="2" s="1"/>
  <c r="E395" i="2" a="1"/>
  <c r="E395" i="2" s="1"/>
  <c r="F395" i="2" a="1"/>
  <c r="F395" i="2" s="1"/>
  <c r="M395" i="2" a="1"/>
  <c r="M395" i="2" s="1"/>
  <c r="P395" i="2" a="1"/>
  <c r="P395" i="2" s="1"/>
  <c r="A396" i="2" a="1"/>
  <c r="A396" i="2" s="1"/>
  <c r="C396" i="2" a="1"/>
  <c r="C396" i="2" s="1"/>
  <c r="H396" i="2" a="1"/>
  <c r="H396" i="2" s="1"/>
  <c r="O396" i="2" a="1"/>
  <c r="O396" i="2" s="1"/>
  <c r="D397" i="2" a="1"/>
  <c r="D397" i="2" s="1"/>
  <c r="H397" i="2" a="1"/>
  <c r="H397" i="2" s="1"/>
  <c r="K397" i="2" a="1"/>
  <c r="K397" i="2" s="1"/>
  <c r="M397" i="2" a="1"/>
  <c r="M397" i="2" s="1"/>
  <c r="N397" i="2" a="1"/>
  <c r="N397" i="2" s="1"/>
  <c r="P397" i="2" a="1"/>
  <c r="P397" i="2" s="1"/>
  <c r="Q397" i="2" a="1"/>
  <c r="Q397" i="2" s="1"/>
  <c r="C398" i="2" a="1"/>
  <c r="C398" i="2" s="1"/>
  <c r="G398" i="2" a="1"/>
  <c r="G398" i="2" s="1"/>
  <c r="M398" i="2" a="1"/>
  <c r="M398" i="2" s="1"/>
  <c r="N398" i="2" a="1"/>
  <c r="N398" i="2" s="1"/>
  <c r="Q398" i="2" a="1"/>
  <c r="Q398" i="2" s="1"/>
  <c r="B399" i="2" a="1"/>
  <c r="B399" i="2" s="1"/>
  <c r="F399" i="2" a="1"/>
  <c r="F399" i="2" s="1"/>
  <c r="J399" i="2" a="1"/>
  <c r="J399" i="2" s="1"/>
  <c r="L399" i="2" a="1"/>
  <c r="L399" i="2" s="1"/>
  <c r="M399" i="2" a="1"/>
  <c r="M399" i="2" s="1"/>
  <c r="N399" i="2" a="1"/>
  <c r="N399" i="2" s="1"/>
  <c r="O399" i="2" a="1"/>
  <c r="O399" i="2" s="1"/>
  <c r="P399" i="2" a="1"/>
  <c r="P399" i="2" s="1"/>
  <c r="B400" i="2" a="1"/>
  <c r="B400" i="2" s="1"/>
  <c r="C400" i="2" a="1"/>
  <c r="C400" i="2" s="1"/>
  <c r="D400" i="2" a="1"/>
  <c r="D400" i="2" s="1"/>
  <c r="J400" i="2" a="1"/>
  <c r="J400" i="2" s="1"/>
  <c r="M400" i="2" a="1"/>
  <c r="M400" i="2" s="1"/>
  <c r="N400" i="2" a="1"/>
  <c r="N400" i="2" s="1"/>
  <c r="B401" i="2" a="1"/>
  <c r="B401" i="2" s="1"/>
  <c r="H401" i="2" a="1"/>
  <c r="H401" i="2" s="1"/>
  <c r="J401" i="2" a="1"/>
  <c r="J401" i="2" s="1"/>
  <c r="K401" i="2" a="1"/>
  <c r="K401" i="2" s="1"/>
  <c r="O401" i="2" a="1"/>
  <c r="O401" i="2" s="1"/>
  <c r="P401" i="2" a="1"/>
  <c r="P401" i="2" s="1"/>
  <c r="E402" i="2" a="1"/>
  <c r="E402" i="2" s="1"/>
  <c r="G402" i="2" a="1"/>
  <c r="G402" i="2" s="1"/>
  <c r="I402" i="2" a="1"/>
  <c r="I402" i="2" s="1"/>
  <c r="P402" i="2" a="1"/>
  <c r="P402" i="2" s="1"/>
  <c r="Q402" i="2" a="1"/>
  <c r="Q402" i="2" s="1"/>
  <c r="E403" i="2" a="1"/>
  <c r="E403" i="2" s="1"/>
  <c r="K403" i="2" a="1"/>
  <c r="K403" i="2" s="1"/>
  <c r="M403" i="2" a="1"/>
  <c r="M403" i="2" s="1"/>
  <c r="N403" i="2" a="1"/>
  <c r="N403" i="2" s="1"/>
  <c r="C404" i="2" a="1"/>
  <c r="C404" i="2" s="1"/>
  <c r="E404" i="2" a="1"/>
  <c r="E404" i="2" s="1"/>
  <c r="F404" i="2" a="1"/>
  <c r="F404" i="2" s="1"/>
  <c r="J404" i="2" a="1"/>
  <c r="J404" i="2" s="1"/>
  <c r="M404" i="2" a="1"/>
  <c r="M404" i="2" s="1"/>
  <c r="Q404" i="2" a="1"/>
  <c r="Q404" i="2" s="1"/>
  <c r="B405" i="2" a="1"/>
  <c r="B405" i="2" s="1"/>
  <c r="D405" i="2" a="1"/>
  <c r="D405" i="2" s="1"/>
  <c r="G405" i="2" a="1"/>
  <c r="G405" i="2" s="1"/>
  <c r="H405" i="2" a="1"/>
  <c r="H405" i="2" s="1"/>
  <c r="L405" i="2" a="1"/>
  <c r="L405" i="2" s="1"/>
  <c r="M405" i="2" a="1"/>
  <c r="M405" i="2" s="1"/>
  <c r="O405" i="2" a="1"/>
  <c r="O405" i="2" s="1"/>
  <c r="K406" i="2" a="1"/>
  <c r="K406" i="2" s="1"/>
  <c r="M406" i="2" a="1"/>
  <c r="M406" i="2" s="1"/>
  <c r="O406" i="2" a="1"/>
  <c r="O406" i="2" s="1"/>
  <c r="A407" i="2" a="1"/>
  <c r="A407" i="2" s="1"/>
  <c r="D407" i="2" a="1"/>
  <c r="D407" i="2" s="1"/>
  <c r="F407" i="2" a="1"/>
  <c r="F407" i="2" s="1"/>
  <c r="G407" i="2" a="1"/>
  <c r="G407" i="2" s="1"/>
  <c r="H407" i="2" a="1"/>
  <c r="H407" i="2" s="1"/>
  <c r="L407" i="2" a="1"/>
  <c r="L407" i="2" s="1"/>
  <c r="O407" i="2" a="1"/>
  <c r="O407" i="2" s="1"/>
  <c r="Q407" i="2" a="1"/>
  <c r="Q407" i="2" s="1"/>
  <c r="H408" i="2" a="1"/>
  <c r="H408" i="2" s="1"/>
  <c r="J408" i="2" a="1"/>
  <c r="J408" i="2" s="1"/>
  <c r="K408" i="2" a="1"/>
  <c r="K408" i="2" s="1"/>
  <c r="L408" i="2" a="1"/>
  <c r="L408" i="2" s="1"/>
  <c r="N408" i="2" a="1"/>
  <c r="N408" i="2" s="1"/>
  <c r="O408" i="2" a="1"/>
  <c r="O408" i="2" s="1"/>
  <c r="P408" i="2" a="1"/>
  <c r="P408" i="2" s="1"/>
  <c r="C409" i="2" a="1"/>
  <c r="C409" i="2" s="1"/>
  <c r="D409" i="2" a="1"/>
  <c r="D409" i="2" s="1"/>
  <c r="E409" i="2" a="1"/>
  <c r="E409" i="2" s="1"/>
  <c r="G409" i="2" a="1"/>
  <c r="G409" i="2" s="1"/>
  <c r="J409" i="2" a="1"/>
  <c r="J409" i="2" s="1"/>
  <c r="N409" i="2" a="1"/>
  <c r="N409" i="2" s="1"/>
  <c r="O409" i="2" a="1"/>
  <c r="O409" i="2" s="1"/>
  <c r="P409" i="2" a="1"/>
  <c r="P409" i="2" s="1"/>
  <c r="A410" i="2" a="1"/>
  <c r="A410" i="2" s="1"/>
  <c r="B410" i="2" a="1"/>
  <c r="B410" i="2" s="1"/>
  <c r="C410" i="2" a="1"/>
  <c r="C410" i="2" s="1"/>
  <c r="E410" i="2" a="1"/>
  <c r="E410" i="2" s="1"/>
  <c r="J410" i="2" a="1"/>
  <c r="J410" i="2" s="1"/>
  <c r="M410" i="2" a="1"/>
  <c r="M410" i="2" s="1"/>
  <c r="O410" i="2" a="1"/>
  <c r="O410" i="2" s="1"/>
  <c r="P410" i="2" a="1"/>
  <c r="P410" i="2" s="1"/>
  <c r="A411" i="2" a="1"/>
  <c r="A411" i="2" s="1"/>
  <c r="H411" i="2" a="1"/>
  <c r="H411" i="2" s="1"/>
  <c r="N411" i="2" a="1"/>
  <c r="N411" i="2" s="1"/>
  <c r="Q411" i="2" a="1"/>
  <c r="Q411" i="2" s="1"/>
  <c r="A412" i="2" a="1"/>
  <c r="A412" i="2" s="1"/>
  <c r="B412" i="2" a="1"/>
  <c r="B412" i="2" s="1"/>
  <c r="E412" i="2" a="1"/>
  <c r="E412" i="2" s="1"/>
  <c r="F412" i="2" a="1"/>
  <c r="F412" i="2" s="1"/>
  <c r="L412" i="2" a="1"/>
  <c r="L412" i="2" s="1"/>
  <c r="M412" i="2" a="1"/>
  <c r="M412" i="2" s="1"/>
  <c r="N412" i="2" a="1"/>
  <c r="N412" i="2" s="1"/>
  <c r="P412" i="2" a="1"/>
  <c r="P412" i="2" s="1"/>
  <c r="F413" i="2" a="1"/>
  <c r="F413" i="2" s="1"/>
  <c r="I413" i="2" a="1"/>
  <c r="I413" i="2" s="1"/>
  <c r="L413" i="2" a="1"/>
  <c r="L413" i="2" s="1"/>
  <c r="A414" i="2" a="1"/>
  <c r="A414" i="2" s="1"/>
  <c r="C414" i="2" a="1"/>
  <c r="C414" i="2" s="1"/>
  <c r="F414" i="2" a="1"/>
  <c r="F414" i="2" s="1"/>
  <c r="H414" i="2" a="1"/>
  <c r="H414" i="2" s="1"/>
  <c r="J414" i="2" a="1"/>
  <c r="J414" i="2" s="1"/>
  <c r="K414" i="2" a="1"/>
  <c r="K414" i="2" s="1"/>
  <c r="L414" i="2" a="1"/>
  <c r="L414" i="2" s="1"/>
  <c r="C415" i="2" a="1"/>
  <c r="C415" i="2" s="1"/>
  <c r="D415" i="2" a="1"/>
  <c r="D415" i="2" s="1"/>
  <c r="F415" i="2" a="1"/>
  <c r="F415" i="2" s="1"/>
  <c r="H415" i="2" a="1"/>
  <c r="H415" i="2" s="1"/>
  <c r="K415" i="2" a="1"/>
  <c r="K415" i="2" s="1"/>
  <c r="M415" i="2" a="1"/>
  <c r="M415" i="2" s="1"/>
  <c r="O415" i="2" a="1"/>
  <c r="O415" i="2" s="1"/>
  <c r="D416" i="2" a="1"/>
  <c r="D416" i="2" s="1"/>
  <c r="I416" i="2" a="1"/>
  <c r="I416" i="2" s="1"/>
  <c r="K416" i="2" a="1"/>
  <c r="K416" i="2" s="1"/>
  <c r="M416" i="2" a="1"/>
  <c r="M416" i="2" s="1"/>
  <c r="N416" i="2" a="1"/>
  <c r="N416" i="2" s="1"/>
  <c r="P416" i="2" a="1"/>
  <c r="P416" i="2" s="1"/>
  <c r="E417" i="2" a="1"/>
  <c r="E417" i="2" s="1"/>
  <c r="J417" i="2" a="1"/>
  <c r="J417" i="2" s="1"/>
  <c r="M417" i="2" a="1"/>
  <c r="M417" i="2" s="1"/>
  <c r="J418" i="2" a="1"/>
  <c r="J418" i="2" s="1"/>
  <c r="L418" i="2" a="1"/>
  <c r="L418" i="2" s="1"/>
  <c r="M418" i="2" a="1"/>
  <c r="M418" i="2" s="1"/>
  <c r="P418" i="2" a="1"/>
  <c r="P418" i="2" s="1"/>
  <c r="H419" i="2" a="1"/>
  <c r="H419" i="2" s="1"/>
  <c r="M419" i="2" a="1"/>
  <c r="M419" i="2" s="1"/>
  <c r="A420" i="2" a="1"/>
  <c r="A420" i="2" s="1"/>
  <c r="B420" i="2" a="1"/>
  <c r="B420" i="2" s="1"/>
  <c r="E420" i="2" a="1"/>
  <c r="E420" i="2" s="1"/>
  <c r="L420" i="2" a="1"/>
  <c r="L420" i="2" s="1"/>
  <c r="O420" i="2" a="1"/>
  <c r="O420" i="2" s="1"/>
  <c r="P420" i="2" a="1"/>
  <c r="P420" i="2" s="1"/>
  <c r="Q420" i="2" a="1"/>
  <c r="Q420" i="2" s="1"/>
  <c r="C421" i="2" a="1"/>
  <c r="C421" i="2" s="1"/>
  <c r="D421" i="2" a="1"/>
  <c r="D421" i="2" s="1"/>
  <c r="F421" i="2" a="1"/>
  <c r="F421" i="2" s="1"/>
  <c r="H421" i="2" a="1"/>
  <c r="H421" i="2" s="1"/>
  <c r="I421" i="2" a="1"/>
  <c r="I421" i="2" s="1"/>
  <c r="Q421" i="2" a="1"/>
  <c r="Q421" i="2" s="1"/>
  <c r="A422" i="2" a="1"/>
  <c r="A422" i="2" s="1"/>
  <c r="C422" i="2" a="1"/>
  <c r="C422" i="2" s="1"/>
  <c r="D422" i="2" a="1"/>
  <c r="D422" i="2" s="1"/>
  <c r="E422" i="2" a="1"/>
  <c r="E422" i="2" s="1"/>
  <c r="F422" i="2" a="1"/>
  <c r="F422" i="2" s="1"/>
  <c r="J422" i="2" a="1"/>
  <c r="J422" i="2" s="1"/>
  <c r="K422" i="2" a="1"/>
  <c r="K422" i="2" s="1"/>
  <c r="L422" i="2" a="1"/>
  <c r="L422" i="2" s="1"/>
  <c r="N422" i="2" a="1"/>
  <c r="N422" i="2" s="1"/>
  <c r="Q422" i="2" a="1"/>
  <c r="Q422" i="2" s="1"/>
  <c r="B423" i="2" a="1"/>
  <c r="B423" i="2" s="1"/>
  <c r="D423" i="2" a="1"/>
  <c r="D423" i="2" s="1"/>
  <c r="H423" i="2" a="1"/>
  <c r="H423" i="2" s="1"/>
  <c r="N423" i="2" a="1"/>
  <c r="N423" i="2" s="1"/>
  <c r="C424" i="2" a="1"/>
  <c r="C424" i="2" s="1"/>
  <c r="F424" i="2" a="1"/>
  <c r="F424" i="2" s="1"/>
  <c r="J424" i="2" a="1"/>
  <c r="J424" i="2" s="1"/>
  <c r="A425" i="2" a="1"/>
  <c r="A425" i="2" s="1"/>
  <c r="B425" i="2" a="1"/>
  <c r="B425" i="2" s="1"/>
  <c r="E425" i="2" a="1"/>
  <c r="E425" i="2" s="1"/>
  <c r="F425" i="2" a="1"/>
  <c r="F425" i="2" s="1"/>
  <c r="G425" i="2" a="1"/>
  <c r="G425" i="2" s="1"/>
  <c r="J425" i="2" a="1"/>
  <c r="J425" i="2" s="1"/>
  <c r="L425" i="2" a="1"/>
  <c r="L425" i="2" s="1"/>
  <c r="N425" i="2" a="1"/>
  <c r="N425" i="2" s="1"/>
  <c r="B426" i="2" a="1"/>
  <c r="B426" i="2" s="1"/>
  <c r="E426" i="2" a="1"/>
  <c r="E426" i="2" s="1"/>
  <c r="G426" i="2" a="1"/>
  <c r="G426" i="2" s="1"/>
  <c r="L426" i="2" a="1"/>
  <c r="L426" i="2" s="1"/>
  <c r="O426" i="2" a="1"/>
  <c r="O426" i="2" s="1"/>
  <c r="Q426" i="2" a="1"/>
  <c r="Q426" i="2" s="1"/>
  <c r="A427" i="2" a="1"/>
  <c r="A427" i="2" s="1"/>
  <c r="B427" i="2" a="1"/>
  <c r="B427" i="2" s="1"/>
  <c r="E427" i="2" a="1"/>
  <c r="E427" i="2" s="1"/>
  <c r="G427" i="2" a="1"/>
  <c r="G427" i="2" s="1"/>
  <c r="H427" i="2" a="1"/>
  <c r="H427" i="2" s="1"/>
  <c r="N427" i="2" a="1"/>
  <c r="N427" i="2" s="1"/>
  <c r="Q427" i="2" a="1"/>
  <c r="Q427" i="2" s="1"/>
  <c r="B428" i="2" a="1"/>
  <c r="B428" i="2" s="1"/>
  <c r="D428" i="2" a="1"/>
  <c r="D428" i="2" s="1"/>
  <c r="H428" i="2" a="1"/>
  <c r="H428" i="2" s="1"/>
  <c r="J428" i="2" a="1"/>
  <c r="J428" i="2" s="1"/>
  <c r="M428" i="2" a="1"/>
  <c r="M428" i="2" s="1"/>
  <c r="N428" i="2" a="1"/>
  <c r="N428" i="2" s="1"/>
  <c r="O428" i="2" a="1"/>
  <c r="O428" i="2" s="1"/>
  <c r="P428" i="2" a="1"/>
  <c r="P428" i="2" s="1"/>
  <c r="C429" i="2" a="1"/>
  <c r="C429" i="2" s="1"/>
  <c r="D429" i="2" a="1"/>
  <c r="D429" i="2" s="1"/>
  <c r="E429" i="2" a="1"/>
  <c r="E429" i="2" s="1"/>
  <c r="J429" i="2" a="1"/>
  <c r="J429" i="2" s="1"/>
  <c r="M429" i="2" a="1"/>
  <c r="M429" i="2" s="1"/>
  <c r="O429" i="2" a="1"/>
  <c r="O429" i="2" s="1"/>
  <c r="E430" i="2" a="1"/>
  <c r="E430" i="2" s="1"/>
  <c r="G430" i="2" a="1"/>
  <c r="G430" i="2" s="1"/>
  <c r="J430" i="2" a="1"/>
  <c r="J430" i="2" s="1"/>
  <c r="K430" i="2" a="1"/>
  <c r="K430" i="2" s="1"/>
  <c r="L430" i="2" a="1"/>
  <c r="L430" i="2" s="1"/>
  <c r="O430" i="2" a="1"/>
  <c r="O430" i="2" s="1"/>
  <c r="Q430" i="2" a="1"/>
  <c r="Q430" i="2" s="1"/>
  <c r="D431" i="2" a="1"/>
  <c r="D431" i="2" s="1"/>
  <c r="E431" i="2" a="1"/>
  <c r="E431" i="2" s="1"/>
  <c r="G431" i="2" a="1"/>
  <c r="G431" i="2" s="1"/>
  <c r="H431" i="2" a="1"/>
  <c r="H431" i="2" s="1"/>
  <c r="J431" i="2" a="1"/>
  <c r="J431" i="2" s="1"/>
  <c r="K431" i="2" a="1"/>
  <c r="K431" i="2" s="1"/>
  <c r="M431" i="2" a="1"/>
  <c r="M431" i="2" s="1"/>
  <c r="P431" i="2" a="1"/>
  <c r="P431" i="2" s="1"/>
  <c r="D432" i="2" a="1"/>
  <c r="D432" i="2" s="1"/>
  <c r="G432" i="2" a="1"/>
  <c r="G432" i="2" s="1"/>
  <c r="M432" i="2" a="1"/>
  <c r="M432" i="2" s="1"/>
  <c r="N432" i="2" a="1"/>
  <c r="N432" i="2" s="1"/>
  <c r="J433" i="2" a="1"/>
  <c r="J433" i="2" s="1"/>
  <c r="K433" i="2" a="1"/>
  <c r="K433" i="2" s="1"/>
  <c r="L433" i="2" a="1"/>
  <c r="L433" i="2" s="1"/>
  <c r="A434" i="2" a="1"/>
  <c r="A434" i="2" s="1"/>
  <c r="C434" i="2" a="1"/>
  <c r="C434" i="2" s="1"/>
  <c r="E434" i="2" a="1"/>
  <c r="E434" i="2" s="1"/>
  <c r="L434" i="2" a="1"/>
  <c r="L434" i="2" s="1"/>
  <c r="Q434" i="2" a="1"/>
  <c r="Q434" i="2" s="1"/>
  <c r="A435" i="2" a="1"/>
  <c r="A435" i="2" s="1"/>
  <c r="B435" i="2" a="1"/>
  <c r="B435" i="2" s="1"/>
  <c r="D435" i="2" a="1"/>
  <c r="D435" i="2" s="1"/>
  <c r="F435" i="2" a="1"/>
  <c r="F435" i="2" s="1"/>
  <c r="H435" i="2" a="1"/>
  <c r="H435" i="2" s="1"/>
  <c r="K435" i="2" a="1"/>
  <c r="K435" i="2" s="1"/>
  <c r="P435" i="2" a="1"/>
  <c r="P435" i="2" s="1"/>
  <c r="Q435" i="2" a="1"/>
  <c r="Q435" i="2" s="1"/>
  <c r="A436" i="2" a="1"/>
  <c r="A436" i="2" s="1"/>
  <c r="H436" i="2" a="1"/>
  <c r="H436" i="2" s="1"/>
  <c r="L436" i="2" a="1"/>
  <c r="L436" i="2" s="1"/>
  <c r="O436" i="2" a="1"/>
  <c r="O436" i="2" s="1"/>
  <c r="P436" i="2" a="1"/>
  <c r="P436" i="2" s="1"/>
  <c r="Q436" i="2" a="1"/>
  <c r="Q436" i="2" s="1"/>
  <c r="F437" i="2" a="1"/>
  <c r="F437" i="2" s="1"/>
  <c r="H437" i="2" a="1"/>
  <c r="H437" i="2" s="1"/>
  <c r="J437" i="2" a="1"/>
  <c r="J437" i="2" s="1"/>
  <c r="L437" i="2" a="1"/>
  <c r="L437" i="2" s="1"/>
  <c r="M437" i="2" a="1"/>
  <c r="M437" i="2" s="1"/>
  <c r="P437" i="2" a="1"/>
  <c r="P437" i="2" s="1"/>
  <c r="B438" i="2" a="1"/>
  <c r="B438" i="2" s="1"/>
  <c r="E438" i="2" a="1"/>
  <c r="E438" i="2" s="1"/>
  <c r="F438" i="2" a="1"/>
  <c r="F438" i="2" s="1"/>
  <c r="G438" i="2" a="1"/>
  <c r="G438" i="2" s="1"/>
  <c r="H438" i="2" a="1"/>
  <c r="H438" i="2" s="1"/>
  <c r="O438" i="2" a="1"/>
  <c r="O438" i="2" s="1"/>
  <c r="P438" i="2" a="1"/>
  <c r="P438" i="2" s="1"/>
  <c r="A439" i="2" a="1"/>
  <c r="A439" i="2" s="1"/>
  <c r="C439" i="2" a="1"/>
  <c r="C439" i="2" s="1"/>
  <c r="E439" i="2" a="1"/>
  <c r="E439" i="2" s="1"/>
  <c r="J439" i="2" a="1"/>
  <c r="J439" i="2" s="1"/>
  <c r="L439" i="2" a="1"/>
  <c r="L439" i="2" s="1"/>
  <c r="O439" i="2" a="1"/>
  <c r="O439" i="2" s="1"/>
  <c r="Q439" i="2" a="1"/>
  <c r="Q439" i="2" s="1"/>
  <c r="A440" i="2" a="1"/>
  <c r="A440" i="2" s="1"/>
  <c r="E440" i="2" a="1"/>
  <c r="E440" i="2" s="1"/>
  <c r="F440" i="2" a="1"/>
  <c r="F440" i="2" s="1"/>
  <c r="H440" i="2" a="1"/>
  <c r="H440" i="2" s="1"/>
  <c r="C441" i="2" a="1"/>
  <c r="C441" i="2" s="1"/>
  <c r="H441" i="2" a="1"/>
  <c r="H441" i="2" s="1"/>
  <c r="I441" i="2" a="1"/>
  <c r="I441" i="2" s="1"/>
  <c r="M441" i="2" a="1"/>
  <c r="M441" i="2" s="1"/>
  <c r="A442" i="2" a="1"/>
  <c r="A442" i="2" s="1"/>
  <c r="B442" i="2" a="1"/>
  <c r="B442" i="2" s="1"/>
  <c r="E442" i="2" a="1"/>
  <c r="E442" i="2" s="1"/>
  <c r="H442" i="2" a="1"/>
  <c r="H442" i="2" s="1"/>
  <c r="I442" i="2" a="1"/>
  <c r="I442" i="2" s="1"/>
  <c r="L442" i="2" a="1"/>
  <c r="L442" i="2" s="1"/>
  <c r="N442" i="2" a="1"/>
  <c r="N442" i="2" s="1"/>
  <c r="B443" i="2" a="1"/>
  <c r="B443" i="2" s="1"/>
  <c r="G443" i="2" a="1"/>
  <c r="G443" i="2" s="1"/>
  <c r="K443" i="2" a="1"/>
  <c r="K443" i="2" s="1"/>
  <c r="A444" i="2" a="1"/>
  <c r="A444" i="2" s="1"/>
  <c r="B444" i="2" a="1"/>
  <c r="B444" i="2" s="1"/>
  <c r="D444" i="2" a="1"/>
  <c r="D444" i="2" s="1"/>
  <c r="F444" i="2" a="1"/>
  <c r="F444" i="2" s="1"/>
  <c r="I444" i="2" a="1"/>
  <c r="I444" i="2" s="1"/>
  <c r="J444" i="2" a="1"/>
  <c r="J444" i="2" s="1"/>
  <c r="N444" i="2" a="1"/>
  <c r="N444" i="2" s="1"/>
  <c r="O444" i="2" a="1"/>
  <c r="O444" i="2" s="1"/>
  <c r="B445" i="2" a="1"/>
  <c r="B445" i="2" s="1"/>
  <c r="C445" i="2" a="1"/>
  <c r="C445" i="2" s="1"/>
  <c r="D445" i="2" a="1"/>
  <c r="D445" i="2" s="1"/>
  <c r="F445" i="2" a="1"/>
  <c r="F445" i="2" s="1"/>
  <c r="I445" i="2" a="1"/>
  <c r="I445" i="2" s="1"/>
  <c r="K445" i="2" a="1"/>
  <c r="K445" i="2" s="1"/>
  <c r="L445" i="2" a="1"/>
  <c r="L445" i="2" s="1"/>
  <c r="N445" i="2" a="1"/>
  <c r="N445" i="2" s="1"/>
  <c r="O445" i="2" a="1"/>
  <c r="O445" i="2" s="1"/>
  <c r="A446" i="2" a="1"/>
  <c r="A446" i="2" s="1"/>
  <c r="C446" i="2" a="1"/>
  <c r="C446" i="2" s="1"/>
  <c r="K446" i="2" a="1"/>
  <c r="K446" i="2" s="1"/>
  <c r="L446" i="2" a="1"/>
  <c r="L446" i="2" s="1"/>
  <c r="P446" i="2" a="1"/>
  <c r="P446" i="2" s="1"/>
  <c r="Q446" i="2" a="1"/>
  <c r="Q446" i="2" s="1"/>
  <c r="B447" i="2" a="1"/>
  <c r="B447" i="2" s="1"/>
  <c r="D447" i="2" a="1"/>
  <c r="D447" i="2" s="1"/>
  <c r="I447" i="2" a="1"/>
  <c r="I447" i="2" s="1"/>
  <c r="J447" i="2" a="1"/>
  <c r="J447" i="2" s="1"/>
  <c r="M447" i="2" a="1"/>
  <c r="M447" i="2" s="1"/>
  <c r="N447" i="2" a="1"/>
  <c r="N447" i="2" s="1"/>
  <c r="O447" i="2" a="1"/>
  <c r="O447" i="2" s="1"/>
  <c r="A448" i="2" a="1"/>
  <c r="A448" i="2" s="1"/>
  <c r="C448" i="2" a="1"/>
  <c r="C448" i="2" s="1"/>
  <c r="D448" i="2" a="1"/>
  <c r="D448" i="2" s="1"/>
  <c r="E448" i="2" a="1"/>
  <c r="E448" i="2" s="1"/>
  <c r="J448" i="2" a="1"/>
  <c r="J448" i="2" s="1"/>
  <c r="K448" i="2" a="1"/>
  <c r="K448" i="2" s="1"/>
  <c r="O448" i="2" a="1"/>
  <c r="O448" i="2" s="1"/>
  <c r="P448" i="2" a="1"/>
  <c r="P448" i="2" s="1"/>
  <c r="Q448" i="2" a="1"/>
  <c r="Q448" i="2" s="1"/>
  <c r="B449" i="2" a="1"/>
  <c r="B449" i="2" s="1"/>
  <c r="E449" i="2" a="1"/>
  <c r="E449" i="2" s="1"/>
  <c r="G449" i="2" a="1"/>
  <c r="G449" i="2" s="1"/>
  <c r="I449" i="2" a="1"/>
  <c r="I449" i="2" s="1"/>
  <c r="J449" i="2" a="1"/>
  <c r="J449" i="2" s="1"/>
  <c r="M449" i="2" a="1"/>
  <c r="M449" i="2" s="1"/>
  <c r="G450" i="2" a="1"/>
  <c r="G450" i="2" s="1"/>
  <c r="H450" i="2" a="1"/>
  <c r="H450" i="2" s="1"/>
  <c r="M450" i="2" a="1"/>
  <c r="M450" i="2" s="1"/>
  <c r="O450" i="2" a="1"/>
  <c r="O450" i="2" s="1"/>
  <c r="E451" i="2" a="1"/>
  <c r="E451" i="2" s="1"/>
  <c r="F451" i="2" a="1"/>
  <c r="F451" i="2" s="1"/>
  <c r="G451" i="2" a="1"/>
  <c r="G451" i="2" s="1"/>
  <c r="H451" i="2" a="1"/>
  <c r="H451" i="2" s="1"/>
  <c r="L451" i="2" a="1"/>
  <c r="L451" i="2" s="1"/>
  <c r="M451" i="2" a="1"/>
  <c r="M451" i="2" s="1"/>
  <c r="O451" i="2" a="1"/>
  <c r="O451" i="2" s="1"/>
  <c r="C452" i="2" a="1"/>
  <c r="C452" i="2" s="1"/>
  <c r="J452" i="2" a="1"/>
  <c r="J452" i="2" s="1"/>
  <c r="M452" i="2" a="1"/>
  <c r="M452" i="2" s="1"/>
  <c r="N452" i="2" a="1"/>
  <c r="N452" i="2" s="1"/>
  <c r="Q452" i="2" a="1"/>
  <c r="Q452" i="2" s="1"/>
  <c r="B453" i="2" a="1"/>
  <c r="B453" i="2" s="1"/>
  <c r="E453" i="2" a="1"/>
  <c r="E453" i="2" s="1"/>
  <c r="L453" i="2" a="1"/>
  <c r="L453" i="2" s="1"/>
  <c r="M453" i="2" a="1"/>
  <c r="M453" i="2" s="1"/>
  <c r="A454" i="2" a="1"/>
  <c r="A454" i="2" s="1"/>
  <c r="B454" i="2" a="1"/>
  <c r="B454" i="2" s="1"/>
  <c r="D454" i="2" a="1"/>
  <c r="D454" i="2" s="1"/>
  <c r="F454" i="2" a="1"/>
  <c r="F454" i="2" s="1"/>
  <c r="I454" i="2" a="1"/>
  <c r="I454" i="2" s="1"/>
  <c r="J454" i="2" a="1"/>
  <c r="J454" i="2" s="1"/>
  <c r="K454" i="2" a="1"/>
  <c r="K454" i="2" s="1"/>
  <c r="L454" i="2" a="1"/>
  <c r="L454" i="2" s="1"/>
  <c r="O454" i="2" a="1"/>
  <c r="O454" i="2" s="1"/>
  <c r="E455" i="2" a="1"/>
  <c r="E455" i="2" s="1"/>
  <c r="L455" i="2" a="1"/>
  <c r="L455" i="2" s="1"/>
  <c r="M455" i="2" a="1"/>
  <c r="M455" i="2" s="1"/>
  <c r="N455" i="2" a="1"/>
  <c r="N455" i="2" s="1"/>
  <c r="Q455" i="2" a="1"/>
  <c r="Q455" i="2" s="1"/>
  <c r="A456" i="2" a="1"/>
  <c r="A456" i="2" s="1"/>
  <c r="C456" i="2" a="1"/>
  <c r="C456" i="2" s="1"/>
  <c r="G456" i="2" a="1"/>
  <c r="G456" i="2" s="1"/>
  <c r="J456" i="2" a="1"/>
  <c r="J456" i="2" s="1"/>
  <c r="K456" i="2" a="1"/>
  <c r="K456" i="2" s="1"/>
  <c r="L456" i="2" a="1"/>
  <c r="L456" i="2" s="1"/>
  <c r="P456" i="2" a="1"/>
  <c r="P456" i="2" s="1"/>
  <c r="I457" i="2" a="1"/>
  <c r="I457" i="2" s="1"/>
  <c r="N457" i="2" a="1"/>
  <c r="N457" i="2" s="1"/>
  <c r="B458" i="2" a="1"/>
  <c r="B458" i="2" s="1"/>
  <c r="D458" i="2" a="1"/>
  <c r="D458" i="2" s="1"/>
  <c r="F458" i="2" a="1"/>
  <c r="F458" i="2" s="1"/>
  <c r="H458" i="2" a="1"/>
  <c r="H458" i="2" s="1"/>
  <c r="I458" i="2" a="1"/>
  <c r="I458" i="2" s="1"/>
  <c r="J458" i="2" a="1"/>
  <c r="J458" i="2" s="1"/>
  <c r="L458" i="2" a="1"/>
  <c r="L458" i="2" s="1"/>
  <c r="E459" i="2" a="1"/>
  <c r="E459" i="2" s="1"/>
  <c r="F459" i="2" a="1"/>
  <c r="F459" i="2" s="1"/>
  <c r="I459" i="2" a="1"/>
  <c r="I459" i="2" s="1"/>
  <c r="J459" i="2" a="1"/>
  <c r="J459" i="2" s="1"/>
  <c r="N459" i="2" a="1"/>
  <c r="N459" i="2" s="1"/>
  <c r="Q459" i="2" a="1"/>
  <c r="Q459" i="2" s="1"/>
  <c r="B460" i="2" a="1"/>
  <c r="B460" i="2" s="1"/>
  <c r="H460" i="2" a="1"/>
  <c r="H460" i="2" s="1"/>
  <c r="J460" i="2" a="1"/>
  <c r="J460" i="2" s="1"/>
  <c r="L460" i="2" a="1"/>
  <c r="L460" i="2" s="1"/>
  <c r="P460" i="2" a="1"/>
  <c r="P460" i="2" s="1"/>
  <c r="E461" i="2" a="1"/>
  <c r="E461" i="2" s="1"/>
  <c r="H461" i="2" a="1"/>
  <c r="H461" i="2" s="1"/>
  <c r="I461" i="2" a="1"/>
  <c r="I461" i="2" s="1"/>
  <c r="M461" i="2" a="1"/>
  <c r="M461" i="2" s="1"/>
  <c r="O461" i="2" a="1"/>
  <c r="O461" i="2" s="1"/>
  <c r="P461" i="2" a="1"/>
  <c r="P461" i="2" s="1"/>
  <c r="H462" i="2" a="1"/>
  <c r="H462" i="2" s="1"/>
  <c r="J462" i="2" a="1"/>
  <c r="J462" i="2" s="1"/>
  <c r="K462" i="2" a="1"/>
  <c r="K462" i="2" s="1"/>
  <c r="L462" i="2" a="1"/>
  <c r="L462" i="2" s="1"/>
  <c r="M462" i="2" a="1"/>
  <c r="M462" i="2" s="1"/>
  <c r="N462" i="2" a="1"/>
  <c r="N462" i="2" s="1"/>
  <c r="O462" i="2" a="1"/>
  <c r="O462" i="2" s="1"/>
  <c r="P462" i="2" a="1"/>
  <c r="P462" i="2" s="1"/>
  <c r="A463" i="2" a="1"/>
  <c r="A463" i="2" s="1"/>
  <c r="C463" i="2" a="1"/>
  <c r="C463" i="2" s="1"/>
  <c r="D463" i="2" a="1"/>
  <c r="D463" i="2" s="1"/>
  <c r="J463" i="2" a="1"/>
  <c r="J463" i="2" s="1"/>
  <c r="L463" i="2" a="1"/>
  <c r="L463" i="2" s="1"/>
  <c r="A464" i="2" a="1"/>
  <c r="A464" i="2" s="1"/>
  <c r="E464" i="2" a="1"/>
  <c r="E464" i="2" s="1"/>
  <c r="H464" i="2" a="1"/>
  <c r="H464" i="2" s="1"/>
  <c r="J464" i="2" a="1"/>
  <c r="J464" i="2" s="1"/>
  <c r="L464" i="2" a="1"/>
  <c r="L464" i="2" s="1"/>
  <c r="Q464" i="2" a="1"/>
  <c r="Q464" i="2" s="1"/>
  <c r="A465" i="2" a="1"/>
  <c r="A465" i="2" s="1"/>
  <c r="E465" i="2" a="1"/>
  <c r="E465" i="2" s="1"/>
  <c r="G465" i="2" a="1"/>
  <c r="G465" i="2" s="1"/>
  <c r="I465" i="2" a="1"/>
  <c r="I465" i="2" s="1"/>
  <c r="J465" i="2" a="1"/>
  <c r="J465" i="2" s="1"/>
  <c r="K465" i="2" a="1"/>
  <c r="K465" i="2" s="1"/>
  <c r="L465" i="2" a="1"/>
  <c r="L465" i="2" s="1"/>
  <c r="A466" i="2" a="1"/>
  <c r="A466" i="2" s="1"/>
  <c r="B466" i="2" a="1"/>
  <c r="B466" i="2" s="1"/>
  <c r="H466" i="2" a="1"/>
  <c r="H466" i="2" s="1"/>
  <c r="M466" i="2" a="1"/>
  <c r="M466" i="2" s="1"/>
  <c r="F467" i="2" a="1"/>
  <c r="F467" i="2" s="1"/>
  <c r="H467" i="2" a="1"/>
  <c r="H467" i="2" s="1"/>
  <c r="M467" i="2" a="1"/>
  <c r="M467" i="2" s="1"/>
  <c r="P467" i="2" a="1"/>
  <c r="P467" i="2" s="1"/>
  <c r="A468" i="2" a="1"/>
  <c r="A468" i="2" s="1"/>
  <c r="B468" i="2" a="1"/>
  <c r="B468" i="2" s="1"/>
  <c r="H468" i="2" a="1"/>
  <c r="H468" i="2" s="1"/>
  <c r="K468" i="2" a="1"/>
  <c r="K468" i="2" s="1"/>
  <c r="N468" i="2" a="1"/>
  <c r="N468" i="2" s="1"/>
  <c r="P468" i="2" a="1"/>
  <c r="P468" i="2" s="1"/>
  <c r="Q468" i="2" a="1"/>
  <c r="Q468" i="2" s="1"/>
  <c r="C469" i="2" a="1"/>
  <c r="C469" i="2" s="1"/>
  <c r="E469" i="2" a="1"/>
  <c r="E469" i="2" s="1"/>
  <c r="F469" i="2" a="1"/>
  <c r="F469" i="2" s="1"/>
  <c r="H469" i="2" a="1"/>
  <c r="H469" i="2" s="1"/>
  <c r="A470" i="2" a="1"/>
  <c r="A470" i="2" s="1"/>
  <c r="B470" i="2" a="1"/>
  <c r="B470" i="2" s="1"/>
  <c r="C470" i="2" a="1"/>
  <c r="C470" i="2" s="1"/>
  <c r="N470" i="2" a="1"/>
  <c r="N470" i="2" s="1"/>
  <c r="A471" i="2" a="1"/>
  <c r="A471" i="2" s="1"/>
  <c r="C471" i="2" a="1"/>
  <c r="C471" i="2" s="1"/>
  <c r="D471" i="2" a="1"/>
  <c r="D471" i="2" s="1"/>
  <c r="E471" i="2" a="1"/>
  <c r="E471" i="2" s="1"/>
  <c r="F471" i="2" a="1"/>
  <c r="F471" i="2" s="1"/>
  <c r="G471" i="2" a="1"/>
  <c r="G471" i="2" s="1"/>
  <c r="H471" i="2" a="1"/>
  <c r="H471" i="2" s="1"/>
  <c r="I471" i="2" a="1"/>
  <c r="I471" i="2" s="1"/>
  <c r="M471" i="2" a="1"/>
  <c r="M471" i="2" s="1"/>
  <c r="P471" i="2" a="1"/>
  <c r="P471" i="2" s="1"/>
  <c r="F472" i="2" a="1"/>
  <c r="F472" i="2" s="1"/>
  <c r="L472" i="2" a="1"/>
  <c r="L472" i="2" s="1"/>
  <c r="B473" i="2" a="1"/>
  <c r="B473" i="2" s="1"/>
  <c r="K473" i="2" a="1"/>
  <c r="K473" i="2" s="1"/>
  <c r="L473" i="2" a="1"/>
  <c r="L473" i="2" s="1"/>
  <c r="M473" i="2" a="1"/>
  <c r="M473" i="2" s="1"/>
  <c r="B474" i="2" a="1"/>
  <c r="B474" i="2" s="1"/>
  <c r="C474" i="2" a="1"/>
  <c r="C474" i="2" s="1"/>
  <c r="E474" i="2" a="1"/>
  <c r="E474" i="2" s="1"/>
  <c r="G474" i="2" a="1"/>
  <c r="G474" i="2" s="1"/>
  <c r="J474" i="2" a="1"/>
  <c r="J474" i="2" s="1"/>
  <c r="O474" i="2" a="1"/>
  <c r="O474" i="2" s="1"/>
  <c r="B475" i="2" a="1"/>
  <c r="B475" i="2" s="1"/>
  <c r="C475" i="2" a="1"/>
  <c r="C475" i="2" s="1"/>
  <c r="D475" i="2" a="1"/>
  <c r="D475" i="2" s="1"/>
  <c r="F475" i="2" a="1"/>
  <c r="F475" i="2" s="1"/>
  <c r="H475" i="2" a="1"/>
  <c r="H475" i="2" s="1"/>
  <c r="K475" i="2" a="1"/>
  <c r="K475" i="2" s="1"/>
  <c r="L475" i="2" a="1"/>
  <c r="L475" i="2" s="1"/>
  <c r="N475" i="2" a="1"/>
  <c r="N475" i="2" s="1"/>
  <c r="E476" i="2" a="1"/>
  <c r="E476" i="2" s="1"/>
  <c r="H476" i="2" a="1"/>
  <c r="H476" i="2" s="1"/>
  <c r="I476" i="2" a="1"/>
  <c r="I476" i="2" s="1"/>
  <c r="Q476" i="2" a="1"/>
  <c r="Q476" i="2" s="1"/>
  <c r="C477" i="2" a="1"/>
  <c r="C477" i="2" s="1"/>
  <c r="D477" i="2" a="1"/>
  <c r="D477" i="2" s="1"/>
  <c r="L477" i="2" a="1"/>
  <c r="L477" i="2" s="1"/>
  <c r="N477" i="2" a="1"/>
  <c r="N477" i="2" s="1"/>
  <c r="P477" i="2" a="1"/>
  <c r="P477" i="2" s="1"/>
  <c r="C478" i="2" a="1"/>
  <c r="C478" i="2" s="1"/>
  <c r="F478" i="2" a="1"/>
  <c r="F478" i="2" s="1"/>
  <c r="J478" i="2" a="1"/>
  <c r="J478" i="2" s="1"/>
  <c r="L478" i="2" a="1"/>
  <c r="L478" i="2" s="1"/>
  <c r="A479" i="2" a="1"/>
  <c r="A479" i="2" s="1"/>
  <c r="D479" i="2" a="1"/>
  <c r="D479" i="2" s="1"/>
  <c r="M479" i="2" a="1"/>
  <c r="M479" i="2" s="1"/>
  <c r="O479" i="2" a="1"/>
  <c r="O479" i="2" s="1"/>
  <c r="D480" i="2" a="1"/>
  <c r="D480" i="2" s="1"/>
  <c r="E480" i="2" a="1"/>
  <c r="E480" i="2" s="1"/>
  <c r="I480" i="2" a="1"/>
  <c r="I480" i="2" s="1"/>
  <c r="K480" i="2" a="1"/>
  <c r="K480" i="2" s="1"/>
  <c r="L480" i="2" a="1"/>
  <c r="L480" i="2" s="1"/>
  <c r="B481" i="2" a="1"/>
  <c r="B481" i="2" s="1"/>
  <c r="C481" i="2" a="1"/>
  <c r="C481" i="2" s="1"/>
  <c r="D481" i="2" a="1"/>
  <c r="D481" i="2" s="1"/>
  <c r="H481" i="2" a="1"/>
  <c r="H481" i="2" s="1"/>
  <c r="I481" i="2" a="1"/>
  <c r="I481" i="2" s="1"/>
  <c r="L481" i="2" a="1"/>
  <c r="L481" i="2" s="1"/>
  <c r="A482" i="2" a="1"/>
  <c r="A482" i="2" s="1"/>
  <c r="C482" i="2" a="1"/>
  <c r="C482" i="2" s="1"/>
  <c r="D482" i="2" a="1"/>
  <c r="D482" i="2" s="1"/>
  <c r="I482" i="2" a="1"/>
  <c r="I482" i="2" s="1"/>
  <c r="L482" i="2" a="1"/>
  <c r="L482" i="2" s="1"/>
  <c r="I483" i="2" a="1"/>
  <c r="I483" i="2" s="1"/>
  <c r="Q483" i="2" a="1"/>
  <c r="Q483" i="2" s="1"/>
  <c r="A484" i="2" a="1"/>
  <c r="A484" i="2" s="1"/>
  <c r="C484" i="2" a="1"/>
  <c r="C484" i="2" s="1"/>
  <c r="L484" i="2" a="1"/>
  <c r="L484" i="2" s="1"/>
  <c r="B485" i="2" a="1"/>
  <c r="B485" i="2" s="1"/>
  <c r="C485" i="2" a="1"/>
  <c r="C485" i="2" s="1"/>
  <c r="G485" i="2" a="1"/>
  <c r="G485" i="2" s="1"/>
  <c r="H485" i="2" a="1"/>
  <c r="H485" i="2" s="1"/>
  <c r="J485" i="2" a="1"/>
  <c r="J485" i="2" s="1"/>
  <c r="L485" i="2" a="1"/>
  <c r="L485" i="2" s="1"/>
  <c r="O485" i="2" a="1"/>
  <c r="O485" i="2" s="1"/>
  <c r="A486" i="2" a="1"/>
  <c r="A486" i="2" s="1"/>
  <c r="E486" i="2" a="1"/>
  <c r="E486" i="2" s="1"/>
  <c r="H486" i="2" a="1"/>
  <c r="H486" i="2" s="1"/>
  <c r="J486" i="2" a="1"/>
  <c r="J486" i="2" s="1"/>
  <c r="M486" i="2" a="1"/>
  <c r="M486" i="2" s="1"/>
  <c r="A487" i="2" a="1"/>
  <c r="A487" i="2" s="1"/>
  <c r="E487" i="2" a="1"/>
  <c r="E487" i="2" s="1"/>
  <c r="F487" i="2" a="1"/>
  <c r="F487" i="2" s="1"/>
  <c r="I487" i="2" a="1"/>
  <c r="I487" i="2" s="1"/>
  <c r="J487" i="2" a="1"/>
  <c r="J487" i="2" s="1"/>
  <c r="K487" i="2" a="1"/>
  <c r="K487" i="2" s="1"/>
  <c r="L487" i="2" a="1"/>
  <c r="L487" i="2" s="1"/>
  <c r="M487" i="2" a="1"/>
  <c r="M487" i="2" s="1"/>
  <c r="O487" i="2" a="1"/>
  <c r="O487" i="2" s="1"/>
  <c r="A488" i="2" a="1"/>
  <c r="A488" i="2" s="1"/>
  <c r="B488" i="2" a="1"/>
  <c r="B488" i="2" s="1"/>
  <c r="G488" i="2" a="1"/>
  <c r="G488" i="2" s="1"/>
  <c r="L488" i="2" a="1"/>
  <c r="L488" i="2" s="1"/>
  <c r="O488" i="2" a="1"/>
  <c r="O488" i="2" s="1"/>
  <c r="O489" i="2" a="1"/>
  <c r="O489" i="2" s="1"/>
  <c r="F490" i="2" a="1"/>
  <c r="F490" i="2" s="1"/>
  <c r="K490" i="2" a="1"/>
  <c r="K490" i="2" s="1"/>
  <c r="M490" i="2" a="1"/>
  <c r="M490" i="2" s="1"/>
  <c r="O490" i="2" a="1"/>
  <c r="O490" i="2" s="1"/>
  <c r="A491" i="2" a="1"/>
  <c r="A491" i="2" s="1"/>
  <c r="C491" i="2" a="1"/>
  <c r="C491" i="2" s="1"/>
  <c r="F491" i="2" a="1"/>
  <c r="F491" i="2" s="1"/>
  <c r="G491" i="2" a="1"/>
  <c r="G491" i="2" s="1"/>
  <c r="H491" i="2" a="1"/>
  <c r="H491" i="2" s="1"/>
  <c r="M491" i="2" a="1"/>
  <c r="M491" i="2" s="1"/>
  <c r="E492" i="2" a="1"/>
  <c r="E492" i="2" s="1"/>
  <c r="G492" i="2" a="1"/>
  <c r="G492" i="2" s="1"/>
  <c r="H492" i="2" a="1"/>
  <c r="H492" i="2" s="1"/>
  <c r="K492" i="2" a="1"/>
  <c r="K492" i="2" s="1"/>
  <c r="L492" i="2" a="1"/>
  <c r="L492" i="2" s="1"/>
  <c r="M492" i="2" a="1"/>
  <c r="M492" i="2" s="1"/>
  <c r="B493" i="2" a="1"/>
  <c r="B493" i="2" s="1"/>
  <c r="E493" i="2" a="1"/>
  <c r="E493" i="2" s="1"/>
  <c r="F493" i="2" a="1"/>
  <c r="F493" i="2" s="1"/>
  <c r="G493" i="2" a="1"/>
  <c r="G493" i="2" s="1"/>
  <c r="H493" i="2" a="1"/>
  <c r="H493" i="2" s="1"/>
  <c r="L493" i="2" a="1"/>
  <c r="L493" i="2" s="1"/>
  <c r="Q493" i="2" a="1"/>
  <c r="Q493" i="2" s="1"/>
  <c r="B494" i="2" a="1"/>
  <c r="B494" i="2" s="1"/>
  <c r="C494" i="2" a="1"/>
  <c r="C494" i="2" s="1"/>
  <c r="E494" i="2" a="1"/>
  <c r="E494" i="2" s="1"/>
  <c r="G494" i="2" a="1"/>
  <c r="G494" i="2" s="1"/>
  <c r="N494" i="2" a="1"/>
  <c r="N494" i="2" s="1"/>
  <c r="A495" i="2" a="1"/>
  <c r="A495" i="2" s="1"/>
  <c r="G495" i="2" a="1"/>
  <c r="G495" i="2" s="1"/>
  <c r="I495" i="2" a="1"/>
  <c r="I495" i="2" s="1"/>
  <c r="N495" i="2" a="1"/>
  <c r="N495" i="2" s="1"/>
  <c r="G496" i="2" a="1"/>
  <c r="G496" i="2" s="1"/>
  <c r="L496" i="2" a="1"/>
  <c r="L496" i="2" s="1"/>
  <c r="A497" i="2" a="1"/>
  <c r="A497" i="2" s="1"/>
  <c r="C497" i="2" a="1"/>
  <c r="C497" i="2" s="1"/>
  <c r="G497" i="2" a="1"/>
  <c r="G497" i="2" s="1"/>
  <c r="O497" i="2" a="1"/>
  <c r="O497" i="2" s="1"/>
  <c r="F498" i="2" a="1"/>
  <c r="F498" i="2" s="1"/>
  <c r="M498" i="2" a="1"/>
  <c r="M498" i="2" s="1"/>
  <c r="Q498" i="2" a="1"/>
  <c r="Q498" i="2" s="1"/>
  <c r="C499" i="2" a="1"/>
  <c r="C499" i="2" s="1"/>
  <c r="E499" i="2" a="1"/>
  <c r="E499" i="2" s="1"/>
  <c r="G499" i="2" a="1"/>
  <c r="G499" i="2" s="1"/>
  <c r="H499" i="2" a="1"/>
  <c r="H499" i="2" s="1"/>
  <c r="J499" i="2" a="1"/>
  <c r="J499" i="2" s="1"/>
  <c r="K499" i="2" a="1"/>
  <c r="K499" i="2" s="1"/>
  <c r="L499" i="2" a="1"/>
  <c r="L499" i="2" s="1"/>
  <c r="M499" i="2" a="1"/>
  <c r="M499" i="2" s="1"/>
  <c r="N499" i="2" a="1"/>
  <c r="N499" i="2" s="1"/>
  <c r="P499" i="2" a="1"/>
  <c r="P499" i="2" s="1"/>
  <c r="B500" i="2" a="1"/>
  <c r="B500" i="2" s="1"/>
  <c r="D500" i="2" a="1"/>
  <c r="D500" i="2" s="1"/>
  <c r="G500" i="2" a="1"/>
  <c r="G500" i="2" s="1"/>
  <c r="I500" i="2" a="1"/>
  <c r="I500" i="2" s="1"/>
  <c r="K500" i="2" a="1"/>
  <c r="K500" i="2" s="1"/>
  <c r="L500" i="2" a="1"/>
  <c r="L500" i="2" s="1"/>
  <c r="M500" i="2" a="1"/>
  <c r="M500" i="2" s="1"/>
  <c r="N500" i="2" a="1"/>
  <c r="N500" i="2" s="1"/>
  <c r="A501" i="2" a="1"/>
  <c r="A501" i="2" s="1"/>
  <c r="B501" i="2" a="1"/>
  <c r="B501" i="2" s="1"/>
  <c r="D501" i="2" a="1"/>
  <c r="D501" i="2" s="1"/>
  <c r="N501" i="2" a="1"/>
  <c r="N501" i="2" s="1"/>
  <c r="H502" i="2" a="1"/>
  <c r="H502" i="2" s="1"/>
  <c r="I502" i="2" a="1"/>
  <c r="I502" i="2" s="1"/>
  <c r="J502" i="2" a="1"/>
  <c r="J502" i="2" s="1"/>
  <c r="E503" i="2" a="1"/>
  <c r="E503" i="2" s="1"/>
  <c r="G503" i="2" a="1"/>
  <c r="G503" i="2" s="1"/>
  <c r="H503" i="2" a="1"/>
  <c r="H503" i="2" s="1"/>
  <c r="M503" i="2" a="1"/>
  <c r="M503" i="2" s="1"/>
  <c r="P503" i="2" a="1"/>
  <c r="P503" i="2" s="1"/>
  <c r="A504" i="2" a="1"/>
  <c r="A504" i="2" s="1"/>
  <c r="B504" i="2" a="1"/>
  <c r="B504" i="2" s="1"/>
  <c r="I504" i="2" a="1"/>
  <c r="I504" i="2" s="1"/>
  <c r="J504" i="2" a="1"/>
  <c r="J504" i="2" s="1"/>
  <c r="P504" i="2" a="1"/>
  <c r="P504" i="2" s="1"/>
  <c r="A505" i="2" a="1"/>
  <c r="A505" i="2" s="1"/>
  <c r="D505" i="2" a="1"/>
  <c r="D505" i="2" s="1"/>
  <c r="P505" i="2" a="1"/>
  <c r="P505" i="2" s="1"/>
  <c r="A506" i="2" a="1"/>
  <c r="A506" i="2" s="1"/>
  <c r="G506" i="2" a="1"/>
  <c r="G506" i="2" s="1"/>
  <c r="H506" i="2" a="1"/>
  <c r="H506" i="2" s="1"/>
  <c r="I506" i="2" a="1"/>
  <c r="I506" i="2" s="1"/>
  <c r="L506" i="2" a="1"/>
  <c r="L506" i="2" s="1"/>
  <c r="M506" i="2" a="1"/>
  <c r="M506" i="2" s="1"/>
  <c r="N506" i="2" a="1"/>
  <c r="N506" i="2" s="1"/>
  <c r="P506" i="2" a="1"/>
  <c r="P506" i="2" s="1"/>
  <c r="C507" i="2" a="1"/>
  <c r="C507" i="2" s="1"/>
  <c r="H507" i="2" a="1"/>
  <c r="H507" i="2" s="1"/>
  <c r="M507" i="2" a="1"/>
  <c r="M507" i="2" s="1"/>
  <c r="A508" i="2" a="1"/>
  <c r="A508" i="2" s="1"/>
  <c r="E508" i="2" a="1"/>
  <c r="E508" i="2" s="1"/>
  <c r="G508" i="2" a="1"/>
  <c r="G508" i="2" s="1"/>
  <c r="M508" i="2" a="1"/>
  <c r="M508" i="2" s="1"/>
  <c r="Q508" i="2" a="1"/>
  <c r="Q508" i="2" s="1"/>
  <c r="I509" i="2" a="1"/>
  <c r="I509" i="2" s="1"/>
  <c r="J509" i="2" a="1"/>
  <c r="J509" i="2" s="1"/>
  <c r="P513" i="2" a="1"/>
  <c r="P513" i="2" s="1"/>
  <c r="Q513" i="2" a="1"/>
  <c r="Q513" i="2" s="1"/>
  <c r="E514" i="2" a="1"/>
  <c r="E514" i="2" s="1"/>
  <c r="H514" i="2" a="1"/>
  <c r="H514" i="2" s="1"/>
  <c r="J514" i="2" a="1"/>
  <c r="J514" i="2" s="1"/>
  <c r="M514" i="2" a="1"/>
  <c r="M514" i="2" s="1"/>
  <c r="O514" i="2" a="1"/>
  <c r="O514" i="2" s="1"/>
  <c r="P514" i="2" a="1"/>
  <c r="P514" i="2" s="1"/>
  <c r="A515" i="2" a="1"/>
  <c r="A515" i="2" s="1"/>
  <c r="E515" i="2" a="1"/>
  <c r="E515" i="2" s="1"/>
  <c r="G515" i="2" a="1"/>
  <c r="G515" i="2" s="1"/>
  <c r="H515" i="2" a="1"/>
  <c r="H515" i="2" s="1"/>
  <c r="K515" i="2" a="1"/>
  <c r="K515" i="2" s="1"/>
  <c r="P515" i="2" a="1"/>
  <c r="P515" i="2" s="1"/>
  <c r="Q515" i="2" a="1"/>
  <c r="Q515" i="2" s="1"/>
  <c r="E516" i="2" a="1"/>
  <c r="E516" i="2" s="1"/>
  <c r="L516" i="2" a="1"/>
  <c r="L516" i="2" s="1"/>
  <c r="M516" i="2" a="1"/>
  <c r="M516" i="2" s="1"/>
  <c r="B517" i="2" a="1"/>
  <c r="B517" i="2" s="1"/>
  <c r="C517" i="2" a="1"/>
  <c r="C517" i="2" s="1"/>
  <c r="E517" i="2" a="1"/>
  <c r="E517" i="2" s="1"/>
  <c r="F517" i="2" a="1"/>
  <c r="F517" i="2" s="1"/>
  <c r="M517" i="2" a="1"/>
  <c r="M517" i="2" s="1"/>
  <c r="O517" i="2" a="1"/>
  <c r="O517" i="2" s="1"/>
  <c r="E922" i="2" a="1"/>
  <c r="E922" i="2" s="1"/>
  <c r="F922" i="2" a="1"/>
  <c r="F922" i="2" s="1"/>
  <c r="G922" i="2" a="1"/>
  <c r="G922" i="2" s="1"/>
  <c r="H922" i="2" a="1"/>
  <c r="H922" i="2" s="1"/>
  <c r="I922" i="2" a="1"/>
  <c r="I922" i="2" s="1"/>
  <c r="J922" i="2" a="1"/>
  <c r="J922" i="2" s="1"/>
  <c r="K922" i="2" a="1"/>
  <c r="K922" i="2" s="1"/>
  <c r="L922" i="2" a="1"/>
  <c r="L922" i="2" s="1"/>
  <c r="M922" i="2" a="1"/>
  <c r="M922" i="2" s="1"/>
  <c r="N922" i="2" a="1"/>
  <c r="N922" i="2" s="1"/>
  <c r="O922" i="2" a="1"/>
  <c r="O922" i="2" s="1"/>
  <c r="P922" i="2" a="1"/>
  <c r="P922" i="2" s="1"/>
  <c r="Q922" i="2" a="1"/>
  <c r="Q922" i="2" s="1"/>
  <c r="A923" i="2" a="1"/>
  <c r="A923" i="2" s="1"/>
  <c r="B923" i="2" a="1"/>
  <c r="B923" i="2" s="1"/>
  <c r="C923" i="2" a="1"/>
  <c r="C923" i="2" s="1"/>
  <c r="D923" i="2" a="1"/>
  <c r="D923" i="2" s="1"/>
  <c r="E923" i="2" a="1"/>
  <c r="E923" i="2" s="1"/>
  <c r="F923" i="2" a="1"/>
  <c r="F923" i="2" s="1"/>
  <c r="G923" i="2" a="1"/>
  <c r="G923" i="2" s="1"/>
  <c r="H923" i="2" a="1"/>
  <c r="H923" i="2" s="1"/>
  <c r="I923" i="2" a="1"/>
  <c r="I923" i="2" s="1"/>
  <c r="J923" i="2" a="1"/>
  <c r="J923" i="2" s="1"/>
  <c r="K923" i="2" a="1"/>
  <c r="K923" i="2" s="1"/>
  <c r="L923" i="2" a="1"/>
  <c r="L923" i="2" s="1"/>
  <c r="M923" i="2" a="1"/>
  <c r="M923" i="2" s="1"/>
  <c r="N923" i="2" a="1"/>
  <c r="N923" i="2" s="1"/>
  <c r="O923" i="2" a="1"/>
  <c r="O923" i="2" s="1"/>
  <c r="P923" i="2" a="1"/>
  <c r="P923" i="2" s="1"/>
  <c r="Q923" i="2" a="1"/>
  <c r="Q923" i="2" s="1"/>
  <c r="A924" i="2" a="1"/>
  <c r="A924" i="2" s="1"/>
  <c r="B924" i="2" a="1"/>
  <c r="B924" i="2" s="1"/>
  <c r="C924" i="2" a="1"/>
  <c r="C924" i="2" s="1"/>
  <c r="D924" i="2" a="1"/>
  <c r="D924" i="2" s="1"/>
  <c r="E924" i="2" a="1"/>
  <c r="E924" i="2" s="1"/>
  <c r="F924" i="2" a="1"/>
  <c r="F924" i="2" s="1"/>
  <c r="G924" i="2" a="1"/>
  <c r="G924" i="2" s="1"/>
  <c r="H924" i="2" a="1"/>
  <c r="H924" i="2" s="1"/>
  <c r="I924" i="2" a="1"/>
  <c r="I924" i="2" s="1"/>
  <c r="J924" i="2" a="1"/>
  <c r="J924" i="2" s="1"/>
  <c r="K924" i="2" a="1"/>
  <c r="K924" i="2" s="1"/>
  <c r="L924" i="2" a="1"/>
  <c r="L924" i="2" s="1"/>
  <c r="M924" i="2" a="1"/>
  <c r="M924" i="2" s="1"/>
  <c r="N924" i="2" a="1"/>
  <c r="N924" i="2" s="1"/>
  <c r="O924" i="2" a="1"/>
  <c r="O924" i="2" s="1"/>
  <c r="P924" i="2" a="1"/>
  <c r="P924" i="2" s="1"/>
  <c r="Q924" i="2" a="1"/>
  <c r="Q924" i="2" s="1"/>
  <c r="A925" i="2" a="1"/>
  <c r="A925" i="2" s="1"/>
  <c r="B925" i="2" a="1"/>
  <c r="B925" i="2" s="1"/>
  <c r="C925" i="2" a="1"/>
  <c r="C925" i="2" s="1"/>
  <c r="D925" i="2" a="1"/>
  <c r="D925" i="2" s="1"/>
  <c r="E925" i="2" a="1"/>
  <c r="E925" i="2" s="1"/>
  <c r="F925" i="2" a="1"/>
  <c r="F925" i="2" s="1"/>
  <c r="G925" i="2" a="1"/>
  <c r="G925" i="2" s="1"/>
  <c r="H925" i="2" a="1"/>
  <c r="H925" i="2" s="1"/>
  <c r="I925" i="2" a="1"/>
  <c r="I925" i="2" s="1"/>
  <c r="J925" i="2" a="1"/>
  <c r="J925" i="2" s="1"/>
  <c r="K925" i="2" a="1"/>
  <c r="K925" i="2" s="1"/>
  <c r="L925" i="2" a="1"/>
  <c r="L925" i="2" s="1"/>
  <c r="M925" i="2" a="1"/>
  <c r="M925" i="2" s="1"/>
  <c r="N925" i="2" a="1"/>
  <c r="N925" i="2" s="1"/>
  <c r="O925" i="2" a="1"/>
  <c r="O925" i="2" s="1"/>
  <c r="P925" i="2" a="1"/>
  <c r="P925" i="2" s="1"/>
  <c r="Q925" i="2" a="1"/>
  <c r="Q925" i="2" s="1"/>
  <c r="A926" i="2" a="1"/>
  <c r="A926" i="2" s="1"/>
  <c r="B926" i="2" a="1"/>
  <c r="B926" i="2" s="1"/>
  <c r="C926" i="2" a="1"/>
  <c r="C926" i="2" s="1"/>
  <c r="D926" i="2" a="1"/>
  <c r="D926" i="2" s="1"/>
  <c r="E926" i="2" a="1"/>
  <c r="E926" i="2" s="1"/>
  <c r="F926" i="2" a="1"/>
  <c r="F926" i="2" s="1"/>
  <c r="G926" i="2" a="1"/>
  <c r="G926" i="2" s="1"/>
  <c r="H926" i="2" a="1"/>
  <c r="H926" i="2" s="1"/>
  <c r="I926" i="2" a="1"/>
  <c r="I926" i="2" s="1"/>
  <c r="J926" i="2" a="1"/>
  <c r="J926" i="2" s="1"/>
  <c r="K926" i="2" a="1"/>
  <c r="K926" i="2" s="1"/>
  <c r="L926" i="2" a="1"/>
  <c r="L926" i="2" s="1"/>
  <c r="M926" i="2" a="1"/>
  <c r="M926" i="2" s="1"/>
  <c r="N926" i="2" a="1"/>
  <c r="N926" i="2" s="1"/>
  <c r="O926" i="2" a="1"/>
  <c r="O926" i="2" s="1"/>
  <c r="P926" i="2" a="1"/>
  <c r="P926" i="2" s="1"/>
  <c r="Q926" i="2" a="1"/>
  <c r="Q926" i="2" s="1"/>
  <c r="A927" i="2" a="1"/>
  <c r="A927" i="2" s="1"/>
  <c r="B927" i="2" a="1"/>
  <c r="B927" i="2" s="1"/>
  <c r="C927" i="2" a="1"/>
  <c r="C927" i="2" s="1"/>
  <c r="D927" i="2" a="1"/>
  <c r="D927" i="2" s="1"/>
  <c r="E927" i="2" a="1"/>
  <c r="E927" i="2" s="1"/>
  <c r="F927" i="2" a="1"/>
  <c r="F927" i="2" s="1"/>
  <c r="G927" i="2" a="1"/>
  <c r="G927" i="2" s="1"/>
  <c r="H927" i="2" a="1"/>
  <c r="H927" i="2" s="1"/>
  <c r="I927" i="2" a="1"/>
  <c r="I927" i="2" s="1"/>
  <c r="J927" i="2" a="1"/>
  <c r="J927" i="2" s="1"/>
  <c r="K927" i="2" a="1"/>
  <c r="K927" i="2" s="1"/>
  <c r="L927" i="2" a="1"/>
  <c r="L927" i="2" s="1"/>
  <c r="M927" i="2" a="1"/>
  <c r="M927" i="2" s="1"/>
  <c r="N927" i="2" a="1"/>
  <c r="N927" i="2" s="1"/>
  <c r="O927" i="2" a="1"/>
  <c r="O927" i="2" s="1"/>
  <c r="P927" i="2" a="1"/>
  <c r="P927" i="2" s="1"/>
  <c r="Q927" i="2" a="1"/>
  <c r="Q927" i="2" s="1"/>
  <c r="A928" i="2" a="1"/>
  <c r="A928" i="2" s="1"/>
  <c r="B928" i="2" a="1"/>
  <c r="B928" i="2" s="1"/>
  <c r="C928" i="2" a="1"/>
  <c r="C928" i="2" s="1"/>
  <c r="D928" i="2" a="1"/>
  <c r="D928" i="2" s="1"/>
  <c r="E928" i="2" a="1"/>
  <c r="E928" i="2" s="1"/>
  <c r="F928" i="2" a="1"/>
  <c r="F928" i="2" s="1"/>
  <c r="G928" i="2" a="1"/>
  <c r="G928" i="2" s="1"/>
  <c r="H928" i="2" a="1"/>
  <c r="H928" i="2" s="1"/>
  <c r="I928" i="2" a="1"/>
  <c r="I928" i="2" s="1"/>
  <c r="J928" i="2" a="1"/>
  <c r="J928" i="2" s="1"/>
  <c r="K928" i="2" a="1"/>
  <c r="K928" i="2" s="1"/>
  <c r="L928" i="2" a="1"/>
  <c r="L928" i="2" s="1"/>
  <c r="M928" i="2" a="1"/>
  <c r="M928" i="2" s="1"/>
  <c r="N928" i="2" a="1"/>
  <c r="N928" i="2" s="1"/>
  <c r="O928" i="2" a="1"/>
  <c r="O928" i="2" s="1"/>
  <c r="P928" i="2" a="1"/>
  <c r="P928" i="2" s="1"/>
  <c r="Q928" i="2" a="1"/>
  <c r="Q928" i="2" s="1"/>
  <c r="A929" i="2" a="1"/>
  <c r="A929" i="2" s="1"/>
  <c r="B929" i="2" a="1"/>
  <c r="B929" i="2" s="1"/>
  <c r="C929" i="2" a="1"/>
  <c r="C929" i="2" s="1"/>
  <c r="D929" i="2" a="1"/>
  <c r="D929" i="2" s="1"/>
  <c r="E929" i="2" a="1"/>
  <c r="E929" i="2" s="1"/>
  <c r="F929" i="2" a="1"/>
  <c r="F929" i="2" s="1"/>
  <c r="G929" i="2" a="1"/>
  <c r="G929" i="2" s="1"/>
  <c r="H929" i="2" a="1"/>
  <c r="H929" i="2" s="1"/>
  <c r="I929" i="2" a="1"/>
  <c r="I929" i="2" s="1"/>
  <c r="J929" i="2" a="1"/>
  <c r="J929" i="2" s="1"/>
  <c r="K929" i="2" a="1"/>
  <c r="K929" i="2" s="1"/>
  <c r="L929" i="2" a="1"/>
  <c r="L929" i="2" s="1"/>
  <c r="M929" i="2" a="1"/>
  <c r="M929" i="2" s="1"/>
  <c r="N929" i="2" a="1"/>
  <c r="N929" i="2" s="1"/>
  <c r="O929" i="2" a="1"/>
  <c r="O929" i="2" s="1"/>
  <c r="P929" i="2" a="1"/>
  <c r="P929" i="2" s="1"/>
  <c r="Q929" i="2" a="1"/>
  <c r="Q929" i="2" s="1"/>
  <c r="A930" i="2" a="1"/>
  <c r="A930" i="2" s="1"/>
  <c r="B930" i="2" a="1"/>
  <c r="B930" i="2" s="1"/>
  <c r="C930" i="2" a="1"/>
  <c r="C930" i="2" s="1"/>
  <c r="D930" i="2" a="1"/>
  <c r="D930" i="2" s="1"/>
  <c r="E930" i="2" a="1"/>
  <c r="E930" i="2" s="1"/>
  <c r="F930" i="2" a="1"/>
  <c r="F930" i="2" s="1"/>
  <c r="G930" i="2" a="1"/>
  <c r="G930" i="2" s="1"/>
  <c r="H930" i="2" a="1"/>
  <c r="H930" i="2" s="1"/>
  <c r="I930" i="2" a="1"/>
  <c r="I930" i="2" s="1"/>
  <c r="J930" i="2" a="1"/>
  <c r="J930" i="2" s="1"/>
  <c r="K930" i="2" a="1"/>
  <c r="K930" i="2" s="1"/>
  <c r="L930" i="2" a="1"/>
  <c r="L930" i="2" s="1"/>
  <c r="M930" i="2" a="1"/>
  <c r="M930" i="2" s="1"/>
  <c r="N930" i="2" a="1"/>
  <c r="N930" i="2" s="1"/>
  <c r="O930" i="2" a="1"/>
  <c r="O930" i="2" s="1"/>
  <c r="P930" i="2" a="1"/>
  <c r="P930" i="2" s="1"/>
  <c r="Q930" i="2" a="1"/>
  <c r="Q930" i="2" s="1"/>
  <c r="A931" i="2" a="1"/>
  <c r="A931" i="2" s="1"/>
  <c r="B931" i="2" a="1"/>
  <c r="B931" i="2" s="1"/>
  <c r="C931" i="2" a="1"/>
  <c r="C931" i="2" s="1"/>
  <c r="D931" i="2" a="1"/>
  <c r="D931" i="2" s="1"/>
  <c r="E931" i="2" a="1"/>
  <c r="E931" i="2" s="1"/>
  <c r="F931" i="2" a="1"/>
  <c r="F931" i="2" s="1"/>
  <c r="G931" i="2" a="1"/>
  <c r="G931" i="2" s="1"/>
  <c r="H931" i="2" a="1"/>
  <c r="H931" i="2" s="1"/>
  <c r="I931" i="2" a="1"/>
  <c r="I931" i="2" s="1"/>
  <c r="J931" i="2" a="1"/>
  <c r="J931" i="2" s="1"/>
  <c r="K931" i="2" a="1"/>
  <c r="K931" i="2" s="1"/>
  <c r="L931" i="2" a="1"/>
  <c r="L931" i="2" s="1"/>
  <c r="M931" i="2" a="1"/>
  <c r="M931" i="2" s="1"/>
  <c r="N931" i="2" a="1"/>
  <c r="N931" i="2" s="1"/>
  <c r="O931" i="2" a="1"/>
  <c r="O931" i="2" s="1"/>
  <c r="P931" i="2" a="1"/>
  <c r="P931" i="2" s="1"/>
  <c r="Q931" i="2" a="1"/>
  <c r="Q931" i="2" s="1"/>
  <c r="A932" i="2" a="1"/>
  <c r="A932" i="2" s="1"/>
  <c r="B932" i="2" a="1"/>
  <c r="B932" i="2" s="1"/>
  <c r="C932" i="2" a="1"/>
  <c r="C932" i="2" s="1"/>
  <c r="D932" i="2" a="1"/>
  <c r="D932" i="2" s="1"/>
  <c r="E932" i="2" a="1"/>
  <c r="E932" i="2" s="1"/>
  <c r="F932" i="2" a="1"/>
  <c r="F932" i="2" s="1"/>
  <c r="G932" i="2" a="1"/>
  <c r="G932" i="2" s="1"/>
  <c r="H932" i="2" a="1"/>
  <c r="H932" i="2" s="1"/>
  <c r="I932" i="2" a="1"/>
  <c r="I932" i="2" s="1"/>
  <c r="J932" i="2" a="1"/>
  <c r="J932" i="2" s="1"/>
  <c r="K932" i="2" a="1"/>
  <c r="K932" i="2" s="1"/>
  <c r="L932" i="2" a="1"/>
  <c r="L932" i="2" s="1"/>
  <c r="M932" i="2" a="1"/>
  <c r="M932" i="2" s="1"/>
  <c r="N932" i="2" a="1"/>
  <c r="N932" i="2" s="1"/>
  <c r="O932" i="2" a="1"/>
  <c r="O932" i="2" s="1"/>
  <c r="P932" i="2" a="1"/>
  <c r="P932" i="2" s="1"/>
  <c r="Q932" i="2" a="1"/>
  <c r="Q932" i="2" s="1"/>
  <c r="A933" i="2" a="1"/>
  <c r="A933" i="2" s="1"/>
  <c r="B933" i="2" a="1"/>
  <c r="B933" i="2" s="1"/>
  <c r="C933" i="2" a="1"/>
  <c r="C933" i="2" s="1"/>
  <c r="D933" i="2" a="1"/>
  <c r="D933" i="2" s="1"/>
  <c r="E933" i="2" a="1"/>
  <c r="E933" i="2" s="1"/>
  <c r="F933" i="2" a="1"/>
  <c r="F933" i="2" s="1"/>
  <c r="G933" i="2" a="1"/>
  <c r="G933" i="2" s="1"/>
  <c r="H933" i="2" a="1"/>
  <c r="H933" i="2" s="1"/>
  <c r="I933" i="2" a="1"/>
  <c r="I933" i="2" s="1"/>
  <c r="J933" i="2" a="1"/>
  <c r="J933" i="2" s="1"/>
  <c r="K933" i="2" a="1"/>
  <c r="K933" i="2" s="1"/>
  <c r="L933" i="2" a="1"/>
  <c r="L933" i="2" s="1"/>
  <c r="M933" i="2" a="1"/>
  <c r="M933" i="2" s="1"/>
  <c r="N933" i="2" a="1"/>
  <c r="N933" i="2" s="1"/>
  <c r="O933" i="2" a="1"/>
  <c r="O933" i="2" s="1"/>
  <c r="P933" i="2" a="1"/>
  <c r="P933" i="2" s="1"/>
  <c r="Q933" i="2" a="1"/>
  <c r="Q933" i="2" s="1"/>
  <c r="A934" i="2" a="1"/>
  <c r="A934" i="2" s="1"/>
  <c r="B934" i="2" a="1"/>
  <c r="B934" i="2" s="1"/>
  <c r="C934" i="2" a="1"/>
  <c r="C934" i="2" s="1"/>
  <c r="D934" i="2" a="1"/>
  <c r="D934" i="2" s="1"/>
  <c r="E934" i="2" a="1"/>
  <c r="E934" i="2" s="1"/>
  <c r="F934" i="2" a="1"/>
  <c r="F934" i="2" s="1"/>
  <c r="G934" i="2" a="1"/>
  <c r="G934" i="2" s="1"/>
  <c r="H934" i="2" a="1"/>
  <c r="H934" i="2" s="1"/>
  <c r="I934" i="2" a="1"/>
  <c r="I934" i="2" s="1"/>
  <c r="J934" i="2" a="1"/>
  <c r="J934" i="2" s="1"/>
  <c r="K934" i="2" a="1"/>
  <c r="K934" i="2" s="1"/>
  <c r="L934" i="2" a="1"/>
  <c r="L934" i="2" s="1"/>
  <c r="M934" i="2" a="1"/>
  <c r="M934" i="2" s="1"/>
  <c r="N934" i="2" a="1"/>
  <c r="N934" i="2" s="1"/>
  <c r="O934" i="2" a="1"/>
  <c r="O934" i="2" s="1"/>
  <c r="P934" i="2" a="1"/>
  <c r="P934" i="2" s="1"/>
  <c r="Q934" i="2" a="1"/>
  <c r="Q934" i="2" s="1"/>
  <c r="A935" i="2" a="1"/>
  <c r="A935" i="2" s="1"/>
  <c r="B935" i="2" a="1"/>
  <c r="B935" i="2" s="1"/>
  <c r="C935" i="2" a="1"/>
  <c r="C935" i="2" s="1"/>
  <c r="D935" i="2" a="1"/>
  <c r="D935" i="2" s="1"/>
  <c r="E935" i="2" a="1"/>
  <c r="E935" i="2" s="1"/>
  <c r="F935" i="2" a="1"/>
  <c r="F935" i="2" s="1"/>
  <c r="G935" i="2" a="1"/>
  <c r="G935" i="2" s="1"/>
  <c r="H935" i="2" a="1"/>
  <c r="H935" i="2" s="1"/>
  <c r="I935" i="2" a="1"/>
  <c r="I935" i="2" s="1"/>
  <c r="J935" i="2" a="1"/>
  <c r="J935" i="2" s="1"/>
  <c r="K935" i="2" a="1"/>
  <c r="K935" i="2" s="1"/>
  <c r="L935" i="2" a="1"/>
  <c r="L935" i="2" s="1"/>
  <c r="M935" i="2" a="1"/>
  <c r="M935" i="2" s="1"/>
  <c r="N935" i="2" a="1"/>
  <c r="N935" i="2" s="1"/>
  <c r="O935" i="2" a="1"/>
  <c r="O935" i="2" s="1"/>
  <c r="P935" i="2" a="1"/>
  <c r="P935" i="2" s="1"/>
  <c r="Q935" i="2" a="1"/>
  <c r="Q935" i="2" s="1"/>
  <c r="A936" i="2" a="1"/>
  <c r="A936" i="2" s="1"/>
  <c r="B936" i="2" a="1"/>
  <c r="B936" i="2" s="1"/>
  <c r="C936" i="2" a="1"/>
  <c r="C936" i="2" s="1"/>
  <c r="D936" i="2" a="1"/>
  <c r="D936" i="2" s="1"/>
  <c r="E936" i="2" a="1"/>
  <c r="E936" i="2" s="1"/>
  <c r="F936" i="2" a="1"/>
  <c r="F936" i="2" s="1"/>
  <c r="G936" i="2" a="1"/>
  <c r="G936" i="2" s="1"/>
  <c r="H936" i="2" a="1"/>
  <c r="H936" i="2" s="1"/>
  <c r="I936" i="2" a="1"/>
  <c r="I936" i="2" s="1"/>
  <c r="J936" i="2" a="1"/>
  <c r="J936" i="2" s="1"/>
  <c r="K936" i="2" a="1"/>
  <c r="K936" i="2" s="1"/>
  <c r="L936" i="2" a="1"/>
  <c r="L936" i="2" s="1"/>
  <c r="M936" i="2" a="1"/>
  <c r="M936" i="2" s="1"/>
  <c r="N936" i="2" a="1"/>
  <c r="N936" i="2" s="1"/>
  <c r="O936" i="2" a="1"/>
  <c r="O936" i="2" s="1"/>
  <c r="P936" i="2" a="1"/>
  <c r="P936" i="2" s="1"/>
  <c r="Q936" i="2" a="1"/>
  <c r="Q936" i="2" s="1"/>
  <c r="A937" i="2" a="1"/>
  <c r="A937" i="2" s="1"/>
  <c r="B937" i="2" a="1"/>
  <c r="B937" i="2" s="1"/>
  <c r="C937" i="2" a="1"/>
  <c r="C937" i="2" s="1"/>
  <c r="D937" i="2" a="1"/>
  <c r="D937" i="2" s="1"/>
  <c r="E937" i="2" a="1"/>
  <c r="E937" i="2" s="1"/>
  <c r="F937" i="2" a="1"/>
  <c r="F937" i="2" s="1"/>
  <c r="G937" i="2" a="1"/>
  <c r="G937" i="2" s="1"/>
  <c r="H937" i="2" a="1"/>
  <c r="H937" i="2" s="1"/>
  <c r="I937" i="2" a="1"/>
  <c r="I937" i="2" s="1"/>
  <c r="J937" i="2" a="1"/>
  <c r="J937" i="2" s="1"/>
  <c r="K937" i="2" a="1"/>
  <c r="K937" i="2" s="1"/>
  <c r="L937" i="2" a="1"/>
  <c r="L937" i="2" s="1"/>
  <c r="M937" i="2" a="1"/>
  <c r="M937" i="2" s="1"/>
  <c r="N937" i="2" a="1"/>
  <c r="N937" i="2" s="1"/>
  <c r="O937" i="2" a="1"/>
  <c r="O937" i="2" s="1"/>
  <c r="P937" i="2" a="1"/>
  <c r="P937" i="2" s="1"/>
  <c r="Q937" i="2" a="1"/>
  <c r="Q937" i="2" s="1"/>
  <c r="A938" i="2" a="1"/>
  <c r="A938" i="2" s="1"/>
  <c r="B938" i="2" a="1"/>
  <c r="B938" i="2" s="1"/>
  <c r="C938" i="2" a="1"/>
  <c r="C938" i="2" s="1"/>
  <c r="D938" i="2" a="1"/>
  <c r="D938" i="2" s="1"/>
  <c r="E938" i="2" a="1"/>
  <c r="E938" i="2" s="1"/>
  <c r="F938" i="2" a="1"/>
  <c r="F938" i="2" s="1"/>
  <c r="G938" i="2" a="1"/>
  <c r="G938" i="2" s="1"/>
  <c r="H938" i="2" a="1"/>
  <c r="H938" i="2" s="1"/>
  <c r="I938" i="2" a="1"/>
  <c r="I938" i="2" s="1"/>
  <c r="J938" i="2" a="1"/>
  <c r="J938" i="2" s="1"/>
  <c r="K938" i="2" a="1"/>
  <c r="K938" i="2" s="1"/>
  <c r="L938" i="2" a="1"/>
  <c r="L938" i="2" s="1"/>
  <c r="M938" i="2" a="1"/>
  <c r="M938" i="2" s="1"/>
  <c r="N938" i="2" a="1"/>
  <c r="N938" i="2" s="1"/>
  <c r="O938" i="2" a="1"/>
  <c r="O938" i="2" s="1"/>
  <c r="P938" i="2" a="1"/>
  <c r="P938" i="2" s="1"/>
  <c r="Q938" i="2" a="1"/>
  <c r="Q938" i="2" s="1"/>
  <c r="A939" i="2" a="1"/>
  <c r="A939" i="2" s="1"/>
  <c r="B939" i="2" a="1"/>
  <c r="B939" i="2" s="1"/>
  <c r="C939" i="2" a="1"/>
  <c r="C939" i="2" s="1"/>
  <c r="D939" i="2" a="1"/>
  <c r="D939" i="2" s="1"/>
  <c r="E939" i="2" a="1"/>
  <c r="E939" i="2" s="1"/>
  <c r="F939" i="2" a="1"/>
  <c r="F939" i="2" s="1"/>
  <c r="G939" i="2" a="1"/>
  <c r="G939" i="2" s="1"/>
  <c r="H939" i="2" a="1"/>
  <c r="H939" i="2" s="1"/>
  <c r="I939" i="2" a="1"/>
  <c r="I939" i="2" s="1"/>
  <c r="J939" i="2" a="1"/>
  <c r="J939" i="2" s="1"/>
  <c r="K939" i="2" a="1"/>
  <c r="K939" i="2" s="1"/>
  <c r="L939" i="2" a="1"/>
  <c r="L939" i="2" s="1"/>
  <c r="M939" i="2" a="1"/>
  <c r="M939" i="2" s="1"/>
  <c r="N939" i="2" a="1"/>
  <c r="N939" i="2" s="1"/>
  <c r="O939" i="2" a="1"/>
  <c r="O939" i="2" s="1"/>
  <c r="P939" i="2" a="1"/>
  <c r="P939" i="2" s="1"/>
  <c r="Q939" i="2" a="1"/>
  <c r="Q939" i="2" s="1"/>
  <c r="A940" i="2" a="1"/>
  <c r="A940" i="2" s="1"/>
  <c r="B940" i="2" a="1"/>
  <c r="B940" i="2" s="1"/>
  <c r="C940" i="2" a="1"/>
  <c r="C940" i="2" s="1"/>
  <c r="D940" i="2" a="1"/>
  <c r="D940" i="2" s="1"/>
  <c r="E940" i="2" a="1"/>
  <c r="E940" i="2" s="1"/>
  <c r="F940" i="2" a="1"/>
  <c r="F940" i="2" s="1"/>
  <c r="G940" i="2" a="1"/>
  <c r="G940" i="2" s="1"/>
  <c r="H940" i="2" a="1"/>
  <c r="H940" i="2" s="1"/>
  <c r="I940" i="2" a="1"/>
  <c r="I940" i="2" s="1"/>
  <c r="J940" i="2" a="1"/>
  <c r="J940" i="2" s="1"/>
  <c r="K940" i="2" a="1"/>
  <c r="K940" i="2" s="1"/>
  <c r="L940" i="2" a="1"/>
  <c r="L940" i="2" s="1"/>
  <c r="M940" i="2" a="1"/>
  <c r="M940" i="2" s="1"/>
  <c r="N940" i="2" a="1"/>
  <c r="N940" i="2" s="1"/>
  <c r="O940" i="2" a="1"/>
  <c r="O940" i="2" s="1"/>
  <c r="P940" i="2" a="1"/>
  <c r="P940" i="2" s="1"/>
  <c r="Q940" i="2" a="1"/>
  <c r="Q940" i="2" s="1"/>
  <c r="A941" i="2" a="1"/>
  <c r="A941" i="2" s="1"/>
  <c r="B941" i="2" a="1"/>
  <c r="B941" i="2" s="1"/>
  <c r="C941" i="2" a="1"/>
  <c r="C941" i="2" s="1"/>
  <c r="D941" i="2" a="1"/>
  <c r="D941" i="2" s="1"/>
  <c r="E941" i="2" a="1"/>
  <c r="E941" i="2" s="1"/>
  <c r="F941" i="2" a="1"/>
  <c r="F941" i="2" s="1"/>
  <c r="G941" i="2" a="1"/>
  <c r="G941" i="2" s="1"/>
  <c r="H941" i="2" a="1"/>
  <c r="H941" i="2" s="1"/>
  <c r="I941" i="2" a="1"/>
  <c r="I941" i="2" s="1"/>
  <c r="J941" i="2" a="1"/>
  <c r="J941" i="2" s="1"/>
  <c r="K941" i="2" a="1"/>
  <c r="K941" i="2" s="1"/>
  <c r="L941" i="2" a="1"/>
  <c r="L941" i="2" s="1"/>
  <c r="M941" i="2" a="1"/>
  <c r="M941" i="2" s="1"/>
  <c r="N941" i="2" a="1"/>
  <c r="N941" i="2" s="1"/>
  <c r="O941" i="2" a="1"/>
  <c r="O941" i="2" s="1"/>
  <c r="P941" i="2" a="1"/>
  <c r="P941" i="2" s="1"/>
  <c r="Q941" i="2" a="1"/>
  <c r="Q941" i="2" s="1"/>
  <c r="A942" i="2" a="1"/>
  <c r="A942" i="2" s="1"/>
  <c r="B942" i="2" a="1"/>
  <c r="B942" i="2" s="1"/>
  <c r="C942" i="2" a="1"/>
  <c r="C942" i="2" s="1"/>
  <c r="D942" i="2" a="1"/>
  <c r="D942" i="2" s="1"/>
  <c r="E942" i="2" a="1"/>
  <c r="E942" i="2" s="1"/>
  <c r="F942" i="2" a="1"/>
  <c r="F942" i="2" s="1"/>
  <c r="G942" i="2" a="1"/>
  <c r="G942" i="2" s="1"/>
  <c r="H942" i="2" a="1"/>
  <c r="H942" i="2" s="1"/>
  <c r="I942" i="2" a="1"/>
  <c r="I942" i="2" s="1"/>
  <c r="J942" i="2" a="1"/>
  <c r="J942" i="2" s="1"/>
  <c r="K942" i="2" a="1"/>
  <c r="K942" i="2" s="1"/>
  <c r="L942" i="2" a="1"/>
  <c r="L942" i="2" s="1"/>
  <c r="M942" i="2" a="1"/>
  <c r="M942" i="2" s="1"/>
  <c r="N942" i="2" a="1"/>
  <c r="N942" i="2" s="1"/>
  <c r="O942" i="2" a="1"/>
  <c r="O942" i="2" s="1"/>
  <c r="P942" i="2" a="1"/>
  <c r="P942" i="2" s="1"/>
  <c r="Q942" i="2" a="1"/>
  <c r="Q942" i="2" s="1"/>
  <c r="A943" i="2" a="1"/>
  <c r="A943" i="2" s="1"/>
  <c r="B943" i="2" a="1"/>
  <c r="B943" i="2" s="1"/>
  <c r="C943" i="2" a="1"/>
  <c r="C943" i="2" s="1"/>
  <c r="D943" i="2" a="1"/>
  <c r="D943" i="2" s="1"/>
  <c r="E943" i="2" a="1"/>
  <c r="E943" i="2" s="1"/>
  <c r="F943" i="2" a="1"/>
  <c r="F943" i="2" s="1"/>
  <c r="G943" i="2" a="1"/>
  <c r="G943" i="2" s="1"/>
  <c r="H943" i="2" a="1"/>
  <c r="H943" i="2" s="1"/>
  <c r="I943" i="2" a="1"/>
  <c r="I943" i="2" s="1"/>
  <c r="J943" i="2" a="1"/>
  <c r="J943" i="2" s="1"/>
  <c r="K943" i="2" a="1"/>
  <c r="K943" i="2" s="1"/>
  <c r="L943" i="2" a="1"/>
  <c r="L943" i="2" s="1"/>
  <c r="M943" i="2" a="1"/>
  <c r="M943" i="2" s="1"/>
  <c r="N943" i="2" a="1"/>
  <c r="N943" i="2" s="1"/>
  <c r="O943" i="2" a="1"/>
  <c r="O943" i="2" s="1"/>
  <c r="P943" i="2" a="1"/>
  <c r="P943" i="2" s="1"/>
  <c r="Q943" i="2" a="1"/>
  <c r="Q943" i="2" s="1"/>
  <c r="A944" i="2" a="1"/>
  <c r="A944" i="2" s="1"/>
  <c r="B944" i="2" a="1"/>
  <c r="B944" i="2" s="1"/>
  <c r="C944" i="2" a="1"/>
  <c r="C944" i="2" s="1"/>
  <c r="D944" i="2" a="1"/>
  <c r="D944" i="2" s="1"/>
  <c r="E944" i="2" a="1"/>
  <c r="E944" i="2" s="1"/>
  <c r="F944" i="2" a="1"/>
  <c r="F944" i="2" s="1"/>
  <c r="G944" i="2" a="1"/>
  <c r="G944" i="2" s="1"/>
  <c r="H944" i="2" a="1"/>
  <c r="H944" i="2" s="1"/>
  <c r="I944" i="2" a="1"/>
  <c r="I944" i="2" s="1"/>
  <c r="J944" i="2" a="1"/>
  <c r="J944" i="2" s="1"/>
  <c r="K944" i="2" a="1"/>
  <c r="K944" i="2" s="1"/>
  <c r="L944" i="2" a="1"/>
  <c r="L944" i="2" s="1"/>
  <c r="M944" i="2" a="1"/>
  <c r="M944" i="2" s="1"/>
  <c r="N944" i="2" a="1"/>
  <c r="N944" i="2" s="1"/>
  <c r="O944" i="2" a="1"/>
  <c r="O944" i="2" s="1"/>
  <c r="P944" i="2" a="1"/>
  <c r="P944" i="2" s="1"/>
  <c r="Q944" i="2" a="1"/>
  <c r="Q944" i="2" s="1"/>
  <c r="A945" i="2" a="1"/>
  <c r="A945" i="2" s="1"/>
  <c r="B945" i="2" a="1"/>
  <c r="B945" i="2" s="1"/>
  <c r="C945" i="2" a="1"/>
  <c r="C945" i="2" s="1"/>
  <c r="D945" i="2" a="1"/>
  <c r="D945" i="2" s="1"/>
  <c r="E945" i="2" a="1"/>
  <c r="E945" i="2" s="1"/>
  <c r="F945" i="2" a="1"/>
  <c r="F945" i="2" s="1"/>
  <c r="G945" i="2" a="1"/>
  <c r="G945" i="2" s="1"/>
  <c r="H945" i="2" a="1"/>
  <c r="H945" i="2" s="1"/>
  <c r="I945" i="2" a="1"/>
  <c r="I945" i="2" s="1"/>
  <c r="J945" i="2" a="1"/>
  <c r="J945" i="2" s="1"/>
  <c r="K945" i="2" a="1"/>
  <c r="K945" i="2" s="1"/>
  <c r="L945" i="2" a="1"/>
  <c r="L945" i="2" s="1"/>
  <c r="M945" i="2" a="1"/>
  <c r="M945" i="2" s="1"/>
  <c r="N945" i="2" a="1"/>
  <c r="N945" i="2" s="1"/>
  <c r="O945" i="2" a="1"/>
  <c r="O945" i="2" s="1"/>
  <c r="P945" i="2" a="1"/>
  <c r="P945" i="2" s="1"/>
  <c r="Q945" i="2" a="1"/>
  <c r="Q945" i="2" s="1"/>
  <c r="A946" i="2" a="1"/>
  <c r="A946" i="2" s="1"/>
  <c r="B946" i="2" a="1"/>
  <c r="B946" i="2" s="1"/>
  <c r="C946" i="2" a="1"/>
  <c r="C946" i="2" s="1"/>
  <c r="D946" i="2" a="1"/>
  <c r="D946" i="2" s="1"/>
  <c r="E946" i="2" a="1"/>
  <c r="E946" i="2" s="1"/>
  <c r="F946" i="2" a="1"/>
  <c r="F946" i="2" s="1"/>
  <c r="G946" i="2" a="1"/>
  <c r="G946" i="2" s="1"/>
  <c r="H946" i="2" a="1"/>
  <c r="H946" i="2" s="1"/>
  <c r="I946" i="2" a="1"/>
  <c r="I946" i="2" s="1"/>
  <c r="J946" i="2" a="1"/>
  <c r="J946" i="2" s="1"/>
  <c r="K946" i="2" a="1"/>
  <c r="K946" i="2" s="1"/>
  <c r="L946" i="2" a="1"/>
  <c r="L946" i="2" s="1"/>
  <c r="M946" i="2" a="1"/>
  <c r="M946" i="2" s="1"/>
  <c r="N946" i="2" a="1"/>
  <c r="N946" i="2" s="1"/>
  <c r="O946" i="2" a="1"/>
  <c r="O946" i="2" s="1"/>
  <c r="P946" i="2" a="1"/>
  <c r="P946" i="2" s="1"/>
  <c r="Q946" i="2" a="1"/>
  <c r="Q946" i="2" s="1"/>
  <c r="A947" i="2" a="1"/>
  <c r="A947" i="2" s="1"/>
  <c r="B947" i="2" a="1"/>
  <c r="B947" i="2" s="1"/>
  <c r="C947" i="2" a="1"/>
  <c r="C947" i="2" s="1"/>
  <c r="D947" i="2" a="1"/>
  <c r="D947" i="2" s="1"/>
  <c r="E947" i="2" a="1"/>
  <c r="E947" i="2" s="1"/>
  <c r="F947" i="2" a="1"/>
  <c r="F947" i="2" s="1"/>
  <c r="G947" i="2" a="1"/>
  <c r="G947" i="2" s="1"/>
  <c r="H947" i="2" a="1"/>
  <c r="H947" i="2" s="1"/>
  <c r="I947" i="2" a="1"/>
  <c r="I947" i="2" s="1"/>
  <c r="J947" i="2" a="1"/>
  <c r="J947" i="2" s="1"/>
  <c r="K947" i="2" a="1"/>
  <c r="K947" i="2" s="1"/>
  <c r="L947" i="2" a="1"/>
  <c r="L947" i="2" s="1"/>
  <c r="M947" i="2" a="1"/>
  <c r="M947" i="2" s="1"/>
  <c r="N947" i="2" a="1"/>
  <c r="N947" i="2" s="1"/>
  <c r="O947" i="2" a="1"/>
  <c r="O947" i="2" s="1"/>
  <c r="P947" i="2" a="1"/>
  <c r="P947" i="2" s="1"/>
  <c r="Q947" i="2" a="1"/>
  <c r="Q947" i="2" s="1"/>
  <c r="A948" i="2" a="1"/>
  <c r="A948" i="2" s="1"/>
  <c r="B948" i="2" a="1"/>
  <c r="B948" i="2" s="1"/>
  <c r="C948" i="2" a="1"/>
  <c r="C948" i="2" s="1"/>
  <c r="D948" i="2" a="1"/>
  <c r="D948" i="2" s="1"/>
  <c r="E948" i="2" a="1"/>
  <c r="E948" i="2" s="1"/>
  <c r="F948" i="2" a="1"/>
  <c r="F948" i="2" s="1"/>
  <c r="G948" i="2" a="1"/>
  <c r="G948" i="2" s="1"/>
  <c r="H948" i="2" a="1"/>
  <c r="H948" i="2" s="1"/>
  <c r="I948" i="2" a="1"/>
  <c r="I948" i="2" s="1"/>
  <c r="J948" i="2" a="1"/>
  <c r="J948" i="2" s="1"/>
  <c r="K948" i="2" a="1"/>
  <c r="K948" i="2" s="1"/>
  <c r="L948" i="2" a="1"/>
  <c r="L948" i="2" s="1"/>
  <c r="M948" i="2" a="1"/>
  <c r="M948" i="2" s="1"/>
  <c r="N948" i="2" a="1"/>
  <c r="N948" i="2" s="1"/>
  <c r="O948" i="2" a="1"/>
  <c r="O948" i="2" s="1"/>
  <c r="P948" i="2" a="1"/>
  <c r="P948" i="2" s="1"/>
  <c r="Q948" i="2" a="1"/>
  <c r="Q948" i="2" s="1"/>
  <c r="A949" i="2" a="1"/>
  <c r="A949" i="2" s="1"/>
  <c r="B949" i="2" a="1"/>
  <c r="B949" i="2" s="1"/>
  <c r="C949" i="2" a="1"/>
  <c r="C949" i="2" s="1"/>
  <c r="D949" i="2" a="1"/>
  <c r="D949" i="2" s="1"/>
  <c r="E949" i="2" a="1"/>
  <c r="E949" i="2" s="1"/>
  <c r="F949" i="2" a="1"/>
  <c r="F949" i="2" s="1"/>
  <c r="G949" i="2" a="1"/>
  <c r="G949" i="2" s="1"/>
  <c r="H949" i="2" a="1"/>
  <c r="H949" i="2" s="1"/>
  <c r="I949" i="2" a="1"/>
  <c r="I949" i="2" s="1"/>
  <c r="J949" i="2" a="1"/>
  <c r="J949" i="2" s="1"/>
  <c r="K949" i="2" a="1"/>
  <c r="K949" i="2" s="1"/>
  <c r="L949" i="2" a="1"/>
  <c r="L949" i="2" s="1"/>
  <c r="M949" i="2" a="1"/>
  <c r="M949" i="2" s="1"/>
  <c r="N949" i="2" a="1"/>
  <c r="N949" i="2" s="1"/>
  <c r="O949" i="2" a="1"/>
  <c r="O949" i="2" s="1"/>
  <c r="P949" i="2" a="1"/>
  <c r="P949" i="2" s="1"/>
  <c r="Q949" i="2" a="1"/>
  <c r="Q949" i="2" s="1"/>
  <c r="A950" i="2" a="1"/>
  <c r="A950" i="2" s="1"/>
  <c r="B950" i="2" a="1"/>
  <c r="B950" i="2" s="1"/>
  <c r="C950" i="2" a="1"/>
  <c r="C950" i="2" s="1"/>
  <c r="D950" i="2" a="1"/>
  <c r="D950" i="2" s="1"/>
  <c r="E950" i="2" a="1"/>
  <c r="E950" i="2" s="1"/>
  <c r="F950" i="2" a="1"/>
  <c r="F950" i="2" s="1"/>
  <c r="G950" i="2" a="1"/>
  <c r="G950" i="2" s="1"/>
  <c r="H950" i="2" a="1"/>
  <c r="H950" i="2" s="1"/>
  <c r="I950" i="2" a="1"/>
  <c r="I950" i="2" s="1"/>
  <c r="J950" i="2" a="1"/>
  <c r="J950" i="2" s="1"/>
  <c r="K950" i="2" a="1"/>
  <c r="K950" i="2" s="1"/>
  <c r="L950" i="2" a="1"/>
  <c r="L950" i="2" s="1"/>
  <c r="M950" i="2" a="1"/>
  <c r="M950" i="2" s="1"/>
  <c r="N950" i="2" a="1"/>
  <c r="N950" i="2" s="1"/>
  <c r="O950" i="2" a="1"/>
  <c r="O950" i="2" s="1"/>
  <c r="P950" i="2" a="1"/>
  <c r="P950" i="2" s="1"/>
  <c r="Q950" i="2" a="1"/>
  <c r="Q950" i="2" s="1"/>
  <c r="A951" i="2" a="1"/>
  <c r="A951" i="2" s="1"/>
  <c r="B951" i="2" a="1"/>
  <c r="B951" i="2" s="1"/>
  <c r="C951" i="2" a="1"/>
  <c r="C951" i="2" s="1"/>
  <c r="D951" i="2" a="1"/>
  <c r="D951" i="2" s="1"/>
  <c r="E951" i="2" a="1"/>
  <c r="E951" i="2" s="1"/>
  <c r="F951" i="2" a="1"/>
  <c r="F951" i="2" s="1"/>
  <c r="G951" i="2" a="1"/>
  <c r="G951" i="2" s="1"/>
  <c r="H951" i="2" a="1"/>
  <c r="H951" i="2" s="1"/>
  <c r="I951" i="2" a="1"/>
  <c r="I951" i="2" s="1"/>
  <c r="J951" i="2" a="1"/>
  <c r="J951" i="2" s="1"/>
  <c r="K951" i="2" a="1"/>
  <c r="K951" i="2" s="1"/>
  <c r="L951" i="2" a="1"/>
  <c r="L951" i="2" s="1"/>
  <c r="M951" i="2" a="1"/>
  <c r="M951" i="2" s="1"/>
  <c r="N951" i="2" a="1"/>
  <c r="N951" i="2" s="1"/>
  <c r="O951" i="2" a="1"/>
  <c r="O951" i="2" s="1"/>
  <c r="P951" i="2" a="1"/>
  <c r="P951" i="2" s="1"/>
  <c r="Q951" i="2" a="1"/>
  <c r="Q951" i="2" s="1"/>
  <c r="A952" i="2" a="1"/>
  <c r="A952" i="2" s="1"/>
  <c r="B952" i="2" a="1"/>
  <c r="B952" i="2" s="1"/>
  <c r="C952" i="2" a="1"/>
  <c r="C952" i="2" s="1"/>
  <c r="D952" i="2" a="1"/>
  <c r="D952" i="2" s="1"/>
  <c r="E952" i="2" a="1"/>
  <c r="E952" i="2" s="1"/>
  <c r="F952" i="2" a="1"/>
  <c r="F952" i="2" s="1"/>
  <c r="G952" i="2" a="1"/>
  <c r="G952" i="2" s="1"/>
  <c r="H952" i="2" a="1"/>
  <c r="H952" i="2" s="1"/>
  <c r="I952" i="2" a="1"/>
  <c r="I952" i="2" s="1"/>
  <c r="J952" i="2" a="1"/>
  <c r="J952" i="2" s="1"/>
  <c r="K952" i="2" a="1"/>
  <c r="K952" i="2" s="1"/>
  <c r="L952" i="2" a="1"/>
  <c r="L952" i="2" s="1"/>
  <c r="M952" i="2" a="1"/>
  <c r="M952" i="2" s="1"/>
  <c r="N952" i="2" a="1"/>
  <c r="N952" i="2" s="1"/>
  <c r="O952" i="2" a="1"/>
  <c r="O952" i="2" s="1"/>
  <c r="P952" i="2" a="1"/>
  <c r="P952" i="2" s="1"/>
  <c r="Q952" i="2" a="1"/>
  <c r="Q952" i="2" s="1"/>
  <c r="A953" i="2" a="1"/>
  <c r="A953" i="2" s="1"/>
  <c r="B953" i="2" a="1"/>
  <c r="B953" i="2" s="1"/>
  <c r="C953" i="2" a="1"/>
  <c r="C953" i="2" s="1"/>
  <c r="D953" i="2" a="1"/>
  <c r="D953" i="2" s="1"/>
  <c r="E953" i="2" a="1"/>
  <c r="E953" i="2" s="1"/>
  <c r="F953" i="2" a="1"/>
  <c r="F953" i="2" s="1"/>
  <c r="G953" i="2" a="1"/>
  <c r="G953" i="2" s="1"/>
  <c r="H953" i="2" a="1"/>
  <c r="H953" i="2" s="1"/>
  <c r="I953" i="2" a="1"/>
  <c r="I953" i="2" s="1"/>
  <c r="J953" i="2" a="1"/>
  <c r="J953" i="2" s="1"/>
  <c r="K953" i="2" a="1"/>
  <c r="K953" i="2" s="1"/>
  <c r="L953" i="2" a="1"/>
  <c r="L953" i="2" s="1"/>
  <c r="M953" i="2" a="1"/>
  <c r="M953" i="2" s="1"/>
  <c r="N953" i="2" a="1"/>
  <c r="N953" i="2" s="1"/>
  <c r="O953" i="2" a="1"/>
  <c r="O953" i="2" s="1"/>
  <c r="P953" i="2" a="1"/>
  <c r="P953" i="2" s="1"/>
  <c r="Q953" i="2" a="1"/>
  <c r="Q953" i="2" s="1"/>
  <c r="A954" i="2" a="1"/>
  <c r="A954" i="2" s="1"/>
  <c r="B954" i="2" a="1"/>
  <c r="B954" i="2" s="1"/>
  <c r="C954" i="2" a="1"/>
  <c r="C954" i="2" s="1"/>
  <c r="D954" i="2" a="1"/>
  <c r="D954" i="2" s="1"/>
  <c r="E954" i="2" a="1"/>
  <c r="E954" i="2" s="1"/>
  <c r="F954" i="2" a="1"/>
  <c r="F954" i="2" s="1"/>
  <c r="G954" i="2" a="1"/>
  <c r="G954" i="2" s="1"/>
  <c r="H954" i="2" a="1"/>
  <c r="H954" i="2" s="1"/>
  <c r="I954" i="2" a="1"/>
  <c r="I954" i="2" s="1"/>
  <c r="J954" i="2" a="1"/>
  <c r="J954" i="2" s="1"/>
  <c r="K954" i="2" a="1"/>
  <c r="K954" i="2" s="1"/>
  <c r="L954" i="2" a="1"/>
  <c r="L954" i="2" s="1"/>
  <c r="M954" i="2" a="1"/>
  <c r="M954" i="2" s="1"/>
  <c r="N954" i="2" a="1"/>
  <c r="N954" i="2" s="1"/>
  <c r="O954" i="2" a="1"/>
  <c r="O954" i="2" s="1"/>
  <c r="P954" i="2" a="1"/>
  <c r="P954" i="2" s="1"/>
  <c r="Q954" i="2" a="1"/>
  <c r="Q954" i="2" s="1"/>
  <c r="A955" i="2" a="1"/>
  <c r="A955" i="2" s="1"/>
  <c r="B955" i="2" a="1"/>
  <c r="B955" i="2" s="1"/>
  <c r="C955" i="2" a="1"/>
  <c r="C955" i="2" s="1"/>
  <c r="D955" i="2" a="1"/>
  <c r="D955" i="2" s="1"/>
  <c r="E955" i="2" a="1"/>
  <c r="E955" i="2" s="1"/>
  <c r="F955" i="2" a="1"/>
  <c r="F955" i="2" s="1"/>
  <c r="G955" i="2" a="1"/>
  <c r="G955" i="2" s="1"/>
  <c r="H955" i="2" a="1"/>
  <c r="H955" i="2" s="1"/>
  <c r="I955" i="2" a="1"/>
  <c r="I955" i="2" s="1"/>
  <c r="J955" i="2" a="1"/>
  <c r="J955" i="2" s="1"/>
  <c r="K955" i="2" a="1"/>
  <c r="K955" i="2" s="1"/>
  <c r="L955" i="2" a="1"/>
  <c r="L955" i="2" s="1"/>
  <c r="M955" i="2" a="1"/>
  <c r="M955" i="2" s="1"/>
  <c r="N955" i="2" a="1"/>
  <c r="N955" i="2" s="1"/>
  <c r="O955" i="2" a="1"/>
  <c r="O955" i="2" s="1"/>
  <c r="P955" i="2" a="1"/>
  <c r="P955" i="2" s="1"/>
  <c r="Q955" i="2" a="1"/>
  <c r="Q955" i="2" s="1"/>
  <c r="A956" i="2" a="1"/>
  <c r="A956" i="2" s="1"/>
  <c r="B956" i="2" a="1"/>
  <c r="B956" i="2" s="1"/>
  <c r="C956" i="2" a="1"/>
  <c r="C956" i="2" s="1"/>
  <c r="D956" i="2" a="1"/>
  <c r="D956" i="2" s="1"/>
  <c r="E956" i="2" a="1"/>
  <c r="E956" i="2" s="1"/>
  <c r="F956" i="2" a="1"/>
  <c r="F956" i="2" s="1"/>
  <c r="G956" i="2" a="1"/>
  <c r="G956" i="2" s="1"/>
  <c r="H956" i="2" a="1"/>
  <c r="H956" i="2" s="1"/>
  <c r="I956" i="2" a="1"/>
  <c r="I956" i="2" s="1"/>
  <c r="J956" i="2" a="1"/>
  <c r="J956" i="2" s="1"/>
  <c r="K956" i="2" a="1"/>
  <c r="K956" i="2" s="1"/>
  <c r="L956" i="2" a="1"/>
  <c r="L956" i="2" s="1"/>
  <c r="M956" i="2" a="1"/>
  <c r="M956" i="2" s="1"/>
  <c r="N956" i="2" a="1"/>
  <c r="N956" i="2" s="1"/>
  <c r="O956" i="2" a="1"/>
  <c r="O956" i="2" s="1"/>
  <c r="P956" i="2" a="1"/>
  <c r="P956" i="2" s="1"/>
  <c r="Q956" i="2" a="1"/>
  <c r="Q956" i="2" s="1"/>
  <c r="A957" i="2" a="1"/>
  <c r="A957" i="2" s="1"/>
  <c r="B957" i="2" a="1"/>
  <c r="B957" i="2" s="1"/>
  <c r="C957" i="2" a="1"/>
  <c r="C957" i="2" s="1"/>
  <c r="D957" i="2" a="1"/>
  <c r="D957" i="2" s="1"/>
  <c r="E957" i="2" a="1"/>
  <c r="E957" i="2" s="1"/>
  <c r="F957" i="2" a="1"/>
  <c r="F957" i="2" s="1"/>
  <c r="G957" i="2" a="1"/>
  <c r="G957" i="2" s="1"/>
  <c r="H957" i="2" a="1"/>
  <c r="H957" i="2" s="1"/>
  <c r="I957" i="2" a="1"/>
  <c r="I957" i="2" s="1"/>
  <c r="J957" i="2" a="1"/>
  <c r="J957" i="2" s="1"/>
  <c r="K957" i="2" a="1"/>
  <c r="K957" i="2" s="1"/>
  <c r="L957" i="2" a="1"/>
  <c r="L957" i="2" s="1"/>
  <c r="M957" i="2" a="1"/>
  <c r="M957" i="2" s="1"/>
  <c r="N957" i="2" a="1"/>
  <c r="N957" i="2" s="1"/>
  <c r="O957" i="2" a="1"/>
  <c r="O957" i="2" s="1"/>
  <c r="P957" i="2" a="1"/>
  <c r="P957" i="2" s="1"/>
  <c r="Q957" i="2" a="1"/>
  <c r="Q957" i="2" s="1"/>
  <c r="A958" i="2" a="1"/>
  <c r="A958" i="2" s="1"/>
  <c r="B958" i="2" a="1"/>
  <c r="B958" i="2" s="1"/>
  <c r="C958" i="2" a="1"/>
  <c r="C958" i="2" s="1"/>
  <c r="D958" i="2" a="1"/>
  <c r="D958" i="2" s="1"/>
  <c r="E958" i="2" a="1"/>
  <c r="E958" i="2" s="1"/>
  <c r="F958" i="2" a="1"/>
  <c r="F958" i="2" s="1"/>
  <c r="G958" i="2" a="1"/>
  <c r="G958" i="2" s="1"/>
  <c r="H958" i="2" a="1"/>
  <c r="H958" i="2" s="1"/>
  <c r="I958" i="2" a="1"/>
  <c r="I958" i="2" s="1"/>
  <c r="J958" i="2" a="1"/>
  <c r="J958" i="2" s="1"/>
  <c r="K958" i="2" a="1"/>
  <c r="K958" i="2" s="1"/>
  <c r="L958" i="2" a="1"/>
  <c r="L958" i="2" s="1"/>
  <c r="M958" i="2" a="1"/>
  <c r="M958" i="2" s="1"/>
  <c r="N958" i="2" a="1"/>
  <c r="N958" i="2" s="1"/>
  <c r="O958" i="2" a="1"/>
  <c r="O958" i="2" s="1"/>
  <c r="P958" i="2" a="1"/>
  <c r="P958" i="2" s="1"/>
  <c r="Q958" i="2" a="1"/>
  <c r="Q958" i="2" s="1"/>
  <c r="A959" i="2" a="1"/>
  <c r="A959" i="2" s="1"/>
  <c r="B959" i="2" a="1"/>
  <c r="B959" i="2" s="1"/>
  <c r="C959" i="2" a="1"/>
  <c r="C959" i="2" s="1"/>
  <c r="D959" i="2" a="1"/>
  <c r="D959" i="2" s="1"/>
  <c r="E959" i="2" a="1"/>
  <c r="E959" i="2" s="1"/>
  <c r="F959" i="2" a="1"/>
  <c r="F959" i="2" s="1"/>
  <c r="G959" i="2" a="1"/>
  <c r="G959" i="2" s="1"/>
  <c r="H959" i="2" a="1"/>
  <c r="H959" i="2" s="1"/>
  <c r="I959" i="2" a="1"/>
  <c r="I959" i="2" s="1"/>
  <c r="J959" i="2" a="1"/>
  <c r="J959" i="2" s="1"/>
  <c r="K959" i="2" a="1"/>
  <c r="K959" i="2" s="1"/>
  <c r="L959" i="2" a="1"/>
  <c r="L959" i="2" s="1"/>
  <c r="M959" i="2" a="1"/>
  <c r="M959" i="2" s="1"/>
  <c r="N959" i="2" a="1"/>
  <c r="N959" i="2" s="1"/>
  <c r="O959" i="2" a="1"/>
  <c r="O959" i="2" s="1"/>
  <c r="P959" i="2" a="1"/>
  <c r="P959" i="2" s="1"/>
  <c r="Q959" i="2" a="1"/>
  <c r="Q959" i="2" s="1"/>
  <c r="A960" i="2" a="1"/>
  <c r="A960" i="2" s="1"/>
  <c r="B960" i="2" a="1"/>
  <c r="B960" i="2" s="1"/>
  <c r="C960" i="2" a="1"/>
  <c r="C960" i="2" s="1"/>
  <c r="D960" i="2" a="1"/>
  <c r="D960" i="2" s="1"/>
  <c r="E960" i="2" a="1"/>
  <c r="E960" i="2" s="1"/>
  <c r="F960" i="2" a="1"/>
  <c r="F960" i="2" s="1"/>
  <c r="G960" i="2" a="1"/>
  <c r="G960" i="2" s="1"/>
  <c r="H960" i="2" a="1"/>
  <c r="H960" i="2" s="1"/>
  <c r="I960" i="2" a="1"/>
  <c r="I960" i="2" s="1"/>
  <c r="J960" i="2" a="1"/>
  <c r="J960" i="2" s="1"/>
  <c r="K960" i="2" a="1"/>
  <c r="K960" i="2" s="1"/>
  <c r="L960" i="2" a="1"/>
  <c r="L960" i="2" s="1"/>
  <c r="M960" i="2" a="1"/>
  <c r="M960" i="2" s="1"/>
  <c r="N960" i="2" a="1"/>
  <c r="N960" i="2" s="1"/>
  <c r="O960" i="2" a="1"/>
  <c r="O960" i="2" s="1"/>
  <c r="P960" i="2" a="1"/>
  <c r="P960" i="2" s="1"/>
  <c r="Q960" i="2" a="1"/>
  <c r="Q960" i="2" s="1"/>
  <c r="A961" i="2" a="1"/>
  <c r="A961" i="2" s="1"/>
  <c r="B961" i="2" a="1"/>
  <c r="B961" i="2" s="1"/>
  <c r="C961" i="2" a="1"/>
  <c r="C961" i="2" s="1"/>
  <c r="D961" i="2" a="1"/>
  <c r="D961" i="2" s="1"/>
  <c r="E961" i="2" a="1"/>
  <c r="E961" i="2" s="1"/>
  <c r="F961" i="2" a="1"/>
  <c r="F961" i="2" s="1"/>
  <c r="G961" i="2" a="1"/>
  <c r="G961" i="2" s="1"/>
  <c r="H961" i="2" a="1"/>
  <c r="H961" i="2" s="1"/>
  <c r="I961" i="2" a="1"/>
  <c r="I961" i="2" s="1"/>
  <c r="J961" i="2" a="1"/>
  <c r="J961" i="2" s="1"/>
  <c r="K961" i="2" a="1"/>
  <c r="K961" i="2" s="1"/>
  <c r="L961" i="2" a="1"/>
  <c r="L961" i="2" s="1"/>
  <c r="M961" i="2" a="1"/>
  <c r="M961" i="2" s="1"/>
  <c r="N961" i="2" a="1"/>
  <c r="N961" i="2" s="1"/>
  <c r="O961" i="2" a="1"/>
  <c r="O961" i="2" s="1"/>
  <c r="P961" i="2" a="1"/>
  <c r="P961" i="2" s="1"/>
  <c r="Q961" i="2" a="1"/>
  <c r="Q961" i="2" s="1"/>
  <c r="A962" i="2" a="1"/>
  <c r="A962" i="2" s="1"/>
  <c r="B962" i="2" a="1"/>
  <c r="B962" i="2" s="1"/>
  <c r="C962" i="2" a="1"/>
  <c r="C962" i="2" s="1"/>
  <c r="D962" i="2" a="1"/>
  <c r="D962" i="2" s="1"/>
  <c r="E962" i="2" a="1"/>
  <c r="E962" i="2" s="1"/>
  <c r="F962" i="2" a="1"/>
  <c r="F962" i="2" s="1"/>
  <c r="G962" i="2" a="1"/>
  <c r="G962" i="2" s="1"/>
  <c r="H962" i="2" a="1"/>
  <c r="H962" i="2" s="1"/>
  <c r="I962" i="2" a="1"/>
  <c r="I962" i="2" s="1"/>
  <c r="J962" i="2" a="1"/>
  <c r="J962" i="2" s="1"/>
  <c r="K962" i="2" a="1"/>
  <c r="K962" i="2" s="1"/>
  <c r="L962" i="2" a="1"/>
  <c r="L962" i="2" s="1"/>
  <c r="M962" i="2" a="1"/>
  <c r="M962" i="2" s="1"/>
  <c r="N962" i="2" a="1"/>
  <c r="N962" i="2" s="1"/>
  <c r="O962" i="2" a="1"/>
  <c r="O962" i="2" s="1"/>
  <c r="P962" i="2" a="1"/>
  <c r="P962" i="2" s="1"/>
  <c r="Q962" i="2" a="1"/>
  <c r="Q962" i="2" s="1"/>
  <c r="A963" i="2" a="1"/>
  <c r="A963" i="2" s="1"/>
  <c r="B963" i="2" a="1"/>
  <c r="B963" i="2" s="1"/>
  <c r="C963" i="2" a="1"/>
  <c r="C963" i="2" s="1"/>
  <c r="D963" i="2" a="1"/>
  <c r="D963" i="2" s="1"/>
  <c r="E963" i="2" a="1"/>
  <c r="E963" i="2" s="1"/>
  <c r="F963" i="2" a="1"/>
  <c r="F963" i="2" s="1"/>
  <c r="G963" i="2" a="1"/>
  <c r="G963" i="2" s="1"/>
  <c r="H963" i="2" a="1"/>
  <c r="H963" i="2" s="1"/>
  <c r="I963" i="2" a="1"/>
  <c r="I963" i="2" s="1"/>
  <c r="J963" i="2" a="1"/>
  <c r="J963" i="2" s="1"/>
  <c r="K963" i="2" a="1"/>
  <c r="K963" i="2" s="1"/>
  <c r="L963" i="2" a="1"/>
  <c r="L963" i="2" s="1"/>
  <c r="M963" i="2" a="1"/>
  <c r="M963" i="2" s="1"/>
  <c r="N963" i="2" a="1"/>
  <c r="N963" i="2" s="1"/>
  <c r="O963" i="2" a="1"/>
  <c r="O963" i="2" s="1"/>
  <c r="P963" i="2" a="1"/>
  <c r="P963" i="2" s="1"/>
  <c r="Q963" i="2" a="1"/>
  <c r="Q963" i="2" s="1"/>
  <c r="A964" i="2" a="1"/>
  <c r="A964" i="2" s="1"/>
  <c r="B964" i="2" a="1"/>
  <c r="B964" i="2" s="1"/>
  <c r="C964" i="2" a="1"/>
  <c r="C964" i="2" s="1"/>
  <c r="D964" i="2" a="1"/>
  <c r="D964" i="2" s="1"/>
  <c r="E964" i="2" a="1"/>
  <c r="E964" i="2" s="1"/>
  <c r="F964" i="2" a="1"/>
  <c r="F964" i="2" s="1"/>
  <c r="G964" i="2" a="1"/>
  <c r="G964" i="2" s="1"/>
  <c r="H964" i="2" a="1"/>
  <c r="H964" i="2" s="1"/>
  <c r="I964" i="2" a="1"/>
  <c r="I964" i="2" s="1"/>
  <c r="J964" i="2" a="1"/>
  <c r="J964" i="2" s="1"/>
  <c r="K964" i="2" a="1"/>
  <c r="K964" i="2" s="1"/>
  <c r="L964" i="2" a="1"/>
  <c r="L964" i="2" s="1"/>
  <c r="M964" i="2" a="1"/>
  <c r="M964" i="2" s="1"/>
  <c r="N964" i="2" a="1"/>
  <c r="N964" i="2" s="1"/>
  <c r="O964" i="2" a="1"/>
  <c r="O964" i="2" s="1"/>
  <c r="P964" i="2" a="1"/>
  <c r="P964" i="2" s="1"/>
  <c r="Q964" i="2" a="1"/>
  <c r="Q964" i="2" s="1"/>
  <c r="A965" i="2" a="1"/>
  <c r="A965" i="2" s="1"/>
  <c r="B965" i="2" a="1"/>
  <c r="B965" i="2" s="1"/>
  <c r="C965" i="2" a="1"/>
  <c r="C965" i="2" s="1"/>
  <c r="D965" i="2" a="1"/>
  <c r="D965" i="2" s="1"/>
  <c r="E965" i="2" a="1"/>
  <c r="E965" i="2" s="1"/>
  <c r="F965" i="2" a="1"/>
  <c r="F965" i="2" s="1"/>
  <c r="G965" i="2" a="1"/>
  <c r="G965" i="2" s="1"/>
  <c r="H965" i="2" a="1"/>
  <c r="H965" i="2" s="1"/>
  <c r="I965" i="2" a="1"/>
  <c r="I965" i="2" s="1"/>
  <c r="J965" i="2" a="1"/>
  <c r="J965" i="2" s="1"/>
  <c r="K965" i="2" a="1"/>
  <c r="K965" i="2" s="1"/>
  <c r="L965" i="2" a="1"/>
  <c r="L965" i="2" s="1"/>
  <c r="M965" i="2" a="1"/>
  <c r="M965" i="2" s="1"/>
  <c r="N965" i="2" a="1"/>
  <c r="N965" i="2" s="1"/>
  <c r="O965" i="2" a="1"/>
  <c r="O965" i="2" s="1"/>
  <c r="P965" i="2" a="1"/>
  <c r="P965" i="2" s="1"/>
  <c r="Q965" i="2" a="1"/>
  <c r="Q965" i="2" s="1"/>
  <c r="A966" i="2" a="1"/>
  <c r="A966" i="2" s="1"/>
  <c r="B966" i="2" a="1"/>
  <c r="B966" i="2" s="1"/>
  <c r="C966" i="2" a="1"/>
  <c r="C966" i="2" s="1"/>
  <c r="D966" i="2" a="1"/>
  <c r="D966" i="2" s="1"/>
  <c r="E966" i="2" a="1"/>
  <c r="E966" i="2" s="1"/>
  <c r="F966" i="2" a="1"/>
  <c r="F966" i="2" s="1"/>
  <c r="G966" i="2" a="1"/>
  <c r="G966" i="2" s="1"/>
  <c r="H966" i="2" a="1"/>
  <c r="H966" i="2" s="1"/>
  <c r="I966" i="2" a="1"/>
  <c r="I966" i="2" s="1"/>
  <c r="J966" i="2" a="1"/>
  <c r="J966" i="2" s="1"/>
  <c r="K966" i="2" a="1"/>
  <c r="K966" i="2" s="1"/>
  <c r="L966" i="2" a="1"/>
  <c r="L966" i="2" s="1"/>
  <c r="M966" i="2" a="1"/>
  <c r="M966" i="2" s="1"/>
  <c r="N966" i="2" a="1"/>
  <c r="N966" i="2" s="1"/>
  <c r="O966" i="2" a="1"/>
  <c r="O966" i="2" s="1"/>
  <c r="P966" i="2" a="1"/>
  <c r="P966" i="2" s="1"/>
  <c r="Q966" i="2" a="1"/>
  <c r="Q966" i="2" s="1"/>
  <c r="A967" i="2" a="1"/>
  <c r="A967" i="2" s="1"/>
  <c r="B967" i="2" a="1"/>
  <c r="B967" i="2" s="1"/>
  <c r="C967" i="2" a="1"/>
  <c r="C967" i="2" s="1"/>
  <c r="D967" i="2" a="1"/>
  <c r="D967" i="2" s="1"/>
  <c r="E967" i="2" a="1"/>
  <c r="E967" i="2" s="1"/>
  <c r="F967" i="2" a="1"/>
  <c r="F967" i="2" s="1"/>
  <c r="G967" i="2" a="1"/>
  <c r="G967" i="2" s="1"/>
  <c r="H967" i="2" a="1"/>
  <c r="H967" i="2" s="1"/>
  <c r="I967" i="2" a="1"/>
  <c r="I967" i="2" s="1"/>
  <c r="J967" i="2" a="1"/>
  <c r="J967" i="2" s="1"/>
  <c r="K967" i="2" a="1"/>
  <c r="K967" i="2" s="1"/>
  <c r="L967" i="2" a="1"/>
  <c r="L967" i="2" s="1"/>
  <c r="M967" i="2" a="1"/>
  <c r="M967" i="2" s="1"/>
  <c r="N967" i="2" a="1"/>
  <c r="N967" i="2" s="1"/>
  <c r="O967" i="2" a="1"/>
  <c r="O967" i="2" s="1"/>
  <c r="P967" i="2" a="1"/>
  <c r="P967" i="2" s="1"/>
  <c r="Q967" i="2" a="1"/>
  <c r="Q967" i="2" s="1"/>
  <c r="A968" i="2" a="1"/>
  <c r="A968" i="2" s="1"/>
  <c r="B968" i="2" a="1"/>
  <c r="B968" i="2" s="1"/>
  <c r="C968" i="2" a="1"/>
  <c r="C968" i="2" s="1"/>
  <c r="D968" i="2" a="1"/>
  <c r="D968" i="2" s="1"/>
  <c r="E968" i="2" a="1"/>
  <c r="E968" i="2" s="1"/>
  <c r="F968" i="2" a="1"/>
  <c r="F968" i="2" s="1"/>
  <c r="G968" i="2" a="1"/>
  <c r="G968" i="2" s="1"/>
  <c r="H968" i="2" a="1"/>
  <c r="H968" i="2" s="1"/>
  <c r="I968" i="2" a="1"/>
  <c r="I968" i="2" s="1"/>
  <c r="J968" i="2" a="1"/>
  <c r="J968" i="2" s="1"/>
  <c r="K968" i="2" a="1"/>
  <c r="K968" i="2" s="1"/>
  <c r="L968" i="2" a="1"/>
  <c r="L968" i="2" s="1"/>
  <c r="M968" i="2" a="1"/>
  <c r="M968" i="2" s="1"/>
  <c r="N968" i="2" a="1"/>
  <c r="N968" i="2" s="1"/>
  <c r="O968" i="2" a="1"/>
  <c r="O968" i="2" s="1"/>
  <c r="P968" i="2" a="1"/>
  <c r="P968" i="2" s="1"/>
  <c r="Q968" i="2" a="1"/>
  <c r="Q968" i="2" s="1"/>
  <c r="A969" i="2" a="1"/>
  <c r="A969" i="2" s="1"/>
  <c r="B969" i="2" a="1"/>
  <c r="B969" i="2" s="1"/>
  <c r="C969" i="2" a="1"/>
  <c r="C969" i="2" s="1"/>
  <c r="D969" i="2" a="1"/>
  <c r="D969" i="2" s="1"/>
  <c r="E969" i="2" a="1"/>
  <c r="E969" i="2" s="1"/>
  <c r="F969" i="2" a="1"/>
  <c r="F969" i="2" s="1"/>
  <c r="G969" i="2" a="1"/>
  <c r="G969" i="2" s="1"/>
  <c r="H969" i="2" a="1"/>
  <c r="H969" i="2" s="1"/>
  <c r="I969" i="2" a="1"/>
  <c r="I969" i="2" s="1"/>
  <c r="J969" i="2" a="1"/>
  <c r="J969" i="2" s="1"/>
  <c r="K969" i="2" a="1"/>
  <c r="K969" i="2" s="1"/>
  <c r="L969" i="2" a="1"/>
  <c r="L969" i="2" s="1"/>
  <c r="M969" i="2" a="1"/>
  <c r="M969" i="2" s="1"/>
  <c r="N969" i="2" a="1"/>
  <c r="N969" i="2" s="1"/>
  <c r="O969" i="2" a="1"/>
  <c r="O969" i="2" s="1"/>
  <c r="P969" i="2" a="1"/>
  <c r="P969" i="2" s="1"/>
  <c r="Q969" i="2" a="1"/>
  <c r="Q969" i="2" s="1"/>
  <c r="A970" i="2" a="1"/>
  <c r="A970" i="2" s="1"/>
  <c r="B970" i="2" a="1"/>
  <c r="B970" i="2" s="1"/>
  <c r="C970" i="2" a="1"/>
  <c r="C970" i="2" s="1"/>
  <c r="D970" i="2" a="1"/>
  <c r="D970" i="2" s="1"/>
  <c r="E970" i="2" a="1"/>
  <c r="E970" i="2" s="1"/>
  <c r="F970" i="2" a="1"/>
  <c r="F970" i="2" s="1"/>
  <c r="G970" i="2" a="1"/>
  <c r="G970" i="2" s="1"/>
  <c r="H970" i="2" a="1"/>
  <c r="H970" i="2" s="1"/>
  <c r="I970" i="2" a="1"/>
  <c r="I970" i="2" s="1"/>
  <c r="J970" i="2" a="1"/>
  <c r="J970" i="2" s="1"/>
  <c r="K970" i="2" a="1"/>
  <c r="K970" i="2" s="1"/>
  <c r="L970" i="2" a="1"/>
  <c r="L970" i="2" s="1"/>
  <c r="M970" i="2" a="1"/>
  <c r="M970" i="2" s="1"/>
  <c r="N970" i="2" a="1"/>
  <c r="N970" i="2" s="1"/>
  <c r="O970" i="2" a="1"/>
  <c r="O970" i="2" s="1"/>
  <c r="P970" i="2" a="1"/>
  <c r="P970" i="2" s="1"/>
  <c r="Q970" i="2" a="1"/>
  <c r="Q970" i="2" s="1"/>
  <c r="A971" i="2" a="1"/>
  <c r="A971" i="2" s="1"/>
  <c r="B971" i="2" a="1"/>
  <c r="B971" i="2" s="1"/>
  <c r="C971" i="2" a="1"/>
  <c r="C971" i="2" s="1"/>
  <c r="D971" i="2" a="1"/>
  <c r="D971" i="2" s="1"/>
  <c r="E971" i="2" a="1"/>
  <c r="E971" i="2" s="1"/>
  <c r="F971" i="2" a="1"/>
  <c r="F971" i="2" s="1"/>
  <c r="G971" i="2" a="1"/>
  <c r="G971" i="2" s="1"/>
  <c r="H971" i="2" a="1"/>
  <c r="H971" i="2" s="1"/>
  <c r="I971" i="2" a="1"/>
  <c r="I971" i="2" s="1"/>
  <c r="J971" i="2" a="1"/>
  <c r="J971" i="2" s="1"/>
  <c r="K971" i="2" a="1"/>
  <c r="K971" i="2" s="1"/>
  <c r="L971" i="2" a="1"/>
  <c r="L971" i="2" s="1"/>
  <c r="M971" i="2" a="1"/>
  <c r="M971" i="2" s="1"/>
  <c r="N971" i="2" a="1"/>
  <c r="N971" i="2" s="1"/>
  <c r="O971" i="2" a="1"/>
  <c r="O971" i="2" s="1"/>
  <c r="P971" i="2" a="1"/>
  <c r="P971" i="2" s="1"/>
  <c r="Q971" i="2" a="1"/>
  <c r="Q971" i="2" s="1"/>
  <c r="A972" i="2" a="1"/>
  <c r="A972" i="2" s="1"/>
  <c r="B972" i="2" a="1"/>
  <c r="B972" i="2" s="1"/>
  <c r="C972" i="2" a="1"/>
  <c r="C972" i="2" s="1"/>
  <c r="D972" i="2" a="1"/>
  <c r="D972" i="2" s="1"/>
  <c r="E972" i="2" a="1"/>
  <c r="E972" i="2" s="1"/>
  <c r="F972" i="2" a="1"/>
  <c r="F972" i="2" s="1"/>
  <c r="G972" i="2" a="1"/>
  <c r="G972" i="2" s="1"/>
  <c r="H972" i="2" a="1"/>
  <c r="H972" i="2" s="1"/>
  <c r="I972" i="2" a="1"/>
  <c r="I972" i="2" s="1"/>
  <c r="J972" i="2" a="1"/>
  <c r="J972" i="2" s="1"/>
  <c r="K972" i="2" a="1"/>
  <c r="K972" i="2" s="1"/>
  <c r="L972" i="2" a="1"/>
  <c r="L972" i="2" s="1"/>
  <c r="M972" i="2" a="1"/>
  <c r="M972" i="2" s="1"/>
  <c r="N972" i="2" a="1"/>
  <c r="N972" i="2" s="1"/>
  <c r="O972" i="2" a="1"/>
  <c r="O972" i="2" s="1"/>
  <c r="P972" i="2" a="1"/>
  <c r="P972" i="2" s="1"/>
  <c r="Q972" i="2" a="1"/>
  <c r="Q972" i="2" s="1"/>
  <c r="A973" i="2" a="1"/>
  <c r="A973" i="2" s="1"/>
  <c r="B973" i="2" a="1"/>
  <c r="B973" i="2" s="1"/>
  <c r="C973" i="2" a="1"/>
  <c r="C973" i="2" s="1"/>
  <c r="D973" i="2" a="1"/>
  <c r="D973" i="2" s="1"/>
  <c r="E973" i="2" a="1"/>
  <c r="E973" i="2" s="1"/>
  <c r="F973" i="2" a="1"/>
  <c r="F973" i="2" s="1"/>
  <c r="G973" i="2" a="1"/>
  <c r="G973" i="2" s="1"/>
  <c r="H973" i="2" a="1"/>
  <c r="H973" i="2" s="1"/>
  <c r="I973" i="2" a="1"/>
  <c r="I973" i="2" s="1"/>
  <c r="J973" i="2" a="1"/>
  <c r="J973" i="2" s="1"/>
  <c r="K973" i="2" a="1"/>
  <c r="K973" i="2" s="1"/>
  <c r="L973" i="2" a="1"/>
  <c r="L973" i="2" s="1"/>
  <c r="M973" i="2" a="1"/>
  <c r="M973" i="2" s="1"/>
  <c r="N973" i="2" a="1"/>
  <c r="N973" i="2" s="1"/>
  <c r="O973" i="2" a="1"/>
  <c r="O973" i="2" s="1"/>
  <c r="P973" i="2" a="1"/>
  <c r="P973" i="2" s="1"/>
  <c r="Q973" i="2" a="1"/>
  <c r="Q973" i="2" s="1"/>
  <c r="A974" i="2" a="1"/>
  <c r="A974" i="2" s="1"/>
  <c r="B974" i="2" a="1"/>
  <c r="B974" i="2" s="1"/>
  <c r="C974" i="2" a="1"/>
  <c r="C974" i="2" s="1"/>
  <c r="D974" i="2" a="1"/>
  <c r="D974" i="2" s="1"/>
  <c r="E974" i="2" a="1"/>
  <c r="E974" i="2" s="1"/>
  <c r="F974" i="2" a="1"/>
  <c r="F974" i="2" s="1"/>
  <c r="G974" i="2" a="1"/>
  <c r="G974" i="2" s="1"/>
  <c r="H974" i="2" a="1"/>
  <c r="H974" i="2" s="1"/>
  <c r="I974" i="2" a="1"/>
  <c r="I974" i="2" s="1"/>
  <c r="J974" i="2" a="1"/>
  <c r="J974" i="2" s="1"/>
  <c r="K974" i="2" a="1"/>
  <c r="K974" i="2" s="1"/>
  <c r="L974" i="2" a="1"/>
  <c r="L974" i="2" s="1"/>
  <c r="M974" i="2" a="1"/>
  <c r="M974" i="2" s="1"/>
  <c r="N974" i="2" a="1"/>
  <c r="N974" i="2" s="1"/>
  <c r="O974" i="2" a="1"/>
  <c r="O974" i="2" s="1"/>
  <c r="P974" i="2" a="1"/>
  <c r="P974" i="2" s="1"/>
  <c r="Q974" i="2" a="1"/>
  <c r="Q974" i="2" s="1"/>
  <c r="A975" i="2" a="1"/>
  <c r="A975" i="2" s="1"/>
  <c r="B975" i="2" a="1"/>
  <c r="B975" i="2" s="1"/>
  <c r="C975" i="2" a="1"/>
  <c r="C975" i="2" s="1"/>
  <c r="D975" i="2" a="1"/>
  <c r="D975" i="2" s="1"/>
  <c r="E975" i="2" a="1"/>
  <c r="E975" i="2" s="1"/>
  <c r="F975" i="2" a="1"/>
  <c r="F975" i="2" s="1"/>
  <c r="G975" i="2" a="1"/>
  <c r="G975" i="2" s="1"/>
  <c r="H975" i="2" a="1"/>
  <c r="H975" i="2" s="1"/>
  <c r="I975" i="2" a="1"/>
  <c r="I975" i="2" s="1"/>
  <c r="J975" i="2" a="1"/>
  <c r="J975" i="2" s="1"/>
  <c r="K975" i="2" a="1"/>
  <c r="K975" i="2" s="1"/>
  <c r="L975" i="2" a="1"/>
  <c r="L975" i="2" s="1"/>
  <c r="M975" i="2" a="1"/>
  <c r="M975" i="2" s="1"/>
  <c r="N975" i="2" a="1"/>
  <c r="N975" i="2" s="1"/>
  <c r="O975" i="2" a="1"/>
  <c r="O975" i="2" s="1"/>
  <c r="P975" i="2" a="1"/>
  <c r="P975" i="2" s="1"/>
  <c r="Q975" i="2" a="1"/>
  <c r="Q975" i="2" s="1"/>
  <c r="A976" i="2" a="1"/>
  <c r="A976" i="2" s="1"/>
  <c r="B976" i="2" a="1"/>
  <c r="B976" i="2" s="1"/>
  <c r="C976" i="2" a="1"/>
  <c r="C976" i="2" s="1"/>
  <c r="D976" i="2" a="1"/>
  <c r="D976" i="2" s="1"/>
  <c r="E976" i="2" a="1"/>
  <c r="E976" i="2" s="1"/>
  <c r="F976" i="2" a="1"/>
  <c r="F976" i="2" s="1"/>
  <c r="G976" i="2" a="1"/>
  <c r="G976" i="2" s="1"/>
  <c r="H976" i="2" a="1"/>
  <c r="H976" i="2" s="1"/>
  <c r="I976" i="2" a="1"/>
  <c r="I976" i="2" s="1"/>
  <c r="J976" i="2" a="1"/>
  <c r="J976" i="2" s="1"/>
  <c r="K976" i="2" a="1"/>
  <c r="K976" i="2" s="1"/>
  <c r="L976" i="2" a="1"/>
  <c r="L976" i="2" s="1"/>
  <c r="M976" i="2" a="1"/>
  <c r="M976" i="2" s="1"/>
  <c r="N976" i="2" a="1"/>
  <c r="N976" i="2" s="1"/>
  <c r="O976" i="2" a="1"/>
  <c r="O976" i="2" s="1"/>
  <c r="P976" i="2" a="1"/>
  <c r="P976" i="2" s="1"/>
  <c r="Q976" i="2" a="1"/>
  <c r="Q976" i="2" s="1"/>
  <c r="A977" i="2" a="1"/>
  <c r="A977" i="2" s="1"/>
  <c r="B977" i="2" a="1"/>
  <c r="B977" i="2" s="1"/>
  <c r="C977" i="2" a="1"/>
  <c r="C977" i="2" s="1"/>
  <c r="D977" i="2" a="1"/>
  <c r="D977" i="2" s="1"/>
  <c r="E977" i="2" a="1"/>
  <c r="E977" i="2" s="1"/>
  <c r="F977" i="2" a="1"/>
  <c r="F977" i="2" s="1"/>
  <c r="G977" i="2" a="1"/>
  <c r="G977" i="2" s="1"/>
  <c r="H977" i="2" a="1"/>
  <c r="H977" i="2" s="1"/>
  <c r="I977" i="2" a="1"/>
  <c r="I977" i="2" s="1"/>
  <c r="J977" i="2" a="1"/>
  <c r="J977" i="2" s="1"/>
  <c r="K977" i="2" a="1"/>
  <c r="K977" i="2" s="1"/>
  <c r="L977" i="2" a="1"/>
  <c r="L977" i="2" s="1"/>
  <c r="M977" i="2" a="1"/>
  <c r="M977" i="2" s="1"/>
  <c r="N977" i="2" a="1"/>
  <c r="N977" i="2" s="1"/>
  <c r="O977" i="2" a="1"/>
  <c r="O977" i="2" s="1"/>
  <c r="P977" i="2" a="1"/>
  <c r="P977" i="2" s="1"/>
  <c r="Q977" i="2" a="1"/>
  <c r="Q977" i="2" s="1"/>
  <c r="A978" i="2" a="1"/>
  <c r="A978" i="2" s="1"/>
  <c r="B978" i="2" a="1"/>
  <c r="B978" i="2" s="1"/>
  <c r="C978" i="2" a="1"/>
  <c r="C978" i="2" s="1"/>
  <c r="D978" i="2" a="1"/>
  <c r="D978" i="2" s="1"/>
  <c r="E978" i="2" a="1"/>
  <c r="E978" i="2" s="1"/>
  <c r="F978" i="2" a="1"/>
  <c r="F978" i="2" s="1"/>
  <c r="G978" i="2" a="1"/>
  <c r="G978" i="2" s="1"/>
  <c r="H978" i="2" a="1"/>
  <c r="H978" i="2" s="1"/>
  <c r="I978" i="2" a="1"/>
  <c r="I978" i="2" s="1"/>
  <c r="J978" i="2" a="1"/>
  <c r="J978" i="2" s="1"/>
  <c r="K978" i="2" a="1"/>
  <c r="K978" i="2" s="1"/>
  <c r="L978" i="2" a="1"/>
  <c r="L978" i="2" s="1"/>
  <c r="M978" i="2" a="1"/>
  <c r="M978" i="2" s="1"/>
  <c r="N978" i="2" a="1"/>
  <c r="N978" i="2" s="1"/>
  <c r="O978" i="2" a="1"/>
  <c r="O978" i="2" s="1"/>
  <c r="P978" i="2" a="1"/>
  <c r="P978" i="2" s="1"/>
  <c r="Q978" i="2" a="1"/>
  <c r="Q978" i="2" s="1"/>
  <c r="A979" i="2" a="1"/>
  <c r="A979" i="2" s="1"/>
  <c r="B979" i="2" a="1"/>
  <c r="B979" i="2" s="1"/>
  <c r="C979" i="2" a="1"/>
  <c r="C979" i="2" s="1"/>
  <c r="D979" i="2" a="1"/>
  <c r="D979" i="2" s="1"/>
  <c r="E979" i="2" a="1"/>
  <c r="E979" i="2" s="1"/>
  <c r="F979" i="2" a="1"/>
  <c r="F979" i="2" s="1"/>
  <c r="G979" i="2" a="1"/>
  <c r="G979" i="2" s="1"/>
  <c r="H979" i="2" a="1"/>
  <c r="H979" i="2" s="1"/>
  <c r="I979" i="2" a="1"/>
  <c r="I979" i="2" s="1"/>
  <c r="J979" i="2" a="1"/>
  <c r="J979" i="2" s="1"/>
  <c r="K979" i="2" a="1"/>
  <c r="K979" i="2" s="1"/>
  <c r="L979" i="2" a="1"/>
  <c r="L979" i="2" s="1"/>
  <c r="M979" i="2" a="1"/>
  <c r="M979" i="2" s="1"/>
  <c r="N979" i="2" a="1"/>
  <c r="N979" i="2" s="1"/>
  <c r="O979" i="2" a="1"/>
  <c r="O979" i="2" s="1"/>
  <c r="P979" i="2" a="1"/>
  <c r="P979" i="2" s="1"/>
  <c r="Q979" i="2" a="1"/>
  <c r="Q979" i="2" s="1"/>
  <c r="A980" i="2" a="1"/>
  <c r="A980" i="2" s="1"/>
  <c r="B980" i="2" a="1"/>
  <c r="B980" i="2" s="1"/>
  <c r="C980" i="2" a="1"/>
  <c r="C980" i="2" s="1"/>
  <c r="D980" i="2" a="1"/>
  <c r="D980" i="2" s="1"/>
  <c r="E980" i="2" a="1"/>
  <c r="E980" i="2" s="1"/>
  <c r="F980" i="2" a="1"/>
  <c r="F980" i="2" s="1"/>
  <c r="G980" i="2" a="1"/>
  <c r="G980" i="2" s="1"/>
  <c r="H980" i="2" a="1"/>
  <c r="H980" i="2" s="1"/>
  <c r="I980" i="2" a="1"/>
  <c r="I980" i="2" s="1"/>
  <c r="J980" i="2" a="1"/>
  <c r="J980" i="2" s="1"/>
  <c r="K980" i="2" a="1"/>
  <c r="K980" i="2" s="1"/>
  <c r="L980" i="2" a="1"/>
  <c r="L980" i="2" s="1"/>
  <c r="M980" i="2" a="1"/>
  <c r="M980" i="2" s="1"/>
  <c r="N980" i="2" a="1"/>
  <c r="N980" i="2" s="1"/>
  <c r="O980" i="2" a="1"/>
  <c r="O980" i="2" s="1"/>
  <c r="P980" i="2" a="1"/>
  <c r="P980" i="2" s="1"/>
  <c r="Q980" i="2" a="1"/>
  <c r="Q980" i="2" s="1"/>
  <c r="A981" i="2" a="1"/>
  <c r="A981" i="2" s="1"/>
  <c r="B981" i="2" a="1"/>
  <c r="B981" i="2" s="1"/>
  <c r="C981" i="2" a="1"/>
  <c r="C981" i="2" s="1"/>
  <c r="D981" i="2" a="1"/>
  <c r="D981" i="2" s="1"/>
  <c r="E981" i="2" a="1"/>
  <c r="E981" i="2" s="1"/>
  <c r="F981" i="2" a="1"/>
  <c r="F981" i="2" s="1"/>
  <c r="G981" i="2" a="1"/>
  <c r="G981" i="2" s="1"/>
  <c r="H981" i="2" a="1"/>
  <c r="H981" i="2" s="1"/>
  <c r="I981" i="2" a="1"/>
  <c r="I981" i="2" s="1"/>
  <c r="J981" i="2" a="1"/>
  <c r="J981" i="2" s="1"/>
  <c r="K981" i="2" a="1"/>
  <c r="K981" i="2" s="1"/>
  <c r="L981" i="2" a="1"/>
  <c r="L981" i="2" s="1"/>
  <c r="M981" i="2" a="1"/>
  <c r="M981" i="2" s="1"/>
  <c r="N981" i="2" a="1"/>
  <c r="N981" i="2" s="1"/>
  <c r="O981" i="2" a="1"/>
  <c r="O981" i="2" s="1"/>
  <c r="P981" i="2" a="1"/>
  <c r="P981" i="2" s="1"/>
  <c r="Q981" i="2" a="1"/>
  <c r="Q981" i="2" s="1"/>
  <c r="A982" i="2" a="1"/>
  <c r="A982" i="2" s="1"/>
  <c r="B982" i="2" a="1"/>
  <c r="B982" i="2" s="1"/>
  <c r="C982" i="2" a="1"/>
  <c r="C982" i="2" s="1"/>
  <c r="D982" i="2" a="1"/>
  <c r="D982" i="2" s="1"/>
  <c r="E982" i="2" a="1"/>
  <c r="E982" i="2" s="1"/>
  <c r="F982" i="2" a="1"/>
  <c r="F982" i="2" s="1"/>
  <c r="G982" i="2" a="1"/>
  <c r="G982" i="2" s="1"/>
  <c r="H982" i="2" a="1"/>
  <c r="H982" i="2" s="1"/>
  <c r="I982" i="2" a="1"/>
  <c r="I982" i="2" s="1"/>
  <c r="J982" i="2" a="1"/>
  <c r="J982" i="2" s="1"/>
  <c r="K982" i="2" a="1"/>
  <c r="K982" i="2" s="1"/>
  <c r="L982" i="2" a="1"/>
  <c r="L982" i="2" s="1"/>
  <c r="M982" i="2" a="1"/>
  <c r="M982" i="2" s="1"/>
  <c r="N982" i="2" a="1"/>
  <c r="N982" i="2" s="1"/>
  <c r="O982" i="2" a="1"/>
  <c r="O982" i="2" s="1"/>
  <c r="P982" i="2" a="1"/>
  <c r="P982" i="2" s="1"/>
  <c r="Q982" i="2" a="1"/>
  <c r="Q982" i="2" s="1"/>
  <c r="A983" i="2" a="1"/>
  <c r="A983" i="2" s="1"/>
  <c r="B983" i="2" a="1"/>
  <c r="B983" i="2" s="1"/>
  <c r="C983" i="2" a="1"/>
  <c r="C983" i="2" s="1"/>
  <c r="D983" i="2" a="1"/>
  <c r="D983" i="2" s="1"/>
  <c r="E983" i="2" a="1"/>
  <c r="E983" i="2" s="1"/>
  <c r="F983" i="2" a="1"/>
  <c r="F983" i="2" s="1"/>
  <c r="G983" i="2" a="1"/>
  <c r="G983" i="2" s="1"/>
  <c r="H983" i="2" a="1"/>
  <c r="H983" i="2" s="1"/>
  <c r="I983" i="2" a="1"/>
  <c r="I983" i="2" s="1"/>
  <c r="J983" i="2" a="1"/>
  <c r="J983" i="2" s="1"/>
  <c r="K983" i="2" a="1"/>
  <c r="K983" i="2" s="1"/>
  <c r="L983" i="2" a="1"/>
  <c r="L983" i="2" s="1"/>
  <c r="M983" i="2" a="1"/>
  <c r="M983" i="2" s="1"/>
  <c r="N983" i="2" a="1"/>
  <c r="N983" i="2" s="1"/>
  <c r="O983" i="2" a="1"/>
  <c r="O983" i="2" s="1"/>
  <c r="P983" i="2" a="1"/>
  <c r="P983" i="2" s="1"/>
  <c r="Q983" i="2" a="1"/>
  <c r="Q983" i="2" s="1"/>
  <c r="A984" i="2" a="1"/>
  <c r="A984" i="2" s="1"/>
  <c r="B984" i="2" a="1"/>
  <c r="B984" i="2" s="1"/>
  <c r="C984" i="2" a="1"/>
  <c r="C984" i="2" s="1"/>
  <c r="D984" i="2" a="1"/>
  <c r="D984" i="2" s="1"/>
  <c r="E984" i="2" a="1"/>
  <c r="E984" i="2" s="1"/>
  <c r="F984" i="2" a="1"/>
  <c r="F984" i="2" s="1"/>
  <c r="G984" i="2" a="1"/>
  <c r="G984" i="2" s="1"/>
  <c r="H984" i="2" a="1"/>
  <c r="H984" i="2" s="1"/>
  <c r="I984" i="2" a="1"/>
  <c r="I984" i="2" s="1"/>
  <c r="J984" i="2" a="1"/>
  <c r="J984" i="2" s="1"/>
  <c r="K984" i="2" a="1"/>
  <c r="K984" i="2" s="1"/>
  <c r="L984" i="2" a="1"/>
  <c r="L984" i="2" s="1"/>
  <c r="M984" i="2" a="1"/>
  <c r="M984" i="2" s="1"/>
  <c r="N984" i="2" a="1"/>
  <c r="N984" i="2" s="1"/>
  <c r="O984" i="2" a="1"/>
  <c r="O984" i="2" s="1"/>
  <c r="P984" i="2" a="1"/>
  <c r="P984" i="2" s="1"/>
  <c r="Q984" i="2" a="1"/>
  <c r="Q984" i="2" s="1"/>
  <c r="A985" i="2" a="1"/>
  <c r="A985" i="2" s="1"/>
  <c r="B985" i="2" a="1"/>
  <c r="B985" i="2" s="1"/>
  <c r="C985" i="2" a="1"/>
  <c r="C985" i="2" s="1"/>
  <c r="D985" i="2" a="1"/>
  <c r="D985" i="2" s="1"/>
  <c r="E985" i="2" a="1"/>
  <c r="E985" i="2" s="1"/>
  <c r="F985" i="2" a="1"/>
  <c r="F985" i="2" s="1"/>
  <c r="G985" i="2" a="1"/>
  <c r="G985" i="2" s="1"/>
  <c r="H985" i="2" a="1"/>
  <c r="H985" i="2" s="1"/>
  <c r="I985" i="2" a="1"/>
  <c r="I985" i="2" s="1"/>
  <c r="J985" i="2" a="1"/>
  <c r="J985" i="2" s="1"/>
  <c r="K985" i="2" a="1"/>
  <c r="K985" i="2" s="1"/>
  <c r="L985" i="2" a="1"/>
  <c r="L985" i="2" s="1"/>
  <c r="M985" i="2" a="1"/>
  <c r="M985" i="2" s="1"/>
  <c r="N985" i="2" a="1"/>
  <c r="N985" i="2" s="1"/>
  <c r="O985" i="2" a="1"/>
  <c r="O985" i="2" s="1"/>
  <c r="P985" i="2" a="1"/>
  <c r="P985" i="2" s="1"/>
  <c r="Q985" i="2" a="1"/>
  <c r="Q985" i="2" s="1"/>
  <c r="A986" i="2" a="1"/>
  <c r="A986" i="2" s="1"/>
  <c r="B986" i="2" a="1"/>
  <c r="B986" i="2" s="1"/>
  <c r="C986" i="2" a="1"/>
  <c r="C986" i="2" s="1"/>
  <c r="D986" i="2" a="1"/>
  <c r="D986" i="2" s="1"/>
  <c r="E986" i="2" a="1"/>
  <c r="E986" i="2" s="1"/>
  <c r="F986" i="2" a="1"/>
  <c r="F986" i="2" s="1"/>
  <c r="G986" i="2" a="1"/>
  <c r="G986" i="2" s="1"/>
  <c r="H986" i="2" a="1"/>
  <c r="H986" i="2" s="1"/>
  <c r="I986" i="2" a="1"/>
  <c r="I986" i="2" s="1"/>
  <c r="J986" i="2" a="1"/>
  <c r="J986" i="2" s="1"/>
  <c r="K986" i="2" a="1"/>
  <c r="K986" i="2" s="1"/>
  <c r="L986" i="2" a="1"/>
  <c r="L986" i="2" s="1"/>
  <c r="M986" i="2" a="1"/>
  <c r="M986" i="2" s="1"/>
  <c r="N986" i="2" a="1"/>
  <c r="N986" i="2" s="1"/>
  <c r="O986" i="2" a="1"/>
  <c r="O986" i="2" s="1"/>
  <c r="P986" i="2" a="1"/>
  <c r="P986" i="2" s="1"/>
  <c r="Q986" i="2" a="1"/>
  <c r="Q986" i="2" s="1"/>
  <c r="A987" i="2" a="1"/>
  <c r="A987" i="2" s="1"/>
  <c r="B987" i="2" a="1"/>
  <c r="B987" i="2" s="1"/>
  <c r="C987" i="2" a="1"/>
  <c r="C987" i="2" s="1"/>
  <c r="D987" i="2" a="1"/>
  <c r="D987" i="2" s="1"/>
  <c r="E987" i="2" a="1"/>
  <c r="E987" i="2" s="1"/>
  <c r="F987" i="2" a="1"/>
  <c r="F987" i="2" s="1"/>
  <c r="G987" i="2" a="1"/>
  <c r="G987" i="2" s="1"/>
  <c r="H987" i="2" a="1"/>
  <c r="H987" i="2" s="1"/>
  <c r="I987" i="2" a="1"/>
  <c r="I987" i="2" s="1"/>
  <c r="J987" i="2" a="1"/>
  <c r="J987" i="2" s="1"/>
  <c r="K987" i="2" a="1"/>
  <c r="K987" i="2" s="1"/>
  <c r="L987" i="2" a="1"/>
  <c r="L987" i="2" s="1"/>
  <c r="M987" i="2" a="1"/>
  <c r="M987" i="2" s="1"/>
  <c r="N987" i="2" a="1"/>
  <c r="N987" i="2" s="1"/>
  <c r="O987" i="2" a="1"/>
  <c r="O987" i="2" s="1"/>
  <c r="P987" i="2" a="1"/>
  <c r="P987" i="2" s="1"/>
  <c r="Q987" i="2" a="1"/>
  <c r="Q987" i="2" s="1"/>
  <c r="A988" i="2" a="1"/>
  <c r="A988" i="2" s="1"/>
  <c r="B988" i="2" a="1"/>
  <c r="B988" i="2" s="1"/>
  <c r="C988" i="2" a="1"/>
  <c r="C988" i="2" s="1"/>
  <c r="D988" i="2" a="1"/>
  <c r="D988" i="2" s="1"/>
  <c r="E988" i="2" a="1"/>
  <c r="E988" i="2" s="1"/>
  <c r="F988" i="2" a="1"/>
  <c r="F988" i="2" s="1"/>
  <c r="G988" i="2" a="1"/>
  <c r="G988" i="2" s="1"/>
  <c r="H988" i="2" a="1"/>
  <c r="H988" i="2" s="1"/>
  <c r="I988" i="2" a="1"/>
  <c r="I988" i="2" s="1"/>
  <c r="J988" i="2" a="1"/>
  <c r="J988" i="2" s="1"/>
  <c r="K988" i="2" a="1"/>
  <c r="K988" i="2" s="1"/>
  <c r="L988" i="2" a="1"/>
  <c r="L988" i="2" s="1"/>
  <c r="M988" i="2" a="1"/>
  <c r="M988" i="2" s="1"/>
  <c r="N988" i="2" a="1"/>
  <c r="N988" i="2" s="1"/>
  <c r="O988" i="2" a="1"/>
  <c r="O988" i="2" s="1"/>
  <c r="P988" i="2" a="1"/>
  <c r="P988" i="2" s="1"/>
  <c r="Q988" i="2" a="1"/>
  <c r="Q988" i="2" s="1"/>
  <c r="A989" i="2" a="1"/>
  <c r="A989" i="2" s="1"/>
  <c r="B989" i="2" a="1"/>
  <c r="B989" i="2" s="1"/>
  <c r="C989" i="2" a="1"/>
  <c r="C989" i="2" s="1"/>
  <c r="D989" i="2" a="1"/>
  <c r="D989" i="2" s="1"/>
  <c r="E989" i="2" a="1"/>
  <c r="E989" i="2" s="1"/>
  <c r="F989" i="2" a="1"/>
  <c r="F989" i="2" s="1"/>
  <c r="G989" i="2" a="1"/>
  <c r="G989" i="2" s="1"/>
  <c r="H989" i="2" a="1"/>
  <c r="H989" i="2" s="1"/>
  <c r="I989" i="2" a="1"/>
  <c r="I989" i="2" s="1"/>
  <c r="J989" i="2" a="1"/>
  <c r="J989" i="2" s="1"/>
  <c r="K989" i="2" a="1"/>
  <c r="K989" i="2" s="1"/>
  <c r="L989" i="2" a="1"/>
  <c r="L989" i="2" s="1"/>
  <c r="M989" i="2" a="1"/>
  <c r="M989" i="2" s="1"/>
  <c r="N989" i="2" a="1"/>
  <c r="N989" i="2" s="1"/>
  <c r="O989" i="2" a="1"/>
  <c r="O989" i="2" s="1"/>
  <c r="P989" i="2" a="1"/>
  <c r="P989" i="2" s="1"/>
  <c r="Q989" i="2" a="1"/>
  <c r="Q989" i="2" s="1"/>
  <c r="A990" i="2" a="1"/>
  <c r="A990" i="2" s="1"/>
  <c r="B990" i="2" a="1"/>
  <c r="B990" i="2" s="1"/>
  <c r="C990" i="2" a="1"/>
  <c r="C990" i="2" s="1"/>
  <c r="D990" i="2" a="1"/>
  <c r="D990" i="2" s="1"/>
  <c r="E990" i="2" a="1"/>
  <c r="E990" i="2" s="1"/>
  <c r="F990" i="2" a="1"/>
  <c r="F990" i="2" s="1"/>
  <c r="G990" i="2" a="1"/>
  <c r="G990" i="2" s="1"/>
  <c r="H990" i="2" a="1"/>
  <c r="H990" i="2" s="1"/>
  <c r="I990" i="2" a="1"/>
  <c r="I990" i="2" s="1"/>
  <c r="J990" i="2" a="1"/>
  <c r="J990" i="2" s="1"/>
  <c r="K990" i="2" a="1"/>
  <c r="K990" i="2" s="1"/>
  <c r="L990" i="2" a="1"/>
  <c r="L990" i="2" s="1"/>
  <c r="M990" i="2" a="1"/>
  <c r="M990" i="2" s="1"/>
  <c r="N990" i="2" a="1"/>
  <c r="N990" i="2" s="1"/>
  <c r="O990" i="2" a="1"/>
  <c r="O990" i="2" s="1"/>
  <c r="P990" i="2" a="1"/>
  <c r="P990" i="2" s="1"/>
  <c r="Q990" i="2" a="1"/>
  <c r="Q990" i="2" s="1"/>
  <c r="A991" i="2" a="1"/>
  <c r="A991" i="2" s="1"/>
  <c r="B991" i="2" a="1"/>
  <c r="B991" i="2" s="1"/>
  <c r="C991" i="2" a="1"/>
  <c r="C991" i="2" s="1"/>
  <c r="D991" i="2" a="1"/>
  <c r="D991" i="2" s="1"/>
  <c r="E991" i="2" a="1"/>
  <c r="E991" i="2" s="1"/>
  <c r="F991" i="2" a="1"/>
  <c r="F991" i="2" s="1"/>
  <c r="G991" i="2" a="1"/>
  <c r="G991" i="2" s="1"/>
  <c r="H991" i="2" a="1"/>
  <c r="H991" i="2" s="1"/>
  <c r="I991" i="2" a="1"/>
  <c r="I991" i="2" s="1"/>
  <c r="J991" i="2" a="1"/>
  <c r="J991" i="2" s="1"/>
  <c r="K991" i="2" a="1"/>
  <c r="K991" i="2" s="1"/>
  <c r="L991" i="2" a="1"/>
  <c r="L991" i="2" s="1"/>
  <c r="M991" i="2" a="1"/>
  <c r="M991" i="2" s="1"/>
  <c r="N991" i="2" a="1"/>
  <c r="N991" i="2" s="1"/>
  <c r="O991" i="2" a="1"/>
  <c r="O991" i="2" s="1"/>
  <c r="P991" i="2" a="1"/>
  <c r="P991" i="2" s="1"/>
  <c r="Q991" i="2" a="1"/>
  <c r="Q991" i="2" s="1"/>
  <c r="A992" i="2" a="1"/>
  <c r="A992" i="2" s="1"/>
  <c r="B992" i="2" a="1"/>
  <c r="B992" i="2" s="1"/>
  <c r="C992" i="2" a="1"/>
  <c r="C992" i="2" s="1"/>
  <c r="D992" i="2" a="1"/>
  <c r="D992" i="2" s="1"/>
  <c r="E992" i="2" a="1"/>
  <c r="E992" i="2" s="1"/>
  <c r="F992" i="2" a="1"/>
  <c r="F992" i="2" s="1"/>
  <c r="G992" i="2" a="1"/>
  <c r="G992" i="2" s="1"/>
  <c r="H992" i="2" a="1"/>
  <c r="H992" i="2" s="1"/>
  <c r="I992" i="2" a="1"/>
  <c r="I992" i="2" s="1"/>
  <c r="J992" i="2" a="1"/>
  <c r="J992" i="2" s="1"/>
  <c r="K992" i="2" a="1"/>
  <c r="K992" i="2" s="1"/>
  <c r="L992" i="2" a="1"/>
  <c r="L992" i="2" s="1"/>
  <c r="M992" i="2" a="1"/>
  <c r="M992" i="2" s="1"/>
  <c r="N992" i="2" a="1"/>
  <c r="N992" i="2" s="1"/>
  <c r="O992" i="2" a="1"/>
  <c r="O992" i="2" s="1"/>
  <c r="P992" i="2" a="1"/>
  <c r="P992" i="2" s="1"/>
  <c r="Q992" i="2" a="1"/>
  <c r="Q992" i="2" s="1"/>
  <c r="A993" i="2" a="1"/>
  <c r="A993" i="2" s="1"/>
  <c r="B993" i="2" a="1"/>
  <c r="B993" i="2" s="1"/>
  <c r="C993" i="2" a="1"/>
  <c r="C993" i="2" s="1"/>
  <c r="D993" i="2" a="1"/>
  <c r="D993" i="2" s="1"/>
  <c r="E993" i="2" a="1"/>
  <c r="E993" i="2" s="1"/>
  <c r="F993" i="2" a="1"/>
  <c r="F993" i="2" s="1"/>
  <c r="G993" i="2" a="1"/>
  <c r="G993" i="2" s="1"/>
  <c r="H993" i="2" a="1"/>
  <c r="H993" i="2" s="1"/>
  <c r="I993" i="2" a="1"/>
  <c r="I993" i="2" s="1"/>
  <c r="J993" i="2" a="1"/>
  <c r="J993" i="2" s="1"/>
  <c r="K993" i="2" a="1"/>
  <c r="K993" i="2" s="1"/>
  <c r="L993" i="2" a="1"/>
  <c r="L993" i="2" s="1"/>
  <c r="M993" i="2" a="1"/>
  <c r="M993" i="2" s="1"/>
  <c r="N993" i="2" a="1"/>
  <c r="N993" i="2" s="1"/>
  <c r="O993" i="2" a="1"/>
  <c r="O993" i="2" s="1"/>
  <c r="P993" i="2" a="1"/>
  <c r="P993" i="2" s="1"/>
  <c r="Q993" i="2" a="1"/>
  <c r="Q993" i="2" s="1"/>
  <c r="A994" i="2" a="1"/>
  <c r="A994" i="2" s="1"/>
  <c r="B994" i="2" a="1"/>
  <c r="B994" i="2" s="1"/>
  <c r="C994" i="2" a="1"/>
  <c r="C994" i="2" s="1"/>
  <c r="D994" i="2" a="1"/>
  <c r="D994" i="2" s="1"/>
  <c r="E994" i="2" a="1"/>
  <c r="E994" i="2" s="1"/>
  <c r="F994" i="2" a="1"/>
  <c r="F994" i="2" s="1"/>
  <c r="G994" i="2" a="1"/>
  <c r="G994" i="2" s="1"/>
  <c r="H994" i="2" a="1"/>
  <c r="H994" i="2" s="1"/>
  <c r="I994" i="2" a="1"/>
  <c r="I994" i="2" s="1"/>
  <c r="J994" i="2" a="1"/>
  <c r="J994" i="2" s="1"/>
  <c r="K994" i="2" a="1"/>
  <c r="K994" i="2" s="1"/>
  <c r="L994" i="2" a="1"/>
  <c r="L994" i="2" s="1"/>
  <c r="M994" i="2" a="1"/>
  <c r="M994" i="2" s="1"/>
  <c r="N994" i="2" a="1"/>
  <c r="N994" i="2" s="1"/>
  <c r="O994" i="2" a="1"/>
  <c r="O994" i="2" s="1"/>
  <c r="P994" i="2" a="1"/>
  <c r="P994" i="2" s="1"/>
  <c r="Q994" i="2" a="1"/>
  <c r="Q994" i="2" s="1"/>
  <c r="A995" i="2" a="1"/>
  <c r="A995" i="2" s="1"/>
  <c r="B995" i="2" a="1"/>
  <c r="B995" i="2" s="1"/>
  <c r="C995" i="2" a="1"/>
  <c r="C995" i="2" s="1"/>
  <c r="D995" i="2" a="1"/>
  <c r="D995" i="2" s="1"/>
  <c r="E995" i="2" a="1"/>
  <c r="E995" i="2" s="1"/>
  <c r="F995" i="2" a="1"/>
  <c r="F995" i="2" s="1"/>
  <c r="G995" i="2" a="1"/>
  <c r="G995" i="2" s="1"/>
  <c r="H995" i="2" a="1"/>
  <c r="H995" i="2" s="1"/>
  <c r="I995" i="2" a="1"/>
  <c r="I995" i="2" s="1"/>
  <c r="J995" i="2" a="1"/>
  <c r="J995" i="2" s="1"/>
  <c r="K995" i="2" a="1"/>
  <c r="K995" i="2" s="1"/>
  <c r="L995" i="2" a="1"/>
  <c r="L995" i="2" s="1"/>
  <c r="M995" i="2" a="1"/>
  <c r="M995" i="2" s="1"/>
  <c r="N995" i="2" a="1"/>
  <c r="N995" i="2" s="1"/>
  <c r="O995" i="2" a="1"/>
  <c r="O995" i="2" s="1"/>
  <c r="P995" i="2" a="1"/>
  <c r="P995" i="2" s="1"/>
  <c r="Q995" i="2" a="1"/>
  <c r="Q995" i="2" s="1"/>
  <c r="A996" i="2" a="1"/>
  <c r="A996" i="2" s="1"/>
  <c r="B996" i="2" a="1"/>
  <c r="B996" i="2" s="1"/>
  <c r="C996" i="2" a="1"/>
  <c r="C996" i="2" s="1"/>
  <c r="D996" i="2" a="1"/>
  <c r="D996" i="2" s="1"/>
  <c r="E996" i="2" a="1"/>
  <c r="E996" i="2" s="1"/>
  <c r="F996" i="2" a="1"/>
  <c r="F996" i="2" s="1"/>
  <c r="G996" i="2" a="1"/>
  <c r="G996" i="2" s="1"/>
  <c r="H996" i="2" a="1"/>
  <c r="H996" i="2" s="1"/>
  <c r="I996" i="2" a="1"/>
  <c r="I996" i="2" s="1"/>
  <c r="J996" i="2" a="1"/>
  <c r="J996" i="2" s="1"/>
  <c r="K996" i="2" a="1"/>
  <c r="K996" i="2" s="1"/>
  <c r="L996" i="2" a="1"/>
  <c r="L996" i="2" s="1"/>
  <c r="M996" i="2" a="1"/>
  <c r="M996" i="2" s="1"/>
  <c r="N996" i="2" a="1"/>
  <c r="N996" i="2" s="1"/>
  <c r="O996" i="2" a="1"/>
  <c r="O996" i="2" s="1"/>
  <c r="P996" i="2" a="1"/>
  <c r="P996" i="2" s="1"/>
  <c r="Q996" i="2" a="1"/>
  <c r="Q996" i="2" s="1"/>
  <c r="A997" i="2" a="1"/>
  <c r="A997" i="2" s="1"/>
  <c r="B997" i="2" a="1"/>
  <c r="B997" i="2" s="1"/>
  <c r="C997" i="2" a="1"/>
  <c r="C997" i="2" s="1"/>
  <c r="D997" i="2" a="1"/>
  <c r="D997" i="2" s="1"/>
  <c r="E997" i="2" a="1"/>
  <c r="E997" i="2" s="1"/>
  <c r="F997" i="2" a="1"/>
  <c r="F997" i="2" s="1"/>
  <c r="G997" i="2" a="1"/>
  <c r="G997" i="2" s="1"/>
  <c r="H997" i="2" a="1"/>
  <c r="H997" i="2" s="1"/>
  <c r="I997" i="2" a="1"/>
  <c r="I997" i="2" s="1"/>
  <c r="J997" i="2" a="1"/>
  <c r="J997" i="2" s="1"/>
  <c r="K997" i="2" a="1"/>
  <c r="K997" i="2" s="1"/>
  <c r="L997" i="2" a="1"/>
  <c r="L997" i="2" s="1"/>
  <c r="M997" i="2" a="1"/>
  <c r="M997" i="2" s="1"/>
  <c r="N997" i="2" a="1"/>
  <c r="N997" i="2" s="1"/>
  <c r="O997" i="2" a="1"/>
  <c r="O997" i="2" s="1"/>
  <c r="P997" i="2" a="1"/>
  <c r="P997" i="2" s="1"/>
  <c r="Q997" i="2" a="1"/>
  <c r="Q997" i="2" s="1"/>
  <c r="A998" i="2" a="1"/>
  <c r="A998" i="2" s="1"/>
  <c r="B998" i="2" a="1"/>
  <c r="B998" i="2" s="1"/>
  <c r="C998" i="2" a="1"/>
  <c r="C998" i="2" s="1"/>
  <c r="D998" i="2" a="1"/>
  <c r="D998" i="2" s="1"/>
  <c r="E998" i="2" a="1"/>
  <c r="E998" i="2" s="1"/>
  <c r="F998" i="2" a="1"/>
  <c r="F998" i="2" s="1"/>
  <c r="G998" i="2" a="1"/>
  <c r="G998" i="2" s="1"/>
  <c r="H998" i="2" a="1"/>
  <c r="H998" i="2" s="1"/>
  <c r="I998" i="2" a="1"/>
  <c r="I998" i="2" s="1"/>
  <c r="J998" i="2" a="1"/>
  <c r="J998" i="2" s="1"/>
  <c r="K998" i="2" a="1"/>
  <c r="K998" i="2" s="1"/>
  <c r="L998" i="2" a="1"/>
  <c r="L998" i="2" s="1"/>
  <c r="M998" i="2" a="1"/>
  <c r="M998" i="2" s="1"/>
  <c r="N998" i="2" a="1"/>
  <c r="N998" i="2" s="1"/>
  <c r="O998" i="2" a="1"/>
  <c r="O998" i="2" s="1"/>
  <c r="K1151" i="2" a="1"/>
  <c r="K1151" i="2" s="1"/>
  <c r="P82" i="2" a="1"/>
  <c r="P82" i="2" s="1"/>
  <c r="A83" i="2" a="1"/>
  <c r="A83" i="2" s="1"/>
  <c r="B83" i="2" a="1"/>
  <c r="B83" i="2" s="1"/>
  <c r="C83" i="2" a="1"/>
  <c r="C83" i="2" s="1"/>
  <c r="E83" i="2" a="1"/>
  <c r="E83" i="2" s="1"/>
  <c r="G83" i="2" a="1"/>
  <c r="G83" i="2" s="1"/>
  <c r="L83" i="2" a="1"/>
  <c r="L83" i="2" s="1"/>
  <c r="N83" i="2" a="1"/>
  <c r="N83" i="2" s="1"/>
  <c r="C84" i="2" a="1"/>
  <c r="C84" i="2" s="1"/>
  <c r="E84" i="2" a="1"/>
  <c r="E84" i="2" s="1"/>
  <c r="I84" i="2" a="1"/>
  <c r="I84" i="2" s="1"/>
  <c r="K84" i="2" a="1"/>
  <c r="K84" i="2" s="1"/>
  <c r="L84" i="2" a="1"/>
  <c r="L84" i="2" s="1"/>
  <c r="M84" i="2" a="1"/>
  <c r="M84" i="2" s="1"/>
  <c r="O84" i="2" a="1"/>
  <c r="O84" i="2" s="1"/>
  <c r="P84" i="2" a="1"/>
  <c r="P84" i="2" s="1"/>
  <c r="Q84" i="2" a="1"/>
  <c r="Q84" i="2" s="1"/>
  <c r="A85" i="2" a="1"/>
  <c r="A85" i="2" s="1"/>
  <c r="D85" i="2" a="1"/>
  <c r="D85" i="2" s="1"/>
  <c r="G85" i="2" a="1"/>
  <c r="G85" i="2" s="1"/>
  <c r="I85" i="2" a="1"/>
  <c r="I85" i="2" s="1"/>
  <c r="K85" i="2" a="1"/>
  <c r="K85" i="2" s="1"/>
  <c r="L85" i="2" a="1"/>
  <c r="L85" i="2" s="1"/>
  <c r="M85" i="2" a="1"/>
  <c r="M85" i="2" s="1"/>
  <c r="A86" i="2" a="1"/>
  <c r="A86" i="2" s="1"/>
  <c r="E86" i="2" a="1"/>
  <c r="E86" i="2" s="1"/>
  <c r="H86" i="2" a="1"/>
  <c r="H86" i="2" s="1"/>
  <c r="M86" i="2" a="1"/>
  <c r="M86" i="2" s="1"/>
  <c r="F88" i="2" a="1"/>
  <c r="F88" i="2" s="1"/>
  <c r="K88" i="2" a="1"/>
  <c r="K88" i="2" s="1"/>
  <c r="A89" i="2" a="1"/>
  <c r="A89" i="2" s="1"/>
  <c r="D89" i="2" a="1"/>
  <c r="D89" i="2" s="1"/>
  <c r="E89" i="2" a="1"/>
  <c r="E89" i="2" s="1"/>
  <c r="F89" i="2" a="1"/>
  <c r="F89" i="2" s="1"/>
  <c r="G89" i="2" a="1"/>
  <c r="G89" i="2" s="1"/>
  <c r="I89" i="2" a="1"/>
  <c r="I89" i="2" s="1"/>
  <c r="I90" i="2" a="1"/>
  <c r="I90" i="2" s="1"/>
  <c r="K90" i="2" a="1"/>
  <c r="K90" i="2" s="1"/>
  <c r="M90" i="2" a="1"/>
  <c r="M90" i="2" s="1"/>
  <c r="O90" i="2" a="1"/>
  <c r="O90" i="2" s="1"/>
  <c r="P90" i="2" a="1"/>
  <c r="P90" i="2" s="1"/>
  <c r="A91" i="2" a="1"/>
  <c r="A91" i="2" s="1"/>
  <c r="E91" i="2" a="1"/>
  <c r="E91" i="2" s="1"/>
  <c r="G91" i="2" a="1"/>
  <c r="G91" i="2" s="1"/>
  <c r="K91" i="2" a="1"/>
  <c r="K91" i="2" s="1"/>
  <c r="A92" i="2" a="1"/>
  <c r="A92" i="2" s="1"/>
  <c r="N116" i="2" a="1"/>
  <c r="N116" i="2" s="1"/>
  <c r="H117" i="2" a="1"/>
  <c r="H117" i="2" s="1"/>
  <c r="J117" i="2" a="1"/>
  <c r="J117" i="2" s="1"/>
  <c r="M117" i="2" a="1"/>
  <c r="M117" i="2" s="1"/>
  <c r="O117" i="2" a="1"/>
  <c r="O117" i="2" s="1"/>
  <c r="A118" i="2" a="1"/>
  <c r="A118" i="2" s="1"/>
  <c r="B118" i="2" a="1"/>
  <c r="B118" i="2" s="1"/>
  <c r="C118" i="2" a="1"/>
  <c r="C118" i="2" s="1"/>
  <c r="E118" i="2" a="1"/>
  <c r="E118" i="2" s="1"/>
  <c r="G118" i="2" a="1"/>
  <c r="G118" i="2" s="1"/>
  <c r="I118" i="2" a="1"/>
  <c r="I118" i="2" s="1"/>
  <c r="L118" i="2" a="1"/>
  <c r="L118" i="2" s="1"/>
  <c r="P118" i="2" a="1"/>
  <c r="P118" i="2" s="1"/>
  <c r="A119" i="2" a="1"/>
  <c r="A119" i="2" s="1"/>
  <c r="C119" i="2" a="1"/>
  <c r="C119" i="2" s="1"/>
  <c r="E119" i="2" a="1"/>
  <c r="E119" i="2" s="1"/>
  <c r="G119" i="2" a="1"/>
  <c r="G119" i="2" s="1"/>
  <c r="H119" i="2" a="1"/>
  <c r="H119" i="2" s="1"/>
  <c r="I119" i="2" a="1"/>
  <c r="I119" i="2" s="1"/>
  <c r="J119" i="2" a="1"/>
  <c r="J119" i="2" s="1"/>
  <c r="M119" i="2" a="1"/>
  <c r="M119" i="2" s="1"/>
  <c r="O119" i="2" a="1"/>
  <c r="O119" i="2" s="1"/>
  <c r="A120" i="2" a="1"/>
  <c r="A120" i="2" s="1"/>
  <c r="C120" i="2" a="1"/>
  <c r="C120" i="2" s="1"/>
  <c r="E120" i="2" a="1"/>
  <c r="E120" i="2" s="1"/>
  <c r="G120" i="2" a="1"/>
  <c r="G120" i="2" s="1"/>
  <c r="M120" i="2" a="1"/>
  <c r="M120" i="2" s="1"/>
  <c r="O120" i="2" a="1"/>
  <c r="O120" i="2" s="1"/>
  <c r="C121" i="2" a="1"/>
  <c r="C121" i="2" s="1"/>
  <c r="E121" i="2" a="1"/>
  <c r="E121" i="2" s="1"/>
  <c r="H121" i="2" a="1"/>
  <c r="H121" i="2" s="1"/>
  <c r="B163" i="2" a="1"/>
  <c r="B163" i="2" s="1"/>
  <c r="H163" i="2" a="1"/>
  <c r="H163" i="2" s="1"/>
  <c r="M163" i="2" a="1"/>
  <c r="M163" i="2" s="1"/>
  <c r="H165" i="2" a="1"/>
  <c r="H165" i="2" s="1"/>
  <c r="N169" i="2" a="1"/>
  <c r="N169" i="2" s="1"/>
  <c r="Q169" i="2" a="1"/>
  <c r="Q169" i="2" s="1"/>
  <c r="A170" i="2" a="1"/>
  <c r="A170" i="2" s="1"/>
  <c r="H171" i="2" a="1"/>
  <c r="H171" i="2" s="1"/>
  <c r="Q171" i="2" a="1"/>
  <c r="Q171" i="2" s="1"/>
  <c r="I172" i="2" a="1"/>
  <c r="I172" i="2" s="1"/>
  <c r="P173" i="2" a="1"/>
  <c r="P173" i="2" s="1"/>
  <c r="F174" i="2" a="1"/>
  <c r="F174" i="2" s="1"/>
  <c r="K174" i="2" a="1"/>
  <c r="K174" i="2" s="1"/>
  <c r="O174" i="2" a="1"/>
  <c r="O174" i="2" s="1"/>
  <c r="Q175" i="2" a="1"/>
  <c r="Q175" i="2" s="1"/>
  <c r="C176" i="2" a="1"/>
  <c r="C176" i="2" s="1"/>
  <c r="I176" i="2" a="1"/>
  <c r="I176" i="2" s="1"/>
  <c r="N176" i="2" a="1"/>
  <c r="N176" i="2" s="1"/>
  <c r="D178" i="2" a="1"/>
  <c r="D178" i="2" s="1"/>
  <c r="H180" i="2" a="1"/>
  <c r="H180" i="2" s="1"/>
  <c r="O181" i="2" a="1"/>
  <c r="O181" i="2" s="1"/>
  <c r="G182" i="2" a="1"/>
  <c r="G182" i="2" s="1"/>
  <c r="D183" i="2" a="1"/>
  <c r="D183" i="2" s="1"/>
  <c r="J188" i="2" a="1"/>
  <c r="J188" i="2" s="1"/>
  <c r="A190" i="2" a="1"/>
  <c r="A190" i="2" s="1"/>
  <c r="O190" i="2" a="1"/>
  <c r="O190" i="2" s="1"/>
  <c r="P190" i="2" a="1"/>
  <c r="P190" i="2" s="1"/>
  <c r="P998" i="2" a="1"/>
  <c r="P998" i="2" s="1"/>
  <c r="Q998" i="2" a="1"/>
  <c r="Q998" i="2" s="1"/>
  <c r="A999" i="2" a="1"/>
  <c r="A999" i="2" s="1"/>
  <c r="B999" i="2" a="1"/>
  <c r="B999" i="2" s="1"/>
  <c r="C999" i="2" a="1"/>
  <c r="C999" i="2" s="1"/>
  <c r="D999" i="2" a="1"/>
  <c r="D999" i="2" s="1"/>
  <c r="E999" i="2" a="1"/>
  <c r="E999" i="2" s="1"/>
  <c r="F999" i="2" a="1"/>
  <c r="F999" i="2" s="1"/>
  <c r="G999" i="2" a="1"/>
  <c r="G999" i="2" s="1"/>
  <c r="H999" i="2" a="1"/>
  <c r="H999" i="2" s="1"/>
  <c r="I999" i="2" a="1"/>
  <c r="I999" i="2" s="1"/>
  <c r="J999" i="2" a="1"/>
  <c r="J999" i="2" s="1"/>
  <c r="K999" i="2" a="1"/>
  <c r="K999" i="2" s="1"/>
  <c r="L999" i="2" a="1"/>
  <c r="L999" i="2" s="1"/>
  <c r="M999" i="2" a="1"/>
  <c r="M999" i="2" s="1"/>
  <c r="N999" i="2" a="1"/>
  <c r="N999" i="2" s="1"/>
  <c r="O999" i="2" a="1"/>
  <c r="O999" i="2" s="1"/>
  <c r="P999" i="2" a="1"/>
  <c r="P999" i="2" s="1"/>
  <c r="Q999" i="2" a="1"/>
  <c r="Q999" i="2" s="1"/>
  <c r="A1000" i="2" a="1"/>
  <c r="A1000" i="2" s="1"/>
  <c r="B1000" i="2" a="1"/>
  <c r="B1000" i="2" s="1"/>
  <c r="C1000" i="2" a="1"/>
  <c r="C1000" i="2" s="1"/>
  <c r="D1000" i="2" a="1"/>
  <c r="D1000" i="2" s="1"/>
  <c r="E1000" i="2" a="1"/>
  <c r="E1000" i="2" s="1"/>
  <c r="F1000" i="2" a="1"/>
  <c r="F1000" i="2" s="1"/>
  <c r="G1000" i="2" a="1"/>
  <c r="G1000" i="2" s="1"/>
  <c r="H1000" i="2" a="1"/>
  <c r="H1000" i="2" s="1"/>
  <c r="I1000" i="2" a="1"/>
  <c r="I1000" i="2" s="1"/>
  <c r="J1000" i="2" a="1"/>
  <c r="J1000" i="2" s="1"/>
  <c r="K1000" i="2" a="1"/>
  <c r="K1000" i="2" s="1"/>
  <c r="L1000" i="2" a="1"/>
  <c r="L1000" i="2" s="1"/>
  <c r="M1000" i="2" a="1"/>
  <c r="M1000" i="2" s="1"/>
  <c r="N1000" i="2" a="1"/>
  <c r="N1000" i="2" s="1"/>
  <c r="O1000" i="2" a="1"/>
  <c r="O1000" i="2" s="1"/>
  <c r="P1000" i="2" a="1"/>
  <c r="P1000" i="2" s="1"/>
  <c r="Q1000" i="2" a="1"/>
  <c r="Q1000" i="2" s="1"/>
  <c r="A1001" i="2" a="1"/>
  <c r="A1001" i="2" s="1"/>
  <c r="B1001" i="2" a="1"/>
  <c r="B1001" i="2" s="1"/>
  <c r="C1001" i="2" a="1"/>
  <c r="C1001" i="2" s="1"/>
  <c r="D1001" i="2" a="1"/>
  <c r="D1001" i="2" s="1"/>
  <c r="E1001" i="2" a="1"/>
  <c r="E1001" i="2" s="1"/>
  <c r="F1001" i="2" a="1"/>
  <c r="F1001" i="2" s="1"/>
  <c r="G1001" i="2" a="1"/>
  <c r="G1001" i="2" s="1"/>
  <c r="H1001" i="2" a="1"/>
  <c r="H1001" i="2" s="1"/>
  <c r="I1001" i="2" a="1"/>
  <c r="I1001" i="2" s="1"/>
  <c r="J1001" i="2" a="1"/>
  <c r="J1001" i="2" s="1"/>
  <c r="K1001" i="2" a="1"/>
  <c r="K1001" i="2" s="1"/>
  <c r="L1001" i="2" a="1"/>
  <c r="L1001" i="2" s="1"/>
  <c r="M1001" i="2" a="1"/>
  <c r="M1001" i="2" s="1"/>
  <c r="N1001" i="2" a="1"/>
  <c r="N1001" i="2" s="1"/>
  <c r="O1001" i="2" a="1"/>
  <c r="O1001" i="2" s="1"/>
  <c r="P1001" i="2" a="1"/>
  <c r="P1001" i="2" s="1"/>
  <c r="Q1001" i="2" a="1"/>
  <c r="Q1001" i="2" s="1"/>
  <c r="A1002" i="2" a="1"/>
  <c r="A1002" i="2" s="1"/>
  <c r="B1002" i="2" a="1"/>
  <c r="B1002" i="2" s="1"/>
  <c r="C1002" i="2" a="1"/>
  <c r="C1002" i="2" s="1"/>
  <c r="D1002" i="2" a="1"/>
  <c r="D1002" i="2" s="1"/>
  <c r="E1002" i="2" a="1"/>
  <c r="E1002" i="2" s="1"/>
  <c r="F1002" i="2" a="1"/>
  <c r="F1002" i="2" s="1"/>
  <c r="G1002" i="2" a="1"/>
  <c r="G1002" i="2" s="1"/>
  <c r="H1002" i="2" a="1"/>
  <c r="H1002" i="2" s="1"/>
  <c r="I1002" i="2" a="1"/>
  <c r="I1002" i="2" s="1"/>
  <c r="J1002" i="2" a="1"/>
  <c r="J1002" i="2" s="1"/>
  <c r="K1002" i="2" a="1"/>
  <c r="K1002" i="2" s="1"/>
  <c r="L1002" i="2" a="1"/>
  <c r="L1002" i="2" s="1"/>
  <c r="M1002" i="2" a="1"/>
  <c r="M1002" i="2" s="1"/>
  <c r="N1002" i="2" a="1"/>
  <c r="N1002" i="2" s="1"/>
  <c r="O1002" i="2" a="1"/>
  <c r="O1002" i="2" s="1"/>
  <c r="P1002" i="2" a="1"/>
  <c r="P1002" i="2" s="1"/>
  <c r="Q1002" i="2" a="1"/>
  <c r="Q1002" i="2" s="1"/>
  <c r="A1003" i="2" a="1"/>
  <c r="A1003" i="2" s="1"/>
  <c r="B1003" i="2" a="1"/>
  <c r="B1003" i="2" s="1"/>
  <c r="C1003" i="2" a="1"/>
  <c r="C1003" i="2" s="1"/>
  <c r="D1003" i="2" a="1"/>
  <c r="D1003" i="2" s="1"/>
  <c r="E1003" i="2" a="1"/>
  <c r="E1003" i="2" s="1"/>
  <c r="F1003" i="2" a="1"/>
  <c r="F1003" i="2" s="1"/>
  <c r="G1003" i="2" a="1"/>
  <c r="G1003" i="2" s="1"/>
  <c r="H1003" i="2" a="1"/>
  <c r="H1003" i="2" s="1"/>
  <c r="I1003" i="2" a="1"/>
  <c r="I1003" i="2" s="1"/>
  <c r="J1003" i="2" a="1"/>
  <c r="J1003" i="2" s="1"/>
  <c r="K1003" i="2" a="1"/>
  <c r="K1003" i="2" s="1"/>
  <c r="L1003" i="2" a="1"/>
  <c r="L1003" i="2" s="1"/>
  <c r="M1003" i="2" a="1"/>
  <c r="M1003" i="2" s="1"/>
  <c r="N1003" i="2" a="1"/>
  <c r="N1003" i="2" s="1"/>
  <c r="O1003" i="2" a="1"/>
  <c r="O1003" i="2" s="1"/>
  <c r="P1003" i="2" a="1"/>
  <c r="P1003" i="2" s="1"/>
  <c r="Q1003" i="2" a="1"/>
  <c r="Q1003" i="2" s="1"/>
  <c r="A1004" i="2" a="1"/>
  <c r="A1004" i="2" s="1"/>
  <c r="B1004" i="2" a="1"/>
  <c r="B1004" i="2" s="1"/>
  <c r="C1004" i="2" a="1"/>
  <c r="C1004" i="2" s="1"/>
  <c r="D1004" i="2" a="1"/>
  <c r="D1004" i="2" s="1"/>
  <c r="E1004" i="2" a="1"/>
  <c r="E1004" i="2" s="1"/>
  <c r="F1004" i="2" a="1"/>
  <c r="F1004" i="2" s="1"/>
  <c r="G1004" i="2" a="1"/>
  <c r="G1004" i="2" s="1"/>
  <c r="H1004" i="2" a="1"/>
  <c r="H1004" i="2" s="1"/>
  <c r="I1004" i="2" a="1"/>
  <c r="I1004" i="2" s="1"/>
  <c r="J1004" i="2" a="1"/>
  <c r="J1004" i="2" s="1"/>
  <c r="K1004" i="2" a="1"/>
  <c r="K1004" i="2" s="1"/>
  <c r="L1004" i="2" a="1"/>
  <c r="L1004" i="2" s="1"/>
  <c r="M1004" i="2" a="1"/>
  <c r="M1004" i="2" s="1"/>
  <c r="N1004" i="2" a="1"/>
  <c r="N1004" i="2" s="1"/>
  <c r="O1004" i="2" a="1"/>
  <c r="O1004" i="2" s="1"/>
  <c r="P1004" i="2" a="1"/>
  <c r="P1004" i="2" s="1"/>
  <c r="Q1004" i="2" a="1"/>
  <c r="Q1004" i="2" s="1"/>
  <c r="A1005" i="2" a="1"/>
  <c r="A1005" i="2" s="1"/>
  <c r="B1005" i="2" a="1"/>
  <c r="B1005" i="2" s="1"/>
  <c r="C1005" i="2" a="1"/>
  <c r="C1005" i="2" s="1"/>
  <c r="D1005" i="2" a="1"/>
  <c r="D1005" i="2" s="1"/>
  <c r="E1005" i="2" a="1"/>
  <c r="E1005" i="2" s="1"/>
  <c r="F1005" i="2" a="1"/>
  <c r="F1005" i="2" s="1"/>
  <c r="G1005" i="2" a="1"/>
  <c r="G1005" i="2" s="1"/>
  <c r="H1005" i="2" a="1"/>
  <c r="H1005" i="2" s="1"/>
  <c r="I1005" i="2" a="1"/>
  <c r="I1005" i="2" s="1"/>
  <c r="J1005" i="2" a="1"/>
  <c r="J1005" i="2" s="1"/>
  <c r="K1005" i="2" a="1"/>
  <c r="K1005" i="2" s="1"/>
  <c r="L1005" i="2" a="1"/>
  <c r="L1005" i="2" s="1"/>
  <c r="M1005" i="2" a="1"/>
  <c r="M1005" i="2" s="1"/>
  <c r="N1005" i="2" a="1"/>
  <c r="N1005" i="2" s="1"/>
  <c r="O1005" i="2" a="1"/>
  <c r="O1005" i="2" s="1"/>
  <c r="P1005" i="2" a="1"/>
  <c r="P1005" i="2" s="1"/>
  <c r="Q1005" i="2" a="1"/>
  <c r="Q1005" i="2" s="1"/>
  <c r="A1006" i="2" a="1"/>
  <c r="A1006" i="2" s="1"/>
  <c r="B1006" i="2" a="1"/>
  <c r="B1006" i="2" s="1"/>
  <c r="C1006" i="2" a="1"/>
  <c r="C1006" i="2" s="1"/>
  <c r="D1006" i="2" a="1"/>
  <c r="D1006" i="2" s="1"/>
  <c r="E1006" i="2" a="1"/>
  <c r="E1006" i="2" s="1"/>
  <c r="F1006" i="2" a="1"/>
  <c r="F1006" i="2" s="1"/>
  <c r="G1006" i="2" a="1"/>
  <c r="G1006" i="2" s="1"/>
  <c r="H1006" i="2" a="1"/>
  <c r="H1006" i="2" s="1"/>
  <c r="I1006" i="2" a="1"/>
  <c r="I1006" i="2" s="1"/>
  <c r="J1006" i="2" a="1"/>
  <c r="J1006" i="2" s="1"/>
  <c r="K1006" i="2" a="1"/>
  <c r="K1006" i="2" s="1"/>
  <c r="L1006" i="2" a="1"/>
  <c r="L1006" i="2" s="1"/>
  <c r="M1006" i="2" a="1"/>
  <c r="M1006" i="2" s="1"/>
  <c r="N1006" i="2" a="1"/>
  <c r="N1006" i="2" s="1"/>
  <c r="O1006" i="2" a="1"/>
  <c r="O1006" i="2" s="1"/>
  <c r="P1006" i="2" a="1"/>
  <c r="P1006" i="2" s="1"/>
  <c r="Q1006" i="2" a="1"/>
  <c r="Q1006" i="2" s="1"/>
  <c r="A1007" i="2" a="1"/>
  <c r="A1007" i="2" s="1"/>
  <c r="B1007" i="2" a="1"/>
  <c r="B1007" i="2" s="1"/>
  <c r="C1007" i="2" a="1"/>
  <c r="C1007" i="2" s="1"/>
  <c r="D1007" i="2" a="1"/>
  <c r="D1007" i="2" s="1"/>
  <c r="E1007" i="2" a="1"/>
  <c r="E1007" i="2" s="1"/>
  <c r="F1007" i="2" a="1"/>
  <c r="F1007" i="2" s="1"/>
  <c r="G1007" i="2" a="1"/>
  <c r="G1007" i="2" s="1"/>
  <c r="H1007" i="2" a="1"/>
  <c r="H1007" i="2" s="1"/>
  <c r="I1007" i="2" a="1"/>
  <c r="I1007" i="2" s="1"/>
  <c r="J1007" i="2" a="1"/>
  <c r="J1007" i="2" s="1"/>
  <c r="K1007" i="2" a="1"/>
  <c r="K1007" i="2" s="1"/>
  <c r="L1007" i="2" a="1"/>
  <c r="L1007" i="2" s="1"/>
  <c r="M1007" i="2" a="1"/>
  <c r="M1007" i="2" s="1"/>
  <c r="N1007" i="2" a="1"/>
  <c r="N1007" i="2" s="1"/>
  <c r="O1007" i="2" a="1"/>
  <c r="O1007" i="2" s="1"/>
  <c r="P1007" i="2" a="1"/>
  <c r="P1007" i="2" s="1"/>
  <c r="Q1007" i="2" a="1"/>
  <c r="Q1007" i="2" s="1"/>
  <c r="A1008" i="2" a="1"/>
  <c r="A1008" i="2" s="1"/>
  <c r="B1008" i="2" a="1"/>
  <c r="B1008" i="2" s="1"/>
  <c r="C1008" i="2" a="1"/>
  <c r="C1008" i="2" s="1"/>
  <c r="D1008" i="2" a="1"/>
  <c r="D1008" i="2" s="1"/>
  <c r="E1008" i="2" a="1"/>
  <c r="E1008" i="2" s="1"/>
  <c r="F1008" i="2" a="1"/>
  <c r="F1008" i="2" s="1"/>
  <c r="G1008" i="2" a="1"/>
  <c r="G1008" i="2" s="1"/>
  <c r="H1008" i="2" a="1"/>
  <c r="H1008" i="2" s="1"/>
  <c r="I1008" i="2" a="1"/>
  <c r="I1008" i="2" s="1"/>
  <c r="J1008" i="2" a="1"/>
  <c r="J1008" i="2" s="1"/>
  <c r="K1008" i="2" a="1"/>
  <c r="K1008" i="2" s="1"/>
  <c r="L1008" i="2" a="1"/>
  <c r="L1008" i="2" s="1"/>
  <c r="M1008" i="2" a="1"/>
  <c r="M1008" i="2" s="1"/>
  <c r="N1008" i="2" a="1"/>
  <c r="N1008" i="2" s="1"/>
  <c r="O1008" i="2" a="1"/>
  <c r="O1008" i="2" s="1"/>
  <c r="P1008" i="2" a="1"/>
  <c r="P1008" i="2" s="1"/>
  <c r="Q1008" i="2" a="1"/>
  <c r="Q1008" i="2" s="1"/>
  <c r="A1009" i="2" a="1"/>
  <c r="A1009" i="2" s="1"/>
  <c r="B1009" i="2" a="1"/>
  <c r="B1009" i="2" s="1"/>
  <c r="C1009" i="2" a="1"/>
  <c r="C1009" i="2" s="1"/>
  <c r="D1009" i="2" a="1"/>
  <c r="D1009" i="2" s="1"/>
  <c r="E1009" i="2" a="1"/>
  <c r="E1009" i="2" s="1"/>
  <c r="F1009" i="2" a="1"/>
  <c r="F1009" i="2" s="1"/>
  <c r="G1009" i="2" a="1"/>
  <c r="G1009" i="2" s="1"/>
  <c r="H1009" i="2" a="1"/>
  <c r="H1009" i="2" s="1"/>
  <c r="I1009" i="2" a="1"/>
  <c r="I1009" i="2" s="1"/>
  <c r="J1009" i="2" a="1"/>
  <c r="J1009" i="2" s="1"/>
  <c r="K1009" i="2" a="1"/>
  <c r="K1009" i="2" s="1"/>
  <c r="L1009" i="2" a="1"/>
  <c r="L1009" i="2" s="1"/>
  <c r="M1009" i="2" a="1"/>
  <c r="M1009" i="2" s="1"/>
  <c r="N1009" i="2" a="1"/>
  <c r="N1009" i="2" s="1"/>
  <c r="O1009" i="2" a="1"/>
  <c r="O1009" i="2" s="1"/>
  <c r="P1009" i="2" a="1"/>
  <c r="P1009" i="2" s="1"/>
  <c r="Q1009" i="2" a="1"/>
  <c r="Q1009" i="2" s="1"/>
  <c r="A1010" i="2" a="1"/>
  <c r="A1010" i="2" s="1"/>
  <c r="B1010" i="2" a="1"/>
  <c r="B1010" i="2" s="1"/>
  <c r="C1010" i="2" a="1"/>
  <c r="C1010" i="2" s="1"/>
  <c r="D1010" i="2" a="1"/>
  <c r="D1010" i="2" s="1"/>
  <c r="E1010" i="2" a="1"/>
  <c r="E1010" i="2" s="1"/>
  <c r="F1010" i="2" a="1"/>
  <c r="F1010" i="2" s="1"/>
  <c r="G1010" i="2" a="1"/>
  <c r="G1010" i="2" s="1"/>
  <c r="H1010" i="2" a="1"/>
  <c r="H1010" i="2" s="1"/>
  <c r="I1010" i="2" a="1"/>
  <c r="I1010" i="2" s="1"/>
  <c r="J1010" i="2" a="1"/>
  <c r="J1010" i="2" s="1"/>
  <c r="K1010" i="2" a="1"/>
  <c r="K1010" i="2" s="1"/>
  <c r="L1010" i="2" a="1"/>
  <c r="L1010" i="2" s="1"/>
  <c r="M1010" i="2" a="1"/>
  <c r="M1010" i="2" s="1"/>
  <c r="N1010" i="2" a="1"/>
  <c r="N1010" i="2" s="1"/>
  <c r="O1010" i="2" a="1"/>
  <c r="O1010" i="2" s="1"/>
  <c r="P1010" i="2" a="1"/>
  <c r="P1010" i="2" s="1"/>
  <c r="Q1010" i="2" a="1"/>
  <c r="Q1010" i="2" s="1"/>
  <c r="A1011" i="2" a="1"/>
  <c r="A1011" i="2" s="1"/>
  <c r="B1011" i="2" a="1"/>
  <c r="B1011" i="2" s="1"/>
  <c r="C1011" i="2" a="1"/>
  <c r="C1011" i="2" s="1"/>
  <c r="D1011" i="2" a="1"/>
  <c r="D1011" i="2" s="1"/>
  <c r="E1011" i="2" a="1"/>
  <c r="E1011" i="2" s="1"/>
  <c r="F1011" i="2" a="1"/>
  <c r="F1011" i="2" s="1"/>
  <c r="G1011" i="2" a="1"/>
  <c r="G1011" i="2" s="1"/>
  <c r="H1011" i="2" a="1"/>
  <c r="H1011" i="2" s="1"/>
  <c r="I1011" i="2" a="1"/>
  <c r="I1011" i="2" s="1"/>
  <c r="J1011" i="2" a="1"/>
  <c r="J1011" i="2" s="1"/>
  <c r="K1011" i="2" a="1"/>
  <c r="K1011" i="2" s="1"/>
  <c r="L1011" i="2" a="1"/>
  <c r="L1011" i="2" s="1"/>
  <c r="M1011" i="2" a="1"/>
  <c r="M1011" i="2" s="1"/>
  <c r="N1011" i="2" a="1"/>
  <c r="N1011" i="2" s="1"/>
  <c r="O1011" i="2" a="1"/>
  <c r="O1011" i="2" s="1"/>
  <c r="P1011" i="2" a="1"/>
  <c r="P1011" i="2" s="1"/>
  <c r="Q1011" i="2" a="1"/>
  <c r="Q1011" i="2" s="1"/>
  <c r="A1012" i="2" a="1"/>
  <c r="A1012" i="2" s="1"/>
  <c r="B1012" i="2" a="1"/>
  <c r="B1012" i="2" s="1"/>
  <c r="C1012" i="2" a="1"/>
  <c r="C1012" i="2" s="1"/>
  <c r="D1012" i="2" a="1"/>
  <c r="D1012" i="2" s="1"/>
  <c r="E1012" i="2" a="1"/>
  <c r="E1012" i="2" s="1"/>
  <c r="F1012" i="2" a="1"/>
  <c r="F1012" i="2" s="1"/>
  <c r="G1012" i="2" a="1"/>
  <c r="G1012" i="2" s="1"/>
  <c r="H1012" i="2" a="1"/>
  <c r="H1012" i="2" s="1"/>
  <c r="I1012" i="2" a="1"/>
  <c r="I1012" i="2" s="1"/>
  <c r="J1012" i="2" a="1"/>
  <c r="J1012" i="2" s="1"/>
  <c r="K1012" i="2" a="1"/>
  <c r="K1012" i="2" s="1"/>
  <c r="L1012" i="2" a="1"/>
  <c r="L1012" i="2" s="1"/>
  <c r="M1012" i="2" a="1"/>
  <c r="M1012" i="2" s="1"/>
  <c r="N1012" i="2" a="1"/>
  <c r="N1012" i="2" s="1"/>
  <c r="O1012" i="2" a="1"/>
  <c r="O1012" i="2" s="1"/>
  <c r="P1012" i="2" a="1"/>
  <c r="P1012" i="2" s="1"/>
  <c r="Q1012" i="2" a="1"/>
  <c r="Q1012" i="2" s="1"/>
  <c r="A1013" i="2" a="1"/>
  <c r="A1013" i="2" s="1"/>
  <c r="B1013" i="2" a="1"/>
  <c r="B1013" i="2" s="1"/>
  <c r="C1013" i="2" a="1"/>
  <c r="C1013" i="2" s="1"/>
  <c r="D1013" i="2" a="1"/>
  <c r="D1013" i="2" s="1"/>
  <c r="E1013" i="2" a="1"/>
  <c r="E1013" i="2" s="1"/>
  <c r="F1013" i="2" a="1"/>
  <c r="F1013" i="2" s="1"/>
  <c r="G1013" i="2" a="1"/>
  <c r="G1013" i="2" s="1"/>
  <c r="H1013" i="2" a="1"/>
  <c r="H1013" i="2" s="1"/>
  <c r="I1013" i="2" a="1"/>
  <c r="I1013" i="2" s="1"/>
  <c r="J1013" i="2" a="1"/>
  <c r="J1013" i="2" s="1"/>
  <c r="K1013" i="2" a="1"/>
  <c r="K1013" i="2" s="1"/>
  <c r="L1013" i="2" a="1"/>
  <c r="L1013" i="2" s="1"/>
  <c r="M1013" i="2" a="1"/>
  <c r="M1013" i="2" s="1"/>
  <c r="N1013" i="2" a="1"/>
  <c r="N1013" i="2" s="1"/>
  <c r="O1013" i="2" a="1"/>
  <c r="O1013" i="2" s="1"/>
  <c r="P1013" i="2" a="1"/>
  <c r="P1013" i="2" s="1"/>
  <c r="Q1013" i="2" a="1"/>
  <c r="Q1013" i="2" s="1"/>
  <c r="A1014" i="2" a="1"/>
  <c r="A1014" i="2" s="1"/>
  <c r="B1014" i="2" a="1"/>
  <c r="B1014" i="2" s="1"/>
  <c r="C1014" i="2" a="1"/>
  <c r="C1014" i="2" s="1"/>
  <c r="D1014" i="2" a="1"/>
  <c r="D1014" i="2" s="1"/>
  <c r="E1014" i="2" a="1"/>
  <c r="E1014" i="2" s="1"/>
  <c r="F1014" i="2" a="1"/>
  <c r="F1014" i="2" s="1"/>
  <c r="G1014" i="2" a="1"/>
  <c r="G1014" i="2" s="1"/>
  <c r="H1014" i="2" a="1"/>
  <c r="H1014" i="2" s="1"/>
  <c r="I1014" i="2" a="1"/>
  <c r="I1014" i="2" s="1"/>
  <c r="J1014" i="2" a="1"/>
  <c r="J1014" i="2" s="1"/>
  <c r="K1014" i="2" a="1"/>
  <c r="K1014" i="2" s="1"/>
  <c r="L1014" i="2" a="1"/>
  <c r="L1014" i="2" s="1"/>
  <c r="M1014" i="2" a="1"/>
  <c r="M1014" i="2" s="1"/>
  <c r="N1014" i="2" a="1"/>
  <c r="N1014" i="2" s="1"/>
  <c r="O1014" i="2" a="1"/>
  <c r="O1014" i="2" s="1"/>
  <c r="P1014" i="2" a="1"/>
  <c r="P1014" i="2" s="1"/>
  <c r="Q1014" i="2" a="1"/>
  <c r="Q1014" i="2" s="1"/>
  <c r="A1015" i="2" a="1"/>
  <c r="A1015" i="2" s="1"/>
  <c r="B1015" i="2" a="1"/>
  <c r="B1015" i="2" s="1"/>
  <c r="C1015" i="2" a="1"/>
  <c r="C1015" i="2" s="1"/>
  <c r="D1015" i="2" a="1"/>
  <c r="D1015" i="2" s="1"/>
  <c r="E1015" i="2" a="1"/>
  <c r="E1015" i="2" s="1"/>
  <c r="F1015" i="2" a="1"/>
  <c r="F1015" i="2" s="1"/>
  <c r="G1015" i="2" a="1"/>
  <c r="G1015" i="2" s="1"/>
  <c r="H1015" i="2" a="1"/>
  <c r="H1015" i="2" s="1"/>
  <c r="I1015" i="2" a="1"/>
  <c r="I1015" i="2" s="1"/>
  <c r="J1015" i="2" a="1"/>
  <c r="J1015" i="2" s="1"/>
  <c r="K1015" i="2" a="1"/>
  <c r="K1015" i="2" s="1"/>
  <c r="L1015" i="2" a="1"/>
  <c r="L1015" i="2" s="1"/>
  <c r="M1015" i="2" a="1"/>
  <c r="M1015" i="2" s="1"/>
  <c r="N1015" i="2" a="1"/>
  <c r="N1015" i="2" s="1"/>
  <c r="O1015" i="2" a="1"/>
  <c r="O1015" i="2" s="1"/>
  <c r="P1015" i="2" a="1"/>
  <c r="P1015" i="2" s="1"/>
  <c r="Q1015" i="2" a="1"/>
  <c r="Q1015" i="2" s="1"/>
  <c r="A1016" i="2" a="1"/>
  <c r="A1016" i="2" s="1"/>
  <c r="B1016" i="2" a="1"/>
  <c r="B1016" i="2" s="1"/>
  <c r="C1016" i="2" a="1"/>
  <c r="C1016" i="2" s="1"/>
  <c r="D1016" i="2" a="1"/>
  <c r="D1016" i="2" s="1"/>
  <c r="E1016" i="2" a="1"/>
  <c r="E1016" i="2" s="1"/>
  <c r="F1016" i="2" a="1"/>
  <c r="F1016" i="2" s="1"/>
  <c r="G1016" i="2" a="1"/>
  <c r="G1016" i="2" s="1"/>
  <c r="H1016" i="2" a="1"/>
  <c r="H1016" i="2" s="1"/>
  <c r="I1016" i="2" a="1"/>
  <c r="I1016" i="2" s="1"/>
  <c r="J1016" i="2" a="1"/>
  <c r="J1016" i="2" s="1"/>
  <c r="K1016" i="2" a="1"/>
  <c r="K1016" i="2" s="1"/>
  <c r="L1016" i="2" a="1"/>
  <c r="L1016" i="2" s="1"/>
  <c r="M1016" i="2" a="1"/>
  <c r="M1016" i="2" s="1"/>
  <c r="N1016" i="2" a="1"/>
  <c r="N1016" i="2" s="1"/>
  <c r="O1016" i="2" a="1"/>
  <c r="O1016" i="2" s="1"/>
  <c r="P1016" i="2" a="1"/>
  <c r="P1016" i="2" s="1"/>
  <c r="Q1016" i="2" a="1"/>
  <c r="Q1016" i="2" s="1"/>
  <c r="A1017" i="2" a="1"/>
  <c r="A1017" i="2" s="1"/>
  <c r="B1017" i="2" a="1"/>
  <c r="B1017" i="2" s="1"/>
  <c r="C1017" i="2" a="1"/>
  <c r="C1017" i="2" s="1"/>
  <c r="D1017" i="2" a="1"/>
  <c r="D1017" i="2" s="1"/>
  <c r="E1017" i="2" a="1"/>
  <c r="E1017" i="2" s="1"/>
  <c r="F1017" i="2" a="1"/>
  <c r="F1017" i="2" s="1"/>
  <c r="G1017" i="2" a="1"/>
  <c r="G1017" i="2" s="1"/>
  <c r="H1017" i="2" a="1"/>
  <c r="H1017" i="2" s="1"/>
  <c r="I1017" i="2" a="1"/>
  <c r="I1017" i="2" s="1"/>
  <c r="J1017" i="2" a="1"/>
  <c r="J1017" i="2" s="1"/>
  <c r="K1017" i="2" a="1"/>
  <c r="K1017" i="2" s="1"/>
  <c r="L1017" i="2" a="1"/>
  <c r="L1017" i="2" s="1"/>
  <c r="M1017" i="2" a="1"/>
  <c r="M1017" i="2" s="1"/>
  <c r="N1017" i="2" a="1"/>
  <c r="N1017" i="2" s="1"/>
  <c r="O1017" i="2" a="1"/>
  <c r="O1017" i="2" s="1"/>
  <c r="P1017" i="2" a="1"/>
  <c r="P1017" i="2" s="1"/>
  <c r="Q1017" i="2" a="1"/>
  <c r="Q1017" i="2" s="1"/>
  <c r="A1018" i="2" a="1"/>
  <c r="A1018" i="2" s="1"/>
  <c r="B1018" i="2" a="1"/>
  <c r="B1018" i="2" s="1"/>
  <c r="C1018" i="2" a="1"/>
  <c r="C1018" i="2" s="1"/>
  <c r="D1018" i="2" a="1"/>
  <c r="D1018" i="2" s="1"/>
  <c r="E1018" i="2" a="1"/>
  <c r="E1018" i="2" s="1"/>
  <c r="F1018" i="2" a="1"/>
  <c r="F1018" i="2" s="1"/>
  <c r="G1018" i="2" a="1"/>
  <c r="G1018" i="2" s="1"/>
  <c r="H1018" i="2" a="1"/>
  <c r="H1018" i="2" s="1"/>
  <c r="I1018" i="2" a="1"/>
  <c r="I1018" i="2" s="1"/>
  <c r="J1018" i="2" a="1"/>
  <c r="J1018" i="2" s="1"/>
  <c r="K1018" i="2" a="1"/>
  <c r="K1018" i="2" s="1"/>
  <c r="L1018" i="2" a="1"/>
  <c r="L1018" i="2" s="1"/>
  <c r="M1018" i="2" a="1"/>
  <c r="M1018" i="2" s="1"/>
  <c r="N1018" i="2" a="1"/>
  <c r="N1018" i="2" s="1"/>
  <c r="O1018" i="2" a="1"/>
  <c r="O1018" i="2" s="1"/>
  <c r="P1018" i="2" a="1"/>
  <c r="P1018" i="2" s="1"/>
  <c r="Q1018" i="2" a="1"/>
  <c r="Q1018" i="2" s="1"/>
  <c r="A1019" i="2" a="1"/>
  <c r="A1019" i="2" s="1"/>
  <c r="B1019" i="2" a="1"/>
  <c r="B1019" i="2" s="1"/>
  <c r="C1019" i="2" a="1"/>
  <c r="C1019" i="2" s="1"/>
  <c r="D1019" i="2" a="1"/>
  <c r="D1019" i="2" s="1"/>
  <c r="E1019" i="2" a="1"/>
  <c r="E1019" i="2" s="1"/>
  <c r="F1019" i="2" a="1"/>
  <c r="F1019" i="2" s="1"/>
  <c r="G1019" i="2" a="1"/>
  <c r="G1019" i="2" s="1"/>
  <c r="H1019" i="2" a="1"/>
  <c r="H1019" i="2" s="1"/>
  <c r="I1019" i="2" a="1"/>
  <c r="I1019" i="2" s="1"/>
  <c r="J1019" i="2" a="1"/>
  <c r="J1019" i="2" s="1"/>
  <c r="K1019" i="2" a="1"/>
  <c r="K1019" i="2" s="1"/>
  <c r="L1019" i="2" a="1"/>
  <c r="L1019" i="2" s="1"/>
  <c r="M1019" i="2" a="1"/>
  <c r="M1019" i="2" s="1"/>
  <c r="N1019" i="2" a="1"/>
  <c r="N1019" i="2" s="1"/>
  <c r="O1019" i="2" a="1"/>
  <c r="O1019" i="2" s="1"/>
  <c r="P1019" i="2" a="1"/>
  <c r="P1019" i="2" s="1"/>
  <c r="Q1019" i="2" a="1"/>
  <c r="Q1019" i="2" s="1"/>
  <c r="A1020" i="2" a="1"/>
  <c r="A1020" i="2" s="1"/>
  <c r="B1020" i="2" a="1"/>
  <c r="B1020" i="2" s="1"/>
  <c r="C1020" i="2" a="1"/>
  <c r="C1020" i="2" s="1"/>
  <c r="D1020" i="2" a="1"/>
  <c r="D1020" i="2" s="1"/>
  <c r="E1020" i="2" a="1"/>
  <c r="E1020" i="2" s="1"/>
  <c r="F1020" i="2" a="1"/>
  <c r="F1020" i="2" s="1"/>
  <c r="G1020" i="2" a="1"/>
  <c r="G1020" i="2" s="1"/>
  <c r="H1020" i="2" a="1"/>
  <c r="H1020" i="2" s="1"/>
  <c r="I1020" i="2" a="1"/>
  <c r="I1020" i="2" s="1"/>
  <c r="J1020" i="2" a="1"/>
  <c r="J1020" i="2" s="1"/>
  <c r="K1020" i="2" a="1"/>
  <c r="K1020" i="2" s="1"/>
  <c r="L1020" i="2" a="1"/>
  <c r="L1020" i="2" s="1"/>
  <c r="M1020" i="2" a="1"/>
  <c r="M1020" i="2" s="1"/>
  <c r="N1020" i="2" a="1"/>
  <c r="N1020" i="2" s="1"/>
  <c r="O1020" i="2" a="1"/>
  <c r="O1020" i="2" s="1"/>
  <c r="P1020" i="2" a="1"/>
  <c r="P1020" i="2" s="1"/>
  <c r="Q1020" i="2" a="1"/>
  <c r="Q1020" i="2" s="1"/>
  <c r="A1021" i="2" a="1"/>
  <c r="A1021" i="2" s="1"/>
  <c r="B1021" i="2" a="1"/>
  <c r="B1021" i="2" s="1"/>
  <c r="C1021" i="2" a="1"/>
  <c r="C1021" i="2" s="1"/>
  <c r="D1021" i="2" a="1"/>
  <c r="D1021" i="2" s="1"/>
  <c r="E1021" i="2" a="1"/>
  <c r="E1021" i="2" s="1"/>
  <c r="F1021" i="2" a="1"/>
  <c r="F1021" i="2" s="1"/>
  <c r="G1021" i="2" a="1"/>
  <c r="G1021" i="2" s="1"/>
  <c r="H1021" i="2" a="1"/>
  <c r="H1021" i="2" s="1"/>
  <c r="I1021" i="2" a="1"/>
  <c r="I1021" i="2" s="1"/>
  <c r="J1021" i="2" a="1"/>
  <c r="J1021" i="2" s="1"/>
  <c r="K1021" i="2" a="1"/>
  <c r="K1021" i="2" s="1"/>
  <c r="L1021" i="2" a="1"/>
  <c r="L1021" i="2" s="1"/>
  <c r="M1021" i="2" a="1"/>
  <c r="M1021" i="2" s="1"/>
  <c r="N1021" i="2" a="1"/>
  <c r="N1021" i="2" s="1"/>
  <c r="O1021" i="2" a="1"/>
  <c r="O1021" i="2" s="1"/>
  <c r="P1021" i="2" a="1"/>
  <c r="P1021" i="2" s="1"/>
  <c r="Q1021" i="2" a="1"/>
  <c r="Q1021" i="2" s="1"/>
  <c r="A1022" i="2" a="1"/>
  <c r="A1022" i="2" s="1"/>
  <c r="B1022" i="2" a="1"/>
  <c r="B1022" i="2" s="1"/>
  <c r="C1022" i="2" a="1"/>
  <c r="C1022" i="2" s="1"/>
  <c r="D1022" i="2" a="1"/>
  <c r="D1022" i="2" s="1"/>
  <c r="E1022" i="2" a="1"/>
  <c r="E1022" i="2" s="1"/>
  <c r="F1022" i="2" a="1"/>
  <c r="F1022" i="2" s="1"/>
  <c r="G1022" i="2" a="1"/>
  <c r="G1022" i="2" s="1"/>
  <c r="H1022" i="2" a="1"/>
  <c r="H1022" i="2" s="1"/>
  <c r="I1022" i="2" a="1"/>
  <c r="I1022" i="2" s="1"/>
  <c r="J1022" i="2" a="1"/>
  <c r="J1022" i="2" s="1"/>
  <c r="K1022" i="2" a="1"/>
  <c r="K1022" i="2" s="1"/>
  <c r="L1022" i="2" a="1"/>
  <c r="L1022" i="2" s="1"/>
  <c r="M1022" i="2" a="1"/>
  <c r="M1022" i="2" s="1"/>
  <c r="N1022" i="2" a="1"/>
  <c r="N1022" i="2" s="1"/>
  <c r="O1022" i="2" a="1"/>
  <c r="O1022" i="2" s="1"/>
  <c r="P1022" i="2" a="1"/>
  <c r="P1022" i="2" s="1"/>
  <c r="Q1022" i="2" a="1"/>
  <c r="Q1022" i="2" s="1"/>
  <c r="A1023" i="2" a="1"/>
  <c r="A1023" i="2" s="1"/>
  <c r="B1023" i="2" a="1"/>
  <c r="B1023" i="2" s="1"/>
  <c r="C1023" i="2" a="1"/>
  <c r="C1023" i="2" s="1"/>
  <c r="D1023" i="2" a="1"/>
  <c r="D1023" i="2" s="1"/>
  <c r="E1023" i="2" a="1"/>
  <c r="E1023" i="2" s="1"/>
  <c r="F1023" i="2" a="1"/>
  <c r="F1023" i="2" s="1"/>
  <c r="G1023" i="2" a="1"/>
  <c r="G1023" i="2" s="1"/>
  <c r="H1023" i="2" a="1"/>
  <c r="H1023" i="2" s="1"/>
  <c r="I1023" i="2" a="1"/>
  <c r="I1023" i="2" s="1"/>
  <c r="J1023" i="2" a="1"/>
  <c r="J1023" i="2" s="1"/>
  <c r="K1023" i="2" a="1"/>
  <c r="K1023" i="2" s="1"/>
  <c r="L1023" i="2" a="1"/>
  <c r="L1023" i="2" s="1"/>
  <c r="M1023" i="2" a="1"/>
  <c r="M1023" i="2" s="1"/>
  <c r="N1023" i="2" a="1"/>
  <c r="N1023" i="2" s="1"/>
  <c r="O1023" i="2" a="1"/>
  <c r="O1023" i="2" s="1"/>
  <c r="P1023" i="2" a="1"/>
  <c r="P1023" i="2" s="1"/>
  <c r="Q1023" i="2" a="1"/>
  <c r="Q1023" i="2" s="1"/>
  <c r="A1024" i="2" a="1"/>
  <c r="A1024" i="2" s="1"/>
  <c r="B1024" i="2" a="1"/>
  <c r="B1024" i="2" s="1"/>
  <c r="C1024" i="2" a="1"/>
  <c r="C1024" i="2" s="1"/>
  <c r="D1024" i="2" a="1"/>
  <c r="D1024" i="2" s="1"/>
  <c r="E1024" i="2" a="1"/>
  <c r="E1024" i="2" s="1"/>
  <c r="F1024" i="2" a="1"/>
  <c r="F1024" i="2" s="1"/>
  <c r="G1024" i="2" a="1"/>
  <c r="G1024" i="2" s="1"/>
  <c r="H1024" i="2" a="1"/>
  <c r="H1024" i="2" s="1"/>
  <c r="I1024" i="2" a="1"/>
  <c r="I1024" i="2" s="1"/>
  <c r="J1024" i="2" a="1"/>
  <c r="J1024" i="2" s="1"/>
  <c r="K1024" i="2" a="1"/>
  <c r="K1024" i="2" s="1"/>
  <c r="L1024" i="2" a="1"/>
  <c r="L1024" i="2" s="1"/>
  <c r="M1024" i="2" a="1"/>
  <c r="M1024" i="2" s="1"/>
  <c r="N1024" i="2" a="1"/>
  <c r="N1024" i="2" s="1"/>
  <c r="O1024" i="2" a="1"/>
  <c r="O1024" i="2" s="1"/>
  <c r="P1024" i="2" a="1"/>
  <c r="P1024" i="2" s="1"/>
  <c r="Q1024" i="2" a="1"/>
  <c r="Q1024" i="2" s="1"/>
  <c r="A1025" i="2" a="1"/>
  <c r="A1025" i="2" s="1"/>
  <c r="B1025" i="2" a="1"/>
  <c r="B1025" i="2" s="1"/>
  <c r="C1025" i="2" a="1"/>
  <c r="C1025" i="2" s="1"/>
  <c r="D1025" i="2" a="1"/>
  <c r="D1025" i="2" s="1"/>
  <c r="E1025" i="2" a="1"/>
  <c r="E1025" i="2" s="1"/>
  <c r="F1025" i="2" a="1"/>
  <c r="F1025" i="2" s="1"/>
  <c r="G1025" i="2" a="1"/>
  <c r="G1025" i="2" s="1"/>
  <c r="H1025" i="2" a="1"/>
  <c r="H1025" i="2" s="1"/>
  <c r="I1025" i="2" a="1"/>
  <c r="I1025" i="2" s="1"/>
  <c r="J1025" i="2" a="1"/>
  <c r="J1025" i="2" s="1"/>
  <c r="K1025" i="2" a="1"/>
  <c r="K1025" i="2" s="1"/>
  <c r="L1025" i="2" a="1"/>
  <c r="L1025" i="2" s="1"/>
  <c r="M1025" i="2" a="1"/>
  <c r="M1025" i="2" s="1"/>
  <c r="N1025" i="2" a="1"/>
  <c r="N1025" i="2" s="1"/>
  <c r="O1025" i="2" a="1"/>
  <c r="O1025" i="2" s="1"/>
  <c r="P1025" i="2" a="1"/>
  <c r="P1025" i="2" s="1"/>
  <c r="Q1025" i="2" a="1"/>
  <c r="Q1025" i="2" s="1"/>
  <c r="A1026" i="2" a="1"/>
  <c r="A1026" i="2" s="1"/>
  <c r="B1026" i="2" a="1"/>
  <c r="B1026" i="2" s="1"/>
  <c r="C1026" i="2" a="1"/>
  <c r="C1026" i="2" s="1"/>
  <c r="D1026" i="2" a="1"/>
  <c r="D1026" i="2" s="1"/>
  <c r="E1026" i="2" a="1"/>
  <c r="E1026" i="2" s="1"/>
  <c r="F1026" i="2" a="1"/>
  <c r="F1026" i="2" s="1"/>
  <c r="G1026" i="2" a="1"/>
  <c r="G1026" i="2" s="1"/>
  <c r="H1026" i="2" a="1"/>
  <c r="H1026" i="2" s="1"/>
  <c r="I1026" i="2" a="1"/>
  <c r="I1026" i="2" s="1"/>
  <c r="J1026" i="2" a="1"/>
  <c r="J1026" i="2" s="1"/>
  <c r="K1026" i="2" a="1"/>
  <c r="K1026" i="2" s="1"/>
  <c r="L1026" i="2" a="1"/>
  <c r="L1026" i="2" s="1"/>
  <c r="M1026" i="2" a="1"/>
  <c r="M1026" i="2" s="1"/>
  <c r="N1026" i="2" a="1"/>
  <c r="N1026" i="2" s="1"/>
  <c r="O1026" i="2" a="1"/>
  <c r="O1026" i="2" s="1"/>
  <c r="P1026" i="2" a="1"/>
  <c r="P1026" i="2" s="1"/>
  <c r="Q1026" i="2" a="1"/>
  <c r="Q1026" i="2" s="1"/>
  <c r="A1027" i="2" a="1"/>
  <c r="A1027" i="2" s="1"/>
  <c r="B1027" i="2" a="1"/>
  <c r="B1027" i="2" s="1"/>
  <c r="C1027" i="2" a="1"/>
  <c r="C1027" i="2" s="1"/>
  <c r="D1027" i="2" a="1"/>
  <c r="D1027" i="2" s="1"/>
  <c r="E1027" i="2" a="1"/>
  <c r="E1027" i="2" s="1"/>
  <c r="F1027" i="2" a="1"/>
  <c r="F1027" i="2" s="1"/>
  <c r="G1027" i="2" a="1"/>
  <c r="G1027" i="2" s="1"/>
  <c r="H1027" i="2" a="1"/>
  <c r="H1027" i="2" s="1"/>
  <c r="I1027" i="2" a="1"/>
  <c r="I1027" i="2" s="1"/>
  <c r="J1027" i="2" a="1"/>
  <c r="J1027" i="2" s="1"/>
  <c r="K1027" i="2" a="1"/>
  <c r="K1027" i="2" s="1"/>
  <c r="L1027" i="2" a="1"/>
  <c r="L1027" i="2" s="1"/>
  <c r="M1027" i="2" a="1"/>
  <c r="M1027" i="2" s="1"/>
  <c r="N1027" i="2" a="1"/>
  <c r="N1027" i="2" s="1"/>
  <c r="O1027" i="2" a="1"/>
  <c r="O1027" i="2" s="1"/>
  <c r="P1027" i="2" a="1"/>
  <c r="P1027" i="2" s="1"/>
  <c r="Q1027" i="2" a="1"/>
  <c r="Q1027" i="2" s="1"/>
  <c r="A1028" i="2" a="1"/>
  <c r="A1028" i="2" s="1"/>
  <c r="B1028" i="2" a="1"/>
  <c r="B1028" i="2" s="1"/>
  <c r="C1028" i="2" a="1"/>
  <c r="C1028" i="2" s="1"/>
  <c r="D1028" i="2" a="1"/>
  <c r="D1028" i="2" s="1"/>
  <c r="E1028" i="2" a="1"/>
  <c r="E1028" i="2" s="1"/>
  <c r="F1028" i="2" a="1"/>
  <c r="F1028" i="2" s="1"/>
  <c r="G1028" i="2" a="1"/>
  <c r="G1028" i="2" s="1"/>
  <c r="H1028" i="2" a="1"/>
  <c r="H1028" i="2" s="1"/>
  <c r="I1028" i="2" a="1"/>
  <c r="I1028" i="2" s="1"/>
  <c r="J1028" i="2" a="1"/>
  <c r="J1028" i="2" s="1"/>
  <c r="K1028" i="2" a="1"/>
  <c r="K1028" i="2" s="1"/>
  <c r="L1028" i="2" a="1"/>
  <c r="L1028" i="2" s="1"/>
  <c r="M1028" i="2" a="1"/>
  <c r="M1028" i="2" s="1"/>
  <c r="N1028" i="2" a="1"/>
  <c r="N1028" i="2" s="1"/>
  <c r="O1028" i="2" a="1"/>
  <c r="O1028" i="2" s="1"/>
  <c r="P1028" i="2" a="1"/>
  <c r="P1028" i="2" s="1"/>
  <c r="Q1028" i="2" a="1"/>
  <c r="Q1028" i="2" s="1"/>
  <c r="A1029" i="2" a="1"/>
  <c r="A1029" i="2" s="1"/>
  <c r="B1029" i="2" a="1"/>
  <c r="B1029" i="2" s="1"/>
  <c r="C1029" i="2" a="1"/>
  <c r="C1029" i="2" s="1"/>
  <c r="D1029" i="2" a="1"/>
  <c r="D1029" i="2" s="1"/>
  <c r="E1029" i="2" a="1"/>
  <c r="E1029" i="2" s="1"/>
  <c r="F1029" i="2" a="1"/>
  <c r="F1029" i="2" s="1"/>
  <c r="G1029" i="2" a="1"/>
  <c r="G1029" i="2" s="1"/>
  <c r="H1029" i="2" a="1"/>
  <c r="H1029" i="2" s="1"/>
  <c r="I1029" i="2" a="1"/>
  <c r="I1029" i="2" s="1"/>
  <c r="J1029" i="2" a="1"/>
  <c r="J1029" i="2" s="1"/>
  <c r="K1029" i="2" a="1"/>
  <c r="K1029" i="2" s="1"/>
  <c r="L1029" i="2" a="1"/>
  <c r="L1029" i="2" s="1"/>
  <c r="M1029" i="2" a="1"/>
  <c r="M1029" i="2" s="1"/>
  <c r="N1029" i="2" a="1"/>
  <c r="N1029" i="2" s="1"/>
  <c r="O1029" i="2" a="1"/>
  <c r="O1029" i="2" s="1"/>
  <c r="P1029" i="2" a="1"/>
  <c r="P1029" i="2" s="1"/>
  <c r="Q1029" i="2" a="1"/>
  <c r="Q1029" i="2" s="1"/>
  <c r="A1030" i="2" a="1"/>
  <c r="A1030" i="2" s="1"/>
  <c r="B1030" i="2" a="1"/>
  <c r="B1030" i="2" s="1"/>
  <c r="C1030" i="2" a="1"/>
  <c r="C1030" i="2" s="1"/>
  <c r="D1030" i="2" a="1"/>
  <c r="D1030" i="2" s="1"/>
  <c r="E1030" i="2" a="1"/>
  <c r="E1030" i="2" s="1"/>
  <c r="F1030" i="2" a="1"/>
  <c r="F1030" i="2" s="1"/>
  <c r="G1030" i="2" a="1"/>
  <c r="G1030" i="2" s="1"/>
  <c r="H1030" i="2" a="1"/>
  <c r="H1030" i="2" s="1"/>
  <c r="I1030" i="2" a="1"/>
  <c r="I1030" i="2" s="1"/>
  <c r="J1030" i="2" a="1"/>
  <c r="J1030" i="2" s="1"/>
  <c r="K1030" i="2" a="1"/>
  <c r="K1030" i="2" s="1"/>
  <c r="L1030" i="2" a="1"/>
  <c r="L1030" i="2" s="1"/>
  <c r="M1030" i="2" a="1"/>
  <c r="M1030" i="2" s="1"/>
  <c r="N1030" i="2" a="1"/>
  <c r="N1030" i="2" s="1"/>
  <c r="O1030" i="2" a="1"/>
  <c r="O1030" i="2" s="1"/>
  <c r="P1030" i="2" a="1"/>
  <c r="P1030" i="2" s="1"/>
  <c r="Q1030" i="2" a="1"/>
  <c r="Q1030" i="2" s="1"/>
  <c r="A1031" i="2" a="1"/>
  <c r="A1031" i="2" s="1"/>
  <c r="B1031" i="2" a="1"/>
  <c r="B1031" i="2" s="1"/>
  <c r="C1031" i="2" a="1"/>
  <c r="C1031" i="2" s="1"/>
  <c r="D1031" i="2" a="1"/>
  <c r="D1031" i="2" s="1"/>
  <c r="E1031" i="2" a="1"/>
  <c r="E1031" i="2" s="1"/>
  <c r="F1031" i="2" a="1"/>
  <c r="F1031" i="2" s="1"/>
  <c r="G1031" i="2" a="1"/>
  <c r="G1031" i="2" s="1"/>
  <c r="H1031" i="2" a="1"/>
  <c r="H1031" i="2" s="1"/>
  <c r="I1031" i="2" a="1"/>
  <c r="I1031" i="2" s="1"/>
  <c r="J1031" i="2" a="1"/>
  <c r="J1031" i="2" s="1"/>
  <c r="K1031" i="2" a="1"/>
  <c r="K1031" i="2" s="1"/>
  <c r="L1031" i="2" a="1"/>
  <c r="L1031" i="2" s="1"/>
  <c r="M1031" i="2" a="1"/>
  <c r="M1031" i="2" s="1"/>
  <c r="N1031" i="2" a="1"/>
  <c r="N1031" i="2" s="1"/>
  <c r="O1031" i="2" a="1"/>
  <c r="O1031" i="2" s="1"/>
  <c r="P1031" i="2" a="1"/>
  <c r="P1031" i="2" s="1"/>
  <c r="Q1031" i="2" a="1"/>
  <c r="Q1031" i="2" s="1"/>
  <c r="A1032" i="2" a="1"/>
  <c r="A1032" i="2" s="1"/>
  <c r="B1032" i="2" a="1"/>
  <c r="B1032" i="2" s="1"/>
  <c r="C1032" i="2" a="1"/>
  <c r="C1032" i="2" s="1"/>
  <c r="D1032" i="2" a="1"/>
  <c r="D1032" i="2" s="1"/>
  <c r="E1032" i="2" a="1"/>
  <c r="E1032" i="2" s="1"/>
  <c r="F1032" i="2" a="1"/>
  <c r="F1032" i="2" s="1"/>
  <c r="G1032" i="2" a="1"/>
  <c r="G1032" i="2" s="1"/>
  <c r="H1032" i="2" a="1"/>
  <c r="H1032" i="2" s="1"/>
  <c r="I1032" i="2" a="1"/>
  <c r="I1032" i="2" s="1"/>
  <c r="J1032" i="2" a="1"/>
  <c r="J1032" i="2" s="1"/>
  <c r="K1032" i="2" a="1"/>
  <c r="K1032" i="2" s="1"/>
  <c r="L1032" i="2" a="1"/>
  <c r="L1032" i="2" s="1"/>
  <c r="M1032" i="2" a="1"/>
  <c r="M1032" i="2" s="1"/>
  <c r="N1032" i="2" a="1"/>
  <c r="N1032" i="2" s="1"/>
  <c r="O1032" i="2" a="1"/>
  <c r="O1032" i="2" s="1"/>
  <c r="P1032" i="2" a="1"/>
  <c r="P1032" i="2" s="1"/>
  <c r="Q1032" i="2" a="1"/>
  <c r="Q1032" i="2" s="1"/>
  <c r="A1033" i="2" a="1"/>
  <c r="A1033" i="2" s="1"/>
  <c r="B1033" i="2" a="1"/>
  <c r="B1033" i="2" s="1"/>
  <c r="C1033" i="2" a="1"/>
  <c r="C1033" i="2" s="1"/>
  <c r="D1033" i="2" a="1"/>
  <c r="D1033" i="2" s="1"/>
  <c r="E1033" i="2" a="1"/>
  <c r="E1033" i="2" s="1"/>
  <c r="F1033" i="2" a="1"/>
  <c r="F1033" i="2" s="1"/>
  <c r="G1033" i="2" a="1"/>
  <c r="G1033" i="2" s="1"/>
  <c r="H1033" i="2" a="1"/>
  <c r="H1033" i="2" s="1"/>
  <c r="I1033" i="2" a="1"/>
  <c r="I1033" i="2" s="1"/>
  <c r="J1033" i="2" a="1"/>
  <c r="J1033" i="2" s="1"/>
  <c r="K1033" i="2" a="1"/>
  <c r="K1033" i="2" s="1"/>
  <c r="L1033" i="2" a="1"/>
  <c r="L1033" i="2" s="1"/>
  <c r="M1033" i="2" a="1"/>
  <c r="M1033" i="2" s="1"/>
  <c r="N1033" i="2" a="1"/>
  <c r="N1033" i="2" s="1"/>
  <c r="O1033" i="2" a="1"/>
  <c r="O1033" i="2" s="1"/>
  <c r="P1033" i="2" a="1"/>
  <c r="P1033" i="2" s="1"/>
  <c r="Q1033" i="2" a="1"/>
  <c r="Q1033" i="2" s="1"/>
  <c r="A1034" i="2" a="1"/>
  <c r="A1034" i="2" s="1"/>
  <c r="B1034" i="2" a="1"/>
  <c r="B1034" i="2" s="1"/>
  <c r="C1034" i="2" a="1"/>
  <c r="C1034" i="2" s="1"/>
  <c r="D1034" i="2" a="1"/>
  <c r="D1034" i="2" s="1"/>
  <c r="E1034" i="2" a="1"/>
  <c r="E1034" i="2" s="1"/>
  <c r="F1034" i="2" a="1"/>
  <c r="F1034" i="2" s="1"/>
  <c r="G1034" i="2" a="1"/>
  <c r="G1034" i="2" s="1"/>
  <c r="H1034" i="2" a="1"/>
  <c r="H1034" i="2" s="1"/>
  <c r="I1034" i="2" a="1"/>
  <c r="I1034" i="2" s="1"/>
  <c r="J1034" i="2" a="1"/>
  <c r="J1034" i="2" s="1"/>
  <c r="K1034" i="2" a="1"/>
  <c r="K1034" i="2" s="1"/>
  <c r="L1034" i="2" a="1"/>
  <c r="L1034" i="2" s="1"/>
  <c r="M1034" i="2" a="1"/>
  <c r="M1034" i="2" s="1"/>
  <c r="N1034" i="2" a="1"/>
  <c r="N1034" i="2" s="1"/>
  <c r="O1034" i="2" a="1"/>
  <c r="O1034" i="2" s="1"/>
  <c r="P1034" i="2" a="1"/>
  <c r="P1034" i="2" s="1"/>
  <c r="Q1034" i="2" a="1"/>
  <c r="Q1034" i="2" s="1"/>
  <c r="A1035" i="2" a="1"/>
  <c r="A1035" i="2" s="1"/>
  <c r="B1035" i="2" a="1"/>
  <c r="B1035" i="2" s="1"/>
  <c r="C1035" i="2" a="1"/>
  <c r="C1035" i="2" s="1"/>
  <c r="D1035" i="2" a="1"/>
  <c r="D1035" i="2" s="1"/>
  <c r="E1035" i="2" a="1"/>
  <c r="E1035" i="2" s="1"/>
  <c r="F1035" i="2" a="1"/>
  <c r="F1035" i="2" s="1"/>
  <c r="G1035" i="2" a="1"/>
  <c r="G1035" i="2" s="1"/>
  <c r="H1035" i="2" a="1"/>
  <c r="H1035" i="2" s="1"/>
  <c r="I1035" i="2" a="1"/>
  <c r="I1035" i="2" s="1"/>
  <c r="J1035" i="2" a="1"/>
  <c r="J1035" i="2" s="1"/>
  <c r="K1035" i="2" a="1"/>
  <c r="K1035" i="2" s="1"/>
  <c r="L1035" i="2" a="1"/>
  <c r="L1035" i="2" s="1"/>
  <c r="M1035" i="2" a="1"/>
  <c r="M1035" i="2" s="1"/>
  <c r="N1035" i="2" a="1"/>
  <c r="N1035" i="2" s="1"/>
  <c r="O1035" i="2" a="1"/>
  <c r="O1035" i="2" s="1"/>
  <c r="P1035" i="2" a="1"/>
  <c r="P1035" i="2" s="1"/>
  <c r="Q1035" i="2" a="1"/>
  <c r="Q1035" i="2" s="1"/>
  <c r="A1036" i="2" a="1"/>
  <c r="A1036" i="2" s="1"/>
  <c r="B1036" i="2" a="1"/>
  <c r="B1036" i="2" s="1"/>
  <c r="C1036" i="2" a="1"/>
  <c r="C1036" i="2" s="1"/>
  <c r="D1036" i="2" a="1"/>
  <c r="D1036" i="2" s="1"/>
  <c r="E1036" i="2" a="1"/>
  <c r="E1036" i="2" s="1"/>
  <c r="F1036" i="2" a="1"/>
  <c r="F1036" i="2" s="1"/>
  <c r="G1036" i="2" a="1"/>
  <c r="G1036" i="2" s="1"/>
  <c r="H1036" i="2" a="1"/>
  <c r="H1036" i="2" s="1"/>
  <c r="I1036" i="2" a="1"/>
  <c r="I1036" i="2" s="1"/>
  <c r="J1036" i="2" a="1"/>
  <c r="J1036" i="2" s="1"/>
  <c r="K1036" i="2" a="1"/>
  <c r="K1036" i="2" s="1"/>
  <c r="L1036" i="2" a="1"/>
  <c r="L1036" i="2" s="1"/>
  <c r="M1036" i="2" a="1"/>
  <c r="M1036" i="2" s="1"/>
  <c r="N1036" i="2" a="1"/>
  <c r="N1036" i="2" s="1"/>
  <c r="O1036" i="2" a="1"/>
  <c r="O1036" i="2" s="1"/>
  <c r="P1036" i="2" a="1"/>
  <c r="P1036" i="2" s="1"/>
  <c r="Q1036" i="2" a="1"/>
  <c r="Q1036" i="2" s="1"/>
  <c r="A1037" i="2" a="1"/>
  <c r="A1037" i="2" s="1"/>
  <c r="B1037" i="2" a="1"/>
  <c r="B1037" i="2" s="1"/>
  <c r="C1037" i="2" a="1"/>
  <c r="C1037" i="2" s="1"/>
  <c r="D1037" i="2" a="1"/>
  <c r="D1037" i="2" s="1"/>
  <c r="E1037" i="2" a="1"/>
  <c r="E1037" i="2" s="1"/>
  <c r="F1037" i="2" a="1"/>
  <c r="F1037" i="2" s="1"/>
  <c r="G1037" i="2" a="1"/>
  <c r="G1037" i="2" s="1"/>
  <c r="H1037" i="2" a="1"/>
  <c r="H1037" i="2" s="1"/>
  <c r="I1037" i="2" a="1"/>
  <c r="I1037" i="2" s="1"/>
  <c r="J1037" i="2" a="1"/>
  <c r="J1037" i="2" s="1"/>
  <c r="K1037" i="2" a="1"/>
  <c r="K1037" i="2" s="1"/>
  <c r="L1037" i="2" a="1"/>
  <c r="L1037" i="2" s="1"/>
  <c r="M1037" i="2" a="1"/>
  <c r="M1037" i="2" s="1"/>
  <c r="N1037" i="2" a="1"/>
  <c r="N1037" i="2" s="1"/>
  <c r="O1037" i="2" a="1"/>
  <c r="O1037" i="2" s="1"/>
  <c r="P1037" i="2" a="1"/>
  <c r="P1037" i="2" s="1"/>
  <c r="Q1037" i="2" a="1"/>
  <c r="Q1037" i="2" s="1"/>
  <c r="A1038" i="2" a="1"/>
  <c r="A1038" i="2" s="1"/>
  <c r="B1038" i="2" a="1"/>
  <c r="B1038" i="2" s="1"/>
  <c r="C1038" i="2" a="1"/>
  <c r="C1038" i="2" s="1"/>
  <c r="D1038" i="2" a="1"/>
  <c r="D1038" i="2" s="1"/>
  <c r="E1038" i="2" a="1"/>
  <c r="E1038" i="2" s="1"/>
  <c r="F1038" i="2" a="1"/>
  <c r="F1038" i="2" s="1"/>
  <c r="G1038" i="2" a="1"/>
  <c r="G1038" i="2" s="1"/>
  <c r="H1038" i="2" a="1"/>
  <c r="H1038" i="2" s="1"/>
  <c r="I1038" i="2" a="1"/>
  <c r="I1038" i="2" s="1"/>
  <c r="J1038" i="2" a="1"/>
  <c r="J1038" i="2" s="1"/>
  <c r="K1038" i="2" a="1"/>
  <c r="K1038" i="2" s="1"/>
  <c r="L1038" i="2" a="1"/>
  <c r="L1038" i="2" s="1"/>
  <c r="M1038" i="2" a="1"/>
  <c r="M1038" i="2" s="1"/>
  <c r="N1038" i="2" a="1"/>
  <c r="N1038" i="2" s="1"/>
  <c r="O1038" i="2" a="1"/>
  <c r="O1038" i="2" s="1"/>
  <c r="P1038" i="2" a="1"/>
  <c r="P1038" i="2" s="1"/>
  <c r="Q1038" i="2" a="1"/>
  <c r="Q1038" i="2" s="1"/>
  <c r="A1039" i="2" a="1"/>
  <c r="A1039" i="2" s="1"/>
  <c r="B1039" i="2" a="1"/>
  <c r="B1039" i="2" s="1"/>
  <c r="C1039" i="2" a="1"/>
  <c r="C1039" i="2" s="1"/>
  <c r="D1039" i="2" a="1"/>
  <c r="D1039" i="2" s="1"/>
  <c r="E1039" i="2" a="1"/>
  <c r="E1039" i="2" s="1"/>
  <c r="F1039" i="2" a="1"/>
  <c r="F1039" i="2" s="1"/>
  <c r="G1039" i="2" a="1"/>
  <c r="G1039" i="2" s="1"/>
  <c r="H1039" i="2" a="1"/>
  <c r="H1039" i="2" s="1"/>
  <c r="I1039" i="2" a="1"/>
  <c r="I1039" i="2" s="1"/>
  <c r="J1039" i="2" a="1"/>
  <c r="J1039" i="2" s="1"/>
  <c r="K1039" i="2" a="1"/>
  <c r="K1039" i="2" s="1"/>
  <c r="L1039" i="2" a="1"/>
  <c r="L1039" i="2" s="1"/>
  <c r="M1039" i="2" a="1"/>
  <c r="M1039" i="2" s="1"/>
  <c r="N1039" i="2" a="1"/>
  <c r="N1039" i="2" s="1"/>
  <c r="O1039" i="2" a="1"/>
  <c r="O1039" i="2" s="1"/>
  <c r="P1039" i="2" a="1"/>
  <c r="P1039" i="2" s="1"/>
  <c r="Q1039" i="2" a="1"/>
  <c r="Q1039" i="2" s="1"/>
  <c r="A1040" i="2" a="1"/>
  <c r="A1040" i="2" s="1"/>
  <c r="B1040" i="2" a="1"/>
  <c r="B1040" i="2" s="1"/>
  <c r="C1040" i="2" a="1"/>
  <c r="C1040" i="2" s="1"/>
  <c r="D1040" i="2" a="1"/>
  <c r="D1040" i="2" s="1"/>
  <c r="E1040" i="2" a="1"/>
  <c r="E1040" i="2" s="1"/>
  <c r="F1040" i="2" a="1"/>
  <c r="F1040" i="2" s="1"/>
  <c r="G1040" i="2" a="1"/>
  <c r="G1040" i="2" s="1"/>
  <c r="H1040" i="2" a="1"/>
  <c r="H1040" i="2" s="1"/>
  <c r="I1040" i="2" a="1"/>
  <c r="I1040" i="2" s="1"/>
  <c r="J1040" i="2" a="1"/>
  <c r="J1040" i="2" s="1"/>
  <c r="K1040" i="2" a="1"/>
  <c r="K1040" i="2" s="1"/>
  <c r="L1040" i="2" a="1"/>
  <c r="L1040" i="2" s="1"/>
  <c r="M1040" i="2" a="1"/>
  <c r="M1040" i="2" s="1"/>
  <c r="N1040" i="2" a="1"/>
  <c r="N1040" i="2" s="1"/>
  <c r="O1040" i="2" a="1"/>
  <c r="O1040" i="2" s="1"/>
  <c r="P1040" i="2" a="1"/>
  <c r="P1040" i="2" s="1"/>
  <c r="Q1040" i="2" a="1"/>
  <c r="Q1040" i="2" s="1"/>
  <c r="A1041" i="2" a="1"/>
  <c r="A1041" i="2" s="1"/>
  <c r="B1041" i="2" a="1"/>
  <c r="B1041" i="2" s="1"/>
  <c r="C1041" i="2" a="1"/>
  <c r="C1041" i="2" s="1"/>
  <c r="D1041" i="2" a="1"/>
  <c r="D1041" i="2" s="1"/>
  <c r="E1041" i="2" a="1"/>
  <c r="E1041" i="2" s="1"/>
  <c r="F1041" i="2" a="1"/>
  <c r="F1041" i="2" s="1"/>
  <c r="G1041" i="2" a="1"/>
  <c r="G1041" i="2" s="1"/>
  <c r="H1041" i="2" a="1"/>
  <c r="H1041" i="2" s="1"/>
  <c r="I1041" i="2" a="1"/>
  <c r="I1041" i="2" s="1"/>
  <c r="J1041" i="2" a="1"/>
  <c r="J1041" i="2" s="1"/>
  <c r="K1041" i="2" a="1"/>
  <c r="K1041" i="2" s="1"/>
  <c r="L1041" i="2" a="1"/>
  <c r="L1041" i="2" s="1"/>
  <c r="M1041" i="2" a="1"/>
  <c r="M1041" i="2" s="1"/>
  <c r="N1041" i="2" a="1"/>
  <c r="N1041" i="2" s="1"/>
  <c r="O1041" i="2" a="1"/>
  <c r="O1041" i="2" s="1"/>
  <c r="P1041" i="2" a="1"/>
  <c r="P1041" i="2" s="1"/>
  <c r="Q1041" i="2" a="1"/>
  <c r="Q1041" i="2" s="1"/>
  <c r="A1042" i="2" a="1"/>
  <c r="A1042" i="2" s="1"/>
  <c r="B1042" i="2" a="1"/>
  <c r="B1042" i="2" s="1"/>
  <c r="C1042" i="2" a="1"/>
  <c r="C1042" i="2" s="1"/>
  <c r="D1042" i="2" a="1"/>
  <c r="D1042" i="2" s="1"/>
  <c r="E1042" i="2" a="1"/>
  <c r="E1042" i="2" s="1"/>
  <c r="F1042" i="2" a="1"/>
  <c r="F1042" i="2" s="1"/>
  <c r="G1042" i="2" a="1"/>
  <c r="G1042" i="2" s="1"/>
  <c r="H1042" i="2" a="1"/>
  <c r="H1042" i="2" s="1"/>
  <c r="I1042" i="2" a="1"/>
  <c r="I1042" i="2" s="1"/>
  <c r="J1042" i="2" a="1"/>
  <c r="J1042" i="2" s="1"/>
  <c r="K1042" i="2" a="1"/>
  <c r="K1042" i="2" s="1"/>
  <c r="L1042" i="2" a="1"/>
  <c r="L1042" i="2" s="1"/>
  <c r="M1042" i="2" a="1"/>
  <c r="M1042" i="2" s="1"/>
  <c r="N1042" i="2" a="1"/>
  <c r="N1042" i="2" s="1"/>
  <c r="O1042" i="2" a="1"/>
  <c r="O1042" i="2" s="1"/>
  <c r="P1042" i="2" a="1"/>
  <c r="P1042" i="2" s="1"/>
  <c r="Q1042" i="2" a="1"/>
  <c r="Q1042" i="2" s="1"/>
  <c r="A1043" i="2" a="1"/>
  <c r="A1043" i="2" s="1"/>
  <c r="B1043" i="2" a="1"/>
  <c r="B1043" i="2" s="1"/>
  <c r="C1043" i="2" a="1"/>
  <c r="C1043" i="2" s="1"/>
  <c r="D1043" i="2" a="1"/>
  <c r="D1043" i="2" s="1"/>
  <c r="E1043" i="2" a="1"/>
  <c r="E1043" i="2" s="1"/>
  <c r="F1043" i="2" a="1"/>
  <c r="F1043" i="2" s="1"/>
  <c r="G1043" i="2" a="1"/>
  <c r="G1043" i="2" s="1"/>
  <c r="H1043" i="2" a="1"/>
  <c r="H1043" i="2" s="1"/>
  <c r="I1043" i="2" a="1"/>
  <c r="I1043" i="2" s="1"/>
  <c r="J1043" i="2" a="1"/>
  <c r="J1043" i="2" s="1"/>
  <c r="K1043" i="2" a="1"/>
  <c r="K1043" i="2" s="1"/>
  <c r="L1043" i="2" a="1"/>
  <c r="L1043" i="2" s="1"/>
  <c r="M1043" i="2" a="1"/>
  <c r="M1043" i="2" s="1"/>
  <c r="N1043" i="2" a="1"/>
  <c r="N1043" i="2" s="1"/>
  <c r="O1043" i="2" a="1"/>
  <c r="O1043" i="2" s="1"/>
  <c r="P1043" i="2" a="1"/>
  <c r="P1043" i="2" s="1"/>
  <c r="Q1043" i="2" a="1"/>
  <c r="Q1043" i="2" s="1"/>
  <c r="A1044" i="2" a="1"/>
  <c r="A1044" i="2" s="1"/>
  <c r="B1044" i="2" a="1"/>
  <c r="B1044" i="2" s="1"/>
  <c r="C1044" i="2" a="1"/>
  <c r="C1044" i="2" s="1"/>
  <c r="D1044" i="2" a="1"/>
  <c r="D1044" i="2" s="1"/>
  <c r="E1044" i="2" a="1"/>
  <c r="E1044" i="2" s="1"/>
  <c r="F1044" i="2" a="1"/>
  <c r="F1044" i="2" s="1"/>
  <c r="G1044" i="2" a="1"/>
  <c r="G1044" i="2" s="1"/>
  <c r="H1044" i="2" a="1"/>
  <c r="H1044" i="2" s="1"/>
  <c r="I1044" i="2" a="1"/>
  <c r="I1044" i="2" s="1"/>
  <c r="J1044" i="2" a="1"/>
  <c r="J1044" i="2" s="1"/>
  <c r="K1044" i="2" a="1"/>
  <c r="K1044" i="2" s="1"/>
  <c r="L1044" i="2" a="1"/>
  <c r="L1044" i="2" s="1"/>
  <c r="M1044" i="2" a="1"/>
  <c r="M1044" i="2" s="1"/>
  <c r="N1044" i="2" a="1"/>
  <c r="N1044" i="2" s="1"/>
  <c r="O1044" i="2" a="1"/>
  <c r="O1044" i="2" s="1"/>
  <c r="P1044" i="2" a="1"/>
  <c r="P1044" i="2" s="1"/>
  <c r="Q1044" i="2" a="1"/>
  <c r="Q1044" i="2" s="1"/>
  <c r="A1045" i="2" a="1"/>
  <c r="A1045" i="2" s="1"/>
  <c r="B1045" i="2" a="1"/>
  <c r="B1045" i="2" s="1"/>
  <c r="C1045" i="2" a="1"/>
  <c r="C1045" i="2" s="1"/>
  <c r="D1045" i="2" a="1"/>
  <c r="D1045" i="2" s="1"/>
  <c r="E1045" i="2" a="1"/>
  <c r="E1045" i="2" s="1"/>
  <c r="F1045" i="2" a="1"/>
  <c r="F1045" i="2" s="1"/>
  <c r="G1045" i="2" a="1"/>
  <c r="G1045" i="2" s="1"/>
  <c r="H1045" i="2" a="1"/>
  <c r="H1045" i="2" s="1"/>
  <c r="I1045" i="2" a="1"/>
  <c r="I1045" i="2" s="1"/>
  <c r="J1045" i="2" a="1"/>
  <c r="J1045" i="2" s="1"/>
  <c r="K1045" i="2" a="1"/>
  <c r="K1045" i="2" s="1"/>
  <c r="L1045" i="2" a="1"/>
  <c r="L1045" i="2" s="1"/>
  <c r="M1045" i="2" a="1"/>
  <c r="M1045" i="2" s="1"/>
  <c r="N1045" i="2" a="1"/>
  <c r="N1045" i="2" s="1"/>
  <c r="O1045" i="2" a="1"/>
  <c r="O1045" i="2" s="1"/>
  <c r="P1045" i="2" a="1"/>
  <c r="P1045" i="2" s="1"/>
  <c r="Q1045" i="2" a="1"/>
  <c r="Q1045" i="2" s="1"/>
  <c r="A1046" i="2" a="1"/>
  <c r="A1046" i="2" s="1"/>
  <c r="B1046" i="2" a="1"/>
  <c r="B1046" i="2" s="1"/>
  <c r="C1046" i="2" a="1"/>
  <c r="C1046" i="2" s="1"/>
  <c r="D1046" i="2" a="1"/>
  <c r="D1046" i="2" s="1"/>
  <c r="E1046" i="2" a="1"/>
  <c r="E1046" i="2" s="1"/>
  <c r="F1046" i="2" a="1"/>
  <c r="F1046" i="2" s="1"/>
  <c r="G1046" i="2" a="1"/>
  <c r="G1046" i="2" s="1"/>
  <c r="H1046" i="2" a="1"/>
  <c r="H1046" i="2" s="1"/>
  <c r="I1046" i="2" a="1"/>
  <c r="I1046" i="2" s="1"/>
  <c r="J1046" i="2" a="1"/>
  <c r="J1046" i="2" s="1"/>
  <c r="K1046" i="2" a="1"/>
  <c r="K1046" i="2" s="1"/>
  <c r="L1046" i="2" a="1"/>
  <c r="L1046" i="2" s="1"/>
  <c r="M1046" i="2" a="1"/>
  <c r="M1046" i="2" s="1"/>
  <c r="N1046" i="2" a="1"/>
  <c r="N1046" i="2" s="1"/>
  <c r="O1046" i="2" a="1"/>
  <c r="O1046" i="2" s="1"/>
  <c r="P1046" i="2" a="1"/>
  <c r="P1046" i="2" s="1"/>
  <c r="Q1046" i="2" a="1"/>
  <c r="Q1046" i="2" s="1"/>
  <c r="A1047" i="2" a="1"/>
  <c r="A1047" i="2" s="1"/>
  <c r="B1047" i="2" a="1"/>
  <c r="B1047" i="2" s="1"/>
  <c r="C1047" i="2" a="1"/>
  <c r="C1047" i="2" s="1"/>
  <c r="D1047" i="2" a="1"/>
  <c r="D1047" i="2" s="1"/>
  <c r="E1047" i="2" a="1"/>
  <c r="E1047" i="2" s="1"/>
  <c r="F1047" i="2" a="1"/>
  <c r="F1047" i="2" s="1"/>
  <c r="G1047" i="2" a="1"/>
  <c r="G1047" i="2" s="1"/>
  <c r="H1047" i="2" a="1"/>
  <c r="H1047" i="2" s="1"/>
  <c r="I1047" i="2" a="1"/>
  <c r="I1047" i="2" s="1"/>
  <c r="J1047" i="2" a="1"/>
  <c r="J1047" i="2" s="1"/>
  <c r="K1047" i="2" a="1"/>
  <c r="K1047" i="2" s="1"/>
  <c r="L1047" i="2" a="1"/>
  <c r="L1047" i="2" s="1"/>
  <c r="M1047" i="2" a="1"/>
  <c r="M1047" i="2" s="1"/>
  <c r="N1047" i="2" a="1"/>
  <c r="N1047" i="2" s="1"/>
  <c r="O1047" i="2" a="1"/>
  <c r="O1047" i="2" s="1"/>
  <c r="P1047" i="2" a="1"/>
  <c r="P1047" i="2" s="1"/>
  <c r="Q1047" i="2" a="1"/>
  <c r="Q1047" i="2" s="1"/>
  <c r="A1048" i="2" a="1"/>
  <c r="A1048" i="2" s="1"/>
  <c r="B1048" i="2" a="1"/>
  <c r="B1048" i="2" s="1"/>
  <c r="C1048" i="2" a="1"/>
  <c r="C1048" i="2" s="1"/>
  <c r="D1048" i="2" a="1"/>
  <c r="D1048" i="2" s="1"/>
  <c r="E1048" i="2" a="1"/>
  <c r="E1048" i="2" s="1"/>
  <c r="F1048" i="2" a="1"/>
  <c r="F1048" i="2" s="1"/>
  <c r="G1048" i="2" a="1"/>
  <c r="G1048" i="2" s="1"/>
  <c r="H1048" i="2" a="1"/>
  <c r="H1048" i="2" s="1"/>
  <c r="I1048" i="2" a="1"/>
  <c r="I1048" i="2" s="1"/>
  <c r="J1048" i="2" a="1"/>
  <c r="J1048" i="2" s="1"/>
  <c r="K1048" i="2" a="1"/>
  <c r="K1048" i="2" s="1"/>
  <c r="L1048" i="2" a="1"/>
  <c r="L1048" i="2" s="1"/>
  <c r="M1048" i="2" a="1"/>
  <c r="M1048" i="2" s="1"/>
  <c r="N1048" i="2" a="1"/>
  <c r="N1048" i="2" s="1"/>
  <c r="O1048" i="2" a="1"/>
  <c r="O1048" i="2" s="1"/>
  <c r="P1048" i="2" a="1"/>
  <c r="P1048" i="2" s="1"/>
  <c r="Q1048" i="2" a="1"/>
  <c r="Q1048" i="2" s="1"/>
  <c r="A1049" i="2" a="1"/>
  <c r="A1049" i="2" s="1"/>
  <c r="B1049" i="2" a="1"/>
  <c r="B1049" i="2" s="1"/>
  <c r="C1049" i="2" a="1"/>
  <c r="C1049" i="2" s="1"/>
  <c r="D1049" i="2" a="1"/>
  <c r="D1049" i="2" s="1"/>
  <c r="E1049" i="2" a="1"/>
  <c r="E1049" i="2" s="1"/>
  <c r="F1049" i="2" a="1"/>
  <c r="F1049" i="2" s="1"/>
  <c r="G1049" i="2" a="1"/>
  <c r="G1049" i="2" s="1"/>
  <c r="H1049" i="2" a="1"/>
  <c r="H1049" i="2" s="1"/>
  <c r="I1049" i="2" a="1"/>
  <c r="I1049" i="2" s="1"/>
  <c r="J1049" i="2" a="1"/>
  <c r="J1049" i="2" s="1"/>
  <c r="K1049" i="2" a="1"/>
  <c r="K1049" i="2" s="1"/>
  <c r="L1049" i="2" a="1"/>
  <c r="L1049" i="2" s="1"/>
  <c r="M1049" i="2" a="1"/>
  <c r="M1049" i="2" s="1"/>
  <c r="N1049" i="2" a="1"/>
  <c r="N1049" i="2" s="1"/>
  <c r="O1049" i="2" a="1"/>
  <c r="O1049" i="2" s="1"/>
  <c r="P1049" i="2" a="1"/>
  <c r="P1049" i="2" s="1"/>
  <c r="Q1049" i="2" a="1"/>
  <c r="Q1049" i="2" s="1"/>
  <c r="A1050" i="2" a="1"/>
  <c r="A1050" i="2" s="1"/>
  <c r="B1050" i="2" a="1"/>
  <c r="B1050" i="2" s="1"/>
  <c r="C1050" i="2" a="1"/>
  <c r="C1050" i="2" s="1"/>
  <c r="D1050" i="2" a="1"/>
  <c r="D1050" i="2" s="1"/>
  <c r="E1050" i="2" a="1"/>
  <c r="E1050" i="2" s="1"/>
  <c r="F1050" i="2" a="1"/>
  <c r="F1050" i="2" s="1"/>
  <c r="G1050" i="2" a="1"/>
  <c r="G1050" i="2" s="1"/>
  <c r="H1050" i="2" a="1"/>
  <c r="H1050" i="2" s="1"/>
  <c r="I1050" i="2" a="1"/>
  <c r="I1050" i="2" s="1"/>
  <c r="J1050" i="2" a="1"/>
  <c r="J1050" i="2" s="1"/>
  <c r="K1050" i="2" a="1"/>
  <c r="K1050" i="2" s="1"/>
  <c r="L1050" i="2" a="1"/>
  <c r="L1050" i="2" s="1"/>
  <c r="M1050" i="2" a="1"/>
  <c r="M1050" i="2" s="1"/>
  <c r="N1050" i="2" a="1"/>
  <c r="N1050" i="2" s="1"/>
  <c r="O1050" i="2" a="1"/>
  <c r="O1050" i="2" s="1"/>
  <c r="P1050" i="2" a="1"/>
  <c r="P1050" i="2" s="1"/>
  <c r="Q1050" i="2" a="1"/>
  <c r="Q1050" i="2" s="1"/>
  <c r="A1051" i="2" a="1"/>
  <c r="A1051" i="2" s="1"/>
  <c r="B1051" i="2" a="1"/>
  <c r="B1051" i="2" s="1"/>
  <c r="C1051" i="2" a="1"/>
  <c r="C1051" i="2" s="1"/>
  <c r="D1051" i="2" a="1"/>
  <c r="D1051" i="2" s="1"/>
  <c r="E1051" i="2" a="1"/>
  <c r="E1051" i="2" s="1"/>
  <c r="F1051" i="2" a="1"/>
  <c r="F1051" i="2" s="1"/>
  <c r="G1051" i="2" a="1"/>
  <c r="G1051" i="2" s="1"/>
  <c r="H1051" i="2" a="1"/>
  <c r="H1051" i="2" s="1"/>
  <c r="I1051" i="2" a="1"/>
  <c r="I1051" i="2" s="1"/>
  <c r="J1051" i="2" a="1"/>
  <c r="J1051" i="2" s="1"/>
  <c r="K1051" i="2" a="1"/>
  <c r="K1051" i="2" s="1"/>
  <c r="L1051" i="2" a="1"/>
  <c r="L1051" i="2" s="1"/>
  <c r="M1051" i="2" a="1"/>
  <c r="M1051" i="2" s="1"/>
  <c r="N1051" i="2" a="1"/>
  <c r="N1051" i="2" s="1"/>
  <c r="O1051" i="2" a="1"/>
  <c r="O1051" i="2" s="1"/>
  <c r="P1051" i="2" a="1"/>
  <c r="P1051" i="2" s="1"/>
  <c r="Q1051" i="2" a="1"/>
  <c r="Q1051" i="2" s="1"/>
  <c r="A1052" i="2" a="1"/>
  <c r="A1052" i="2" s="1"/>
  <c r="B1052" i="2" a="1"/>
  <c r="B1052" i="2" s="1"/>
  <c r="C1052" i="2" a="1"/>
  <c r="C1052" i="2" s="1"/>
  <c r="D1052" i="2" a="1"/>
  <c r="D1052" i="2" s="1"/>
  <c r="E1052" i="2" a="1"/>
  <c r="E1052" i="2" s="1"/>
  <c r="F1052" i="2" a="1"/>
  <c r="F1052" i="2" s="1"/>
  <c r="G1052" i="2" a="1"/>
  <c r="G1052" i="2" s="1"/>
  <c r="H1052" i="2" a="1"/>
  <c r="H1052" i="2" s="1"/>
  <c r="I1052" i="2" a="1"/>
  <c r="I1052" i="2" s="1"/>
  <c r="J1052" i="2" a="1"/>
  <c r="J1052" i="2" s="1"/>
  <c r="K1052" i="2" a="1"/>
  <c r="K1052" i="2" s="1"/>
  <c r="L1052" i="2" a="1"/>
  <c r="L1052" i="2" s="1"/>
  <c r="M1052" i="2" a="1"/>
  <c r="M1052" i="2" s="1"/>
  <c r="N1052" i="2" a="1"/>
  <c r="N1052" i="2" s="1"/>
  <c r="O1052" i="2" a="1"/>
  <c r="O1052" i="2" s="1"/>
  <c r="P1052" i="2" a="1"/>
  <c r="P1052" i="2" s="1"/>
  <c r="Q1052" i="2" a="1"/>
  <c r="Q1052" i="2" s="1"/>
  <c r="A1053" i="2" a="1"/>
  <c r="A1053" i="2" s="1"/>
  <c r="B1053" i="2" a="1"/>
  <c r="B1053" i="2" s="1"/>
  <c r="C1053" i="2" a="1"/>
  <c r="C1053" i="2" s="1"/>
  <c r="D1053" i="2" a="1"/>
  <c r="D1053" i="2" s="1"/>
  <c r="E1053" i="2" a="1"/>
  <c r="E1053" i="2" s="1"/>
  <c r="F1053" i="2" a="1"/>
  <c r="F1053" i="2" s="1"/>
  <c r="G1053" i="2" a="1"/>
  <c r="G1053" i="2" s="1"/>
  <c r="H1053" i="2" a="1"/>
  <c r="H1053" i="2" s="1"/>
  <c r="I1053" i="2" a="1"/>
  <c r="I1053" i="2" s="1"/>
  <c r="J1053" i="2" a="1"/>
  <c r="J1053" i="2" s="1"/>
  <c r="K1053" i="2" a="1"/>
  <c r="K1053" i="2" s="1"/>
  <c r="L1053" i="2" a="1"/>
  <c r="L1053" i="2" s="1"/>
  <c r="M1053" i="2" a="1"/>
  <c r="M1053" i="2" s="1"/>
  <c r="N1053" i="2" a="1"/>
  <c r="N1053" i="2" s="1"/>
  <c r="O1053" i="2" a="1"/>
  <c r="O1053" i="2" s="1"/>
  <c r="P1053" i="2" a="1"/>
  <c r="P1053" i="2" s="1"/>
  <c r="Q1053" i="2" a="1"/>
  <c r="Q1053" i="2" s="1"/>
  <c r="A1054" i="2" a="1"/>
  <c r="A1054" i="2" s="1"/>
  <c r="B1054" i="2" a="1"/>
  <c r="B1054" i="2" s="1"/>
  <c r="C1054" i="2" a="1"/>
  <c r="C1054" i="2" s="1"/>
  <c r="D1054" i="2" a="1"/>
  <c r="D1054" i="2" s="1"/>
  <c r="E1054" i="2" a="1"/>
  <c r="E1054" i="2" s="1"/>
  <c r="F1054" i="2" a="1"/>
  <c r="F1054" i="2" s="1"/>
  <c r="G1054" i="2" a="1"/>
  <c r="G1054" i="2" s="1"/>
  <c r="H1054" i="2" a="1"/>
  <c r="H1054" i="2" s="1"/>
  <c r="I1054" i="2" a="1"/>
  <c r="I1054" i="2" s="1"/>
  <c r="J1054" i="2" a="1"/>
  <c r="J1054" i="2" s="1"/>
  <c r="K1054" i="2" a="1"/>
  <c r="K1054" i="2" s="1"/>
  <c r="L1054" i="2" a="1"/>
  <c r="L1054" i="2" s="1"/>
  <c r="M1054" i="2" a="1"/>
  <c r="M1054" i="2" s="1"/>
  <c r="N1054" i="2" a="1"/>
  <c r="N1054" i="2" s="1"/>
  <c r="O1054" i="2" a="1"/>
  <c r="O1054" i="2" s="1"/>
  <c r="P1054" i="2" a="1"/>
  <c r="P1054" i="2" s="1"/>
  <c r="Q1054" i="2" a="1"/>
  <c r="Q1054" i="2" s="1"/>
  <c r="A1055" i="2" a="1"/>
  <c r="A1055" i="2" s="1"/>
  <c r="B1055" i="2" a="1"/>
  <c r="B1055" i="2" s="1"/>
  <c r="C1055" i="2" a="1"/>
  <c r="C1055" i="2" s="1"/>
  <c r="D1055" i="2" a="1"/>
  <c r="D1055" i="2" s="1"/>
  <c r="E1055" i="2" a="1"/>
  <c r="E1055" i="2" s="1"/>
  <c r="F1055" i="2" a="1"/>
  <c r="F1055" i="2" s="1"/>
  <c r="G1055" i="2" a="1"/>
  <c r="G1055" i="2" s="1"/>
  <c r="H1055" i="2" a="1"/>
  <c r="H1055" i="2" s="1"/>
  <c r="I1055" i="2" a="1"/>
  <c r="I1055" i="2" s="1"/>
  <c r="J1055" i="2" a="1"/>
  <c r="J1055" i="2" s="1"/>
  <c r="K1055" i="2" a="1"/>
  <c r="K1055" i="2" s="1"/>
  <c r="L1055" i="2" a="1"/>
  <c r="L1055" i="2" s="1"/>
  <c r="M1055" i="2" a="1"/>
  <c r="M1055" i="2" s="1"/>
  <c r="N1055" i="2" a="1"/>
  <c r="N1055" i="2" s="1"/>
  <c r="O1055" i="2" a="1"/>
  <c r="O1055" i="2" s="1"/>
  <c r="P1055" i="2" a="1"/>
  <c r="P1055" i="2" s="1"/>
  <c r="Q1055" i="2" a="1"/>
  <c r="Q1055" i="2" s="1"/>
  <c r="A1056" i="2" a="1"/>
  <c r="A1056" i="2" s="1"/>
  <c r="B1056" i="2" a="1"/>
  <c r="B1056" i="2" s="1"/>
  <c r="C1056" i="2" a="1"/>
  <c r="C1056" i="2" s="1"/>
  <c r="D1056" i="2" a="1"/>
  <c r="D1056" i="2" s="1"/>
  <c r="E1056" i="2" a="1"/>
  <c r="E1056" i="2" s="1"/>
  <c r="F1056" i="2" a="1"/>
  <c r="F1056" i="2" s="1"/>
  <c r="G1056" i="2" a="1"/>
  <c r="G1056" i="2" s="1"/>
  <c r="H1056" i="2" a="1"/>
  <c r="H1056" i="2" s="1"/>
  <c r="I1056" i="2" a="1"/>
  <c r="I1056" i="2" s="1"/>
  <c r="J1056" i="2" a="1"/>
  <c r="J1056" i="2" s="1"/>
  <c r="K1056" i="2" a="1"/>
  <c r="K1056" i="2" s="1"/>
  <c r="L1056" i="2" a="1"/>
  <c r="L1056" i="2" s="1"/>
  <c r="M1056" i="2" a="1"/>
  <c r="M1056" i="2" s="1"/>
  <c r="N1056" i="2" a="1"/>
  <c r="N1056" i="2" s="1"/>
  <c r="O1056" i="2" a="1"/>
  <c r="O1056" i="2" s="1"/>
  <c r="P1056" i="2" a="1"/>
  <c r="P1056" i="2" s="1"/>
  <c r="Q1056" i="2" a="1"/>
  <c r="Q1056" i="2" s="1"/>
  <c r="A1057" i="2" a="1"/>
  <c r="A1057" i="2" s="1"/>
  <c r="B1057" i="2" a="1"/>
  <c r="B1057" i="2" s="1"/>
  <c r="C1057" i="2" a="1"/>
  <c r="C1057" i="2" s="1"/>
  <c r="D1057" i="2" a="1"/>
  <c r="D1057" i="2" s="1"/>
  <c r="E1057" i="2" a="1"/>
  <c r="E1057" i="2" s="1"/>
  <c r="F1057" i="2" a="1"/>
  <c r="F1057" i="2" s="1"/>
  <c r="G1057" i="2" a="1"/>
  <c r="G1057" i="2" s="1"/>
  <c r="H1057" i="2" a="1"/>
  <c r="H1057" i="2" s="1"/>
  <c r="I1057" i="2" a="1"/>
  <c r="I1057" i="2" s="1"/>
  <c r="J1057" i="2" a="1"/>
  <c r="J1057" i="2" s="1"/>
  <c r="K1057" i="2" a="1"/>
  <c r="K1057" i="2" s="1"/>
  <c r="L1057" i="2" a="1"/>
  <c r="L1057" i="2" s="1"/>
  <c r="M1057" i="2" a="1"/>
  <c r="M1057" i="2" s="1"/>
  <c r="N1057" i="2" a="1"/>
  <c r="N1057" i="2" s="1"/>
  <c r="O1057" i="2" a="1"/>
  <c r="O1057" i="2" s="1"/>
  <c r="P1057" i="2" a="1"/>
  <c r="P1057" i="2" s="1"/>
  <c r="Q1057" i="2" a="1"/>
  <c r="Q1057" i="2" s="1"/>
  <c r="A1058" i="2" a="1"/>
  <c r="A1058" i="2" s="1"/>
  <c r="B1058" i="2" a="1"/>
  <c r="B1058" i="2" s="1"/>
  <c r="C1058" i="2" a="1"/>
  <c r="C1058" i="2" s="1"/>
  <c r="D1058" i="2" a="1"/>
  <c r="D1058" i="2" s="1"/>
  <c r="E1058" i="2" a="1"/>
  <c r="E1058" i="2" s="1"/>
  <c r="F1058" i="2" a="1"/>
  <c r="F1058" i="2" s="1"/>
  <c r="G1058" i="2" a="1"/>
  <c r="G1058" i="2" s="1"/>
  <c r="H1058" i="2" a="1"/>
  <c r="H1058" i="2" s="1"/>
  <c r="I1058" i="2" a="1"/>
  <c r="I1058" i="2" s="1"/>
  <c r="J1058" i="2" a="1"/>
  <c r="J1058" i="2" s="1"/>
  <c r="K1058" i="2" a="1"/>
  <c r="K1058" i="2" s="1"/>
  <c r="L1058" i="2" a="1"/>
  <c r="L1058" i="2" s="1"/>
  <c r="M1058" i="2" a="1"/>
  <c r="M1058" i="2" s="1"/>
  <c r="N1058" i="2" a="1"/>
  <c r="N1058" i="2" s="1"/>
  <c r="O1058" i="2" a="1"/>
  <c r="O1058" i="2" s="1"/>
  <c r="P1058" i="2" a="1"/>
  <c r="P1058" i="2" s="1"/>
  <c r="Q1058" i="2" a="1"/>
  <c r="Q1058" i="2" s="1"/>
  <c r="A1059" i="2" a="1"/>
  <c r="A1059" i="2" s="1"/>
  <c r="B1059" i="2" a="1"/>
  <c r="B1059" i="2" s="1"/>
  <c r="C1059" i="2" a="1"/>
  <c r="C1059" i="2" s="1"/>
  <c r="D1059" i="2" a="1"/>
  <c r="D1059" i="2" s="1"/>
  <c r="E1059" i="2" a="1"/>
  <c r="E1059" i="2" s="1"/>
  <c r="F1059" i="2" a="1"/>
  <c r="F1059" i="2" s="1"/>
  <c r="G1059" i="2" a="1"/>
  <c r="G1059" i="2" s="1"/>
  <c r="H1059" i="2" a="1"/>
  <c r="H1059" i="2" s="1"/>
  <c r="I1059" i="2" a="1"/>
  <c r="I1059" i="2" s="1"/>
  <c r="J1059" i="2" a="1"/>
  <c r="J1059" i="2" s="1"/>
  <c r="K1059" i="2" a="1"/>
  <c r="K1059" i="2" s="1"/>
  <c r="L1059" i="2" a="1"/>
  <c r="L1059" i="2" s="1"/>
  <c r="M1059" i="2" a="1"/>
  <c r="M1059" i="2" s="1"/>
  <c r="N1059" i="2" a="1"/>
  <c r="N1059" i="2" s="1"/>
  <c r="O1059" i="2" a="1"/>
  <c r="O1059" i="2" s="1"/>
  <c r="P1059" i="2" a="1"/>
  <c r="P1059" i="2" s="1"/>
  <c r="Q1059" i="2" a="1"/>
  <c r="Q1059" i="2" s="1"/>
  <c r="A1060" i="2" a="1"/>
  <c r="A1060" i="2" s="1"/>
  <c r="B1060" i="2" a="1"/>
  <c r="B1060" i="2" s="1"/>
  <c r="C1060" i="2" a="1"/>
  <c r="C1060" i="2" s="1"/>
  <c r="D1060" i="2" a="1"/>
  <c r="D1060" i="2" s="1"/>
  <c r="E1060" i="2" a="1"/>
  <c r="E1060" i="2" s="1"/>
  <c r="F1060" i="2" a="1"/>
  <c r="F1060" i="2" s="1"/>
  <c r="G1060" i="2" a="1"/>
  <c r="G1060" i="2" s="1"/>
  <c r="H1060" i="2" a="1"/>
  <c r="H1060" i="2" s="1"/>
  <c r="I1060" i="2" a="1"/>
  <c r="I1060" i="2" s="1"/>
  <c r="J1060" i="2" a="1"/>
  <c r="J1060" i="2" s="1"/>
  <c r="K1060" i="2" a="1"/>
  <c r="K1060" i="2" s="1"/>
  <c r="L1060" i="2" a="1"/>
  <c r="L1060" i="2" s="1"/>
  <c r="M1060" i="2" a="1"/>
  <c r="M1060" i="2" s="1"/>
  <c r="N1060" i="2" a="1"/>
  <c r="N1060" i="2" s="1"/>
  <c r="O1060" i="2" a="1"/>
  <c r="O1060" i="2" s="1"/>
  <c r="P1060" i="2" a="1"/>
  <c r="P1060" i="2" s="1"/>
  <c r="Q1060" i="2" a="1"/>
  <c r="Q1060" i="2" s="1"/>
  <c r="A1061" i="2" a="1"/>
  <c r="A1061" i="2" s="1"/>
  <c r="B1061" i="2" a="1"/>
  <c r="B1061" i="2" s="1"/>
  <c r="C1061" i="2" a="1"/>
  <c r="C1061" i="2" s="1"/>
  <c r="D1061" i="2" a="1"/>
  <c r="D1061" i="2" s="1"/>
  <c r="E1061" i="2" a="1"/>
  <c r="E1061" i="2" s="1"/>
  <c r="F1061" i="2" a="1"/>
  <c r="F1061" i="2" s="1"/>
  <c r="G1061" i="2" a="1"/>
  <c r="G1061" i="2" s="1"/>
  <c r="H1061" i="2" a="1"/>
  <c r="H1061" i="2" s="1"/>
  <c r="I1061" i="2" a="1"/>
  <c r="I1061" i="2" s="1"/>
  <c r="J1061" i="2" a="1"/>
  <c r="J1061" i="2" s="1"/>
  <c r="K1061" i="2" a="1"/>
  <c r="K1061" i="2" s="1"/>
  <c r="L1061" i="2" a="1"/>
  <c r="L1061" i="2" s="1"/>
  <c r="M1061" i="2" a="1"/>
  <c r="M1061" i="2" s="1"/>
  <c r="N1061" i="2" a="1"/>
  <c r="N1061" i="2" s="1"/>
  <c r="O1061" i="2" a="1"/>
  <c r="O1061" i="2" s="1"/>
  <c r="P1061" i="2" a="1"/>
  <c r="P1061" i="2" s="1"/>
  <c r="Q1061" i="2" a="1"/>
  <c r="Q1061" i="2" s="1"/>
  <c r="A1062" i="2" a="1"/>
  <c r="A1062" i="2" s="1"/>
  <c r="B1062" i="2" a="1"/>
  <c r="B1062" i="2" s="1"/>
  <c r="C1062" i="2" a="1"/>
  <c r="C1062" i="2" s="1"/>
  <c r="D1062" i="2" a="1"/>
  <c r="D1062" i="2" s="1"/>
  <c r="E1062" i="2" a="1"/>
  <c r="E1062" i="2" s="1"/>
  <c r="F1062" i="2" a="1"/>
  <c r="F1062" i="2" s="1"/>
  <c r="G1062" i="2" a="1"/>
  <c r="G1062" i="2" s="1"/>
  <c r="H1062" i="2" a="1"/>
  <c r="H1062" i="2" s="1"/>
  <c r="I1062" i="2" a="1"/>
  <c r="I1062" i="2" s="1"/>
  <c r="J1062" i="2" a="1"/>
  <c r="J1062" i="2" s="1"/>
  <c r="K1062" i="2" a="1"/>
  <c r="K1062" i="2" s="1"/>
  <c r="L1062" i="2" a="1"/>
  <c r="L1062" i="2" s="1"/>
  <c r="M1062" i="2" a="1"/>
  <c r="M1062" i="2" s="1"/>
  <c r="N1062" i="2" a="1"/>
  <c r="N1062" i="2" s="1"/>
  <c r="O1062" i="2" a="1"/>
  <c r="O1062" i="2" s="1"/>
  <c r="P1062" i="2" a="1"/>
  <c r="P1062" i="2" s="1"/>
  <c r="Q1062" i="2" a="1"/>
  <c r="Q1062" i="2" s="1"/>
  <c r="A1063" i="2" a="1"/>
  <c r="A1063" i="2" s="1"/>
  <c r="B1063" i="2" a="1"/>
  <c r="B1063" i="2" s="1"/>
  <c r="C1063" i="2" a="1"/>
  <c r="C1063" i="2" s="1"/>
  <c r="D1063" i="2" a="1"/>
  <c r="D1063" i="2" s="1"/>
  <c r="E1063" i="2" a="1"/>
  <c r="E1063" i="2" s="1"/>
  <c r="F1063" i="2" a="1"/>
  <c r="F1063" i="2" s="1"/>
  <c r="G1063" i="2" a="1"/>
  <c r="G1063" i="2" s="1"/>
  <c r="H1063" i="2" a="1"/>
  <c r="H1063" i="2" s="1"/>
  <c r="I1063" i="2" a="1"/>
  <c r="I1063" i="2" s="1"/>
  <c r="J1063" i="2" a="1"/>
  <c r="J1063" i="2" s="1"/>
  <c r="K1063" i="2" a="1"/>
  <c r="K1063" i="2" s="1"/>
  <c r="L1063" i="2" a="1"/>
  <c r="L1063" i="2" s="1"/>
  <c r="M1063" i="2" a="1"/>
  <c r="M1063" i="2" s="1"/>
  <c r="N1063" i="2" a="1"/>
  <c r="N1063" i="2" s="1"/>
  <c r="O1063" i="2" a="1"/>
  <c r="O1063" i="2" s="1"/>
  <c r="P1063" i="2" a="1"/>
  <c r="P1063" i="2" s="1"/>
  <c r="Q1063" i="2" a="1"/>
  <c r="Q1063" i="2" s="1"/>
  <c r="A1064" i="2" a="1"/>
  <c r="A1064" i="2" s="1"/>
  <c r="B1064" i="2" a="1"/>
  <c r="B1064" i="2" s="1"/>
  <c r="C1064" i="2" a="1"/>
  <c r="C1064" i="2" s="1"/>
  <c r="D1064" i="2" a="1"/>
  <c r="D1064" i="2" s="1"/>
  <c r="E1064" i="2" a="1"/>
  <c r="E1064" i="2" s="1"/>
  <c r="F1064" i="2" a="1"/>
  <c r="F1064" i="2" s="1"/>
  <c r="G1064" i="2" a="1"/>
  <c r="G1064" i="2" s="1"/>
  <c r="H1064" i="2" a="1"/>
  <c r="H1064" i="2" s="1"/>
  <c r="I1064" i="2" a="1"/>
  <c r="I1064" i="2" s="1"/>
  <c r="J1064" i="2" a="1"/>
  <c r="J1064" i="2" s="1"/>
  <c r="K1064" i="2" a="1"/>
  <c r="K1064" i="2" s="1"/>
  <c r="L1064" i="2" a="1"/>
  <c r="L1064" i="2" s="1"/>
  <c r="M1064" i="2" a="1"/>
  <c r="M1064" i="2" s="1"/>
  <c r="N1064" i="2" a="1"/>
  <c r="N1064" i="2" s="1"/>
  <c r="O1064" i="2" a="1"/>
  <c r="O1064" i="2" s="1"/>
  <c r="P1064" i="2" a="1"/>
  <c r="P1064" i="2" s="1"/>
  <c r="Q1064" i="2" a="1"/>
  <c r="Q1064" i="2" s="1"/>
  <c r="A1065" i="2" a="1"/>
  <c r="A1065" i="2" s="1"/>
  <c r="B1065" i="2" a="1"/>
  <c r="B1065" i="2" s="1"/>
  <c r="C1065" i="2" a="1"/>
  <c r="C1065" i="2" s="1"/>
  <c r="D1065" i="2" a="1"/>
  <c r="D1065" i="2" s="1"/>
  <c r="E1065" i="2" a="1"/>
  <c r="E1065" i="2" s="1"/>
  <c r="F1065" i="2" a="1"/>
  <c r="F1065" i="2" s="1"/>
  <c r="G1065" i="2" a="1"/>
  <c r="G1065" i="2" s="1"/>
  <c r="H1065" i="2" a="1"/>
  <c r="H1065" i="2" s="1"/>
  <c r="I1065" i="2" a="1"/>
  <c r="I1065" i="2" s="1"/>
  <c r="J1065" i="2" a="1"/>
  <c r="J1065" i="2" s="1"/>
  <c r="K1065" i="2" a="1"/>
  <c r="K1065" i="2" s="1"/>
  <c r="L1065" i="2" a="1"/>
  <c r="L1065" i="2" s="1"/>
  <c r="M1065" i="2" a="1"/>
  <c r="M1065" i="2" s="1"/>
  <c r="N1065" i="2" a="1"/>
  <c r="N1065" i="2" s="1"/>
  <c r="O1065" i="2" a="1"/>
  <c r="O1065" i="2" s="1"/>
  <c r="P1065" i="2" a="1"/>
  <c r="P1065" i="2" s="1"/>
  <c r="Q1065" i="2" a="1"/>
  <c r="Q1065" i="2" s="1"/>
  <c r="A1066" i="2" a="1"/>
  <c r="A1066" i="2" s="1"/>
  <c r="B1066" i="2" a="1"/>
  <c r="B1066" i="2" s="1"/>
  <c r="C1066" i="2" a="1"/>
  <c r="C1066" i="2" s="1"/>
  <c r="D1066" i="2" a="1"/>
  <c r="D1066" i="2" s="1"/>
  <c r="E1066" i="2" a="1"/>
  <c r="E1066" i="2" s="1"/>
  <c r="F1066" i="2" a="1"/>
  <c r="F1066" i="2" s="1"/>
  <c r="G1066" i="2" a="1"/>
  <c r="G1066" i="2" s="1"/>
  <c r="H1066" i="2" a="1"/>
  <c r="H1066" i="2" s="1"/>
  <c r="I1066" i="2" a="1"/>
  <c r="I1066" i="2" s="1"/>
  <c r="J1066" i="2" a="1"/>
  <c r="J1066" i="2" s="1"/>
  <c r="K1066" i="2" a="1"/>
  <c r="K1066" i="2" s="1"/>
  <c r="L1066" i="2" a="1"/>
  <c r="L1066" i="2" s="1"/>
  <c r="M1066" i="2" a="1"/>
  <c r="M1066" i="2" s="1"/>
  <c r="N1066" i="2" a="1"/>
  <c r="N1066" i="2" s="1"/>
  <c r="O1066" i="2" a="1"/>
  <c r="O1066" i="2" s="1"/>
  <c r="P1066" i="2" a="1"/>
  <c r="P1066" i="2" s="1"/>
  <c r="Q1066" i="2" a="1"/>
  <c r="Q1066" i="2" s="1"/>
  <c r="A1067" i="2" a="1"/>
  <c r="A1067" i="2" s="1"/>
  <c r="B1067" i="2" a="1"/>
  <c r="B1067" i="2" s="1"/>
  <c r="C1067" i="2" a="1"/>
  <c r="C1067" i="2" s="1"/>
  <c r="D1067" i="2" a="1"/>
  <c r="D1067" i="2" s="1"/>
  <c r="E1067" i="2" a="1"/>
  <c r="E1067" i="2" s="1"/>
  <c r="F1067" i="2" a="1"/>
  <c r="F1067" i="2" s="1"/>
  <c r="G1067" i="2" a="1"/>
  <c r="G1067" i="2" s="1"/>
  <c r="H1067" i="2" a="1"/>
  <c r="H1067" i="2" s="1"/>
  <c r="I1067" i="2" a="1"/>
  <c r="I1067" i="2" s="1"/>
  <c r="J1067" i="2" a="1"/>
  <c r="J1067" i="2" s="1"/>
  <c r="K1067" i="2" a="1"/>
  <c r="K1067" i="2" s="1"/>
  <c r="L1067" i="2" a="1"/>
  <c r="L1067" i="2" s="1"/>
  <c r="M1067" i="2" a="1"/>
  <c r="M1067" i="2" s="1"/>
  <c r="N1067" i="2" a="1"/>
  <c r="N1067" i="2" s="1"/>
  <c r="O1067" i="2" a="1"/>
  <c r="O1067" i="2" s="1"/>
  <c r="P1067" i="2" a="1"/>
  <c r="P1067" i="2" s="1"/>
  <c r="Q1067" i="2" a="1"/>
  <c r="Q1067" i="2" s="1"/>
  <c r="A1068" i="2" a="1"/>
  <c r="A1068" i="2" s="1"/>
  <c r="B1068" i="2" a="1"/>
  <c r="B1068" i="2" s="1"/>
  <c r="C1068" i="2" a="1"/>
  <c r="C1068" i="2" s="1"/>
  <c r="D1068" i="2" a="1"/>
  <c r="D1068" i="2" s="1"/>
  <c r="E1068" i="2" a="1"/>
  <c r="E1068" i="2" s="1"/>
  <c r="F1068" i="2" a="1"/>
  <c r="F1068" i="2" s="1"/>
  <c r="G1068" i="2" a="1"/>
  <c r="G1068" i="2" s="1"/>
  <c r="H1068" i="2" a="1"/>
  <c r="H1068" i="2" s="1"/>
  <c r="I1068" i="2" a="1"/>
  <c r="I1068" i="2" s="1"/>
  <c r="J1068" i="2" a="1"/>
  <c r="J1068" i="2" s="1"/>
  <c r="K1068" i="2" a="1"/>
  <c r="K1068" i="2" s="1"/>
  <c r="L1068" i="2" a="1"/>
  <c r="L1068" i="2" s="1"/>
  <c r="M1068" i="2" a="1"/>
  <c r="M1068" i="2" s="1"/>
  <c r="N1068" i="2" a="1"/>
  <c r="N1068" i="2" s="1"/>
  <c r="O1068" i="2" a="1"/>
  <c r="O1068" i="2" s="1"/>
  <c r="P1068" i="2" a="1"/>
  <c r="P1068" i="2" s="1"/>
  <c r="Q1068" i="2" a="1"/>
  <c r="Q1068" i="2" s="1"/>
  <c r="A1069" i="2" a="1"/>
  <c r="A1069" i="2" s="1"/>
  <c r="B1069" i="2" a="1"/>
  <c r="B1069" i="2" s="1"/>
  <c r="C1069" i="2" a="1"/>
  <c r="C1069" i="2" s="1"/>
  <c r="D1069" i="2" a="1"/>
  <c r="D1069" i="2" s="1"/>
  <c r="E1069" i="2" a="1"/>
  <c r="E1069" i="2" s="1"/>
  <c r="F1069" i="2" a="1"/>
  <c r="F1069" i="2" s="1"/>
  <c r="G1069" i="2" a="1"/>
  <c r="G1069" i="2" s="1"/>
  <c r="H1069" i="2" a="1"/>
  <c r="H1069" i="2" s="1"/>
  <c r="I1069" i="2" a="1"/>
  <c r="I1069" i="2" s="1"/>
  <c r="J1069" i="2" a="1"/>
  <c r="J1069" i="2" s="1"/>
  <c r="K1069" i="2" a="1"/>
  <c r="K1069" i="2" s="1"/>
  <c r="L1069" i="2" a="1"/>
  <c r="L1069" i="2" s="1"/>
  <c r="M1069" i="2" a="1"/>
  <c r="M1069" i="2" s="1"/>
  <c r="N1069" i="2" a="1"/>
  <c r="N1069" i="2" s="1"/>
  <c r="O1069" i="2" a="1"/>
  <c r="O1069" i="2" s="1"/>
  <c r="P1069" i="2" a="1"/>
  <c r="P1069" i="2" s="1"/>
  <c r="Q1069" i="2" a="1"/>
  <c r="Q1069" i="2" s="1"/>
  <c r="A1070" i="2" a="1"/>
  <c r="A1070" i="2" s="1"/>
  <c r="B1070" i="2" a="1"/>
  <c r="B1070" i="2" s="1"/>
  <c r="C1070" i="2" a="1"/>
  <c r="C1070" i="2" s="1"/>
  <c r="D1070" i="2" a="1"/>
  <c r="D1070" i="2" s="1"/>
  <c r="E1070" i="2" a="1"/>
  <c r="E1070" i="2" s="1"/>
  <c r="F1070" i="2" a="1"/>
  <c r="F1070" i="2" s="1"/>
  <c r="G1070" i="2" a="1"/>
  <c r="G1070" i="2" s="1"/>
  <c r="H1070" i="2" a="1"/>
  <c r="H1070" i="2" s="1"/>
  <c r="I1070" i="2" a="1"/>
  <c r="I1070" i="2" s="1"/>
  <c r="J1070" i="2" a="1"/>
  <c r="J1070" i="2" s="1"/>
  <c r="K1070" i="2" a="1"/>
  <c r="K1070" i="2" s="1"/>
  <c r="L1070" i="2" a="1"/>
  <c r="L1070" i="2" s="1"/>
  <c r="M1070" i="2" a="1"/>
  <c r="M1070" i="2" s="1"/>
  <c r="N1070" i="2" a="1"/>
  <c r="N1070" i="2" s="1"/>
  <c r="O1070" i="2" a="1"/>
  <c r="O1070" i="2" s="1"/>
  <c r="P1070" i="2" a="1"/>
  <c r="P1070" i="2" s="1"/>
  <c r="Q1070" i="2" a="1"/>
  <c r="Q1070" i="2" s="1"/>
  <c r="A1071" i="2" a="1"/>
  <c r="A1071" i="2" s="1"/>
  <c r="B1071" i="2" a="1"/>
  <c r="B1071" i="2" s="1"/>
  <c r="C1071" i="2" a="1"/>
  <c r="C1071" i="2" s="1"/>
  <c r="D1071" i="2" a="1"/>
  <c r="D1071" i="2" s="1"/>
  <c r="E1071" i="2" a="1"/>
  <c r="E1071" i="2" s="1"/>
  <c r="F1071" i="2" a="1"/>
  <c r="F1071" i="2" s="1"/>
  <c r="G1071" i="2" a="1"/>
  <c r="G1071" i="2" s="1"/>
  <c r="H1071" i="2" a="1"/>
  <c r="H1071" i="2" s="1"/>
  <c r="I1071" i="2" a="1"/>
  <c r="I1071" i="2" s="1"/>
  <c r="J1071" i="2" a="1"/>
  <c r="J1071" i="2" s="1"/>
  <c r="K1071" i="2" a="1"/>
  <c r="K1071" i="2" s="1"/>
  <c r="L1071" i="2" a="1"/>
  <c r="L1071" i="2" s="1"/>
  <c r="M1071" i="2" a="1"/>
  <c r="M1071" i="2" s="1"/>
  <c r="N1071" i="2" a="1"/>
  <c r="N1071" i="2" s="1"/>
  <c r="O1071" i="2" a="1"/>
  <c r="O1071" i="2" s="1"/>
  <c r="P1071" i="2" a="1"/>
  <c r="P1071" i="2" s="1"/>
  <c r="Q1071" i="2" a="1"/>
  <c r="Q1071" i="2" s="1"/>
  <c r="A1072" i="2" a="1"/>
  <c r="A1072" i="2" s="1"/>
  <c r="B1072" i="2" a="1"/>
  <c r="B1072" i="2" s="1"/>
  <c r="C1072" i="2" a="1"/>
  <c r="C1072" i="2" s="1"/>
  <c r="D1072" i="2" a="1"/>
  <c r="D1072" i="2" s="1"/>
  <c r="E1072" i="2" a="1"/>
  <c r="E1072" i="2" s="1"/>
  <c r="F1072" i="2" a="1"/>
  <c r="F1072" i="2" s="1"/>
  <c r="G1072" i="2" a="1"/>
  <c r="G1072" i="2" s="1"/>
  <c r="H1072" i="2" a="1"/>
  <c r="H1072" i="2" s="1"/>
  <c r="I1072" i="2" a="1"/>
  <c r="I1072" i="2" s="1"/>
  <c r="J1072" i="2" a="1"/>
  <c r="J1072" i="2" s="1"/>
  <c r="K1072" i="2" a="1"/>
  <c r="K1072" i="2" s="1"/>
  <c r="L1072" i="2" a="1"/>
  <c r="L1072" i="2" s="1"/>
  <c r="M1072" i="2" a="1"/>
  <c r="M1072" i="2" s="1"/>
  <c r="N1072" i="2" a="1"/>
  <c r="N1072" i="2" s="1"/>
  <c r="O1072" i="2" a="1"/>
  <c r="O1072" i="2" s="1"/>
  <c r="P1072" i="2" a="1"/>
  <c r="P1072" i="2" s="1"/>
  <c r="Q1072" i="2" a="1"/>
  <c r="Q1072" i="2" s="1"/>
  <c r="A1073" i="2" a="1"/>
  <c r="A1073" i="2" s="1"/>
  <c r="B1073" i="2" a="1"/>
  <c r="B1073" i="2" s="1"/>
  <c r="C1073" i="2" a="1"/>
  <c r="C1073" i="2" s="1"/>
  <c r="D1073" i="2" a="1"/>
  <c r="D1073" i="2" s="1"/>
  <c r="E1073" i="2" a="1"/>
  <c r="E1073" i="2" s="1"/>
  <c r="F1073" i="2" a="1"/>
  <c r="F1073" i="2" s="1"/>
  <c r="G1073" i="2" a="1"/>
  <c r="G1073" i="2" s="1"/>
  <c r="H1073" i="2" a="1"/>
  <c r="H1073" i="2" s="1"/>
  <c r="I1073" i="2" a="1"/>
  <c r="I1073" i="2" s="1"/>
  <c r="J1073" i="2" a="1"/>
  <c r="J1073" i="2" s="1"/>
  <c r="K1073" i="2" a="1"/>
  <c r="K1073" i="2" s="1"/>
  <c r="L1073" i="2" a="1"/>
  <c r="L1073" i="2" s="1"/>
  <c r="M1073" i="2" a="1"/>
  <c r="M1073" i="2" s="1"/>
  <c r="N1073" i="2" a="1"/>
  <c r="N1073" i="2" s="1"/>
  <c r="O1073" i="2" a="1"/>
  <c r="O1073" i="2" s="1"/>
  <c r="P1073" i="2" a="1"/>
  <c r="P1073" i="2" s="1"/>
  <c r="Q1073" i="2" a="1"/>
  <c r="Q1073" i="2" s="1"/>
  <c r="A1074" i="2" a="1"/>
  <c r="A1074" i="2" s="1"/>
  <c r="B1074" i="2" a="1"/>
  <c r="B1074" i="2" s="1"/>
  <c r="C1074" i="2" a="1"/>
  <c r="C1074" i="2" s="1"/>
  <c r="D1074" i="2" a="1"/>
  <c r="D1074" i="2" s="1"/>
  <c r="E1074" i="2" a="1"/>
  <c r="E1074" i="2" s="1"/>
  <c r="F1074" i="2" a="1"/>
  <c r="F1074" i="2" s="1"/>
  <c r="G1074" i="2" a="1"/>
  <c r="G1074" i="2" s="1"/>
  <c r="H1074" i="2" a="1"/>
  <c r="H1074" i="2" s="1"/>
  <c r="I1074" i="2" a="1"/>
  <c r="I1074" i="2" s="1"/>
  <c r="J1074" i="2" a="1"/>
  <c r="J1074" i="2" s="1"/>
  <c r="K1074" i="2" a="1"/>
  <c r="K1074" i="2" s="1"/>
  <c r="L1074" i="2" a="1"/>
  <c r="L1074" i="2" s="1"/>
  <c r="M1074" i="2" a="1"/>
  <c r="M1074" i="2" s="1"/>
  <c r="N1074" i="2" a="1"/>
  <c r="N1074" i="2" s="1"/>
  <c r="O1074" i="2" a="1"/>
  <c r="O1074" i="2" s="1"/>
  <c r="P1074" i="2" a="1"/>
  <c r="P1074" i="2" s="1"/>
  <c r="Q1074" i="2" a="1"/>
  <c r="Q1074" i="2" s="1"/>
  <c r="A1075" i="2" a="1"/>
  <c r="A1075" i="2" s="1"/>
  <c r="B1075" i="2" a="1"/>
  <c r="B1075" i="2" s="1"/>
  <c r="C1075" i="2" a="1"/>
  <c r="C1075" i="2" s="1"/>
  <c r="D1075" i="2" a="1"/>
  <c r="D1075" i="2" s="1"/>
  <c r="E1075" i="2" a="1"/>
  <c r="E1075" i="2" s="1"/>
  <c r="F1075" i="2" a="1"/>
  <c r="F1075" i="2" s="1"/>
  <c r="G1075" i="2" a="1"/>
  <c r="G1075" i="2" s="1"/>
  <c r="H1075" i="2" a="1"/>
  <c r="H1075" i="2" s="1"/>
  <c r="I1075" i="2" a="1"/>
  <c r="I1075" i="2" s="1"/>
  <c r="J1075" i="2" a="1"/>
  <c r="J1075" i="2" s="1"/>
  <c r="K1075" i="2" a="1"/>
  <c r="K1075" i="2" s="1"/>
  <c r="L1075" i="2" a="1"/>
  <c r="L1075" i="2" s="1"/>
  <c r="M1075" i="2" a="1"/>
  <c r="M1075" i="2" s="1"/>
  <c r="N1075" i="2" a="1"/>
  <c r="N1075" i="2" s="1"/>
  <c r="O1075" i="2" a="1"/>
  <c r="O1075" i="2" s="1"/>
  <c r="P1075" i="2" a="1"/>
  <c r="P1075" i="2" s="1"/>
  <c r="Q1075" i="2" a="1"/>
  <c r="Q1075" i="2" s="1"/>
  <c r="A1076" i="2" a="1"/>
  <c r="A1076" i="2" s="1"/>
  <c r="B1076" i="2" a="1"/>
  <c r="B1076" i="2" s="1"/>
  <c r="C1076" i="2" a="1"/>
  <c r="C1076" i="2" s="1"/>
  <c r="D1076" i="2" a="1"/>
  <c r="D1076" i="2" s="1"/>
  <c r="E1076" i="2" a="1"/>
  <c r="E1076" i="2" s="1"/>
  <c r="F1076" i="2" a="1"/>
  <c r="F1076" i="2" s="1"/>
  <c r="G1076" i="2" a="1"/>
  <c r="G1076" i="2" s="1"/>
  <c r="H1076" i="2" a="1"/>
  <c r="H1076" i="2" s="1"/>
  <c r="I1076" i="2" a="1"/>
  <c r="I1076" i="2" s="1"/>
  <c r="J1076" i="2" a="1"/>
  <c r="J1076" i="2" s="1"/>
  <c r="K1076" i="2" a="1"/>
  <c r="K1076" i="2" s="1"/>
  <c r="L1076" i="2" a="1"/>
  <c r="L1076" i="2" s="1"/>
  <c r="M1076" i="2" a="1"/>
  <c r="M1076" i="2" s="1"/>
  <c r="N1076" i="2" a="1"/>
  <c r="N1076" i="2" s="1"/>
  <c r="O1076" i="2" a="1"/>
  <c r="O1076" i="2" s="1"/>
  <c r="P1076" i="2" a="1"/>
  <c r="P1076" i="2" s="1"/>
  <c r="Q1076" i="2" a="1"/>
  <c r="Q1076" i="2" s="1"/>
  <c r="A1077" i="2" a="1"/>
  <c r="A1077" i="2" s="1"/>
  <c r="B1077" i="2" a="1"/>
  <c r="B1077" i="2" s="1"/>
  <c r="C1077" i="2" a="1"/>
  <c r="C1077" i="2" s="1"/>
  <c r="D1077" i="2" a="1"/>
  <c r="D1077" i="2" s="1"/>
  <c r="E1077" i="2" a="1"/>
  <c r="E1077" i="2" s="1"/>
  <c r="F1077" i="2" a="1"/>
  <c r="F1077" i="2" s="1"/>
  <c r="G1077" i="2" a="1"/>
  <c r="G1077" i="2" s="1"/>
  <c r="H1077" i="2" a="1"/>
  <c r="H1077" i="2" s="1"/>
  <c r="I1077" i="2" a="1"/>
  <c r="I1077" i="2" s="1"/>
  <c r="J1077" i="2" a="1"/>
  <c r="J1077" i="2" s="1"/>
  <c r="K1077" i="2" a="1"/>
  <c r="K1077" i="2" s="1"/>
  <c r="L1077" i="2" a="1"/>
  <c r="L1077" i="2" s="1"/>
  <c r="M1077" i="2" a="1"/>
  <c r="M1077" i="2" s="1"/>
  <c r="N1077" i="2" a="1"/>
  <c r="N1077" i="2" s="1"/>
  <c r="O1077" i="2" a="1"/>
  <c r="O1077" i="2" s="1"/>
  <c r="P1077" i="2" a="1"/>
  <c r="P1077" i="2" s="1"/>
  <c r="Q1077" i="2" a="1"/>
  <c r="Q1077" i="2" s="1"/>
  <c r="A1078" i="2" a="1"/>
  <c r="A1078" i="2" s="1"/>
  <c r="B1078" i="2" a="1"/>
  <c r="B1078" i="2" s="1"/>
  <c r="C1078" i="2" a="1"/>
  <c r="C1078" i="2" s="1"/>
  <c r="D1078" i="2" a="1"/>
  <c r="D1078" i="2" s="1"/>
  <c r="E1078" i="2" a="1"/>
  <c r="E1078" i="2" s="1"/>
  <c r="F1078" i="2" a="1"/>
  <c r="F1078" i="2" s="1"/>
  <c r="G1078" i="2" a="1"/>
  <c r="G1078" i="2" s="1"/>
  <c r="H1078" i="2" a="1"/>
  <c r="H1078" i="2" s="1"/>
  <c r="I1078" i="2" a="1"/>
  <c r="I1078" i="2" s="1"/>
  <c r="J1078" i="2" a="1"/>
  <c r="J1078" i="2" s="1"/>
  <c r="K1078" i="2" a="1"/>
  <c r="K1078" i="2" s="1"/>
  <c r="L1078" i="2" a="1"/>
  <c r="L1078" i="2" s="1"/>
  <c r="M1078" i="2" a="1"/>
  <c r="M1078" i="2" s="1"/>
  <c r="N1078" i="2" a="1"/>
  <c r="N1078" i="2" s="1"/>
  <c r="O1078" i="2" a="1"/>
  <c r="O1078" i="2" s="1"/>
  <c r="P1078" i="2" a="1"/>
  <c r="P1078" i="2" s="1"/>
  <c r="Q1078" i="2" a="1"/>
  <c r="Q1078" i="2" s="1"/>
  <c r="A1079" i="2" a="1"/>
  <c r="A1079" i="2" s="1"/>
  <c r="B1079" i="2" a="1"/>
  <c r="B1079" i="2" s="1"/>
  <c r="C1079" i="2" a="1"/>
  <c r="C1079" i="2" s="1"/>
  <c r="D1079" i="2" a="1"/>
  <c r="D1079" i="2" s="1"/>
  <c r="E1079" i="2" a="1"/>
  <c r="E1079" i="2" s="1"/>
  <c r="F1079" i="2" a="1"/>
  <c r="F1079" i="2" s="1"/>
  <c r="G1079" i="2" a="1"/>
  <c r="G1079" i="2" s="1"/>
  <c r="H1079" i="2" a="1"/>
  <c r="H1079" i="2" s="1"/>
  <c r="I1079" i="2" a="1"/>
  <c r="I1079" i="2" s="1"/>
  <c r="J1079" i="2" a="1"/>
  <c r="J1079" i="2" s="1"/>
  <c r="K1079" i="2" a="1"/>
  <c r="K1079" i="2" s="1"/>
  <c r="L1079" i="2" a="1"/>
  <c r="L1079" i="2" s="1"/>
  <c r="M1079" i="2" a="1"/>
  <c r="M1079" i="2" s="1"/>
  <c r="N1079" i="2" a="1"/>
  <c r="N1079" i="2" s="1"/>
  <c r="O1079" i="2" a="1"/>
  <c r="O1079" i="2" s="1"/>
  <c r="P1079" i="2" a="1"/>
  <c r="P1079" i="2" s="1"/>
  <c r="Q1079" i="2" a="1"/>
  <c r="Q1079" i="2" s="1"/>
  <c r="A1080" i="2" a="1"/>
  <c r="A1080" i="2" s="1"/>
  <c r="B1080" i="2" a="1"/>
  <c r="B1080" i="2" s="1"/>
  <c r="C1080" i="2" a="1"/>
  <c r="C1080" i="2" s="1"/>
  <c r="D1080" i="2" a="1"/>
  <c r="D1080" i="2" s="1"/>
  <c r="E1080" i="2" a="1"/>
  <c r="E1080" i="2" s="1"/>
  <c r="F1080" i="2" a="1"/>
  <c r="F1080" i="2" s="1"/>
  <c r="G1080" i="2" a="1"/>
  <c r="G1080" i="2" s="1"/>
  <c r="H1080" i="2" a="1"/>
  <c r="H1080" i="2" s="1"/>
  <c r="I1080" i="2" a="1"/>
  <c r="I1080" i="2" s="1"/>
  <c r="J1080" i="2" a="1"/>
  <c r="J1080" i="2" s="1"/>
  <c r="K1080" i="2" a="1"/>
  <c r="K1080" i="2" s="1"/>
  <c r="L1080" i="2" a="1"/>
  <c r="L1080" i="2" s="1"/>
  <c r="M1080" i="2" a="1"/>
  <c r="M1080" i="2" s="1"/>
  <c r="N1080" i="2" a="1"/>
  <c r="N1080" i="2" s="1"/>
  <c r="O1080" i="2" a="1"/>
  <c r="O1080" i="2" s="1"/>
  <c r="P1080" i="2" a="1"/>
  <c r="P1080" i="2" s="1"/>
  <c r="Q1080" i="2" a="1"/>
  <c r="Q1080" i="2" s="1"/>
  <c r="A1081" i="2" a="1"/>
  <c r="A1081" i="2" s="1"/>
  <c r="B1081" i="2" a="1"/>
  <c r="B1081" i="2" s="1"/>
  <c r="C1081" i="2" a="1"/>
  <c r="C1081" i="2" s="1"/>
  <c r="D1081" i="2" a="1"/>
  <c r="D1081" i="2" s="1"/>
  <c r="E1081" i="2" a="1"/>
  <c r="E1081" i="2" s="1"/>
  <c r="F1081" i="2" a="1"/>
  <c r="F1081" i="2" s="1"/>
  <c r="G1081" i="2" a="1"/>
  <c r="G1081" i="2" s="1"/>
  <c r="H1081" i="2" a="1"/>
  <c r="H1081" i="2" s="1"/>
  <c r="I1081" i="2" a="1"/>
  <c r="I1081" i="2" s="1"/>
  <c r="J1081" i="2" a="1"/>
  <c r="J1081" i="2" s="1"/>
  <c r="K1081" i="2" a="1"/>
  <c r="K1081" i="2" s="1"/>
  <c r="L1081" i="2" a="1"/>
  <c r="L1081" i="2" s="1"/>
  <c r="M1081" i="2" a="1"/>
  <c r="M1081" i="2" s="1"/>
  <c r="N1081" i="2" a="1"/>
  <c r="N1081" i="2" s="1"/>
  <c r="O1081" i="2" a="1"/>
  <c r="O1081" i="2" s="1"/>
  <c r="P1081" i="2" a="1"/>
  <c r="P1081" i="2" s="1"/>
  <c r="Q1081" i="2" a="1"/>
  <c r="Q1081" i="2" s="1"/>
  <c r="A1082" i="2" a="1"/>
  <c r="A1082" i="2" s="1"/>
  <c r="B1082" i="2" a="1"/>
  <c r="B1082" i="2" s="1"/>
  <c r="C1082" i="2" a="1"/>
  <c r="C1082" i="2" s="1"/>
  <c r="D1082" i="2" a="1"/>
  <c r="D1082" i="2" s="1"/>
  <c r="E1082" i="2" a="1"/>
  <c r="E1082" i="2" s="1"/>
  <c r="F1082" i="2" a="1"/>
  <c r="F1082" i="2" s="1"/>
  <c r="G1082" i="2" a="1"/>
  <c r="G1082" i="2" s="1"/>
  <c r="H1082" i="2" a="1"/>
  <c r="H1082" i="2" s="1"/>
  <c r="I1082" i="2" a="1"/>
  <c r="I1082" i="2" s="1"/>
  <c r="J1082" i="2" a="1"/>
  <c r="J1082" i="2" s="1"/>
  <c r="K1082" i="2" a="1"/>
  <c r="K1082" i="2" s="1"/>
  <c r="L1082" i="2" a="1"/>
  <c r="L1082" i="2" s="1"/>
  <c r="M1082" i="2" a="1"/>
  <c r="M1082" i="2" s="1"/>
  <c r="N1082" i="2" a="1"/>
  <c r="N1082" i="2" s="1"/>
  <c r="O1082" i="2" a="1"/>
  <c r="O1082" i="2" s="1"/>
  <c r="P1082" i="2" a="1"/>
  <c r="P1082" i="2" s="1"/>
  <c r="Q1082" i="2" a="1"/>
  <c r="Q1082" i="2" s="1"/>
  <c r="A1083" i="2" a="1"/>
  <c r="A1083" i="2" s="1"/>
  <c r="B1083" i="2" a="1"/>
  <c r="B1083" i="2" s="1"/>
  <c r="C1083" i="2" a="1"/>
  <c r="C1083" i="2" s="1"/>
  <c r="D1083" i="2" a="1"/>
  <c r="D1083" i="2" s="1"/>
  <c r="E1083" i="2" a="1"/>
  <c r="E1083" i="2" s="1"/>
  <c r="F1083" i="2" a="1"/>
  <c r="F1083" i="2" s="1"/>
  <c r="G1083" i="2" a="1"/>
  <c r="G1083" i="2" s="1"/>
  <c r="H1083" i="2" a="1"/>
  <c r="H1083" i="2" s="1"/>
  <c r="I1083" i="2" a="1"/>
  <c r="I1083" i="2" s="1"/>
  <c r="J1083" i="2" a="1"/>
  <c r="J1083" i="2" s="1"/>
  <c r="K1083" i="2" a="1"/>
  <c r="K1083" i="2" s="1"/>
  <c r="L1083" i="2" a="1"/>
  <c r="L1083" i="2" s="1"/>
  <c r="M1083" i="2" a="1"/>
  <c r="M1083" i="2" s="1"/>
  <c r="N1083" i="2" a="1"/>
  <c r="N1083" i="2" s="1"/>
  <c r="O1083" i="2" a="1"/>
  <c r="O1083" i="2" s="1"/>
  <c r="P1083" i="2" a="1"/>
  <c r="P1083" i="2" s="1"/>
  <c r="Q1083" i="2" a="1"/>
  <c r="Q1083" i="2" s="1"/>
  <c r="A1084" i="2" a="1"/>
  <c r="A1084" i="2" s="1"/>
  <c r="B1084" i="2" a="1"/>
  <c r="B1084" i="2" s="1"/>
  <c r="C1084" i="2" a="1"/>
  <c r="C1084" i="2" s="1"/>
  <c r="D1084" i="2" a="1"/>
  <c r="D1084" i="2" s="1"/>
  <c r="E1084" i="2" a="1"/>
  <c r="E1084" i="2" s="1"/>
  <c r="F1084" i="2" a="1"/>
  <c r="F1084" i="2" s="1"/>
  <c r="G1084" i="2" a="1"/>
  <c r="G1084" i="2" s="1"/>
  <c r="H1084" i="2" a="1"/>
  <c r="H1084" i="2" s="1"/>
  <c r="I1084" i="2" a="1"/>
  <c r="I1084" i="2" s="1"/>
  <c r="J1084" i="2" a="1"/>
  <c r="J1084" i="2" s="1"/>
  <c r="K1084" i="2" a="1"/>
  <c r="K1084" i="2" s="1"/>
  <c r="L1084" i="2" a="1"/>
  <c r="L1084" i="2" s="1"/>
  <c r="M1084" i="2" a="1"/>
  <c r="M1084" i="2" s="1"/>
  <c r="N1084" i="2" a="1"/>
  <c r="N1084" i="2" s="1"/>
  <c r="O1084" i="2" a="1"/>
  <c r="O1084" i="2" s="1"/>
  <c r="P1084" i="2" a="1"/>
  <c r="P1084" i="2" s="1"/>
  <c r="Q1084" i="2" a="1"/>
  <c r="Q1084" i="2" s="1"/>
  <c r="A1085" i="2" a="1"/>
  <c r="A1085" i="2" s="1"/>
  <c r="B1085" i="2" a="1"/>
  <c r="B1085" i="2" s="1"/>
  <c r="C1085" i="2" a="1"/>
  <c r="C1085" i="2" s="1"/>
  <c r="D1085" i="2" a="1"/>
  <c r="D1085" i="2" s="1"/>
  <c r="E1085" i="2" a="1"/>
  <c r="E1085" i="2" s="1"/>
  <c r="F1085" i="2" a="1"/>
  <c r="F1085" i="2" s="1"/>
  <c r="G1085" i="2" a="1"/>
  <c r="G1085" i="2" s="1"/>
  <c r="H1085" i="2" a="1"/>
  <c r="H1085" i="2" s="1"/>
  <c r="I1085" i="2" a="1"/>
  <c r="I1085" i="2" s="1"/>
  <c r="J1085" i="2" a="1"/>
  <c r="J1085" i="2" s="1"/>
  <c r="K1085" i="2" a="1"/>
  <c r="K1085" i="2" s="1"/>
  <c r="L1085" i="2" a="1"/>
  <c r="L1085" i="2" s="1"/>
  <c r="M1085" i="2" a="1"/>
  <c r="M1085" i="2" s="1"/>
  <c r="N1085" i="2" a="1"/>
  <c r="N1085" i="2" s="1"/>
  <c r="O1085" i="2" a="1"/>
  <c r="O1085" i="2" s="1"/>
  <c r="P1085" i="2" a="1"/>
  <c r="P1085" i="2" s="1"/>
  <c r="Q1085" i="2" a="1"/>
  <c r="Q1085" i="2" s="1"/>
  <c r="A1086" i="2" a="1"/>
  <c r="A1086" i="2" s="1"/>
  <c r="B1086" i="2" a="1"/>
  <c r="B1086" i="2" s="1"/>
  <c r="C1086" i="2" a="1"/>
  <c r="C1086" i="2" s="1"/>
  <c r="D1086" i="2" a="1"/>
  <c r="D1086" i="2" s="1"/>
  <c r="E1086" i="2" a="1"/>
  <c r="E1086" i="2" s="1"/>
  <c r="F1086" i="2" a="1"/>
  <c r="F1086" i="2" s="1"/>
  <c r="G1086" i="2" a="1"/>
  <c r="G1086" i="2" s="1"/>
  <c r="H1086" i="2" a="1"/>
  <c r="H1086" i="2" s="1"/>
  <c r="I1086" i="2" a="1"/>
  <c r="I1086" i="2" s="1"/>
  <c r="J1086" i="2" a="1"/>
  <c r="J1086" i="2" s="1"/>
  <c r="K1086" i="2" a="1"/>
  <c r="K1086" i="2" s="1"/>
  <c r="L1086" i="2" a="1"/>
  <c r="L1086" i="2" s="1"/>
  <c r="M1086" i="2" a="1"/>
  <c r="M1086" i="2" s="1"/>
  <c r="N1086" i="2" a="1"/>
  <c r="N1086" i="2" s="1"/>
  <c r="O1086" i="2" a="1"/>
  <c r="O1086" i="2" s="1"/>
  <c r="P1086" i="2" a="1"/>
  <c r="P1086" i="2" s="1"/>
  <c r="Q1086" i="2" a="1"/>
  <c r="Q1086" i="2" s="1"/>
  <c r="A1087" i="2" a="1"/>
  <c r="A1087" i="2" s="1"/>
  <c r="B1087" i="2" a="1"/>
  <c r="B1087" i="2" s="1"/>
  <c r="C1087" i="2" a="1"/>
  <c r="C1087" i="2" s="1"/>
  <c r="D1087" i="2" a="1"/>
  <c r="D1087" i="2" s="1"/>
  <c r="E1087" i="2" a="1"/>
  <c r="E1087" i="2" s="1"/>
  <c r="F1087" i="2" a="1"/>
  <c r="F1087" i="2" s="1"/>
  <c r="G1087" i="2" a="1"/>
  <c r="G1087" i="2" s="1"/>
  <c r="H1087" i="2" a="1"/>
  <c r="H1087" i="2" s="1"/>
  <c r="I1087" i="2" a="1"/>
  <c r="I1087" i="2" s="1"/>
  <c r="J1087" i="2" a="1"/>
  <c r="J1087" i="2" s="1"/>
  <c r="K1087" i="2" a="1"/>
  <c r="K1087" i="2" s="1"/>
  <c r="L1087" i="2" a="1"/>
  <c r="L1087" i="2" s="1"/>
  <c r="M1087" i="2" a="1"/>
  <c r="M1087" i="2" s="1"/>
  <c r="N1087" i="2" a="1"/>
  <c r="N1087" i="2" s="1"/>
  <c r="O1087" i="2" a="1"/>
  <c r="O1087" i="2" s="1"/>
  <c r="P1087" i="2" a="1"/>
  <c r="P1087" i="2" s="1"/>
  <c r="Q1087" i="2" a="1"/>
  <c r="Q1087" i="2" s="1"/>
  <c r="A1088" i="2" a="1"/>
  <c r="A1088" i="2" s="1"/>
  <c r="B1088" i="2" a="1"/>
  <c r="B1088" i="2" s="1"/>
  <c r="C1088" i="2" a="1"/>
  <c r="C1088" i="2" s="1"/>
  <c r="D1088" i="2" a="1"/>
  <c r="D1088" i="2" s="1"/>
  <c r="E1088" i="2" a="1"/>
  <c r="E1088" i="2" s="1"/>
  <c r="F1088" i="2" a="1"/>
  <c r="F1088" i="2" s="1"/>
  <c r="G1088" i="2" a="1"/>
  <c r="G1088" i="2" s="1"/>
  <c r="H1088" i="2" a="1"/>
  <c r="H1088" i="2" s="1"/>
  <c r="I1088" i="2" a="1"/>
  <c r="I1088" i="2" s="1"/>
  <c r="J1088" i="2" a="1"/>
  <c r="J1088" i="2" s="1"/>
  <c r="K1088" i="2" a="1"/>
  <c r="K1088" i="2" s="1"/>
  <c r="L1088" i="2" a="1"/>
  <c r="L1088" i="2" s="1"/>
  <c r="M1088" i="2" a="1"/>
  <c r="M1088" i="2" s="1"/>
  <c r="N1088" i="2" a="1"/>
  <c r="N1088" i="2" s="1"/>
  <c r="O1088" i="2" a="1"/>
  <c r="O1088" i="2" s="1"/>
  <c r="P1088" i="2" a="1"/>
  <c r="P1088" i="2" s="1"/>
  <c r="Q1088" i="2" a="1"/>
  <c r="Q1088" i="2" s="1"/>
  <c r="A1089" i="2" a="1"/>
  <c r="A1089" i="2" s="1"/>
  <c r="B1089" i="2" a="1"/>
  <c r="B1089" i="2" s="1"/>
  <c r="C1089" i="2" a="1"/>
  <c r="C1089" i="2" s="1"/>
  <c r="D1089" i="2" a="1"/>
  <c r="D1089" i="2" s="1"/>
  <c r="E1089" i="2" a="1"/>
  <c r="E1089" i="2" s="1"/>
  <c r="F1089" i="2" a="1"/>
  <c r="F1089" i="2" s="1"/>
  <c r="G1089" i="2" a="1"/>
  <c r="G1089" i="2" s="1"/>
  <c r="H1089" i="2" a="1"/>
  <c r="H1089" i="2" s="1"/>
  <c r="I1089" i="2" a="1"/>
  <c r="I1089" i="2" s="1"/>
  <c r="J1089" i="2" a="1"/>
  <c r="J1089" i="2" s="1"/>
  <c r="K1089" i="2" a="1"/>
  <c r="K1089" i="2" s="1"/>
  <c r="L1089" i="2" a="1"/>
  <c r="L1089" i="2" s="1"/>
  <c r="M1089" i="2" a="1"/>
  <c r="M1089" i="2" s="1"/>
  <c r="N1089" i="2" a="1"/>
  <c r="N1089" i="2" s="1"/>
  <c r="O1089" i="2" a="1"/>
  <c r="O1089" i="2" s="1"/>
  <c r="P1089" i="2" a="1"/>
  <c r="P1089" i="2" s="1"/>
  <c r="Q1089" i="2" a="1"/>
  <c r="Q1089" i="2" s="1"/>
  <c r="A1090" i="2" a="1"/>
  <c r="A1090" i="2" s="1"/>
  <c r="B1090" i="2" a="1"/>
  <c r="B1090" i="2" s="1"/>
  <c r="C1090" i="2" a="1"/>
  <c r="C1090" i="2" s="1"/>
  <c r="D1090" i="2" a="1"/>
  <c r="D1090" i="2" s="1"/>
  <c r="E1090" i="2" a="1"/>
  <c r="E1090" i="2" s="1"/>
  <c r="F1090" i="2" a="1"/>
  <c r="F1090" i="2" s="1"/>
  <c r="G1090" i="2" a="1"/>
  <c r="G1090" i="2" s="1"/>
  <c r="H1090" i="2" a="1"/>
  <c r="H1090" i="2" s="1"/>
  <c r="I1090" i="2" a="1"/>
  <c r="I1090" i="2" s="1"/>
  <c r="J1090" i="2" a="1"/>
  <c r="J1090" i="2" s="1"/>
  <c r="K1090" i="2" a="1"/>
  <c r="K1090" i="2" s="1"/>
  <c r="L1090" i="2" a="1"/>
  <c r="L1090" i="2" s="1"/>
  <c r="M1090" i="2" a="1"/>
  <c r="M1090" i="2" s="1"/>
  <c r="N1090" i="2" a="1"/>
  <c r="N1090" i="2" s="1"/>
  <c r="O1090" i="2" a="1"/>
  <c r="O1090" i="2" s="1"/>
  <c r="P1090" i="2" a="1"/>
  <c r="P1090" i="2" s="1"/>
  <c r="Q1090" i="2" a="1"/>
  <c r="Q1090" i="2" s="1"/>
  <c r="A1091" i="2" a="1"/>
  <c r="A1091" i="2" s="1"/>
  <c r="B1091" i="2" a="1"/>
  <c r="B1091" i="2" s="1"/>
  <c r="C1091" i="2" a="1"/>
  <c r="C1091" i="2" s="1"/>
  <c r="D1091" i="2" a="1"/>
  <c r="D1091" i="2" s="1"/>
  <c r="E1091" i="2" a="1"/>
  <c r="E1091" i="2" s="1"/>
  <c r="F1091" i="2" a="1"/>
  <c r="F1091" i="2" s="1"/>
  <c r="G1091" i="2" a="1"/>
  <c r="G1091" i="2" s="1"/>
  <c r="H1091" i="2" a="1"/>
  <c r="H1091" i="2" s="1"/>
  <c r="I1091" i="2" a="1"/>
  <c r="I1091" i="2" s="1"/>
  <c r="J1091" i="2" a="1"/>
  <c r="J1091" i="2" s="1"/>
  <c r="K1091" i="2" a="1"/>
  <c r="K1091" i="2" s="1"/>
  <c r="L1091" i="2" a="1"/>
  <c r="L1091" i="2" s="1"/>
  <c r="M1091" i="2" a="1"/>
  <c r="M1091" i="2" s="1"/>
  <c r="N1091" i="2" a="1"/>
  <c r="N1091" i="2" s="1"/>
  <c r="O1091" i="2" a="1"/>
  <c r="O1091" i="2" s="1"/>
  <c r="P1091" i="2" a="1"/>
  <c r="P1091" i="2" s="1"/>
  <c r="Q1091" i="2" a="1"/>
  <c r="Q1091" i="2" s="1"/>
  <c r="A1092" i="2" a="1"/>
  <c r="A1092" i="2" s="1"/>
  <c r="B1092" i="2" a="1"/>
  <c r="B1092" i="2" s="1"/>
  <c r="C1092" i="2" a="1"/>
  <c r="C1092" i="2" s="1"/>
  <c r="D1092" i="2" a="1"/>
  <c r="D1092" i="2" s="1"/>
  <c r="E1092" i="2" a="1"/>
  <c r="E1092" i="2" s="1"/>
  <c r="F1092" i="2" a="1"/>
  <c r="F1092" i="2" s="1"/>
  <c r="G1092" i="2" a="1"/>
  <c r="G1092" i="2" s="1"/>
  <c r="H1092" i="2" a="1"/>
  <c r="H1092" i="2" s="1"/>
  <c r="I1092" i="2" a="1"/>
  <c r="I1092" i="2" s="1"/>
  <c r="J1092" i="2" a="1"/>
  <c r="J1092" i="2" s="1"/>
  <c r="K1092" i="2" a="1"/>
  <c r="K1092" i="2" s="1"/>
  <c r="L1092" i="2" a="1"/>
  <c r="L1092" i="2" s="1"/>
  <c r="M1092" i="2" a="1"/>
  <c r="M1092" i="2" s="1"/>
  <c r="N1092" i="2" a="1"/>
  <c r="N1092" i="2" s="1"/>
  <c r="O1092" i="2" a="1"/>
  <c r="O1092" i="2" s="1"/>
  <c r="P1092" i="2" a="1"/>
  <c r="P1092" i="2" s="1"/>
  <c r="Q1092" i="2" a="1"/>
  <c r="Q1092" i="2" s="1"/>
  <c r="A1093" i="2" a="1"/>
  <c r="A1093" i="2" s="1"/>
  <c r="B1093" i="2" a="1"/>
  <c r="B1093" i="2" s="1"/>
  <c r="C1093" i="2" a="1"/>
  <c r="C1093" i="2" s="1"/>
  <c r="D1093" i="2" a="1"/>
  <c r="D1093" i="2" s="1"/>
  <c r="E1093" i="2" a="1"/>
  <c r="E1093" i="2" s="1"/>
  <c r="F1093" i="2" a="1"/>
  <c r="F1093" i="2" s="1"/>
  <c r="G1093" i="2" a="1"/>
  <c r="G1093" i="2" s="1"/>
  <c r="H1093" i="2" a="1"/>
  <c r="H1093" i="2" s="1"/>
  <c r="I1093" i="2" a="1"/>
  <c r="I1093" i="2" s="1"/>
  <c r="J1093" i="2" a="1"/>
  <c r="J1093" i="2" s="1"/>
  <c r="K1093" i="2" a="1"/>
  <c r="K1093" i="2" s="1"/>
  <c r="L1093" i="2" a="1"/>
  <c r="L1093" i="2" s="1"/>
  <c r="M1093" i="2" a="1"/>
  <c r="M1093" i="2" s="1"/>
  <c r="N1093" i="2" a="1"/>
  <c r="N1093" i="2" s="1"/>
  <c r="O1093" i="2" a="1"/>
  <c r="O1093" i="2" s="1"/>
  <c r="P1093" i="2" a="1"/>
  <c r="P1093" i="2" s="1"/>
  <c r="Q1093" i="2" a="1"/>
  <c r="Q1093" i="2" s="1"/>
  <c r="A1094" i="2" a="1"/>
  <c r="A1094" i="2" s="1"/>
  <c r="B1094" i="2" a="1"/>
  <c r="B1094" i="2" s="1"/>
  <c r="C1094" i="2" a="1"/>
  <c r="C1094" i="2" s="1"/>
  <c r="D1094" i="2" a="1"/>
  <c r="D1094" i="2" s="1"/>
  <c r="E1094" i="2" a="1"/>
  <c r="E1094" i="2" s="1"/>
  <c r="F1094" i="2" a="1"/>
  <c r="F1094" i="2" s="1"/>
  <c r="G1094" i="2" a="1"/>
  <c r="G1094" i="2" s="1"/>
  <c r="H1094" i="2" a="1"/>
  <c r="H1094" i="2" s="1"/>
  <c r="I1094" i="2" a="1"/>
  <c r="I1094" i="2" s="1"/>
  <c r="J1094" i="2" a="1"/>
  <c r="J1094" i="2" s="1"/>
  <c r="K1094" i="2" a="1"/>
  <c r="K1094" i="2" s="1"/>
  <c r="L1094" i="2" a="1"/>
  <c r="L1094" i="2" s="1"/>
  <c r="M1094" i="2" a="1"/>
  <c r="M1094" i="2" s="1"/>
  <c r="N1094" i="2" a="1"/>
  <c r="N1094" i="2" s="1"/>
  <c r="O1094" i="2" a="1"/>
  <c r="O1094" i="2" s="1"/>
  <c r="P1094" i="2" a="1"/>
  <c r="P1094" i="2" s="1"/>
  <c r="Q1094" i="2" a="1"/>
  <c r="Q1094" i="2" s="1"/>
  <c r="A1095" i="2" a="1"/>
  <c r="A1095" i="2" s="1"/>
  <c r="B1095" i="2" a="1"/>
  <c r="B1095" i="2" s="1"/>
  <c r="C1095" i="2" a="1"/>
  <c r="C1095" i="2" s="1"/>
  <c r="D1095" i="2" a="1"/>
  <c r="D1095" i="2" s="1"/>
  <c r="E1095" i="2" a="1"/>
  <c r="E1095" i="2" s="1"/>
  <c r="F1095" i="2" a="1"/>
  <c r="F1095" i="2" s="1"/>
  <c r="G1095" i="2" a="1"/>
  <c r="G1095" i="2" s="1"/>
  <c r="H1095" i="2" a="1"/>
  <c r="H1095" i="2" s="1"/>
  <c r="I1095" i="2" a="1"/>
  <c r="I1095" i="2" s="1"/>
  <c r="J1095" i="2" a="1"/>
  <c r="J1095" i="2" s="1"/>
  <c r="K1095" i="2" a="1"/>
  <c r="K1095" i="2" s="1"/>
  <c r="L1095" i="2" a="1"/>
  <c r="L1095" i="2" s="1"/>
  <c r="M1095" i="2" a="1"/>
  <c r="M1095" i="2" s="1"/>
  <c r="N1095" i="2" a="1"/>
  <c r="N1095" i="2" s="1"/>
  <c r="O1095" i="2" a="1"/>
  <c r="O1095" i="2" s="1"/>
  <c r="P1095" i="2" a="1"/>
  <c r="P1095" i="2" s="1"/>
  <c r="Q1095" i="2" a="1"/>
  <c r="Q1095" i="2" s="1"/>
  <c r="A1096" i="2" a="1"/>
  <c r="A1096" i="2" s="1"/>
  <c r="B1096" i="2" a="1"/>
  <c r="B1096" i="2" s="1"/>
  <c r="C1096" i="2" a="1"/>
  <c r="C1096" i="2" s="1"/>
  <c r="D1096" i="2" a="1"/>
  <c r="D1096" i="2" s="1"/>
  <c r="E1096" i="2" a="1"/>
  <c r="E1096" i="2" s="1"/>
  <c r="F1096" i="2" a="1"/>
  <c r="F1096" i="2" s="1"/>
  <c r="G1096" i="2" a="1"/>
  <c r="G1096" i="2" s="1"/>
  <c r="H1096" i="2" a="1"/>
  <c r="H1096" i="2" s="1"/>
  <c r="I1096" i="2" a="1"/>
  <c r="I1096" i="2" s="1"/>
  <c r="J1096" i="2" a="1"/>
  <c r="J1096" i="2" s="1"/>
  <c r="K1096" i="2" a="1"/>
  <c r="K1096" i="2" s="1"/>
  <c r="L1096" i="2" a="1"/>
  <c r="L1096" i="2" s="1"/>
  <c r="M1096" i="2" a="1"/>
  <c r="M1096" i="2" s="1"/>
  <c r="N1096" i="2" a="1"/>
  <c r="N1096" i="2" s="1"/>
  <c r="O1096" i="2" a="1"/>
  <c r="O1096" i="2" s="1"/>
  <c r="P1096" i="2" a="1"/>
  <c r="P1096" i="2" s="1"/>
  <c r="Q1096" i="2" a="1"/>
  <c r="Q1096" i="2" s="1"/>
  <c r="A1097" i="2" a="1"/>
  <c r="A1097" i="2" s="1"/>
  <c r="B1097" i="2" a="1"/>
  <c r="B1097" i="2" s="1"/>
  <c r="C1097" i="2" a="1"/>
  <c r="C1097" i="2" s="1"/>
  <c r="D1097" i="2" a="1"/>
  <c r="D1097" i="2" s="1"/>
  <c r="E1097" i="2" a="1"/>
  <c r="E1097" i="2" s="1"/>
  <c r="F1097" i="2" a="1"/>
  <c r="F1097" i="2" s="1"/>
  <c r="G1097" i="2" a="1"/>
  <c r="G1097" i="2" s="1"/>
  <c r="H1097" i="2" a="1"/>
  <c r="H1097" i="2" s="1"/>
  <c r="I1097" i="2" a="1"/>
  <c r="I1097" i="2" s="1"/>
  <c r="J1097" i="2" a="1"/>
  <c r="J1097" i="2" s="1"/>
  <c r="K1097" i="2" a="1"/>
  <c r="K1097" i="2" s="1"/>
  <c r="L1097" i="2" a="1"/>
  <c r="L1097" i="2" s="1"/>
  <c r="M1097" i="2" a="1"/>
  <c r="M1097" i="2" s="1"/>
  <c r="N1097" i="2" a="1"/>
  <c r="N1097" i="2" s="1"/>
  <c r="O1097" i="2" a="1"/>
  <c r="O1097" i="2" s="1"/>
  <c r="P1097" i="2" a="1"/>
  <c r="P1097" i="2" s="1"/>
  <c r="Q1097" i="2" a="1"/>
  <c r="Q1097" i="2" s="1"/>
  <c r="A1098" i="2" a="1"/>
  <c r="A1098" i="2" s="1"/>
  <c r="B1098" i="2" a="1"/>
  <c r="B1098" i="2" s="1"/>
  <c r="C1098" i="2" a="1"/>
  <c r="C1098" i="2" s="1"/>
  <c r="D1098" i="2" a="1"/>
  <c r="D1098" i="2" s="1"/>
  <c r="E1098" i="2" a="1"/>
  <c r="E1098" i="2" s="1"/>
  <c r="F1098" i="2" a="1"/>
  <c r="F1098" i="2" s="1"/>
  <c r="G1098" i="2" a="1"/>
  <c r="G1098" i="2" s="1"/>
  <c r="H1098" i="2" a="1"/>
  <c r="H1098" i="2" s="1"/>
  <c r="I1098" i="2" a="1"/>
  <c r="I1098" i="2" s="1"/>
  <c r="J1098" i="2" a="1"/>
  <c r="J1098" i="2" s="1"/>
  <c r="K1098" i="2" a="1"/>
  <c r="K1098" i="2" s="1"/>
  <c r="L1098" i="2" a="1"/>
  <c r="L1098" i="2" s="1"/>
  <c r="M1098" i="2" a="1"/>
  <c r="M1098" i="2" s="1"/>
  <c r="N1098" i="2" a="1"/>
  <c r="N1098" i="2" s="1"/>
  <c r="O1098" i="2" a="1"/>
  <c r="O1098" i="2" s="1"/>
  <c r="P1098" i="2" a="1"/>
  <c r="P1098" i="2" s="1"/>
  <c r="Q1098" i="2" a="1"/>
  <c r="Q1098" i="2" s="1"/>
  <c r="A1099" i="2" a="1"/>
  <c r="A1099" i="2" s="1"/>
  <c r="B1099" i="2" a="1"/>
  <c r="B1099" i="2" s="1"/>
  <c r="C1099" i="2" a="1"/>
  <c r="C1099" i="2" s="1"/>
  <c r="D1099" i="2" a="1"/>
  <c r="D1099" i="2" s="1"/>
  <c r="E1099" i="2" a="1"/>
  <c r="E1099" i="2" s="1"/>
  <c r="F1099" i="2" a="1"/>
  <c r="F1099" i="2" s="1"/>
  <c r="G1099" i="2" a="1"/>
  <c r="G1099" i="2" s="1"/>
  <c r="H1099" i="2" a="1"/>
  <c r="H1099" i="2" s="1"/>
  <c r="I1099" i="2" a="1"/>
  <c r="I1099" i="2" s="1"/>
  <c r="J1099" i="2" a="1"/>
  <c r="J1099" i="2" s="1"/>
  <c r="K1099" i="2" a="1"/>
  <c r="K1099" i="2" s="1"/>
  <c r="L1099" i="2" a="1"/>
  <c r="L1099" i="2" s="1"/>
  <c r="M1099" i="2" a="1"/>
  <c r="M1099" i="2" s="1"/>
  <c r="N1099" i="2" a="1"/>
  <c r="N1099" i="2" s="1"/>
  <c r="O1099" i="2" a="1"/>
  <c r="O1099" i="2" s="1"/>
  <c r="P1099" i="2" a="1"/>
  <c r="P1099" i="2" s="1"/>
  <c r="Q1099" i="2" a="1"/>
  <c r="Q1099" i="2" s="1"/>
  <c r="A1100" i="2" a="1"/>
  <c r="A1100" i="2" s="1"/>
  <c r="B1100" i="2" a="1"/>
  <c r="B1100" i="2" s="1"/>
  <c r="C1100" i="2" a="1"/>
  <c r="C1100" i="2" s="1"/>
  <c r="D1100" i="2" a="1"/>
  <c r="D1100" i="2" s="1"/>
  <c r="E1100" i="2" a="1"/>
  <c r="E1100" i="2" s="1"/>
  <c r="F1100" i="2" a="1"/>
  <c r="F1100" i="2" s="1"/>
  <c r="G1100" i="2" a="1"/>
  <c r="G1100" i="2" s="1"/>
  <c r="H1100" i="2" a="1"/>
  <c r="H1100" i="2" s="1"/>
  <c r="I1100" i="2" a="1"/>
  <c r="I1100" i="2" s="1"/>
  <c r="J1100" i="2" a="1"/>
  <c r="J1100" i="2" s="1"/>
  <c r="K1100" i="2" a="1"/>
  <c r="K1100" i="2" s="1"/>
  <c r="L1100" i="2" a="1"/>
  <c r="L1100" i="2" s="1"/>
  <c r="M1100" i="2" a="1"/>
  <c r="M1100" i="2" s="1"/>
  <c r="N1100" i="2" a="1"/>
  <c r="N1100" i="2" s="1"/>
  <c r="O1100" i="2" a="1"/>
  <c r="O1100" i="2" s="1"/>
  <c r="P1100" i="2" a="1"/>
  <c r="P1100" i="2" s="1"/>
  <c r="Q1100" i="2" a="1"/>
  <c r="Q1100" i="2" s="1"/>
  <c r="A1101" i="2" a="1"/>
  <c r="A1101" i="2" s="1"/>
  <c r="B1101" i="2" a="1"/>
  <c r="B1101" i="2" s="1"/>
  <c r="C1101" i="2" a="1"/>
  <c r="C1101" i="2" s="1"/>
  <c r="D1101" i="2" a="1"/>
  <c r="D1101" i="2" s="1"/>
  <c r="E1101" i="2" a="1"/>
  <c r="E1101" i="2" s="1"/>
  <c r="F1101" i="2" a="1"/>
  <c r="F1101" i="2" s="1"/>
  <c r="G1101" i="2" a="1"/>
  <c r="G1101" i="2" s="1"/>
  <c r="H1101" i="2" a="1"/>
  <c r="H1101" i="2" s="1"/>
  <c r="I1101" i="2" a="1"/>
  <c r="I1101" i="2" s="1"/>
  <c r="J1101" i="2" a="1"/>
  <c r="J1101" i="2" s="1"/>
  <c r="K1101" i="2" a="1"/>
  <c r="K1101" i="2" s="1"/>
  <c r="L1101" i="2" a="1"/>
  <c r="L1101" i="2" s="1"/>
  <c r="M1101" i="2" a="1"/>
  <c r="M1101" i="2" s="1"/>
  <c r="N1101" i="2" a="1"/>
  <c r="N1101" i="2" s="1"/>
  <c r="O1101" i="2" a="1"/>
  <c r="O1101" i="2" s="1"/>
  <c r="P1101" i="2" a="1"/>
  <c r="P1101" i="2" s="1"/>
  <c r="Q1101" i="2" a="1"/>
  <c r="Q1101" i="2" s="1"/>
  <c r="A1102" i="2" a="1"/>
  <c r="A1102" i="2" s="1"/>
  <c r="B1102" i="2" a="1"/>
  <c r="B1102" i="2" s="1"/>
  <c r="C1102" i="2" a="1"/>
  <c r="C1102" i="2" s="1"/>
  <c r="D1102" i="2" a="1"/>
  <c r="D1102" i="2" s="1"/>
  <c r="E1102" i="2" a="1"/>
  <c r="E1102" i="2" s="1"/>
  <c r="F1102" i="2" a="1"/>
  <c r="F1102" i="2" s="1"/>
  <c r="G1102" i="2" a="1"/>
  <c r="G1102" i="2" s="1"/>
  <c r="H1102" i="2" a="1"/>
  <c r="H1102" i="2" s="1"/>
  <c r="I1102" i="2" a="1"/>
  <c r="I1102" i="2" s="1"/>
  <c r="J1102" i="2" a="1"/>
  <c r="J1102" i="2" s="1"/>
  <c r="K1102" i="2" a="1"/>
  <c r="K1102" i="2" s="1"/>
  <c r="L1102" i="2" a="1"/>
  <c r="L1102" i="2" s="1"/>
  <c r="M1102" i="2" a="1"/>
  <c r="M1102" i="2" s="1"/>
  <c r="N1102" i="2" a="1"/>
  <c r="N1102" i="2" s="1"/>
  <c r="O1102" i="2" a="1"/>
  <c r="O1102" i="2" s="1"/>
  <c r="P1102" i="2" a="1"/>
  <c r="P1102" i="2" s="1"/>
  <c r="Q1102" i="2" a="1"/>
  <c r="Q1102" i="2" s="1"/>
  <c r="A1103" i="2" a="1"/>
  <c r="A1103" i="2" s="1"/>
  <c r="B1103" i="2" a="1"/>
  <c r="B1103" i="2" s="1"/>
  <c r="C1103" i="2" a="1"/>
  <c r="C1103" i="2" s="1"/>
  <c r="D1103" i="2" a="1"/>
  <c r="D1103" i="2" s="1"/>
  <c r="E1103" i="2" a="1"/>
  <c r="E1103" i="2" s="1"/>
  <c r="F1103" i="2" a="1"/>
  <c r="F1103" i="2" s="1"/>
  <c r="G1103" i="2" a="1"/>
  <c r="G1103" i="2" s="1"/>
  <c r="H1103" i="2" a="1"/>
  <c r="H1103" i="2" s="1"/>
  <c r="I1103" i="2" a="1"/>
  <c r="I1103" i="2" s="1"/>
  <c r="J1103" i="2" a="1"/>
  <c r="J1103" i="2" s="1"/>
  <c r="K1103" i="2" a="1"/>
  <c r="K1103" i="2" s="1"/>
  <c r="L1103" i="2" a="1"/>
  <c r="L1103" i="2" s="1"/>
  <c r="M1103" i="2" a="1"/>
  <c r="M1103" i="2" s="1"/>
  <c r="N1103" i="2" a="1"/>
  <c r="N1103" i="2" s="1"/>
  <c r="O1103" i="2" a="1"/>
  <c r="O1103" i="2" s="1"/>
  <c r="P1103" i="2" a="1"/>
  <c r="P1103" i="2" s="1"/>
  <c r="Q1103" i="2" a="1"/>
  <c r="Q1103" i="2" s="1"/>
  <c r="A1104" i="2" a="1"/>
  <c r="A1104" i="2" s="1"/>
  <c r="B1104" i="2" a="1"/>
  <c r="B1104" i="2" s="1"/>
  <c r="C1104" i="2" a="1"/>
  <c r="C1104" i="2" s="1"/>
  <c r="D1104" i="2" a="1"/>
  <c r="D1104" i="2" s="1"/>
  <c r="E1104" i="2" a="1"/>
  <c r="E1104" i="2" s="1"/>
  <c r="F1104" i="2" a="1"/>
  <c r="F1104" i="2" s="1"/>
  <c r="G1104" i="2" a="1"/>
  <c r="G1104" i="2" s="1"/>
  <c r="H1104" i="2" a="1"/>
  <c r="H1104" i="2" s="1"/>
  <c r="I1104" i="2" a="1"/>
  <c r="I1104" i="2" s="1"/>
  <c r="J1104" i="2" a="1"/>
  <c r="J1104" i="2" s="1"/>
  <c r="K1104" i="2" a="1"/>
  <c r="K1104" i="2" s="1"/>
  <c r="L1104" i="2" a="1"/>
  <c r="L1104" i="2" s="1"/>
  <c r="M1104" i="2" a="1"/>
  <c r="M1104" i="2" s="1"/>
  <c r="N1104" i="2" a="1"/>
  <c r="N1104" i="2" s="1"/>
  <c r="O1104" i="2" a="1"/>
  <c r="O1104" i="2" s="1"/>
  <c r="P1104" i="2" a="1"/>
  <c r="P1104" i="2" s="1"/>
  <c r="Q1104" i="2" a="1"/>
  <c r="Q1104" i="2" s="1"/>
  <c r="A1105" i="2" a="1"/>
  <c r="A1105" i="2" s="1"/>
  <c r="B1105" i="2" a="1"/>
  <c r="B1105" i="2" s="1"/>
  <c r="C1105" i="2" a="1"/>
  <c r="C1105" i="2" s="1"/>
  <c r="D1105" i="2" a="1"/>
  <c r="D1105" i="2" s="1"/>
  <c r="E1105" i="2" a="1"/>
  <c r="E1105" i="2" s="1"/>
  <c r="F1105" i="2" a="1"/>
  <c r="F1105" i="2" s="1"/>
  <c r="G1105" i="2" a="1"/>
  <c r="G1105" i="2" s="1"/>
  <c r="H1105" i="2" a="1"/>
  <c r="H1105" i="2" s="1"/>
  <c r="I1105" i="2" a="1"/>
  <c r="I1105" i="2" s="1"/>
  <c r="J1105" i="2" a="1"/>
  <c r="J1105" i="2" s="1"/>
  <c r="K1105" i="2" a="1"/>
  <c r="K1105" i="2" s="1"/>
  <c r="L1105" i="2" a="1"/>
  <c r="L1105" i="2" s="1"/>
  <c r="M1105" i="2" a="1"/>
  <c r="M1105" i="2" s="1"/>
  <c r="N1105" i="2" a="1"/>
  <c r="N1105" i="2" s="1"/>
  <c r="O1105" i="2" a="1"/>
  <c r="O1105" i="2" s="1"/>
  <c r="P1105" i="2" a="1"/>
  <c r="P1105" i="2" s="1"/>
  <c r="Q1105" i="2" a="1"/>
  <c r="Q1105" i="2" s="1"/>
  <c r="A1106" i="2" a="1"/>
  <c r="A1106" i="2" s="1"/>
  <c r="B1106" i="2" a="1"/>
  <c r="B1106" i="2" s="1"/>
  <c r="C1106" i="2" a="1"/>
  <c r="C1106" i="2" s="1"/>
  <c r="D1106" i="2" a="1"/>
  <c r="D1106" i="2" s="1"/>
  <c r="E1106" i="2" a="1"/>
  <c r="E1106" i="2" s="1"/>
  <c r="F1106" i="2" a="1"/>
  <c r="F1106" i="2" s="1"/>
  <c r="G1106" i="2" a="1"/>
  <c r="G1106" i="2" s="1"/>
  <c r="H1106" i="2" a="1"/>
  <c r="H1106" i="2" s="1"/>
  <c r="I1106" i="2" a="1"/>
  <c r="I1106" i="2" s="1"/>
  <c r="J1106" i="2" a="1"/>
  <c r="J1106" i="2" s="1"/>
  <c r="K1106" i="2" a="1"/>
  <c r="K1106" i="2" s="1"/>
  <c r="L1106" i="2" a="1"/>
  <c r="L1106" i="2" s="1"/>
  <c r="M1106" i="2" a="1"/>
  <c r="M1106" i="2" s="1"/>
  <c r="N1106" i="2" a="1"/>
  <c r="N1106" i="2" s="1"/>
  <c r="O1106" i="2" a="1"/>
  <c r="O1106" i="2" s="1"/>
  <c r="P1106" i="2" a="1"/>
  <c r="P1106" i="2" s="1"/>
  <c r="Q1106" i="2" a="1"/>
  <c r="Q1106" i="2" s="1"/>
  <c r="A1107" i="2" a="1"/>
  <c r="A1107" i="2" s="1"/>
  <c r="B1107" i="2" a="1"/>
  <c r="B1107" i="2" s="1"/>
  <c r="C1107" i="2" a="1"/>
  <c r="C1107" i="2" s="1"/>
  <c r="D1107" i="2" a="1"/>
  <c r="D1107" i="2" s="1"/>
  <c r="E1107" i="2" a="1"/>
  <c r="E1107" i="2" s="1"/>
  <c r="F1107" i="2" a="1"/>
  <c r="F1107" i="2" s="1"/>
  <c r="G1107" i="2" a="1"/>
  <c r="G1107" i="2" s="1"/>
  <c r="H1107" i="2" a="1"/>
  <c r="H1107" i="2" s="1"/>
  <c r="I1107" i="2" a="1"/>
  <c r="I1107" i="2" s="1"/>
  <c r="J1107" i="2" a="1"/>
  <c r="J1107" i="2" s="1"/>
  <c r="K1107" i="2" a="1"/>
  <c r="K1107" i="2" s="1"/>
  <c r="L1107" i="2" a="1"/>
  <c r="L1107" i="2" s="1"/>
  <c r="M1107" i="2" a="1"/>
  <c r="M1107" i="2" s="1"/>
  <c r="N1107" i="2" a="1"/>
  <c r="N1107" i="2" s="1"/>
  <c r="O1107" i="2" a="1"/>
  <c r="O1107" i="2" s="1"/>
  <c r="P1107" i="2" a="1"/>
  <c r="P1107" i="2" s="1"/>
  <c r="Q1107" i="2" a="1"/>
  <c r="Q1107" i="2" s="1"/>
  <c r="A1108" i="2" a="1"/>
  <c r="A1108" i="2" s="1"/>
  <c r="B1108" i="2" a="1"/>
  <c r="B1108" i="2" s="1"/>
  <c r="C1108" i="2" a="1"/>
  <c r="C1108" i="2" s="1"/>
  <c r="D1108" i="2" a="1"/>
  <c r="D1108" i="2" s="1"/>
  <c r="E1108" i="2" a="1"/>
  <c r="E1108" i="2" s="1"/>
  <c r="F1108" i="2" a="1"/>
  <c r="F1108" i="2" s="1"/>
  <c r="G1108" i="2" a="1"/>
  <c r="G1108" i="2" s="1"/>
  <c r="H1108" i="2" a="1"/>
  <c r="H1108" i="2" s="1"/>
  <c r="I1108" i="2" a="1"/>
  <c r="I1108" i="2" s="1"/>
  <c r="J1108" i="2" a="1"/>
  <c r="J1108" i="2" s="1"/>
  <c r="K1108" i="2" a="1"/>
  <c r="K1108" i="2" s="1"/>
  <c r="L1108" i="2" a="1"/>
  <c r="L1108" i="2" s="1"/>
  <c r="M1108" i="2" a="1"/>
  <c r="M1108" i="2" s="1"/>
  <c r="N1108" i="2" a="1"/>
  <c r="N1108" i="2" s="1"/>
  <c r="O1108" i="2" a="1"/>
  <c r="O1108" i="2" s="1"/>
  <c r="P1108" i="2" a="1"/>
  <c r="P1108" i="2" s="1"/>
  <c r="Q1108" i="2" a="1"/>
  <c r="Q1108" i="2" s="1"/>
  <c r="A1109" i="2" a="1"/>
  <c r="A1109" i="2" s="1"/>
  <c r="B1109" i="2" a="1"/>
  <c r="B1109" i="2" s="1"/>
  <c r="C1109" i="2" a="1"/>
  <c r="C1109" i="2" s="1"/>
  <c r="D1109" i="2" a="1"/>
  <c r="D1109" i="2" s="1"/>
  <c r="E1109" i="2" a="1"/>
  <c r="E1109" i="2" s="1"/>
  <c r="F1109" i="2" a="1"/>
  <c r="F1109" i="2" s="1"/>
  <c r="G1109" i="2" a="1"/>
  <c r="G1109" i="2" s="1"/>
  <c r="H1109" i="2" a="1"/>
  <c r="H1109" i="2" s="1"/>
  <c r="I1109" i="2" a="1"/>
  <c r="I1109" i="2" s="1"/>
  <c r="J1109" i="2" a="1"/>
  <c r="J1109" i="2" s="1"/>
  <c r="K1109" i="2" a="1"/>
  <c r="K1109" i="2" s="1"/>
  <c r="L1109" i="2" a="1"/>
  <c r="L1109" i="2" s="1"/>
  <c r="M1109" i="2" a="1"/>
  <c r="M1109" i="2" s="1"/>
  <c r="N1109" i="2" a="1"/>
  <c r="N1109" i="2" s="1"/>
  <c r="O1109" i="2" a="1"/>
  <c r="O1109" i="2" s="1"/>
  <c r="P1109" i="2" a="1"/>
  <c r="P1109" i="2" s="1"/>
  <c r="Q1109" i="2" a="1"/>
  <c r="Q1109" i="2" s="1"/>
  <c r="A1110" i="2" a="1"/>
  <c r="A1110" i="2" s="1"/>
  <c r="B1110" i="2" a="1"/>
  <c r="B1110" i="2" s="1"/>
  <c r="C1110" i="2" a="1"/>
  <c r="C1110" i="2" s="1"/>
  <c r="D1110" i="2" a="1"/>
  <c r="D1110" i="2" s="1"/>
  <c r="E1110" i="2" a="1"/>
  <c r="E1110" i="2" s="1"/>
  <c r="F1110" i="2" a="1"/>
  <c r="F1110" i="2" s="1"/>
  <c r="G1110" i="2" a="1"/>
  <c r="G1110" i="2" s="1"/>
  <c r="H1110" i="2" a="1"/>
  <c r="H1110" i="2" s="1"/>
  <c r="I1110" i="2" a="1"/>
  <c r="I1110" i="2" s="1"/>
  <c r="J1110" i="2" a="1"/>
  <c r="J1110" i="2" s="1"/>
  <c r="K1110" i="2" a="1"/>
  <c r="K1110" i="2" s="1"/>
  <c r="L1110" i="2" a="1"/>
  <c r="L1110" i="2" s="1"/>
  <c r="M1110" i="2" a="1"/>
  <c r="M1110" i="2" s="1"/>
  <c r="N1110" i="2" a="1"/>
  <c r="N1110" i="2" s="1"/>
  <c r="O1110" i="2" a="1"/>
  <c r="O1110" i="2" s="1"/>
  <c r="P1110" i="2" a="1"/>
  <c r="P1110" i="2" s="1"/>
  <c r="Q1110" i="2" a="1"/>
  <c r="Q1110" i="2" s="1"/>
  <c r="A1111" i="2" a="1"/>
  <c r="A1111" i="2" s="1"/>
  <c r="B1111" i="2" a="1"/>
  <c r="B1111" i="2" s="1"/>
  <c r="C1111" i="2" a="1"/>
  <c r="C1111" i="2" s="1"/>
  <c r="D1111" i="2" a="1"/>
  <c r="D1111" i="2" s="1"/>
  <c r="E1111" i="2" a="1"/>
  <c r="E1111" i="2" s="1"/>
  <c r="F1111" i="2" a="1"/>
  <c r="F1111" i="2" s="1"/>
  <c r="G1111" i="2" a="1"/>
  <c r="G1111" i="2" s="1"/>
  <c r="H1111" i="2" a="1"/>
  <c r="H1111" i="2" s="1"/>
  <c r="I1111" i="2" a="1"/>
  <c r="I1111" i="2" s="1"/>
  <c r="J1111" i="2" a="1"/>
  <c r="J1111" i="2" s="1"/>
  <c r="K1111" i="2" a="1"/>
  <c r="K1111" i="2" s="1"/>
  <c r="L1111" i="2" a="1"/>
  <c r="L1111" i="2" s="1"/>
  <c r="M1111" i="2" a="1"/>
  <c r="M1111" i="2" s="1"/>
  <c r="N1111" i="2" a="1"/>
  <c r="N1111" i="2" s="1"/>
  <c r="O1111" i="2" a="1"/>
  <c r="O1111" i="2" s="1"/>
  <c r="P1111" i="2" a="1"/>
  <c r="P1111" i="2" s="1"/>
  <c r="Q1111" i="2" a="1"/>
  <c r="Q1111" i="2" s="1"/>
  <c r="A1112" i="2" a="1"/>
  <c r="A1112" i="2" s="1"/>
  <c r="B1112" i="2" a="1"/>
  <c r="B1112" i="2" s="1"/>
  <c r="C1112" i="2" a="1"/>
  <c r="C1112" i="2" s="1"/>
  <c r="D1112" i="2" a="1"/>
  <c r="D1112" i="2" s="1"/>
  <c r="E1112" i="2" a="1"/>
  <c r="E1112" i="2" s="1"/>
  <c r="F1112" i="2" a="1"/>
  <c r="F1112" i="2" s="1"/>
  <c r="G1112" i="2" a="1"/>
  <c r="G1112" i="2" s="1"/>
  <c r="H1112" i="2" a="1"/>
  <c r="H1112" i="2" s="1"/>
  <c r="I1112" i="2" a="1"/>
  <c r="I1112" i="2" s="1"/>
  <c r="J1112" i="2" a="1"/>
  <c r="J1112" i="2" s="1"/>
  <c r="K1112" i="2" a="1"/>
  <c r="K1112" i="2" s="1"/>
  <c r="L1112" i="2" a="1"/>
  <c r="L1112" i="2" s="1"/>
  <c r="M1112" i="2" a="1"/>
  <c r="M1112" i="2" s="1"/>
  <c r="N1112" i="2" a="1"/>
  <c r="N1112" i="2" s="1"/>
  <c r="O1112" i="2" a="1"/>
  <c r="O1112" i="2" s="1"/>
  <c r="P1112" i="2" a="1"/>
  <c r="P1112" i="2" s="1"/>
  <c r="Q1112" i="2" a="1"/>
  <c r="Q1112" i="2" s="1"/>
  <c r="A1113" i="2" a="1"/>
  <c r="A1113" i="2" s="1"/>
  <c r="B1113" i="2" a="1"/>
  <c r="B1113" i="2" s="1"/>
  <c r="C1113" i="2" a="1"/>
  <c r="C1113" i="2" s="1"/>
  <c r="D1113" i="2" a="1"/>
  <c r="D1113" i="2" s="1"/>
  <c r="E1113" i="2" a="1"/>
  <c r="E1113" i="2" s="1"/>
  <c r="F1113" i="2" a="1"/>
  <c r="F1113" i="2" s="1"/>
  <c r="G1113" i="2" a="1"/>
  <c r="G1113" i="2" s="1"/>
  <c r="H1113" i="2" a="1"/>
  <c r="H1113" i="2" s="1"/>
  <c r="I1113" i="2" a="1"/>
  <c r="I1113" i="2" s="1"/>
  <c r="J1113" i="2" a="1"/>
  <c r="J1113" i="2" s="1"/>
  <c r="K1113" i="2" a="1"/>
  <c r="K1113" i="2" s="1"/>
  <c r="L1113" i="2" a="1"/>
  <c r="L1113" i="2" s="1"/>
  <c r="M1113" i="2" a="1"/>
  <c r="M1113" i="2" s="1"/>
  <c r="N1113" i="2" a="1"/>
  <c r="N1113" i="2" s="1"/>
  <c r="O1113" i="2" a="1"/>
  <c r="O1113" i="2" s="1"/>
  <c r="P1113" i="2" a="1"/>
  <c r="P1113" i="2" s="1"/>
  <c r="Q1113" i="2" a="1"/>
  <c r="Q1113" i="2" s="1"/>
  <c r="A1114" i="2" a="1"/>
  <c r="A1114" i="2" s="1"/>
  <c r="B1114" i="2" a="1"/>
  <c r="B1114" i="2" s="1"/>
  <c r="C1114" i="2" a="1"/>
  <c r="C1114" i="2" s="1"/>
  <c r="D1114" i="2" a="1"/>
  <c r="D1114" i="2" s="1"/>
  <c r="E1114" i="2" a="1"/>
  <c r="E1114" i="2" s="1"/>
  <c r="F1114" i="2" a="1"/>
  <c r="F1114" i="2" s="1"/>
  <c r="G1114" i="2" a="1"/>
  <c r="G1114" i="2" s="1"/>
  <c r="H1114" i="2" a="1"/>
  <c r="H1114" i="2" s="1"/>
  <c r="I1114" i="2" a="1"/>
  <c r="I1114" i="2" s="1"/>
  <c r="J1114" i="2" a="1"/>
  <c r="J1114" i="2" s="1"/>
  <c r="K1114" i="2" a="1"/>
  <c r="K1114" i="2" s="1"/>
  <c r="L1114" i="2" a="1"/>
  <c r="L1114" i="2" s="1"/>
  <c r="M1114" i="2" a="1"/>
  <c r="M1114" i="2" s="1"/>
  <c r="N1114" i="2" a="1"/>
  <c r="N1114" i="2" s="1"/>
  <c r="O1114" i="2" a="1"/>
  <c r="O1114" i="2" s="1"/>
  <c r="P1114" i="2" a="1"/>
  <c r="P1114" i="2" s="1"/>
  <c r="Q1114" i="2" a="1"/>
  <c r="Q1114" i="2" s="1"/>
  <c r="A1115" i="2" a="1"/>
  <c r="A1115" i="2" s="1"/>
  <c r="B1115" i="2" a="1"/>
  <c r="B1115" i="2" s="1"/>
  <c r="C1115" i="2" a="1"/>
  <c r="C1115" i="2" s="1"/>
  <c r="D1115" i="2" a="1"/>
  <c r="D1115" i="2" s="1"/>
  <c r="E1115" i="2" a="1"/>
  <c r="E1115" i="2" s="1"/>
  <c r="F1115" i="2" a="1"/>
  <c r="F1115" i="2" s="1"/>
  <c r="G1115" i="2" a="1"/>
  <c r="G1115" i="2" s="1"/>
  <c r="H1115" i="2" a="1"/>
  <c r="H1115" i="2" s="1"/>
  <c r="I1115" i="2" a="1"/>
  <c r="I1115" i="2" s="1"/>
  <c r="J1115" i="2" a="1"/>
  <c r="J1115" i="2" s="1"/>
  <c r="K1115" i="2" a="1"/>
  <c r="K1115" i="2" s="1"/>
  <c r="L1115" i="2" a="1"/>
  <c r="L1115" i="2" s="1"/>
  <c r="M1115" i="2" a="1"/>
  <c r="M1115" i="2" s="1"/>
  <c r="N1115" i="2" a="1"/>
  <c r="N1115" i="2" s="1"/>
  <c r="O1115" i="2" a="1"/>
  <c r="O1115" i="2" s="1"/>
  <c r="P1115" i="2" a="1"/>
  <c r="P1115" i="2" s="1"/>
  <c r="Q1115" i="2" a="1"/>
  <c r="Q1115" i="2" s="1"/>
  <c r="A1116" i="2" a="1"/>
  <c r="A1116" i="2" s="1"/>
  <c r="B1116" i="2" a="1"/>
  <c r="B1116" i="2" s="1"/>
  <c r="C1116" i="2" a="1"/>
  <c r="C1116" i="2" s="1"/>
  <c r="D1116" i="2" a="1"/>
  <c r="D1116" i="2" s="1"/>
  <c r="E1116" i="2" a="1"/>
  <c r="E1116" i="2" s="1"/>
  <c r="F1116" i="2" a="1"/>
  <c r="F1116" i="2" s="1"/>
  <c r="G1116" i="2" a="1"/>
  <c r="G1116" i="2" s="1"/>
  <c r="H1116" i="2" a="1"/>
  <c r="H1116" i="2" s="1"/>
  <c r="I1116" i="2" a="1"/>
  <c r="I1116" i="2" s="1"/>
  <c r="J1116" i="2" a="1"/>
  <c r="J1116" i="2" s="1"/>
  <c r="K1116" i="2" a="1"/>
  <c r="K1116" i="2" s="1"/>
  <c r="L1116" i="2" a="1"/>
  <c r="L1116" i="2" s="1"/>
  <c r="M1116" i="2" a="1"/>
  <c r="M1116" i="2" s="1"/>
  <c r="N1116" i="2" a="1"/>
  <c r="N1116" i="2" s="1"/>
  <c r="O1116" i="2" a="1"/>
  <c r="O1116" i="2" s="1"/>
  <c r="P1116" i="2" a="1"/>
  <c r="P1116" i="2" s="1"/>
  <c r="Q1116" i="2" a="1"/>
  <c r="Q1116" i="2" s="1"/>
  <c r="A1117" i="2" a="1"/>
  <c r="A1117" i="2" s="1"/>
  <c r="B1117" i="2" a="1"/>
  <c r="B1117" i="2" s="1"/>
  <c r="C1117" i="2" a="1"/>
  <c r="C1117" i="2" s="1"/>
  <c r="D1117" i="2" a="1"/>
  <c r="D1117" i="2" s="1"/>
  <c r="E1117" i="2" a="1"/>
  <c r="E1117" i="2" s="1"/>
  <c r="F1117" i="2" a="1"/>
  <c r="F1117" i="2" s="1"/>
  <c r="G1117" i="2" a="1"/>
  <c r="G1117" i="2" s="1"/>
  <c r="H1117" i="2" a="1"/>
  <c r="H1117" i="2" s="1"/>
  <c r="I1117" i="2" a="1"/>
  <c r="I1117" i="2" s="1"/>
  <c r="J1117" i="2" a="1"/>
  <c r="J1117" i="2" s="1"/>
  <c r="K1117" i="2" a="1"/>
  <c r="K1117" i="2" s="1"/>
  <c r="L1117" i="2" a="1"/>
  <c r="L1117" i="2" s="1"/>
  <c r="M1117" i="2" a="1"/>
  <c r="M1117" i="2" s="1"/>
  <c r="N1117" i="2" a="1"/>
  <c r="N1117" i="2" s="1"/>
  <c r="O1117" i="2" a="1"/>
  <c r="O1117" i="2" s="1"/>
  <c r="P1117" i="2" a="1"/>
  <c r="P1117" i="2" s="1"/>
  <c r="Q1117" i="2" a="1"/>
  <c r="Q1117" i="2" s="1"/>
  <c r="A1118" i="2" a="1"/>
  <c r="A1118" i="2" s="1"/>
  <c r="B1118" i="2" a="1"/>
  <c r="B1118" i="2" s="1"/>
  <c r="C1118" i="2" a="1"/>
  <c r="C1118" i="2" s="1"/>
  <c r="D1118" i="2" a="1"/>
  <c r="D1118" i="2" s="1"/>
  <c r="E1118" i="2" a="1"/>
  <c r="E1118" i="2" s="1"/>
  <c r="F1118" i="2" a="1"/>
  <c r="F1118" i="2" s="1"/>
  <c r="G1118" i="2" a="1"/>
  <c r="G1118" i="2" s="1"/>
  <c r="H1118" i="2" a="1"/>
  <c r="H1118" i="2" s="1"/>
  <c r="I1118" i="2" a="1"/>
  <c r="I1118" i="2" s="1"/>
  <c r="J1118" i="2" a="1"/>
  <c r="J1118" i="2" s="1"/>
  <c r="K1118" i="2" a="1"/>
  <c r="K1118" i="2" s="1"/>
  <c r="L1118" i="2" a="1"/>
  <c r="L1118" i="2" s="1"/>
  <c r="M1118" i="2" a="1"/>
  <c r="M1118" i="2" s="1"/>
  <c r="N1118" i="2" a="1"/>
  <c r="N1118" i="2" s="1"/>
  <c r="O1118" i="2" a="1"/>
  <c r="O1118" i="2" s="1"/>
  <c r="P1118" i="2" a="1"/>
  <c r="P1118" i="2" s="1"/>
  <c r="Q1118" i="2" a="1"/>
  <c r="Q1118" i="2" s="1"/>
  <c r="A1119" i="2" a="1"/>
  <c r="A1119" i="2" s="1"/>
  <c r="B1119" i="2" a="1"/>
  <c r="B1119" i="2" s="1"/>
  <c r="C1119" i="2" a="1"/>
  <c r="C1119" i="2" s="1"/>
  <c r="D1119" i="2" a="1"/>
  <c r="D1119" i="2" s="1"/>
  <c r="E1119" i="2" a="1"/>
  <c r="E1119" i="2" s="1"/>
  <c r="F1119" i="2" a="1"/>
  <c r="F1119" i="2" s="1"/>
  <c r="G1119" i="2" a="1"/>
  <c r="G1119" i="2" s="1"/>
  <c r="H1119" i="2" a="1"/>
  <c r="H1119" i="2" s="1"/>
  <c r="I1119" i="2" a="1"/>
  <c r="I1119" i="2" s="1"/>
  <c r="J1119" i="2" a="1"/>
  <c r="J1119" i="2" s="1"/>
  <c r="K1119" i="2" a="1"/>
  <c r="K1119" i="2" s="1"/>
  <c r="L1119" i="2" a="1"/>
  <c r="L1119" i="2" s="1"/>
  <c r="M1119" i="2" a="1"/>
  <c r="M1119" i="2" s="1"/>
  <c r="N1119" i="2" a="1"/>
  <c r="N1119" i="2" s="1"/>
  <c r="O1119" i="2" a="1"/>
  <c r="O1119" i="2" s="1"/>
  <c r="P1119" i="2" a="1"/>
  <c r="P1119" i="2" s="1"/>
  <c r="Q1119" i="2" a="1"/>
  <c r="Q1119" i="2" s="1"/>
  <c r="A1120" i="2" a="1"/>
  <c r="A1120" i="2" s="1"/>
  <c r="B1120" i="2" a="1"/>
  <c r="B1120" i="2" s="1"/>
  <c r="C1120" i="2" a="1"/>
  <c r="C1120" i="2" s="1"/>
  <c r="D1120" i="2" a="1"/>
  <c r="D1120" i="2" s="1"/>
  <c r="E1120" i="2" a="1"/>
  <c r="E1120" i="2" s="1"/>
  <c r="F1120" i="2" a="1"/>
  <c r="F1120" i="2" s="1"/>
  <c r="G1120" i="2" a="1"/>
  <c r="G1120" i="2" s="1"/>
  <c r="H1120" i="2" a="1"/>
  <c r="H1120" i="2" s="1"/>
  <c r="I1120" i="2" a="1"/>
  <c r="I1120" i="2" s="1"/>
  <c r="J1120" i="2" a="1"/>
  <c r="J1120" i="2" s="1"/>
  <c r="K1120" i="2" a="1"/>
  <c r="K1120" i="2" s="1"/>
  <c r="L1120" i="2" a="1"/>
  <c r="L1120" i="2" s="1"/>
  <c r="M1120" i="2" a="1"/>
  <c r="M1120" i="2" s="1"/>
  <c r="N1120" i="2" a="1"/>
  <c r="N1120" i="2" s="1"/>
  <c r="O1120" i="2" a="1"/>
  <c r="O1120" i="2" s="1"/>
  <c r="P1120" i="2" a="1"/>
  <c r="P1120" i="2" s="1"/>
  <c r="Q1120" i="2" a="1"/>
  <c r="Q1120" i="2" s="1"/>
  <c r="A1121" i="2" a="1"/>
  <c r="A1121" i="2" s="1"/>
  <c r="B1121" i="2" a="1"/>
  <c r="B1121" i="2" s="1"/>
  <c r="C1121" i="2" a="1"/>
  <c r="C1121" i="2" s="1"/>
  <c r="D1121" i="2" a="1"/>
  <c r="D1121" i="2" s="1"/>
  <c r="E1121" i="2" a="1"/>
  <c r="E1121" i="2" s="1"/>
  <c r="F1121" i="2" a="1"/>
  <c r="F1121" i="2" s="1"/>
  <c r="G1121" i="2" a="1"/>
  <c r="G1121" i="2" s="1"/>
  <c r="H1121" i="2" a="1"/>
  <c r="H1121" i="2" s="1"/>
  <c r="I1121" i="2" a="1"/>
  <c r="I1121" i="2" s="1"/>
  <c r="J1121" i="2" a="1"/>
  <c r="J1121" i="2" s="1"/>
  <c r="K1121" i="2" a="1"/>
  <c r="K1121" i="2" s="1"/>
  <c r="L1121" i="2" a="1"/>
  <c r="L1121" i="2" s="1"/>
  <c r="M1121" i="2" a="1"/>
  <c r="M1121" i="2" s="1"/>
  <c r="N1121" i="2" a="1"/>
  <c r="N1121" i="2" s="1"/>
  <c r="O1121" i="2" a="1"/>
  <c r="O1121" i="2" s="1"/>
  <c r="P1121" i="2" a="1"/>
  <c r="P1121" i="2" s="1"/>
  <c r="Q1121" i="2" a="1"/>
  <c r="Q1121" i="2" s="1"/>
  <c r="A1122" i="2" a="1"/>
  <c r="A1122" i="2" s="1"/>
  <c r="B1122" i="2" a="1"/>
  <c r="B1122" i="2" s="1"/>
  <c r="C1122" i="2" a="1"/>
  <c r="C1122" i="2" s="1"/>
  <c r="D1122" i="2" a="1"/>
  <c r="D1122" i="2" s="1"/>
  <c r="E1122" i="2" a="1"/>
  <c r="E1122" i="2" s="1"/>
  <c r="F1122" i="2" a="1"/>
  <c r="F1122" i="2" s="1"/>
  <c r="G1122" i="2" a="1"/>
  <c r="G1122" i="2" s="1"/>
  <c r="H1122" i="2" a="1"/>
  <c r="H1122" i="2" s="1"/>
  <c r="I1122" i="2" a="1"/>
  <c r="I1122" i="2" s="1"/>
  <c r="J1122" i="2" a="1"/>
  <c r="J1122" i="2" s="1"/>
  <c r="K1122" i="2" a="1"/>
  <c r="K1122" i="2" s="1"/>
  <c r="L1122" i="2" a="1"/>
  <c r="L1122" i="2" s="1"/>
  <c r="M1122" i="2" a="1"/>
  <c r="M1122" i="2" s="1"/>
  <c r="N1122" i="2" a="1"/>
  <c r="N1122" i="2" s="1"/>
  <c r="O1122" i="2" a="1"/>
  <c r="O1122" i="2" s="1"/>
  <c r="P1122" i="2" a="1"/>
  <c r="P1122" i="2" s="1"/>
  <c r="Q1122" i="2" a="1"/>
  <c r="Q1122" i="2" s="1"/>
  <c r="A1123" i="2" a="1"/>
  <c r="A1123" i="2" s="1"/>
  <c r="B1123" i="2" a="1"/>
  <c r="B1123" i="2" s="1"/>
  <c r="C1123" i="2" a="1"/>
  <c r="C1123" i="2" s="1"/>
  <c r="D1123" i="2" a="1"/>
  <c r="D1123" i="2" s="1"/>
  <c r="E1123" i="2" a="1"/>
  <c r="E1123" i="2" s="1"/>
  <c r="F1123" i="2" a="1"/>
  <c r="F1123" i="2" s="1"/>
  <c r="G1123" i="2" a="1"/>
  <c r="G1123" i="2" s="1"/>
  <c r="H1123" i="2" a="1"/>
  <c r="H1123" i="2" s="1"/>
  <c r="I1123" i="2" a="1"/>
  <c r="I1123" i="2" s="1"/>
  <c r="J1123" i="2" a="1"/>
  <c r="J1123" i="2" s="1"/>
  <c r="K1123" i="2" a="1"/>
  <c r="K1123" i="2" s="1"/>
  <c r="L1123" i="2" a="1"/>
  <c r="L1123" i="2" s="1"/>
  <c r="M1123" i="2" a="1"/>
  <c r="M1123" i="2" s="1"/>
  <c r="N1123" i="2" a="1"/>
  <c r="N1123" i="2" s="1"/>
  <c r="O1123" i="2" a="1"/>
  <c r="O1123" i="2" s="1"/>
  <c r="P1123" i="2" a="1"/>
  <c r="P1123" i="2" s="1"/>
  <c r="Q1123" i="2" a="1"/>
  <c r="Q1123" i="2" s="1"/>
  <c r="A1124" i="2" a="1"/>
  <c r="A1124" i="2" s="1"/>
  <c r="B1124" i="2" a="1"/>
  <c r="B1124" i="2" s="1"/>
  <c r="C1124" i="2" a="1"/>
  <c r="C1124" i="2" s="1"/>
  <c r="D1124" i="2" a="1"/>
  <c r="D1124" i="2" s="1"/>
  <c r="E1124" i="2" a="1"/>
  <c r="E1124" i="2" s="1"/>
  <c r="F1124" i="2" a="1"/>
  <c r="F1124" i="2" s="1"/>
  <c r="G1124" i="2" a="1"/>
  <c r="G1124" i="2" s="1"/>
  <c r="H1124" i="2" a="1"/>
  <c r="H1124" i="2" s="1"/>
  <c r="I1124" i="2" a="1"/>
  <c r="I1124" i="2" s="1"/>
  <c r="J1124" i="2" a="1"/>
  <c r="J1124" i="2" s="1"/>
  <c r="K1124" i="2" a="1"/>
  <c r="K1124" i="2" s="1"/>
  <c r="L1124" i="2" a="1"/>
  <c r="L1124" i="2" s="1"/>
  <c r="M1124" i="2" a="1"/>
  <c r="M1124" i="2" s="1"/>
  <c r="N1124" i="2" a="1"/>
  <c r="N1124" i="2" s="1"/>
  <c r="O1124" i="2" a="1"/>
  <c r="O1124" i="2" s="1"/>
  <c r="P1124" i="2" a="1"/>
  <c r="P1124" i="2" s="1"/>
  <c r="Q1124" i="2" a="1"/>
  <c r="Q1124" i="2" s="1"/>
  <c r="A1125" i="2" a="1"/>
  <c r="A1125" i="2" s="1"/>
  <c r="B1125" i="2" a="1"/>
  <c r="B1125" i="2" s="1"/>
  <c r="C1125" i="2" a="1"/>
  <c r="C1125" i="2" s="1"/>
  <c r="D1125" i="2" a="1"/>
  <c r="D1125" i="2" s="1"/>
  <c r="E1125" i="2" a="1"/>
  <c r="E1125" i="2" s="1"/>
  <c r="F1125" i="2" a="1"/>
  <c r="F1125" i="2" s="1"/>
  <c r="G1125" i="2" a="1"/>
  <c r="G1125" i="2" s="1"/>
  <c r="H1125" i="2" a="1"/>
  <c r="H1125" i="2" s="1"/>
  <c r="I1125" i="2" a="1"/>
  <c r="I1125" i="2" s="1"/>
  <c r="J1125" i="2" a="1"/>
  <c r="J1125" i="2" s="1"/>
  <c r="K1125" i="2" a="1"/>
  <c r="K1125" i="2" s="1"/>
  <c r="L1125" i="2" a="1"/>
  <c r="L1125" i="2" s="1"/>
  <c r="M1125" i="2" a="1"/>
  <c r="M1125" i="2" s="1"/>
  <c r="N1125" i="2" a="1"/>
  <c r="N1125" i="2" s="1"/>
  <c r="O1125" i="2" a="1"/>
  <c r="O1125" i="2" s="1"/>
  <c r="P1125" i="2" a="1"/>
  <c r="P1125" i="2" s="1"/>
  <c r="Q1125" i="2" a="1"/>
  <c r="Q1125" i="2" s="1"/>
  <c r="A1126" i="2" a="1"/>
  <c r="A1126" i="2" s="1"/>
  <c r="B1126" i="2" a="1"/>
  <c r="B1126" i="2" s="1"/>
  <c r="C1126" i="2" a="1"/>
  <c r="C1126" i="2" s="1"/>
  <c r="D1126" i="2" a="1"/>
  <c r="D1126" i="2" s="1"/>
  <c r="E1126" i="2" a="1"/>
  <c r="E1126" i="2" s="1"/>
  <c r="F1126" i="2" a="1"/>
  <c r="F1126" i="2" s="1"/>
  <c r="G1126" i="2" a="1"/>
  <c r="G1126" i="2" s="1"/>
  <c r="H1126" i="2" a="1"/>
  <c r="H1126" i="2" s="1"/>
  <c r="I1126" i="2" a="1"/>
  <c r="I1126" i="2" s="1"/>
  <c r="J1126" i="2" a="1"/>
  <c r="J1126" i="2" s="1"/>
  <c r="K1126" i="2" a="1"/>
  <c r="K1126" i="2" s="1"/>
  <c r="L1126" i="2" a="1"/>
  <c r="L1126" i="2" s="1"/>
  <c r="M1126" i="2" a="1"/>
  <c r="M1126" i="2" s="1"/>
  <c r="N1126" i="2" a="1"/>
  <c r="N1126" i="2" s="1"/>
  <c r="O1126" i="2" a="1"/>
  <c r="O1126" i="2" s="1"/>
  <c r="P1126" i="2" a="1"/>
  <c r="P1126" i="2" s="1"/>
  <c r="Q1126" i="2" a="1"/>
  <c r="Q1126" i="2" s="1"/>
  <c r="A1127" i="2" a="1"/>
  <c r="A1127" i="2" s="1"/>
  <c r="B1127" i="2" a="1"/>
  <c r="B1127" i="2" s="1"/>
  <c r="C1127" i="2" a="1"/>
  <c r="C1127" i="2" s="1"/>
  <c r="D1127" i="2" a="1"/>
  <c r="D1127" i="2" s="1"/>
  <c r="E1127" i="2" a="1"/>
  <c r="E1127" i="2" s="1"/>
  <c r="F1127" i="2" a="1"/>
  <c r="F1127" i="2" s="1"/>
  <c r="G1127" i="2" a="1"/>
  <c r="G1127" i="2" s="1"/>
  <c r="H1127" i="2" a="1"/>
  <c r="H1127" i="2" s="1"/>
  <c r="I1127" i="2" a="1"/>
  <c r="I1127" i="2" s="1"/>
  <c r="J1127" i="2" a="1"/>
  <c r="J1127" i="2" s="1"/>
  <c r="K1127" i="2" a="1"/>
  <c r="K1127" i="2" s="1"/>
  <c r="L1127" i="2" a="1"/>
  <c r="L1127" i="2" s="1"/>
  <c r="M1127" i="2" a="1"/>
  <c r="M1127" i="2" s="1"/>
  <c r="N1127" i="2" a="1"/>
  <c r="N1127" i="2" s="1"/>
  <c r="O1127" i="2" a="1"/>
  <c r="O1127" i="2" s="1"/>
  <c r="P1127" i="2" a="1"/>
  <c r="P1127" i="2" s="1"/>
  <c r="Q1127" i="2" a="1"/>
  <c r="Q1127" i="2" s="1"/>
  <c r="A1128" i="2" a="1"/>
  <c r="A1128" i="2" s="1"/>
  <c r="B1128" i="2" a="1"/>
  <c r="B1128" i="2" s="1"/>
  <c r="C1128" i="2" a="1"/>
  <c r="C1128" i="2" s="1"/>
  <c r="D1128" i="2" a="1"/>
  <c r="D1128" i="2" s="1"/>
  <c r="E1128" i="2" a="1"/>
  <c r="E1128" i="2" s="1"/>
  <c r="F1128" i="2" a="1"/>
  <c r="F1128" i="2" s="1"/>
  <c r="G1128" i="2" a="1"/>
  <c r="G1128" i="2" s="1"/>
  <c r="H1128" i="2" a="1"/>
  <c r="H1128" i="2" s="1"/>
  <c r="I1128" i="2" a="1"/>
  <c r="I1128" i="2" s="1"/>
  <c r="J1128" i="2" a="1"/>
  <c r="J1128" i="2" s="1"/>
  <c r="K1128" i="2" a="1"/>
  <c r="K1128" i="2" s="1"/>
  <c r="L1128" i="2" a="1"/>
  <c r="L1128" i="2" s="1"/>
  <c r="M1128" i="2" a="1"/>
  <c r="M1128" i="2" s="1"/>
  <c r="N1128" i="2" a="1"/>
  <c r="N1128" i="2" s="1"/>
  <c r="O1128" i="2" a="1"/>
  <c r="O1128" i="2" s="1"/>
  <c r="P1128" i="2" a="1"/>
  <c r="P1128" i="2" s="1"/>
  <c r="Q1128" i="2" a="1"/>
  <c r="Q1128" i="2" s="1"/>
  <c r="A1129" i="2" a="1"/>
  <c r="A1129" i="2" s="1"/>
  <c r="B1129" i="2" a="1"/>
  <c r="B1129" i="2" s="1"/>
  <c r="C1129" i="2" a="1"/>
  <c r="C1129" i="2" s="1"/>
  <c r="D1129" i="2" a="1"/>
  <c r="D1129" i="2" s="1"/>
  <c r="E1129" i="2" a="1"/>
  <c r="E1129" i="2" s="1"/>
  <c r="F1129" i="2" a="1"/>
  <c r="F1129" i="2" s="1"/>
  <c r="G1129" i="2" a="1"/>
  <c r="G1129" i="2" s="1"/>
  <c r="H1129" i="2" a="1"/>
  <c r="H1129" i="2" s="1"/>
  <c r="I1129" i="2" a="1"/>
  <c r="I1129" i="2" s="1"/>
  <c r="J1129" i="2" a="1"/>
  <c r="J1129" i="2" s="1"/>
  <c r="K1129" i="2" a="1"/>
  <c r="K1129" i="2" s="1"/>
  <c r="L1129" i="2" a="1"/>
  <c r="L1129" i="2" s="1"/>
  <c r="M1129" i="2" a="1"/>
  <c r="M1129" i="2" s="1"/>
  <c r="N1129" i="2" a="1"/>
  <c r="N1129" i="2" s="1"/>
  <c r="O1129" i="2" a="1"/>
  <c r="O1129" i="2" s="1"/>
  <c r="P1129" i="2" a="1"/>
  <c r="P1129" i="2" s="1"/>
  <c r="Q1129" i="2" a="1"/>
  <c r="Q1129" i="2" s="1"/>
  <c r="A1130" i="2" a="1"/>
  <c r="A1130" i="2" s="1"/>
  <c r="B1130" i="2" a="1"/>
  <c r="B1130" i="2" s="1"/>
  <c r="C1130" i="2" a="1"/>
  <c r="C1130" i="2" s="1"/>
  <c r="D1130" i="2" a="1"/>
  <c r="D1130" i="2" s="1"/>
  <c r="E1130" i="2" a="1"/>
  <c r="E1130" i="2" s="1"/>
  <c r="F1130" i="2" a="1"/>
  <c r="F1130" i="2" s="1"/>
  <c r="G1130" i="2" a="1"/>
  <c r="G1130" i="2" s="1"/>
  <c r="H1130" i="2" a="1"/>
  <c r="H1130" i="2" s="1"/>
  <c r="I1130" i="2" a="1"/>
  <c r="I1130" i="2" s="1"/>
  <c r="J1130" i="2" a="1"/>
  <c r="J1130" i="2" s="1"/>
  <c r="K1130" i="2" a="1"/>
  <c r="K1130" i="2" s="1"/>
  <c r="L1130" i="2" a="1"/>
  <c r="L1130" i="2" s="1"/>
  <c r="M1130" i="2" a="1"/>
  <c r="M1130" i="2" s="1"/>
  <c r="N1130" i="2" a="1"/>
  <c r="N1130" i="2" s="1"/>
  <c r="O1130" i="2" a="1"/>
  <c r="O1130" i="2" s="1"/>
  <c r="P1130" i="2" a="1"/>
  <c r="P1130" i="2" s="1"/>
  <c r="Q1130" i="2" a="1"/>
  <c r="Q1130" i="2" s="1"/>
  <c r="A1131" i="2" a="1"/>
  <c r="A1131" i="2" s="1"/>
  <c r="B1131" i="2" a="1"/>
  <c r="B1131" i="2" s="1"/>
  <c r="C1131" i="2" a="1"/>
  <c r="C1131" i="2" s="1"/>
  <c r="D1131" i="2" a="1"/>
  <c r="D1131" i="2" s="1"/>
  <c r="E1131" i="2" a="1"/>
  <c r="E1131" i="2" s="1"/>
  <c r="F1131" i="2" a="1"/>
  <c r="F1131" i="2" s="1"/>
  <c r="G1131" i="2" a="1"/>
  <c r="G1131" i="2" s="1"/>
  <c r="H1131" i="2" a="1"/>
  <c r="H1131" i="2" s="1"/>
  <c r="I1131" i="2" a="1"/>
  <c r="I1131" i="2" s="1"/>
  <c r="J1131" i="2" a="1"/>
  <c r="J1131" i="2" s="1"/>
  <c r="K1131" i="2" a="1"/>
  <c r="K1131" i="2" s="1"/>
  <c r="L1131" i="2" a="1"/>
  <c r="L1131" i="2" s="1"/>
  <c r="M1131" i="2" a="1"/>
  <c r="M1131" i="2" s="1"/>
  <c r="N1131" i="2" a="1"/>
  <c r="N1131" i="2" s="1"/>
  <c r="O1131" i="2" a="1"/>
  <c r="O1131" i="2" s="1"/>
  <c r="P1131" i="2" a="1"/>
  <c r="P1131" i="2" s="1"/>
  <c r="Q1131" i="2" a="1"/>
  <c r="Q1131" i="2" s="1"/>
  <c r="A1132" i="2" a="1"/>
  <c r="A1132" i="2" s="1"/>
  <c r="B1132" i="2" a="1"/>
  <c r="B1132" i="2" s="1"/>
  <c r="C1132" i="2" a="1"/>
  <c r="C1132" i="2" s="1"/>
  <c r="D1132" i="2" a="1"/>
  <c r="D1132" i="2" s="1"/>
  <c r="E1132" i="2" a="1"/>
  <c r="E1132" i="2" s="1"/>
  <c r="F1132" i="2" a="1"/>
  <c r="F1132" i="2" s="1"/>
  <c r="G1132" i="2" a="1"/>
  <c r="G1132" i="2" s="1"/>
  <c r="H1132" i="2" a="1"/>
  <c r="H1132" i="2" s="1"/>
  <c r="I1132" i="2" a="1"/>
  <c r="I1132" i="2" s="1"/>
  <c r="J1132" i="2" a="1"/>
  <c r="J1132" i="2" s="1"/>
  <c r="K1132" i="2" a="1"/>
  <c r="K1132" i="2" s="1"/>
  <c r="L1132" i="2" a="1"/>
  <c r="L1132" i="2" s="1"/>
  <c r="M1132" i="2" a="1"/>
  <c r="M1132" i="2" s="1"/>
  <c r="N1132" i="2" a="1"/>
  <c r="N1132" i="2" s="1"/>
  <c r="O1132" i="2" a="1"/>
  <c r="O1132" i="2" s="1"/>
  <c r="P1132" i="2" a="1"/>
  <c r="P1132" i="2" s="1"/>
  <c r="Q1132" i="2" a="1"/>
  <c r="Q1132" i="2" s="1"/>
  <c r="A1133" i="2" a="1"/>
  <c r="A1133" i="2" s="1"/>
  <c r="B1133" i="2" a="1"/>
  <c r="B1133" i="2" s="1"/>
  <c r="C1133" i="2" a="1"/>
  <c r="C1133" i="2" s="1"/>
  <c r="D1133" i="2" a="1"/>
  <c r="D1133" i="2" s="1"/>
  <c r="E1133" i="2" a="1"/>
  <c r="E1133" i="2" s="1"/>
  <c r="F1133" i="2" a="1"/>
  <c r="F1133" i="2" s="1"/>
  <c r="G1133" i="2" a="1"/>
  <c r="G1133" i="2" s="1"/>
  <c r="H1133" i="2" a="1"/>
  <c r="H1133" i="2" s="1"/>
  <c r="I1133" i="2" a="1"/>
  <c r="I1133" i="2" s="1"/>
  <c r="J1133" i="2" a="1"/>
  <c r="J1133" i="2" s="1"/>
  <c r="K1133" i="2" a="1"/>
  <c r="K1133" i="2" s="1"/>
  <c r="L1133" i="2" a="1"/>
  <c r="L1133" i="2" s="1"/>
  <c r="M1133" i="2" a="1"/>
  <c r="M1133" i="2" s="1"/>
  <c r="N1133" i="2" a="1"/>
  <c r="N1133" i="2" s="1"/>
  <c r="O1133" i="2" a="1"/>
  <c r="O1133" i="2" s="1"/>
  <c r="P1133" i="2" a="1"/>
  <c r="P1133" i="2" s="1"/>
  <c r="Q1133" i="2" a="1"/>
  <c r="Q1133" i="2" s="1"/>
  <c r="A1134" i="2" a="1"/>
  <c r="A1134" i="2" s="1"/>
  <c r="B1134" i="2" a="1"/>
  <c r="B1134" i="2" s="1"/>
  <c r="C1134" i="2" a="1"/>
  <c r="C1134" i="2" s="1"/>
  <c r="D1134" i="2" a="1"/>
  <c r="D1134" i="2" s="1"/>
  <c r="E1134" i="2" a="1"/>
  <c r="E1134" i="2" s="1"/>
  <c r="F1134" i="2" a="1"/>
  <c r="F1134" i="2" s="1"/>
  <c r="G1134" i="2" a="1"/>
  <c r="G1134" i="2" s="1"/>
  <c r="H1134" i="2" a="1"/>
  <c r="H1134" i="2" s="1"/>
  <c r="I1134" i="2" a="1"/>
  <c r="I1134" i="2" s="1"/>
  <c r="J1134" i="2" a="1"/>
  <c r="J1134" i="2" s="1"/>
  <c r="K1134" i="2" a="1"/>
  <c r="K1134" i="2" s="1"/>
  <c r="L1134" i="2" a="1"/>
  <c r="L1134" i="2" s="1"/>
  <c r="M1134" i="2" a="1"/>
  <c r="M1134" i="2" s="1"/>
  <c r="N1134" i="2" a="1"/>
  <c r="N1134" i="2" s="1"/>
  <c r="O1134" i="2" a="1"/>
  <c r="O1134" i="2" s="1"/>
  <c r="P1134" i="2" a="1"/>
  <c r="P1134" i="2" s="1"/>
  <c r="Q1134" i="2" a="1"/>
  <c r="Q1134" i="2" s="1"/>
  <c r="A1135" i="2" a="1"/>
  <c r="A1135" i="2" s="1"/>
  <c r="B1135" i="2" a="1"/>
  <c r="B1135" i="2" s="1"/>
  <c r="C1135" i="2" a="1"/>
  <c r="C1135" i="2" s="1"/>
  <c r="D1135" i="2" a="1"/>
  <c r="D1135" i="2" s="1"/>
  <c r="E1135" i="2" a="1"/>
  <c r="E1135" i="2" s="1"/>
  <c r="F1135" i="2" a="1"/>
  <c r="F1135" i="2" s="1"/>
  <c r="G1135" i="2" a="1"/>
  <c r="G1135" i="2" s="1"/>
  <c r="H1135" i="2" a="1"/>
  <c r="H1135" i="2" s="1"/>
  <c r="I1135" i="2" a="1"/>
  <c r="I1135" i="2" s="1"/>
  <c r="J1135" i="2" a="1"/>
  <c r="J1135" i="2" s="1"/>
  <c r="K1135" i="2" a="1"/>
  <c r="K1135" i="2" s="1"/>
  <c r="L1135" i="2" a="1"/>
  <c r="L1135" i="2" s="1"/>
  <c r="M1135" i="2" a="1"/>
  <c r="M1135" i="2" s="1"/>
  <c r="N1135" i="2" a="1"/>
  <c r="N1135" i="2" s="1"/>
  <c r="O1135" i="2" a="1"/>
  <c r="O1135" i="2" s="1"/>
  <c r="P1135" i="2" a="1"/>
  <c r="P1135" i="2" s="1"/>
  <c r="Q1135" i="2" a="1"/>
  <c r="Q1135" i="2" s="1"/>
  <c r="A1136" i="2" a="1"/>
  <c r="A1136" i="2" s="1"/>
  <c r="B1136" i="2" a="1"/>
  <c r="B1136" i="2" s="1"/>
  <c r="C1136" i="2" a="1"/>
  <c r="C1136" i="2" s="1"/>
  <c r="D1136" i="2" a="1"/>
  <c r="D1136" i="2" s="1"/>
  <c r="E1136" i="2" a="1"/>
  <c r="E1136" i="2" s="1"/>
  <c r="F1136" i="2" a="1"/>
  <c r="F1136" i="2" s="1"/>
  <c r="G1136" i="2" a="1"/>
  <c r="G1136" i="2" s="1"/>
  <c r="H1136" i="2" a="1"/>
  <c r="H1136" i="2" s="1"/>
  <c r="I1136" i="2" a="1"/>
  <c r="I1136" i="2" s="1"/>
  <c r="J1136" i="2" a="1"/>
  <c r="J1136" i="2" s="1"/>
  <c r="K1136" i="2" a="1"/>
  <c r="K1136" i="2" s="1"/>
  <c r="L1136" i="2" a="1"/>
  <c r="L1136" i="2" s="1"/>
  <c r="M1136" i="2" a="1"/>
  <c r="M1136" i="2" s="1"/>
  <c r="N1136" i="2" a="1"/>
  <c r="N1136" i="2" s="1"/>
  <c r="O1136" i="2" a="1"/>
  <c r="O1136" i="2" s="1"/>
  <c r="P1136" i="2" a="1"/>
  <c r="P1136" i="2" s="1"/>
  <c r="Q1136" i="2" a="1"/>
  <c r="Q1136" i="2" s="1"/>
  <c r="A1137" i="2" a="1"/>
  <c r="A1137" i="2" s="1"/>
  <c r="B1137" i="2" a="1"/>
  <c r="B1137" i="2" s="1"/>
  <c r="C1137" i="2" a="1"/>
  <c r="C1137" i="2" s="1"/>
  <c r="D1137" i="2" a="1"/>
  <c r="D1137" i="2" s="1"/>
  <c r="E1137" i="2" a="1"/>
  <c r="E1137" i="2" s="1"/>
  <c r="F1137" i="2" a="1"/>
  <c r="F1137" i="2" s="1"/>
  <c r="G1137" i="2" a="1"/>
  <c r="G1137" i="2" s="1"/>
  <c r="H1137" i="2" a="1"/>
  <c r="H1137" i="2" s="1"/>
  <c r="I1137" i="2" a="1"/>
  <c r="I1137" i="2" s="1"/>
  <c r="J1137" i="2" a="1"/>
  <c r="J1137" i="2" s="1"/>
  <c r="K1137" i="2" a="1"/>
  <c r="K1137" i="2" s="1"/>
  <c r="L1137" i="2" a="1"/>
  <c r="L1137" i="2" s="1"/>
  <c r="M1137" i="2" a="1"/>
  <c r="M1137" i="2" s="1"/>
  <c r="N1137" i="2" a="1"/>
  <c r="N1137" i="2" s="1"/>
  <c r="O1137" i="2" a="1"/>
  <c r="O1137" i="2" s="1"/>
  <c r="P1137" i="2" a="1"/>
  <c r="P1137" i="2" s="1"/>
  <c r="Q1137" i="2" a="1"/>
  <c r="Q1137" i="2" s="1"/>
  <c r="A1138" i="2" a="1"/>
  <c r="A1138" i="2" s="1"/>
  <c r="B1138" i="2" a="1"/>
  <c r="B1138" i="2" s="1"/>
  <c r="C1138" i="2" a="1"/>
  <c r="C1138" i="2" s="1"/>
  <c r="D1138" i="2" a="1"/>
  <c r="D1138" i="2" s="1"/>
  <c r="E1138" i="2" a="1"/>
  <c r="E1138" i="2" s="1"/>
  <c r="F1138" i="2" a="1"/>
  <c r="F1138" i="2" s="1"/>
  <c r="G1138" i="2" a="1"/>
  <c r="G1138" i="2" s="1"/>
  <c r="H1138" i="2" a="1"/>
  <c r="H1138" i="2" s="1"/>
  <c r="I1138" i="2" a="1"/>
  <c r="I1138" i="2" s="1"/>
  <c r="J1138" i="2" a="1"/>
  <c r="J1138" i="2" s="1"/>
  <c r="K1138" i="2" a="1"/>
  <c r="K1138" i="2" s="1"/>
  <c r="L1138" i="2" a="1"/>
  <c r="L1138" i="2" s="1"/>
  <c r="M1138" i="2" a="1"/>
  <c r="M1138" i="2" s="1"/>
  <c r="N1138" i="2" a="1"/>
  <c r="N1138" i="2" s="1"/>
  <c r="O1138" i="2" a="1"/>
  <c r="O1138" i="2" s="1"/>
  <c r="P1138" i="2" a="1"/>
  <c r="P1138" i="2" s="1"/>
  <c r="Q1138" i="2" a="1"/>
  <c r="Q1138" i="2" s="1"/>
  <c r="A1139" i="2" a="1"/>
  <c r="A1139" i="2" s="1"/>
  <c r="B1139" i="2" a="1"/>
  <c r="B1139" i="2" s="1"/>
  <c r="C1139" i="2" a="1"/>
  <c r="C1139" i="2" s="1"/>
  <c r="D1139" i="2" a="1"/>
  <c r="D1139" i="2" s="1"/>
  <c r="E1139" i="2" a="1"/>
  <c r="E1139" i="2" s="1"/>
  <c r="F1139" i="2" a="1"/>
  <c r="F1139" i="2" s="1"/>
  <c r="G1139" i="2" a="1"/>
  <c r="G1139" i="2" s="1"/>
  <c r="H1139" i="2" a="1"/>
  <c r="H1139" i="2" s="1"/>
  <c r="I1139" i="2" a="1"/>
  <c r="I1139" i="2" s="1"/>
  <c r="J1139" i="2" a="1"/>
  <c r="J1139" i="2" s="1"/>
  <c r="K1139" i="2" a="1"/>
  <c r="K1139" i="2" s="1"/>
  <c r="L1139" i="2" a="1"/>
  <c r="L1139" i="2" s="1"/>
  <c r="M1139" i="2" a="1"/>
  <c r="M1139" i="2" s="1"/>
  <c r="N1139" i="2" a="1"/>
  <c r="N1139" i="2" s="1"/>
  <c r="O1139" i="2" a="1"/>
  <c r="O1139" i="2" s="1"/>
  <c r="P1139" i="2" a="1"/>
  <c r="P1139" i="2" s="1"/>
  <c r="Q1139" i="2" a="1"/>
  <c r="Q1139" i="2" s="1"/>
  <c r="A1140" i="2" a="1"/>
  <c r="A1140" i="2" s="1"/>
  <c r="B1140" i="2" a="1"/>
  <c r="B1140" i="2" s="1"/>
  <c r="C1140" i="2" a="1"/>
  <c r="C1140" i="2" s="1"/>
  <c r="D1140" i="2" a="1"/>
  <c r="D1140" i="2" s="1"/>
  <c r="E1140" i="2" a="1"/>
  <c r="E1140" i="2" s="1"/>
  <c r="F1140" i="2" a="1"/>
  <c r="F1140" i="2" s="1"/>
  <c r="G1140" i="2" a="1"/>
  <c r="G1140" i="2" s="1"/>
  <c r="H1140" i="2" a="1"/>
  <c r="H1140" i="2" s="1"/>
  <c r="I1140" i="2" a="1"/>
  <c r="I1140" i="2" s="1"/>
  <c r="J1140" i="2" a="1"/>
  <c r="J1140" i="2" s="1"/>
  <c r="K1140" i="2" a="1"/>
  <c r="K1140" i="2" s="1"/>
  <c r="L1140" i="2" a="1"/>
  <c r="L1140" i="2" s="1"/>
  <c r="M1140" i="2" a="1"/>
  <c r="M1140" i="2" s="1"/>
  <c r="N1140" i="2" a="1"/>
  <c r="N1140" i="2" s="1"/>
  <c r="O1140" i="2" a="1"/>
  <c r="O1140" i="2" s="1"/>
  <c r="P1140" i="2" a="1"/>
  <c r="P1140" i="2" s="1"/>
  <c r="Q1140" i="2" a="1"/>
  <c r="Q1140" i="2" s="1"/>
  <c r="A1141" i="2" a="1"/>
  <c r="A1141" i="2" s="1"/>
  <c r="B1141" i="2" a="1"/>
  <c r="B1141" i="2" s="1"/>
  <c r="C1141" i="2" a="1"/>
  <c r="C1141" i="2" s="1"/>
  <c r="D1141" i="2" a="1"/>
  <c r="D1141" i="2" s="1"/>
  <c r="E1141" i="2" a="1"/>
  <c r="E1141" i="2" s="1"/>
  <c r="F1141" i="2" a="1"/>
  <c r="F1141" i="2" s="1"/>
  <c r="G1141" i="2" a="1"/>
  <c r="G1141" i="2" s="1"/>
  <c r="H1141" i="2" a="1"/>
  <c r="H1141" i="2" s="1"/>
  <c r="I1141" i="2" a="1"/>
  <c r="I1141" i="2" s="1"/>
  <c r="J1141" i="2" a="1"/>
  <c r="J1141" i="2" s="1"/>
  <c r="K1141" i="2" a="1"/>
  <c r="K1141" i="2" s="1"/>
  <c r="L1141" i="2" a="1"/>
  <c r="L1141" i="2" s="1"/>
  <c r="M1141" i="2" a="1"/>
  <c r="M1141" i="2" s="1"/>
  <c r="N1141" i="2" a="1"/>
  <c r="N1141" i="2" s="1"/>
  <c r="O1141" i="2" a="1"/>
  <c r="O1141" i="2" s="1"/>
  <c r="P1141" i="2" a="1"/>
  <c r="P1141" i="2" s="1"/>
  <c r="Q1141" i="2" a="1"/>
  <c r="Q1141" i="2" s="1"/>
  <c r="A1142" i="2" a="1"/>
  <c r="A1142" i="2" s="1"/>
  <c r="B1142" i="2" a="1"/>
  <c r="B1142" i="2" s="1"/>
  <c r="C1142" i="2" a="1"/>
  <c r="C1142" i="2" s="1"/>
  <c r="D1142" i="2" a="1"/>
  <c r="D1142" i="2" s="1"/>
  <c r="E1142" i="2" a="1"/>
  <c r="E1142" i="2" s="1"/>
  <c r="F1142" i="2" a="1"/>
  <c r="F1142" i="2" s="1"/>
  <c r="G1142" i="2" a="1"/>
  <c r="G1142" i="2" s="1"/>
  <c r="H1142" i="2" a="1"/>
  <c r="H1142" i="2" s="1"/>
  <c r="I1142" i="2" a="1"/>
  <c r="I1142" i="2" s="1"/>
  <c r="J1142" i="2" a="1"/>
  <c r="J1142" i="2" s="1"/>
  <c r="K1142" i="2" a="1"/>
  <c r="K1142" i="2" s="1"/>
  <c r="L1142" i="2" a="1"/>
  <c r="L1142" i="2" s="1"/>
  <c r="M1142" i="2" a="1"/>
  <c r="M1142" i="2" s="1"/>
  <c r="N1142" i="2" a="1"/>
  <c r="N1142" i="2" s="1"/>
  <c r="O1142" i="2" a="1"/>
  <c r="O1142" i="2" s="1"/>
  <c r="P1142" i="2" a="1"/>
  <c r="P1142" i="2" s="1"/>
  <c r="Q1142" i="2" a="1"/>
  <c r="Q1142" i="2" s="1"/>
  <c r="A1143" i="2" a="1"/>
  <c r="A1143" i="2" s="1"/>
  <c r="B1143" i="2" a="1"/>
  <c r="B1143" i="2" s="1"/>
  <c r="C1143" i="2" a="1"/>
  <c r="C1143" i="2" s="1"/>
  <c r="D1143" i="2" a="1"/>
  <c r="D1143" i="2" s="1"/>
  <c r="E1143" i="2" a="1"/>
  <c r="E1143" i="2" s="1"/>
  <c r="F1143" i="2" a="1"/>
  <c r="F1143" i="2" s="1"/>
  <c r="G1143" i="2" a="1"/>
  <c r="G1143" i="2" s="1"/>
  <c r="H1143" i="2" a="1"/>
  <c r="H1143" i="2" s="1"/>
  <c r="I1143" i="2" a="1"/>
  <c r="I1143" i="2" s="1"/>
  <c r="J1143" i="2" a="1"/>
  <c r="J1143" i="2" s="1"/>
  <c r="K1143" i="2" a="1"/>
  <c r="K1143" i="2" s="1"/>
  <c r="L1143" i="2" a="1"/>
  <c r="L1143" i="2" s="1"/>
  <c r="M1143" i="2" a="1"/>
  <c r="M1143" i="2" s="1"/>
  <c r="N1143" i="2" a="1"/>
  <c r="N1143" i="2" s="1"/>
  <c r="O1143" i="2" a="1"/>
  <c r="O1143" i="2" s="1"/>
  <c r="P1143" i="2" a="1"/>
  <c r="P1143" i="2" s="1"/>
  <c r="Q1143" i="2" a="1"/>
  <c r="Q1143" i="2" s="1"/>
  <c r="A1144" i="2" a="1"/>
  <c r="A1144" i="2" s="1"/>
  <c r="B1144" i="2" a="1"/>
  <c r="B1144" i="2" s="1"/>
  <c r="C1144" i="2" a="1"/>
  <c r="C1144" i="2" s="1"/>
  <c r="D1144" i="2" a="1"/>
  <c r="D1144" i="2" s="1"/>
  <c r="E1144" i="2" a="1"/>
  <c r="E1144" i="2" s="1"/>
  <c r="F1144" i="2" a="1"/>
  <c r="F1144" i="2" s="1"/>
  <c r="G1144" i="2" a="1"/>
  <c r="G1144" i="2" s="1"/>
  <c r="H1144" i="2" a="1"/>
  <c r="H1144" i="2" s="1"/>
  <c r="I1144" i="2" a="1"/>
  <c r="I1144" i="2" s="1"/>
  <c r="J1144" i="2" a="1"/>
  <c r="J1144" i="2" s="1"/>
  <c r="K1144" i="2" a="1"/>
  <c r="K1144" i="2" s="1"/>
  <c r="L1144" i="2" a="1"/>
  <c r="L1144" i="2" s="1"/>
  <c r="M1144" i="2" a="1"/>
  <c r="M1144" i="2" s="1"/>
  <c r="N1144" i="2" a="1"/>
  <c r="N1144" i="2" s="1"/>
  <c r="O1144" i="2" a="1"/>
  <c r="O1144" i="2" s="1"/>
  <c r="P1144" i="2" a="1"/>
  <c r="P1144" i="2" s="1"/>
  <c r="Q1144" i="2" a="1"/>
  <c r="Q1144" i="2" s="1"/>
  <c r="A1145" i="2" a="1"/>
  <c r="A1145" i="2" s="1"/>
  <c r="B1145" i="2" a="1"/>
  <c r="B1145" i="2" s="1"/>
  <c r="C1145" i="2" a="1"/>
  <c r="C1145" i="2" s="1"/>
  <c r="D1145" i="2" a="1"/>
  <c r="D1145" i="2" s="1"/>
  <c r="E1145" i="2" a="1"/>
  <c r="E1145" i="2" s="1"/>
  <c r="F1145" i="2" a="1"/>
  <c r="F1145" i="2" s="1"/>
  <c r="G1145" i="2" a="1"/>
  <c r="G1145" i="2" s="1"/>
  <c r="H1145" i="2" a="1"/>
  <c r="H1145" i="2" s="1"/>
  <c r="I1145" i="2" a="1"/>
  <c r="I1145" i="2" s="1"/>
  <c r="J1145" i="2" a="1"/>
  <c r="J1145" i="2" s="1"/>
  <c r="K1145" i="2" a="1"/>
  <c r="K1145" i="2" s="1"/>
  <c r="L1145" i="2" a="1"/>
  <c r="L1145" i="2" s="1"/>
  <c r="M1145" i="2" a="1"/>
  <c r="M1145" i="2" s="1"/>
  <c r="N1145" i="2" a="1"/>
  <c r="N1145" i="2" s="1"/>
  <c r="O1145" i="2" a="1"/>
  <c r="O1145" i="2" s="1"/>
  <c r="P1145" i="2" a="1"/>
  <c r="P1145" i="2" s="1"/>
  <c r="Q1145" i="2" a="1"/>
  <c r="Q1145" i="2" s="1"/>
  <c r="A1146" i="2" a="1"/>
  <c r="A1146" i="2" s="1"/>
  <c r="B1146" i="2" a="1"/>
  <c r="B1146" i="2" s="1"/>
  <c r="C1146" i="2" a="1"/>
  <c r="C1146" i="2" s="1"/>
  <c r="D1146" i="2" a="1"/>
  <c r="D1146" i="2" s="1"/>
  <c r="E1146" i="2" a="1"/>
  <c r="E1146" i="2" s="1"/>
  <c r="F1146" i="2" a="1"/>
  <c r="F1146" i="2" s="1"/>
  <c r="G1146" i="2" a="1"/>
  <c r="G1146" i="2" s="1"/>
  <c r="H1146" i="2" a="1"/>
  <c r="H1146" i="2" s="1"/>
  <c r="I1146" i="2" a="1"/>
  <c r="I1146" i="2" s="1"/>
  <c r="J1146" i="2" a="1"/>
  <c r="J1146" i="2" s="1"/>
  <c r="K1146" i="2" a="1"/>
  <c r="K1146" i="2" s="1"/>
  <c r="L1146" i="2" a="1"/>
  <c r="L1146" i="2" s="1"/>
  <c r="M1146" i="2" a="1"/>
  <c r="M1146" i="2" s="1"/>
  <c r="N1146" i="2" a="1"/>
  <c r="N1146" i="2" s="1"/>
  <c r="O1146" i="2" a="1"/>
  <c r="O1146" i="2" s="1"/>
  <c r="P1146" i="2" a="1"/>
  <c r="P1146" i="2" s="1"/>
  <c r="Q1146" i="2" a="1"/>
  <c r="Q1146" i="2" s="1"/>
  <c r="A1147" i="2" a="1"/>
  <c r="A1147" i="2" s="1"/>
  <c r="B1147" i="2" a="1"/>
  <c r="B1147" i="2" s="1"/>
  <c r="C1147" i="2" a="1"/>
  <c r="C1147" i="2" s="1"/>
  <c r="D1147" i="2" a="1"/>
  <c r="D1147" i="2" s="1"/>
  <c r="E1147" i="2" a="1"/>
  <c r="E1147" i="2" s="1"/>
  <c r="F1147" i="2" a="1"/>
  <c r="F1147" i="2" s="1"/>
  <c r="G1147" i="2" a="1"/>
  <c r="G1147" i="2" s="1"/>
  <c r="H1147" i="2" a="1"/>
  <c r="H1147" i="2" s="1"/>
  <c r="I1147" i="2" a="1"/>
  <c r="I1147" i="2" s="1"/>
  <c r="J1147" i="2" a="1"/>
  <c r="J1147" i="2" s="1"/>
  <c r="K1147" i="2" a="1"/>
  <c r="K1147" i="2" s="1"/>
  <c r="L1147" i="2" a="1"/>
  <c r="L1147" i="2" s="1"/>
  <c r="M1147" i="2" a="1"/>
  <c r="M1147" i="2" s="1"/>
  <c r="N1147" i="2" a="1"/>
  <c r="N1147" i="2" s="1"/>
  <c r="O1147" i="2" a="1"/>
  <c r="O1147" i="2" s="1"/>
  <c r="P1147" i="2" a="1"/>
  <c r="P1147" i="2" s="1"/>
  <c r="Q1147" i="2" a="1"/>
  <c r="Q1147" i="2" s="1"/>
  <c r="A1148" i="2" a="1"/>
  <c r="A1148" i="2" s="1"/>
  <c r="B1148" i="2" a="1"/>
  <c r="B1148" i="2" s="1"/>
  <c r="C1148" i="2" a="1"/>
  <c r="C1148" i="2" s="1"/>
  <c r="D1148" i="2" a="1"/>
  <c r="D1148" i="2" s="1"/>
  <c r="E1148" i="2" a="1"/>
  <c r="E1148" i="2" s="1"/>
  <c r="F1148" i="2" a="1"/>
  <c r="F1148" i="2" s="1"/>
  <c r="G1148" i="2" a="1"/>
  <c r="G1148" i="2" s="1"/>
  <c r="H1148" i="2" a="1"/>
  <c r="H1148" i="2" s="1"/>
  <c r="I1148" i="2" a="1"/>
  <c r="I1148" i="2" s="1"/>
  <c r="J1148" i="2" a="1"/>
  <c r="J1148" i="2" s="1"/>
  <c r="K1148" i="2" a="1"/>
  <c r="K1148" i="2" s="1"/>
  <c r="L1148" i="2" a="1"/>
  <c r="L1148" i="2" s="1"/>
  <c r="M1148" i="2" a="1"/>
  <c r="M1148" i="2" s="1"/>
  <c r="N1148" i="2" a="1"/>
  <c r="N1148" i="2" s="1"/>
  <c r="O1148" i="2" a="1"/>
  <c r="O1148" i="2" s="1"/>
  <c r="P1148" i="2" a="1"/>
  <c r="P1148" i="2" s="1"/>
  <c r="Q1148" i="2" a="1"/>
  <c r="Q1148" i="2" s="1"/>
  <c r="A1149" i="2" a="1"/>
  <c r="A1149" i="2" s="1"/>
  <c r="B1149" i="2" a="1"/>
  <c r="B1149" i="2" s="1"/>
  <c r="C1149" i="2" a="1"/>
  <c r="C1149" i="2" s="1"/>
  <c r="D1149" i="2" a="1"/>
  <c r="D1149" i="2" s="1"/>
  <c r="E1149" i="2" a="1"/>
  <c r="E1149" i="2" s="1"/>
  <c r="F1149" i="2" a="1"/>
  <c r="F1149" i="2" s="1"/>
  <c r="G1149" i="2" a="1"/>
  <c r="G1149" i="2" s="1"/>
  <c r="H1149" i="2" a="1"/>
  <c r="H1149" i="2" s="1"/>
  <c r="I1149" i="2" a="1"/>
  <c r="I1149" i="2" s="1"/>
  <c r="J1149" i="2" a="1"/>
  <c r="J1149" i="2" s="1"/>
  <c r="K1149" i="2" a="1"/>
  <c r="K1149" i="2" s="1"/>
  <c r="L1149" i="2" a="1"/>
  <c r="L1149" i="2" s="1"/>
  <c r="M1149" i="2" a="1"/>
  <c r="M1149" i="2" s="1"/>
  <c r="N1149" i="2" a="1"/>
  <c r="N1149" i="2" s="1"/>
  <c r="O1149" i="2" a="1"/>
  <c r="O1149" i="2" s="1"/>
  <c r="P1149" i="2" a="1"/>
  <c r="P1149" i="2" s="1"/>
  <c r="Q1149" i="2" a="1"/>
  <c r="Q1149" i="2" s="1"/>
  <c r="A1150" i="2" a="1"/>
  <c r="A1150" i="2" s="1"/>
  <c r="B1150" i="2" a="1"/>
  <c r="B1150" i="2" s="1"/>
  <c r="C1150" i="2" a="1"/>
  <c r="C1150" i="2" s="1"/>
  <c r="D1150" i="2" a="1"/>
  <c r="D1150" i="2" s="1"/>
  <c r="E1150" i="2" a="1"/>
  <c r="E1150" i="2" s="1"/>
  <c r="F1150" i="2" a="1"/>
  <c r="F1150" i="2" s="1"/>
  <c r="G1150" i="2" a="1"/>
  <c r="G1150" i="2" s="1"/>
  <c r="H1150" i="2" a="1"/>
  <c r="H1150" i="2" s="1"/>
  <c r="I1150" i="2" a="1"/>
  <c r="I1150" i="2" s="1"/>
  <c r="J1150" i="2" a="1"/>
  <c r="J1150" i="2" s="1"/>
  <c r="K1150" i="2" a="1"/>
  <c r="K1150" i="2" s="1"/>
  <c r="L1150" i="2" a="1"/>
  <c r="L1150" i="2" s="1"/>
  <c r="M1150" i="2" a="1"/>
  <c r="M1150" i="2" s="1"/>
  <c r="N1150" i="2" a="1"/>
  <c r="N1150" i="2" s="1"/>
  <c r="O1150" i="2" a="1"/>
  <c r="O1150" i="2" s="1"/>
  <c r="P1150" i="2" a="1"/>
  <c r="P1150" i="2" s="1"/>
  <c r="Q1150" i="2" a="1"/>
  <c r="Q1150" i="2" s="1"/>
  <c r="A1151" i="2" a="1"/>
  <c r="A1151" i="2" s="1"/>
  <c r="B1151" i="2" a="1"/>
  <c r="B1151" i="2" s="1"/>
  <c r="C1151" i="2" a="1"/>
  <c r="C1151" i="2" s="1"/>
  <c r="D1151" i="2" a="1"/>
  <c r="D1151" i="2" s="1"/>
  <c r="E1151" i="2" a="1"/>
  <c r="E1151" i="2" s="1"/>
  <c r="F1151" i="2" a="1"/>
  <c r="F1151" i="2" s="1"/>
  <c r="G1151" i="2" a="1"/>
  <c r="G1151" i="2" s="1"/>
  <c r="H1151" i="2" a="1"/>
  <c r="H1151" i="2" s="1"/>
  <c r="I1151" i="2" a="1"/>
  <c r="I1151" i="2" s="1"/>
  <c r="J1151" i="2" a="1"/>
  <c r="J1151" i="2" s="1"/>
  <c r="L1151" i="2" a="1"/>
  <c r="L1151" i="2" s="1"/>
  <c r="M1151" i="2" a="1"/>
  <c r="M1151" i="2" s="1"/>
  <c r="N1151" i="2" a="1"/>
  <c r="N1151" i="2" s="1"/>
  <c r="O1151" i="2" a="1"/>
  <c r="O1151" i="2" s="1"/>
  <c r="P1151" i="2" a="1"/>
  <c r="P1151" i="2" s="1"/>
  <c r="Q1151" i="2" a="1"/>
  <c r="Q1151" i="2" s="1"/>
  <c r="A1152" i="2" a="1"/>
  <c r="A1152" i="2" s="1"/>
  <c r="B1152" i="2" a="1"/>
  <c r="B1152" i="2" s="1"/>
  <c r="C1152" i="2" a="1"/>
  <c r="C1152" i="2" s="1"/>
  <c r="D1152" i="2" a="1"/>
  <c r="D1152" i="2" s="1"/>
  <c r="E1152" i="2" a="1"/>
  <c r="E1152" i="2" s="1"/>
  <c r="F1152" i="2" a="1"/>
  <c r="F1152" i="2" s="1"/>
  <c r="G1152" i="2" a="1"/>
  <c r="G1152" i="2" s="1"/>
  <c r="H1152" i="2" a="1"/>
  <c r="H1152" i="2" s="1"/>
  <c r="I1152" i="2" a="1"/>
  <c r="I1152" i="2" s="1"/>
  <c r="J1152" i="2" a="1"/>
  <c r="J1152" i="2" s="1"/>
  <c r="K1152" i="2" a="1"/>
  <c r="K1152" i="2" s="1"/>
  <c r="L1152" i="2" a="1"/>
  <c r="L1152" i="2" s="1"/>
  <c r="M1152" i="2" a="1"/>
  <c r="M1152" i="2" s="1"/>
  <c r="N1152" i="2" a="1"/>
  <c r="N1152" i="2" s="1"/>
  <c r="O1152" i="2" a="1"/>
  <c r="O1152" i="2" s="1"/>
  <c r="P1152" i="2" a="1"/>
  <c r="P1152" i="2" s="1"/>
  <c r="Q1152" i="2" a="1"/>
  <c r="Q1152" i="2" s="1"/>
  <c r="A1153" i="2" a="1"/>
  <c r="A1153" i="2" s="1"/>
  <c r="B1153" i="2" a="1"/>
  <c r="B1153" i="2" s="1"/>
  <c r="C1153" i="2" a="1"/>
  <c r="C1153" i="2" s="1"/>
  <c r="D1153" i="2" a="1"/>
  <c r="D1153" i="2" s="1"/>
  <c r="E1153" i="2" a="1"/>
  <c r="E1153" i="2" s="1"/>
  <c r="F1153" i="2" a="1"/>
  <c r="F1153" i="2" s="1"/>
  <c r="G1153" i="2" a="1"/>
  <c r="G1153" i="2" s="1"/>
  <c r="H1153" i="2" a="1"/>
  <c r="H1153" i="2" s="1"/>
  <c r="I1153" i="2" a="1"/>
  <c r="I1153" i="2" s="1"/>
  <c r="J1153" i="2" a="1"/>
  <c r="J1153" i="2" s="1"/>
  <c r="K1153" i="2" a="1"/>
  <c r="K1153" i="2" s="1"/>
  <c r="L1153" i="2" a="1"/>
  <c r="L1153" i="2" s="1"/>
  <c r="M1153" i="2" a="1"/>
  <c r="M1153" i="2" s="1"/>
  <c r="N1153" i="2" a="1"/>
  <c r="N1153" i="2" s="1"/>
  <c r="O1153" i="2" a="1"/>
  <c r="O1153" i="2" s="1"/>
  <c r="P1153" i="2" a="1"/>
  <c r="P1153" i="2" s="1"/>
  <c r="Q1153" i="2" a="1"/>
  <c r="Q1153" i="2" s="1"/>
  <c r="A1154" i="2" a="1"/>
  <c r="A1154" i="2" s="1"/>
  <c r="B1154" i="2" a="1"/>
  <c r="B1154" i="2" s="1"/>
  <c r="C1154" i="2" a="1"/>
  <c r="C1154" i="2" s="1"/>
  <c r="D1154" i="2" a="1"/>
  <c r="D1154" i="2" s="1"/>
  <c r="E1154" i="2" a="1"/>
  <c r="E1154" i="2" s="1"/>
  <c r="F1154" i="2" a="1"/>
  <c r="F1154" i="2" s="1"/>
  <c r="G1154" i="2" a="1"/>
  <c r="G1154" i="2" s="1"/>
  <c r="H1154" i="2" a="1"/>
  <c r="H1154" i="2" s="1"/>
  <c r="I1154" i="2" a="1"/>
  <c r="I1154" i="2" s="1"/>
  <c r="J1154" i="2" a="1"/>
  <c r="J1154" i="2" s="1"/>
  <c r="K1154" i="2" a="1"/>
  <c r="K1154" i="2" s="1"/>
  <c r="L1154" i="2" a="1"/>
  <c r="L1154" i="2" s="1"/>
  <c r="M1154" i="2" a="1"/>
  <c r="M1154" i="2" s="1"/>
  <c r="N1154" i="2" a="1"/>
  <c r="N1154" i="2" s="1"/>
  <c r="O1154" i="2" a="1"/>
  <c r="O1154" i="2" s="1"/>
  <c r="P1154" i="2" a="1"/>
  <c r="P1154" i="2" s="1"/>
  <c r="Q1154" i="2" a="1"/>
  <c r="Q1154" i="2" s="1"/>
  <c r="A1155" i="2" a="1"/>
  <c r="A1155" i="2" s="1"/>
  <c r="B1155" i="2" a="1"/>
  <c r="B1155" i="2" s="1"/>
  <c r="C1155" i="2" a="1"/>
  <c r="C1155" i="2" s="1"/>
  <c r="D1155" i="2" a="1"/>
  <c r="D1155" i="2" s="1"/>
  <c r="E1155" i="2" a="1"/>
  <c r="E1155" i="2" s="1"/>
  <c r="F1155" i="2" a="1"/>
  <c r="F1155" i="2" s="1"/>
  <c r="G1155" i="2" a="1"/>
  <c r="G1155" i="2" s="1"/>
  <c r="H1155" i="2" a="1"/>
  <c r="H1155" i="2" s="1"/>
  <c r="I1155" i="2" a="1"/>
  <c r="I1155" i="2" s="1"/>
  <c r="J1155" i="2" a="1"/>
  <c r="J1155" i="2" s="1"/>
  <c r="K1155" i="2" a="1"/>
  <c r="K1155" i="2" s="1"/>
  <c r="L1155" i="2" a="1"/>
  <c r="L1155" i="2" s="1"/>
  <c r="M1155" i="2" a="1"/>
  <c r="M1155" i="2" s="1"/>
  <c r="N1155" i="2" a="1"/>
  <c r="N1155" i="2" s="1"/>
  <c r="O1155" i="2" a="1"/>
  <c r="O1155" i="2" s="1"/>
  <c r="P1155" i="2" a="1"/>
  <c r="P1155" i="2" s="1"/>
  <c r="Q1155" i="2" a="1"/>
  <c r="Q1155" i="2" s="1"/>
  <c r="A1156" i="2" a="1"/>
  <c r="A1156" i="2" s="1"/>
  <c r="B1156" i="2" a="1"/>
  <c r="B1156" i="2" s="1"/>
  <c r="C1156" i="2" a="1"/>
  <c r="C1156" i="2" s="1"/>
  <c r="D1156" i="2" a="1"/>
  <c r="D1156" i="2" s="1"/>
  <c r="E1156" i="2" a="1"/>
  <c r="E1156" i="2" s="1"/>
  <c r="F1156" i="2" a="1"/>
  <c r="F1156" i="2" s="1"/>
  <c r="G1156" i="2" a="1"/>
  <c r="G1156" i="2" s="1"/>
  <c r="H1156" i="2" a="1"/>
  <c r="H1156" i="2" s="1"/>
  <c r="I1156" i="2" a="1"/>
  <c r="I1156" i="2" s="1"/>
  <c r="J1156" i="2" a="1"/>
  <c r="J1156" i="2" s="1"/>
  <c r="K1156" i="2" a="1"/>
  <c r="K1156" i="2" s="1"/>
  <c r="L1156" i="2" a="1"/>
  <c r="L1156" i="2" s="1"/>
  <c r="M1156" i="2" a="1"/>
  <c r="M1156" i="2" s="1"/>
  <c r="N1156" i="2" a="1"/>
  <c r="N1156" i="2" s="1"/>
  <c r="O1156" i="2" a="1"/>
  <c r="O1156" i="2" s="1"/>
  <c r="P1156" i="2" a="1"/>
  <c r="P1156" i="2" s="1"/>
  <c r="Q1156" i="2" a="1"/>
  <c r="Q1156" i="2" s="1"/>
  <c r="A1157" i="2" a="1"/>
  <c r="A1157" i="2" s="1"/>
  <c r="B1157" i="2" a="1"/>
  <c r="B1157" i="2" s="1"/>
  <c r="C1157" i="2" a="1"/>
  <c r="C1157" i="2" s="1"/>
  <c r="D1157" i="2" a="1"/>
  <c r="D1157" i="2" s="1"/>
  <c r="E1157" i="2" a="1"/>
  <c r="E1157" i="2" s="1"/>
  <c r="F1157" i="2" a="1"/>
  <c r="F1157" i="2" s="1"/>
  <c r="G1157" i="2" a="1"/>
  <c r="G1157" i="2" s="1"/>
  <c r="H1157" i="2" a="1"/>
  <c r="H1157" i="2" s="1"/>
  <c r="I1157" i="2" a="1"/>
  <c r="I1157" i="2" s="1"/>
  <c r="J1157" i="2" a="1"/>
  <c r="J1157" i="2" s="1"/>
  <c r="K1157" i="2" a="1"/>
  <c r="K1157" i="2" s="1"/>
  <c r="L1157" i="2" a="1"/>
  <c r="L1157" i="2" s="1"/>
  <c r="M1157" i="2" a="1"/>
  <c r="M1157" i="2" s="1"/>
  <c r="N1157" i="2" a="1"/>
  <c r="N1157" i="2" s="1"/>
  <c r="O1157" i="2" a="1"/>
  <c r="O1157" i="2" s="1"/>
  <c r="P1157" i="2" a="1"/>
  <c r="P1157" i="2" s="1"/>
  <c r="Q1157" i="2" a="1"/>
  <c r="Q1157" i="2" s="1"/>
  <c r="A1158" i="2" a="1"/>
  <c r="A1158" i="2" s="1"/>
  <c r="B1158" i="2" a="1"/>
  <c r="B1158" i="2" s="1"/>
  <c r="C1158" i="2" a="1"/>
  <c r="C1158" i="2" s="1"/>
  <c r="D1158" i="2" a="1"/>
  <c r="D1158" i="2" s="1"/>
  <c r="E1158" i="2" a="1"/>
  <c r="E1158" i="2" s="1"/>
  <c r="F1158" i="2" a="1"/>
  <c r="F1158" i="2" s="1"/>
  <c r="G1158" i="2" a="1"/>
  <c r="G1158" i="2" s="1"/>
  <c r="H1158" i="2" a="1"/>
  <c r="H1158" i="2" s="1"/>
  <c r="I1158" i="2" a="1"/>
  <c r="I1158" i="2" s="1"/>
  <c r="J1158" i="2" a="1"/>
  <c r="J1158" i="2" s="1"/>
  <c r="K1158" i="2" a="1"/>
  <c r="K1158" i="2" s="1"/>
  <c r="L1158" i="2" a="1"/>
  <c r="L1158" i="2" s="1"/>
  <c r="M1158" i="2" a="1"/>
  <c r="M1158" i="2" s="1"/>
  <c r="N1158" i="2" a="1"/>
  <c r="N1158" i="2" s="1"/>
  <c r="O1158" i="2" a="1"/>
  <c r="O1158" i="2" s="1"/>
  <c r="P1158" i="2" a="1"/>
  <c r="P1158" i="2" s="1"/>
  <c r="Q1158" i="2" a="1"/>
  <c r="Q1158" i="2" s="1"/>
  <c r="A1159" i="2" a="1"/>
  <c r="A1159" i="2" s="1"/>
  <c r="B1159" i="2" a="1"/>
  <c r="B1159" i="2" s="1"/>
  <c r="C1159" i="2" a="1"/>
  <c r="C1159" i="2" s="1"/>
  <c r="D1159" i="2" a="1"/>
  <c r="D1159" i="2" s="1"/>
  <c r="E1159" i="2" a="1"/>
  <c r="E1159" i="2" s="1"/>
  <c r="F1159" i="2" a="1"/>
  <c r="F1159" i="2" s="1"/>
  <c r="G1159" i="2" a="1"/>
  <c r="G1159" i="2" s="1"/>
  <c r="H1159" i="2" a="1"/>
  <c r="H1159" i="2" s="1"/>
  <c r="I1159" i="2" a="1"/>
  <c r="I1159" i="2" s="1"/>
  <c r="J1159" i="2" a="1"/>
  <c r="J1159" i="2" s="1"/>
  <c r="K1159" i="2" a="1"/>
  <c r="K1159" i="2" s="1"/>
  <c r="L1159" i="2" a="1"/>
  <c r="L1159" i="2" s="1"/>
  <c r="M1159" i="2" a="1"/>
  <c r="M1159" i="2" s="1"/>
  <c r="N1159" i="2" a="1"/>
  <c r="N1159" i="2" s="1"/>
  <c r="O1159" i="2" a="1"/>
  <c r="O1159" i="2" s="1"/>
  <c r="P1159" i="2" a="1"/>
  <c r="P1159" i="2" s="1"/>
  <c r="Q1159" i="2" a="1"/>
  <c r="Q1159" i="2" s="1"/>
  <c r="A1160" i="2" a="1"/>
  <c r="A1160" i="2" s="1"/>
  <c r="B1160" i="2" a="1"/>
  <c r="B1160" i="2" s="1"/>
  <c r="C1160" i="2" a="1"/>
  <c r="C1160" i="2" s="1"/>
  <c r="D1160" i="2" a="1"/>
  <c r="D1160" i="2" s="1"/>
  <c r="E1160" i="2" a="1"/>
  <c r="E1160" i="2" s="1"/>
  <c r="F1160" i="2" a="1"/>
  <c r="F1160" i="2" s="1"/>
  <c r="G1160" i="2" a="1"/>
  <c r="G1160" i="2" s="1"/>
  <c r="H1160" i="2" a="1"/>
  <c r="H1160" i="2" s="1"/>
  <c r="I1160" i="2" a="1"/>
  <c r="I1160" i="2" s="1"/>
  <c r="J1160" i="2" a="1"/>
  <c r="J1160" i="2" s="1"/>
  <c r="K1160" i="2" a="1"/>
  <c r="K1160" i="2" s="1"/>
  <c r="L1160" i="2" a="1"/>
  <c r="L1160" i="2" s="1"/>
  <c r="M1160" i="2" a="1"/>
  <c r="M1160" i="2" s="1"/>
  <c r="N1160" i="2" a="1"/>
  <c r="N1160" i="2" s="1"/>
  <c r="O1160" i="2" a="1"/>
  <c r="O1160" i="2" s="1"/>
  <c r="P1160" i="2" a="1"/>
  <c r="P1160" i="2" s="1"/>
  <c r="Q1160" i="2" a="1"/>
  <c r="Q1160" i="2" s="1"/>
  <c r="A1161" i="2" a="1"/>
  <c r="A1161" i="2" s="1"/>
  <c r="B1161" i="2" a="1"/>
  <c r="B1161" i="2" s="1"/>
  <c r="C1161" i="2" a="1"/>
  <c r="C1161" i="2" s="1"/>
  <c r="D1161" i="2" a="1"/>
  <c r="D1161" i="2" s="1"/>
  <c r="E1161" i="2" a="1"/>
  <c r="E1161" i="2" s="1"/>
  <c r="F1161" i="2" a="1"/>
  <c r="F1161" i="2" s="1"/>
  <c r="G1161" i="2" a="1"/>
  <c r="G1161" i="2" s="1"/>
  <c r="H1161" i="2" a="1"/>
  <c r="H1161" i="2" s="1"/>
  <c r="I1161" i="2" a="1"/>
  <c r="I1161" i="2" s="1"/>
  <c r="J1161" i="2" a="1"/>
  <c r="J1161" i="2" s="1"/>
  <c r="K1161" i="2" a="1"/>
  <c r="K1161" i="2" s="1"/>
  <c r="L1161" i="2" a="1"/>
  <c r="L1161" i="2" s="1"/>
  <c r="M1161" i="2" a="1"/>
  <c r="M1161" i="2" s="1"/>
  <c r="N1161" i="2" a="1"/>
  <c r="N1161" i="2" s="1"/>
  <c r="O1161" i="2" a="1"/>
  <c r="O1161" i="2" s="1"/>
  <c r="P1161" i="2" a="1"/>
  <c r="P1161" i="2" s="1"/>
  <c r="Q1161" i="2" a="1"/>
  <c r="Q1161" i="2" s="1"/>
  <c r="A1162" i="2" a="1"/>
  <c r="A1162" i="2" s="1"/>
  <c r="B1162" i="2" a="1"/>
  <c r="B1162" i="2" s="1"/>
  <c r="C1162" i="2" a="1"/>
  <c r="C1162" i="2" s="1"/>
  <c r="D1162" i="2" a="1"/>
  <c r="D1162" i="2" s="1"/>
  <c r="E1162" i="2" a="1"/>
  <c r="E1162" i="2" s="1"/>
  <c r="F1162" i="2" a="1"/>
  <c r="F1162" i="2" s="1"/>
  <c r="G1162" i="2" a="1"/>
  <c r="G1162" i="2" s="1"/>
  <c r="H1162" i="2" a="1"/>
  <c r="H1162" i="2" s="1"/>
  <c r="I1162" i="2" a="1"/>
  <c r="I1162" i="2" s="1"/>
  <c r="J1162" i="2" a="1"/>
  <c r="J1162" i="2" s="1"/>
  <c r="K1162" i="2" a="1"/>
  <c r="K1162" i="2" s="1"/>
  <c r="L1162" i="2" a="1"/>
  <c r="L1162" i="2" s="1"/>
  <c r="M1162" i="2" a="1"/>
  <c r="M1162" i="2" s="1"/>
  <c r="N1162" i="2" a="1"/>
  <c r="N1162" i="2" s="1"/>
  <c r="O1162" i="2" a="1"/>
  <c r="O1162" i="2" s="1"/>
  <c r="P1162" i="2" a="1"/>
  <c r="P1162" i="2" s="1"/>
  <c r="Q1162" i="2" a="1"/>
  <c r="Q1162" i="2" s="1"/>
  <c r="A1163" i="2" a="1"/>
  <c r="A1163" i="2" s="1"/>
  <c r="B1163" i="2" a="1"/>
  <c r="B1163" i="2" s="1"/>
  <c r="C1163" i="2" a="1"/>
  <c r="C1163" i="2" s="1"/>
  <c r="D1163" i="2" a="1"/>
  <c r="D1163" i="2" s="1"/>
  <c r="E1163" i="2" a="1"/>
  <c r="E1163" i="2" s="1"/>
  <c r="F1163" i="2" a="1"/>
  <c r="F1163" i="2" s="1"/>
  <c r="G1163" i="2" a="1"/>
  <c r="G1163" i="2" s="1"/>
  <c r="H1163" i="2" a="1"/>
  <c r="H1163" i="2" s="1"/>
  <c r="I1163" i="2" a="1"/>
  <c r="I1163" i="2" s="1"/>
  <c r="J1163" i="2" a="1"/>
  <c r="J1163" i="2" s="1"/>
  <c r="K1163" i="2" a="1"/>
  <c r="K1163" i="2" s="1"/>
  <c r="L1163" i="2" a="1"/>
  <c r="L1163" i="2" s="1"/>
  <c r="M1163" i="2" a="1"/>
  <c r="M1163" i="2" s="1"/>
  <c r="N1163" i="2" a="1"/>
  <c r="N1163" i="2" s="1"/>
  <c r="O1163" i="2" a="1"/>
  <c r="O1163" i="2" s="1"/>
  <c r="P1163" i="2" a="1"/>
  <c r="P1163" i="2" s="1"/>
  <c r="Q1163" i="2" a="1"/>
  <c r="Q1163" i="2" s="1"/>
  <c r="A1164" i="2" a="1"/>
  <c r="A1164" i="2" s="1"/>
  <c r="B1164" i="2" a="1"/>
  <c r="B1164" i="2" s="1"/>
  <c r="C1164" i="2" a="1"/>
  <c r="C1164" i="2" s="1"/>
  <c r="D1164" i="2" a="1"/>
  <c r="D1164" i="2" s="1"/>
  <c r="E1164" i="2" a="1"/>
  <c r="E1164" i="2" s="1"/>
  <c r="F1164" i="2" a="1"/>
  <c r="F1164" i="2" s="1"/>
  <c r="G1164" i="2" a="1"/>
  <c r="G1164" i="2" s="1"/>
  <c r="H1164" i="2" a="1"/>
  <c r="H1164" i="2" s="1"/>
  <c r="I1164" i="2" a="1"/>
  <c r="I1164" i="2" s="1"/>
  <c r="J1164" i="2" a="1"/>
  <c r="J1164" i="2" s="1"/>
  <c r="K1164" i="2" a="1"/>
  <c r="K1164" i="2" s="1"/>
  <c r="L1164" i="2" a="1"/>
  <c r="L1164" i="2" s="1"/>
  <c r="M1164" i="2" a="1"/>
  <c r="M1164" i="2" s="1"/>
  <c r="N1164" i="2" a="1"/>
  <c r="N1164" i="2" s="1"/>
  <c r="O1164" i="2" a="1"/>
  <c r="O1164" i="2" s="1"/>
  <c r="P1164" i="2" a="1"/>
  <c r="P1164" i="2" s="1"/>
  <c r="Q1164" i="2" a="1"/>
  <c r="Q1164" i="2" s="1"/>
  <c r="A1165" i="2" a="1"/>
  <c r="A1165" i="2" s="1"/>
  <c r="B1165" i="2" a="1"/>
  <c r="B1165" i="2" s="1"/>
  <c r="C1165" i="2" a="1"/>
  <c r="C1165" i="2" s="1"/>
  <c r="D1165" i="2" a="1"/>
  <c r="D1165" i="2" s="1"/>
  <c r="E1165" i="2" a="1"/>
  <c r="E1165" i="2" s="1"/>
  <c r="F1165" i="2" a="1"/>
  <c r="F1165" i="2" s="1"/>
  <c r="G1165" i="2" a="1"/>
  <c r="G1165" i="2" s="1"/>
  <c r="H1165" i="2" a="1"/>
  <c r="H1165" i="2" s="1"/>
  <c r="I1165" i="2" a="1"/>
  <c r="I1165" i="2" s="1"/>
  <c r="J1165" i="2" a="1"/>
  <c r="J1165" i="2" s="1"/>
  <c r="K1165" i="2" a="1"/>
  <c r="K1165" i="2" s="1"/>
  <c r="L1165" i="2" a="1"/>
  <c r="L1165" i="2" s="1"/>
  <c r="M1165" i="2" a="1"/>
  <c r="M1165" i="2" s="1"/>
  <c r="N1165" i="2" a="1"/>
  <c r="N1165" i="2" s="1"/>
  <c r="O1165" i="2" a="1"/>
  <c r="O1165" i="2" s="1"/>
  <c r="P1165" i="2" a="1"/>
  <c r="P1165" i="2" s="1"/>
  <c r="Q1165" i="2" a="1"/>
  <c r="Q1165" i="2" s="1"/>
  <c r="A1166" i="2" a="1"/>
  <c r="A1166" i="2" s="1"/>
  <c r="B1166" i="2" a="1"/>
  <c r="B1166" i="2" s="1"/>
  <c r="C1166" i="2" a="1"/>
  <c r="C1166" i="2" s="1"/>
  <c r="D1166" i="2" a="1"/>
  <c r="D1166" i="2" s="1"/>
  <c r="E1166" i="2" a="1"/>
  <c r="E1166" i="2" s="1"/>
  <c r="F1166" i="2" a="1"/>
  <c r="F1166" i="2" s="1"/>
  <c r="G1166" i="2" a="1"/>
  <c r="G1166" i="2" s="1"/>
  <c r="H1166" i="2" a="1"/>
  <c r="H1166" i="2" s="1"/>
  <c r="I1166" i="2" a="1"/>
  <c r="I1166" i="2" s="1"/>
  <c r="J1166" i="2" a="1"/>
  <c r="J1166" i="2" s="1"/>
  <c r="K1166" i="2" a="1"/>
  <c r="K1166" i="2" s="1"/>
  <c r="L1166" i="2" a="1"/>
  <c r="L1166" i="2" s="1"/>
  <c r="M1166" i="2" a="1"/>
  <c r="M1166" i="2" s="1"/>
  <c r="N1166" i="2" a="1"/>
  <c r="N1166" i="2" s="1"/>
  <c r="O1166" i="2" a="1"/>
  <c r="O1166" i="2" s="1"/>
  <c r="P1166" i="2" a="1"/>
  <c r="P1166" i="2" s="1"/>
  <c r="Q1166" i="2" a="1"/>
  <c r="Q1166" i="2" s="1"/>
  <c r="A1167" i="2" a="1"/>
  <c r="A1167" i="2" s="1"/>
  <c r="B1167" i="2" a="1"/>
  <c r="B1167" i="2" s="1"/>
  <c r="C1167" i="2" a="1"/>
  <c r="C1167" i="2" s="1"/>
  <c r="D1167" i="2" a="1"/>
  <c r="D1167" i="2" s="1"/>
  <c r="E1167" i="2" a="1"/>
  <c r="E1167" i="2" s="1"/>
  <c r="F1167" i="2" a="1"/>
  <c r="F1167" i="2" s="1"/>
  <c r="G1167" i="2" a="1"/>
  <c r="G1167" i="2" s="1"/>
  <c r="H1167" i="2" a="1"/>
  <c r="H1167" i="2" s="1"/>
  <c r="I1167" i="2" a="1"/>
  <c r="I1167" i="2" s="1"/>
  <c r="J1167" i="2" a="1"/>
  <c r="J1167" i="2" s="1"/>
  <c r="K1167" i="2" a="1"/>
  <c r="K1167" i="2" s="1"/>
  <c r="L1167" i="2" a="1"/>
  <c r="L1167" i="2" s="1"/>
  <c r="M1167" i="2" a="1"/>
  <c r="M1167" i="2" s="1"/>
  <c r="N1167" i="2" a="1"/>
  <c r="N1167" i="2" s="1"/>
  <c r="O1167" i="2" a="1"/>
  <c r="O1167" i="2" s="1"/>
  <c r="P1167" i="2" a="1"/>
  <c r="P1167" i="2" s="1"/>
  <c r="Q1167" i="2" a="1"/>
  <c r="Q1167" i="2" s="1"/>
  <c r="A1168" i="2" a="1"/>
  <c r="A1168" i="2" s="1"/>
  <c r="B1168" i="2" a="1"/>
  <c r="B1168" i="2" s="1"/>
  <c r="C1168" i="2" a="1"/>
  <c r="C1168" i="2" s="1"/>
  <c r="D1168" i="2" a="1"/>
  <c r="D1168" i="2" s="1"/>
  <c r="E1168" i="2" a="1"/>
  <c r="E1168" i="2" s="1"/>
  <c r="F1168" i="2" a="1"/>
  <c r="F1168" i="2" s="1"/>
  <c r="G1168" i="2" a="1"/>
  <c r="G1168" i="2" s="1"/>
  <c r="H1168" i="2" a="1"/>
  <c r="H1168" i="2" s="1"/>
  <c r="I1168" i="2" a="1"/>
  <c r="I1168" i="2" s="1"/>
  <c r="J1168" i="2" a="1"/>
  <c r="J1168" i="2" s="1"/>
  <c r="K1168" i="2" a="1"/>
  <c r="K1168" i="2" s="1"/>
  <c r="L1168" i="2" a="1"/>
  <c r="L1168" i="2" s="1"/>
  <c r="M1168" i="2" a="1"/>
  <c r="M1168" i="2" s="1"/>
  <c r="N1168" i="2" a="1"/>
  <c r="N1168" i="2" s="1"/>
  <c r="O1168" i="2" a="1"/>
  <c r="O1168" i="2" s="1"/>
  <c r="P1168" i="2" a="1"/>
  <c r="P1168" i="2" s="1"/>
  <c r="Q1168" i="2" a="1"/>
  <c r="Q1168" i="2" s="1"/>
  <c r="A1169" i="2" a="1"/>
  <c r="A1169" i="2" s="1"/>
  <c r="B1169" i="2" a="1"/>
  <c r="B1169" i="2" s="1"/>
  <c r="C1169" i="2" a="1"/>
  <c r="C1169" i="2" s="1"/>
  <c r="D1169" i="2" a="1"/>
  <c r="D1169" i="2" s="1"/>
  <c r="E1169" i="2" a="1"/>
  <c r="E1169" i="2" s="1"/>
  <c r="F1169" i="2" a="1"/>
  <c r="F1169" i="2" s="1"/>
  <c r="G1169" i="2" a="1"/>
  <c r="G1169" i="2" s="1"/>
  <c r="H1169" i="2" a="1"/>
  <c r="H1169" i="2" s="1"/>
  <c r="I1169" i="2" a="1"/>
  <c r="I1169" i="2" s="1"/>
  <c r="J1169" i="2" a="1"/>
  <c r="J1169" i="2" s="1"/>
  <c r="K1169" i="2" a="1"/>
  <c r="K1169" i="2" s="1"/>
  <c r="L1169" i="2" a="1"/>
  <c r="L1169" i="2" s="1"/>
  <c r="M1169" i="2" a="1"/>
  <c r="M1169" i="2" s="1"/>
  <c r="N1169" i="2" a="1"/>
  <c r="N1169" i="2" s="1"/>
  <c r="O1169" i="2" a="1"/>
  <c r="O1169" i="2" s="1"/>
  <c r="P1169" i="2" a="1"/>
  <c r="P1169" i="2" s="1"/>
  <c r="Q1169" i="2" a="1"/>
  <c r="Q1169" i="2" s="1"/>
  <c r="A1170" i="2" a="1"/>
  <c r="A1170" i="2" s="1"/>
  <c r="B1170" i="2" a="1"/>
  <c r="B1170" i="2" s="1"/>
  <c r="C1170" i="2" a="1"/>
  <c r="C1170" i="2" s="1"/>
  <c r="D1170" i="2" a="1"/>
  <c r="D1170" i="2" s="1"/>
  <c r="E1170" i="2" a="1"/>
  <c r="E1170" i="2" s="1"/>
  <c r="F1170" i="2" a="1"/>
  <c r="F1170" i="2" s="1"/>
  <c r="G1170" i="2" a="1"/>
  <c r="G1170" i="2" s="1"/>
  <c r="H1170" i="2" a="1"/>
  <c r="H1170" i="2" s="1"/>
  <c r="I1170" i="2" a="1"/>
  <c r="I1170" i="2" s="1"/>
  <c r="J1170" i="2" a="1"/>
  <c r="J1170" i="2" s="1"/>
  <c r="K1170" i="2" a="1"/>
  <c r="K1170" i="2" s="1"/>
  <c r="L1170" i="2" a="1"/>
  <c r="L1170" i="2" s="1"/>
  <c r="M1170" i="2" a="1"/>
  <c r="M1170" i="2" s="1"/>
  <c r="N1170" i="2" a="1"/>
  <c r="N1170" i="2" s="1"/>
  <c r="O1170" i="2" a="1"/>
  <c r="O1170" i="2" s="1"/>
  <c r="P1170" i="2" a="1"/>
  <c r="P1170" i="2" s="1"/>
  <c r="Q1170" i="2" a="1"/>
  <c r="Q1170" i="2" s="1"/>
  <c r="A1171" i="2" a="1"/>
  <c r="A1171" i="2" s="1"/>
  <c r="B1171" i="2" a="1"/>
  <c r="B1171" i="2" s="1"/>
  <c r="C1171" i="2" a="1"/>
  <c r="C1171" i="2" s="1"/>
  <c r="D1171" i="2" a="1"/>
  <c r="D1171" i="2" s="1"/>
  <c r="E1171" i="2" a="1"/>
  <c r="E1171" i="2" s="1"/>
  <c r="F1171" i="2" a="1"/>
  <c r="F1171" i="2" s="1"/>
  <c r="G1171" i="2" a="1"/>
  <c r="G1171" i="2" s="1"/>
  <c r="H1171" i="2" a="1"/>
  <c r="H1171" i="2" s="1"/>
  <c r="I1171" i="2" a="1"/>
  <c r="I1171" i="2" s="1"/>
  <c r="J1171" i="2" a="1"/>
  <c r="J1171" i="2" s="1"/>
  <c r="K1171" i="2" a="1"/>
  <c r="K1171" i="2" s="1"/>
  <c r="L1171" i="2" a="1"/>
  <c r="L1171" i="2" s="1"/>
  <c r="M1171" i="2" a="1"/>
  <c r="M1171" i="2" s="1"/>
  <c r="N1171" i="2" a="1"/>
  <c r="N1171" i="2" s="1"/>
  <c r="O1171" i="2" a="1"/>
  <c r="O1171" i="2" s="1"/>
  <c r="P1171" i="2" a="1"/>
  <c r="P1171" i="2" s="1"/>
  <c r="Q1171" i="2" a="1"/>
  <c r="Q1171" i="2" s="1"/>
  <c r="A1172" i="2" a="1"/>
  <c r="A1172" i="2" s="1"/>
  <c r="B1172" i="2" a="1"/>
  <c r="B1172" i="2" s="1"/>
  <c r="C1172" i="2" a="1"/>
  <c r="C1172" i="2" s="1"/>
  <c r="D1172" i="2" a="1"/>
  <c r="D1172" i="2" s="1"/>
  <c r="E1172" i="2" a="1"/>
  <c r="E1172" i="2" s="1"/>
  <c r="F1172" i="2" a="1"/>
  <c r="F1172" i="2" s="1"/>
  <c r="G1172" i="2" a="1"/>
  <c r="G1172" i="2" s="1"/>
  <c r="H1172" i="2" a="1"/>
  <c r="H1172" i="2" s="1"/>
  <c r="I1172" i="2" a="1"/>
  <c r="I1172" i="2" s="1"/>
  <c r="J1172" i="2" a="1"/>
  <c r="J1172" i="2" s="1"/>
  <c r="K1172" i="2" a="1"/>
  <c r="K1172" i="2" s="1"/>
  <c r="L1172" i="2" a="1"/>
  <c r="L1172" i="2" s="1"/>
  <c r="M1172" i="2" a="1"/>
  <c r="M1172" i="2" s="1"/>
  <c r="N1172" i="2" a="1"/>
  <c r="N1172" i="2" s="1"/>
  <c r="O1172" i="2" a="1"/>
  <c r="O1172" i="2" s="1"/>
  <c r="P1172" i="2" a="1"/>
  <c r="P1172" i="2" s="1"/>
  <c r="Q1172" i="2" a="1"/>
  <c r="Q1172" i="2" s="1"/>
  <c r="A1173" i="2" a="1"/>
  <c r="A1173" i="2" s="1"/>
  <c r="B1173" i="2" a="1"/>
  <c r="B1173" i="2" s="1"/>
  <c r="C1173" i="2" a="1"/>
  <c r="C1173" i="2" s="1"/>
  <c r="D1173" i="2" a="1"/>
  <c r="D1173" i="2" s="1"/>
  <c r="E1173" i="2" a="1"/>
  <c r="E1173" i="2" s="1"/>
  <c r="F1173" i="2" a="1"/>
  <c r="F1173" i="2" s="1"/>
  <c r="G1173" i="2" a="1"/>
  <c r="G1173" i="2" s="1"/>
  <c r="H1173" i="2" a="1"/>
  <c r="H1173" i="2" s="1"/>
  <c r="I1173" i="2" a="1"/>
  <c r="I1173" i="2" s="1"/>
  <c r="J1173" i="2" a="1"/>
  <c r="J1173" i="2" s="1"/>
  <c r="K1173" i="2" a="1"/>
  <c r="K1173" i="2" s="1"/>
  <c r="L1173" i="2" a="1"/>
  <c r="L1173" i="2" s="1"/>
  <c r="M1173" i="2" a="1"/>
  <c r="M1173" i="2" s="1"/>
  <c r="N1173" i="2" a="1"/>
  <c r="N1173" i="2" s="1"/>
  <c r="O1173" i="2" a="1"/>
  <c r="O1173" i="2" s="1"/>
  <c r="P1173" i="2" a="1"/>
  <c r="P1173" i="2" s="1"/>
  <c r="Q1173" i="2" a="1"/>
  <c r="Q1173" i="2" s="1"/>
  <c r="A1174" i="2" a="1"/>
  <c r="A1174" i="2" s="1"/>
  <c r="B1174" i="2" a="1"/>
  <c r="B1174" i="2" s="1"/>
  <c r="C1174" i="2" a="1"/>
  <c r="C1174" i="2" s="1"/>
  <c r="D1174" i="2" a="1"/>
  <c r="D1174" i="2" s="1"/>
  <c r="E1174" i="2" a="1"/>
  <c r="E1174" i="2" s="1"/>
  <c r="F1174" i="2" a="1"/>
  <c r="F1174" i="2" s="1"/>
  <c r="G1174" i="2" a="1"/>
  <c r="G1174" i="2" s="1"/>
  <c r="H1174" i="2" a="1"/>
  <c r="H1174" i="2" s="1"/>
  <c r="I1174" i="2" a="1"/>
  <c r="I1174" i="2" s="1"/>
  <c r="J1174" i="2" a="1"/>
  <c r="J1174" i="2" s="1"/>
  <c r="K1174" i="2" a="1"/>
  <c r="K1174" i="2" s="1"/>
  <c r="L1174" i="2" a="1"/>
  <c r="L1174" i="2" s="1"/>
  <c r="M1174" i="2" a="1"/>
  <c r="M1174" i="2" s="1"/>
  <c r="N1174" i="2" a="1"/>
  <c r="N1174" i="2" s="1"/>
  <c r="O1174" i="2" a="1"/>
  <c r="O1174" i="2" s="1"/>
  <c r="P1174" i="2" a="1"/>
  <c r="P1174" i="2" s="1"/>
  <c r="Q1174" i="2" a="1"/>
  <c r="Q1174" i="2" s="1"/>
  <c r="A1175" i="2" a="1"/>
  <c r="A1175" i="2" s="1"/>
  <c r="B1175" i="2" a="1"/>
  <c r="B1175" i="2" s="1"/>
  <c r="C1175" i="2" a="1"/>
  <c r="C1175" i="2" s="1"/>
  <c r="D1175" i="2" a="1"/>
  <c r="D1175" i="2" s="1"/>
  <c r="E1175" i="2" a="1"/>
  <c r="E1175" i="2" s="1"/>
  <c r="F1175" i="2" a="1"/>
  <c r="F1175" i="2" s="1"/>
  <c r="G1175" i="2" a="1"/>
  <c r="G1175" i="2" s="1"/>
  <c r="H1175" i="2" a="1"/>
  <c r="H1175" i="2" s="1"/>
  <c r="I1175" i="2" a="1"/>
  <c r="I1175" i="2" s="1"/>
  <c r="J1175" i="2" a="1"/>
  <c r="J1175" i="2" s="1"/>
  <c r="K1175" i="2" a="1"/>
  <c r="K1175" i="2" s="1"/>
  <c r="L1175" i="2" a="1"/>
  <c r="L1175" i="2" s="1"/>
  <c r="M1175" i="2" a="1"/>
  <c r="M1175" i="2" s="1"/>
  <c r="N1175" i="2" a="1"/>
  <c r="N1175" i="2" s="1"/>
  <c r="O1175" i="2" a="1"/>
  <c r="O1175" i="2" s="1"/>
  <c r="P1175" i="2" a="1"/>
  <c r="P1175" i="2" s="1"/>
  <c r="Q1175" i="2" a="1"/>
  <c r="Q1175" i="2" s="1"/>
  <c r="A1176" i="2" a="1"/>
  <c r="A1176" i="2" s="1"/>
  <c r="B1176" i="2" a="1"/>
  <c r="B1176" i="2" s="1"/>
  <c r="C1176" i="2" a="1"/>
  <c r="C1176" i="2" s="1"/>
  <c r="D1176" i="2" a="1"/>
  <c r="D1176" i="2" s="1"/>
  <c r="E1176" i="2" a="1"/>
  <c r="E1176" i="2" s="1"/>
  <c r="F1176" i="2" a="1"/>
  <c r="F1176" i="2" s="1"/>
  <c r="G1176" i="2" a="1"/>
  <c r="G1176" i="2" s="1"/>
  <c r="H1176" i="2" a="1"/>
  <c r="H1176" i="2" s="1"/>
  <c r="I1176" i="2" a="1"/>
  <c r="I1176" i="2" s="1"/>
  <c r="J1176" i="2" a="1"/>
  <c r="J1176" i="2" s="1"/>
  <c r="K1176" i="2" a="1"/>
  <c r="K1176" i="2" s="1"/>
  <c r="L1176" i="2" a="1"/>
  <c r="L1176" i="2" s="1"/>
  <c r="M1176" i="2" a="1"/>
  <c r="M1176" i="2" s="1"/>
  <c r="N1176" i="2" a="1"/>
  <c r="N1176" i="2" s="1"/>
  <c r="O1176" i="2" a="1"/>
  <c r="O1176" i="2" s="1"/>
  <c r="P1176" i="2" a="1"/>
  <c r="P1176" i="2" s="1"/>
  <c r="Q1176" i="2" a="1"/>
  <c r="Q1176" i="2" s="1"/>
  <c r="A1177" i="2" a="1"/>
  <c r="A1177" i="2" s="1"/>
  <c r="B1177" i="2" a="1"/>
  <c r="B1177" i="2" s="1"/>
  <c r="C1177" i="2" a="1"/>
  <c r="C1177" i="2" s="1"/>
  <c r="D1177" i="2" a="1"/>
  <c r="D1177" i="2" s="1"/>
  <c r="E1177" i="2" a="1"/>
  <c r="E1177" i="2" s="1"/>
  <c r="F1177" i="2" a="1"/>
  <c r="F1177" i="2" s="1"/>
  <c r="G1177" i="2" a="1"/>
  <c r="G1177" i="2" s="1"/>
  <c r="H1177" i="2" a="1"/>
  <c r="H1177" i="2" s="1"/>
  <c r="I1177" i="2" a="1"/>
  <c r="I1177" i="2" s="1"/>
  <c r="J1177" i="2" a="1"/>
  <c r="J1177" i="2" s="1"/>
  <c r="K1177" i="2" a="1"/>
  <c r="K1177" i="2" s="1"/>
  <c r="L1177" i="2" a="1"/>
  <c r="L1177" i="2" s="1"/>
  <c r="M1177" i="2" a="1"/>
  <c r="M1177" i="2" s="1"/>
  <c r="N1177" i="2" a="1"/>
  <c r="N1177" i="2" s="1"/>
  <c r="O1177" i="2" a="1"/>
  <c r="O1177" i="2" s="1"/>
  <c r="P1177" i="2" a="1"/>
  <c r="P1177" i="2" s="1"/>
  <c r="Q1177" i="2" a="1"/>
  <c r="Q1177" i="2" s="1"/>
  <c r="A1178" i="2" a="1"/>
  <c r="A1178" i="2" s="1"/>
  <c r="B1178" i="2" a="1"/>
  <c r="B1178" i="2" s="1"/>
  <c r="C1178" i="2" a="1"/>
  <c r="C1178" i="2" s="1"/>
  <c r="D1178" i="2" a="1"/>
  <c r="D1178" i="2" s="1"/>
  <c r="E1178" i="2" a="1"/>
  <c r="E1178" i="2" s="1"/>
  <c r="F1178" i="2" a="1"/>
  <c r="F1178" i="2" s="1"/>
  <c r="G1178" i="2" a="1"/>
  <c r="G1178" i="2" s="1"/>
  <c r="H1178" i="2" a="1"/>
  <c r="H1178" i="2" s="1"/>
  <c r="I1178" i="2" a="1"/>
  <c r="I1178" i="2" s="1"/>
  <c r="J1178" i="2" a="1"/>
  <c r="J1178" i="2" s="1"/>
  <c r="K1178" i="2" a="1"/>
  <c r="K1178" i="2" s="1"/>
  <c r="L1178" i="2" a="1"/>
  <c r="L1178" i="2" s="1"/>
  <c r="M1178" i="2" a="1"/>
  <c r="M1178" i="2" s="1"/>
  <c r="N1178" i="2" a="1"/>
  <c r="N1178" i="2" s="1"/>
  <c r="O1178" i="2" a="1"/>
  <c r="O1178" i="2" s="1"/>
  <c r="P1178" i="2" a="1"/>
  <c r="P1178" i="2" s="1"/>
  <c r="Q1178" i="2" a="1"/>
  <c r="Q1178" i="2" s="1"/>
  <c r="A1179" i="2" a="1"/>
  <c r="A1179" i="2" s="1"/>
  <c r="B1179" i="2" a="1"/>
  <c r="B1179" i="2" s="1"/>
  <c r="C1179" i="2" a="1"/>
  <c r="C1179" i="2" s="1"/>
  <c r="D1179" i="2" a="1"/>
  <c r="D1179" i="2" s="1"/>
  <c r="E1179" i="2" a="1"/>
  <c r="E1179" i="2" s="1"/>
  <c r="F1179" i="2" a="1"/>
  <c r="F1179" i="2" s="1"/>
  <c r="G1179" i="2" a="1"/>
  <c r="G1179" i="2" s="1"/>
  <c r="H1179" i="2" a="1"/>
  <c r="H1179" i="2" s="1"/>
  <c r="I1179" i="2" a="1"/>
  <c r="I1179" i="2" s="1"/>
  <c r="J1179" i="2" a="1"/>
  <c r="J1179" i="2" s="1"/>
  <c r="K1179" i="2" a="1"/>
  <c r="K1179" i="2" s="1"/>
  <c r="L1179" i="2" a="1"/>
  <c r="L1179" i="2" s="1"/>
  <c r="M1179" i="2" a="1"/>
  <c r="M1179" i="2" s="1"/>
  <c r="N1179" i="2" a="1"/>
  <c r="N1179" i="2" s="1"/>
  <c r="O1179" i="2" a="1"/>
  <c r="O1179" i="2" s="1"/>
  <c r="P1179" i="2" a="1"/>
  <c r="P1179" i="2" s="1"/>
  <c r="Q1179" i="2" a="1"/>
  <c r="Q1179" i="2" s="1"/>
  <c r="A1180" i="2" a="1"/>
  <c r="A1180" i="2" s="1"/>
  <c r="B1180" i="2" a="1"/>
  <c r="B1180" i="2" s="1"/>
  <c r="C1180" i="2" a="1"/>
  <c r="C1180" i="2" s="1"/>
  <c r="D1180" i="2" a="1"/>
  <c r="D1180" i="2" s="1"/>
  <c r="E1180" i="2" a="1"/>
  <c r="E1180" i="2" s="1"/>
  <c r="F1180" i="2" a="1"/>
  <c r="F1180" i="2" s="1"/>
  <c r="G1180" i="2" a="1"/>
  <c r="G1180" i="2" s="1"/>
  <c r="H1180" i="2" a="1"/>
  <c r="H1180" i="2" s="1"/>
  <c r="I1180" i="2" a="1"/>
  <c r="I1180" i="2" s="1"/>
  <c r="J1180" i="2" a="1"/>
  <c r="J1180" i="2" s="1"/>
  <c r="K1180" i="2" a="1"/>
  <c r="K1180" i="2" s="1"/>
  <c r="L1180" i="2" a="1"/>
  <c r="L1180" i="2" s="1"/>
  <c r="M1180" i="2" a="1"/>
  <c r="M1180" i="2" s="1"/>
  <c r="N1180" i="2" a="1"/>
  <c r="N1180" i="2" s="1"/>
  <c r="O1180" i="2" a="1"/>
  <c r="O1180" i="2" s="1"/>
  <c r="P1180" i="2" a="1"/>
  <c r="P1180" i="2" s="1"/>
  <c r="Q1180" i="2" a="1"/>
  <c r="Q1180" i="2" s="1"/>
  <c r="A1181" i="2" a="1"/>
  <c r="A1181" i="2" s="1"/>
  <c r="B1181" i="2" a="1"/>
  <c r="B1181" i="2" s="1"/>
  <c r="C1181" i="2" a="1"/>
  <c r="C1181" i="2" s="1"/>
  <c r="D1181" i="2" a="1"/>
  <c r="D1181" i="2" s="1"/>
  <c r="E1181" i="2" a="1"/>
  <c r="E1181" i="2" s="1"/>
  <c r="F1181" i="2" a="1"/>
  <c r="F1181" i="2" s="1"/>
  <c r="G1181" i="2" a="1"/>
  <c r="G1181" i="2" s="1"/>
  <c r="H1181" i="2" a="1"/>
  <c r="H1181" i="2" s="1"/>
  <c r="I1181" i="2" a="1"/>
  <c r="I1181" i="2" s="1"/>
  <c r="J1181" i="2" a="1"/>
  <c r="J1181" i="2" s="1"/>
  <c r="K1181" i="2" a="1"/>
  <c r="K1181" i="2" s="1"/>
  <c r="L1181" i="2" a="1"/>
  <c r="L1181" i="2" s="1"/>
  <c r="M1181" i="2" a="1"/>
  <c r="M1181" i="2" s="1"/>
  <c r="N1181" i="2" a="1"/>
  <c r="N1181" i="2" s="1"/>
  <c r="O1181" i="2" a="1"/>
  <c r="O1181" i="2" s="1"/>
  <c r="P1181" i="2" a="1"/>
  <c r="P1181" i="2" s="1"/>
  <c r="Q1181" i="2" a="1"/>
  <c r="Q1181" i="2" s="1"/>
  <c r="A1182" i="2" a="1"/>
  <c r="A1182" i="2" s="1"/>
  <c r="B1182" i="2" a="1"/>
  <c r="B1182" i="2" s="1"/>
  <c r="C1182" i="2" a="1"/>
  <c r="C1182" i="2" s="1"/>
  <c r="D1182" i="2" a="1"/>
  <c r="D1182" i="2" s="1"/>
  <c r="E1182" i="2" a="1"/>
  <c r="E1182" i="2" s="1"/>
  <c r="F1182" i="2" a="1"/>
  <c r="F1182" i="2" s="1"/>
  <c r="G1182" i="2" a="1"/>
  <c r="G1182" i="2" s="1"/>
  <c r="H1182" i="2" a="1"/>
  <c r="H1182" i="2" s="1"/>
  <c r="I1182" i="2" a="1"/>
  <c r="I1182" i="2" s="1"/>
  <c r="J1182" i="2" a="1"/>
  <c r="J1182" i="2" s="1"/>
  <c r="K1182" i="2" a="1"/>
  <c r="K1182" i="2" s="1"/>
  <c r="L1182" i="2" a="1"/>
  <c r="L1182" i="2" s="1"/>
  <c r="M1182" i="2" a="1"/>
  <c r="M1182" i="2" s="1"/>
  <c r="N1182" i="2" a="1"/>
  <c r="N1182" i="2" s="1"/>
  <c r="O1182" i="2" a="1"/>
  <c r="O1182" i="2" s="1"/>
  <c r="P1182" i="2" a="1"/>
  <c r="P1182" i="2" s="1"/>
  <c r="Q1182" i="2" a="1"/>
  <c r="Q1182" i="2" s="1"/>
  <c r="A1183" i="2" a="1"/>
  <c r="A1183" i="2" s="1"/>
  <c r="B1183" i="2" a="1"/>
  <c r="B1183" i="2" s="1"/>
  <c r="C1183" i="2" a="1"/>
  <c r="C1183" i="2" s="1"/>
  <c r="D1183" i="2" a="1"/>
  <c r="D1183" i="2" s="1"/>
  <c r="E1183" i="2" a="1"/>
  <c r="E1183" i="2" s="1"/>
  <c r="F1183" i="2" a="1"/>
  <c r="F1183" i="2" s="1"/>
  <c r="G1183" i="2" a="1"/>
  <c r="G1183" i="2" s="1"/>
  <c r="H1183" i="2" a="1"/>
  <c r="H1183" i="2" s="1"/>
  <c r="I1183" i="2" a="1"/>
  <c r="I1183" i="2" s="1"/>
  <c r="J1183" i="2" a="1"/>
  <c r="J1183" i="2" s="1"/>
  <c r="K1183" i="2" a="1"/>
  <c r="K1183" i="2" s="1"/>
  <c r="L1183" i="2" a="1"/>
  <c r="L1183" i="2" s="1"/>
  <c r="M1183" i="2" a="1"/>
  <c r="M1183" i="2" s="1"/>
  <c r="N1183" i="2" a="1"/>
  <c r="N1183" i="2" s="1"/>
  <c r="O1183" i="2" a="1"/>
  <c r="O1183" i="2" s="1"/>
  <c r="P1183" i="2" a="1"/>
  <c r="P1183" i="2" s="1"/>
  <c r="Q1183" i="2" a="1"/>
  <c r="Q1183" i="2" s="1"/>
  <c r="A1184" i="2" a="1"/>
  <c r="A1184" i="2" s="1"/>
  <c r="B1184" i="2" a="1"/>
  <c r="B1184" i="2" s="1"/>
  <c r="C1184" i="2" a="1"/>
  <c r="C1184" i="2" s="1"/>
  <c r="D1184" i="2" a="1"/>
  <c r="D1184" i="2" s="1"/>
  <c r="E1184" i="2" a="1"/>
  <c r="E1184" i="2" s="1"/>
  <c r="F1184" i="2" a="1"/>
  <c r="F1184" i="2" s="1"/>
  <c r="G1184" i="2" a="1"/>
  <c r="G1184" i="2" s="1"/>
  <c r="H1184" i="2" a="1"/>
  <c r="H1184" i="2" s="1"/>
  <c r="I1184" i="2" a="1"/>
  <c r="I1184" i="2" s="1"/>
  <c r="J1184" i="2" a="1"/>
  <c r="J1184" i="2" s="1"/>
  <c r="K1184" i="2" a="1"/>
  <c r="K1184" i="2" s="1"/>
  <c r="L1184" i="2" a="1"/>
  <c r="L1184" i="2" s="1"/>
  <c r="M1184" i="2" a="1"/>
  <c r="M1184" i="2" s="1"/>
  <c r="N1184" i="2" a="1"/>
  <c r="N1184" i="2" s="1"/>
  <c r="O1184" i="2" a="1"/>
  <c r="O1184" i="2" s="1"/>
  <c r="P1184" i="2" a="1"/>
  <c r="P1184" i="2" s="1"/>
  <c r="Q1184" i="2" a="1"/>
  <c r="Q1184" i="2" s="1"/>
  <c r="A1185" i="2" a="1"/>
  <c r="A1185" i="2" s="1"/>
  <c r="B1185" i="2" a="1"/>
  <c r="B1185" i="2" s="1"/>
  <c r="C1185" i="2" a="1"/>
  <c r="C1185" i="2" s="1"/>
  <c r="D1185" i="2" a="1"/>
  <c r="D1185" i="2" s="1"/>
  <c r="E1185" i="2" a="1"/>
  <c r="E1185" i="2" s="1"/>
  <c r="F1185" i="2" a="1"/>
  <c r="F1185" i="2" s="1"/>
  <c r="G1185" i="2" a="1"/>
  <c r="G1185" i="2" s="1"/>
  <c r="H1185" i="2" a="1"/>
  <c r="H1185" i="2" s="1"/>
  <c r="I1185" i="2" a="1"/>
  <c r="I1185" i="2" s="1"/>
  <c r="J1185" i="2" a="1"/>
  <c r="J1185" i="2" s="1"/>
  <c r="K1185" i="2" a="1"/>
  <c r="K1185" i="2" s="1"/>
  <c r="L1185" i="2" a="1"/>
  <c r="L1185" i="2" s="1"/>
  <c r="M1185" i="2" a="1"/>
  <c r="M1185" i="2" s="1"/>
  <c r="N1185" i="2" a="1"/>
  <c r="N1185" i="2" s="1"/>
  <c r="O1185" i="2" a="1"/>
  <c r="O1185" i="2" s="1"/>
  <c r="P1185" i="2" a="1"/>
  <c r="P1185" i="2" s="1"/>
  <c r="Q1185" i="2" a="1"/>
  <c r="Q1185" i="2" s="1"/>
  <c r="A1186" i="2" a="1"/>
  <c r="A1186" i="2" s="1"/>
  <c r="B1186" i="2" a="1"/>
  <c r="B1186" i="2" s="1"/>
  <c r="C1186" i="2" a="1"/>
  <c r="C1186" i="2" s="1"/>
  <c r="D1186" i="2" a="1"/>
  <c r="D1186" i="2" s="1"/>
  <c r="E1186" i="2" a="1"/>
  <c r="E1186" i="2" s="1"/>
  <c r="F1186" i="2" a="1"/>
  <c r="F1186" i="2" s="1"/>
  <c r="G1186" i="2" a="1"/>
  <c r="G1186" i="2" s="1"/>
  <c r="H1186" i="2" a="1"/>
  <c r="H1186" i="2" s="1"/>
  <c r="I1186" i="2" a="1"/>
  <c r="I1186" i="2" s="1"/>
  <c r="J1186" i="2" a="1"/>
  <c r="J1186" i="2" s="1"/>
  <c r="K1186" i="2" a="1"/>
  <c r="K1186" i="2" s="1"/>
  <c r="L1186" i="2" a="1"/>
  <c r="L1186" i="2" s="1"/>
  <c r="M1186" i="2" a="1"/>
  <c r="M1186" i="2" s="1"/>
  <c r="N1186" i="2" a="1"/>
  <c r="N1186" i="2" s="1"/>
  <c r="O1186" i="2" a="1"/>
  <c r="O1186" i="2" s="1"/>
  <c r="P1186" i="2" a="1"/>
  <c r="P1186" i="2" s="1"/>
  <c r="Q1186" i="2" a="1"/>
  <c r="Q1186" i="2" s="1"/>
  <c r="A1187" i="2" a="1"/>
  <c r="A1187" i="2" s="1"/>
  <c r="B1187" i="2" a="1"/>
  <c r="B1187" i="2" s="1"/>
  <c r="C1187" i="2" a="1"/>
  <c r="C1187" i="2" s="1"/>
  <c r="D1187" i="2" a="1"/>
  <c r="D1187" i="2" s="1"/>
  <c r="E1187" i="2" a="1"/>
  <c r="E1187" i="2" s="1"/>
  <c r="F1187" i="2" a="1"/>
  <c r="F1187" i="2" s="1"/>
  <c r="G1187" i="2" a="1"/>
  <c r="G1187" i="2" s="1"/>
  <c r="H1187" i="2" a="1"/>
  <c r="H1187" i="2" s="1"/>
  <c r="I1187" i="2" a="1"/>
  <c r="I1187" i="2" s="1"/>
  <c r="J1187" i="2" a="1"/>
  <c r="J1187" i="2" s="1"/>
  <c r="K1187" i="2" a="1"/>
  <c r="K1187" i="2" s="1"/>
  <c r="L1187" i="2" a="1"/>
  <c r="L1187" i="2" s="1"/>
  <c r="M1187" i="2" a="1"/>
  <c r="M1187" i="2" s="1"/>
  <c r="N1187" i="2" a="1"/>
  <c r="N1187" i="2" s="1"/>
  <c r="O1187" i="2" a="1"/>
  <c r="O1187" i="2" s="1"/>
  <c r="P1187" i="2" a="1"/>
  <c r="P1187" i="2" s="1"/>
  <c r="Q1187" i="2" a="1"/>
  <c r="Q1187" i="2" s="1"/>
  <c r="A1188" i="2" a="1"/>
  <c r="A1188" i="2" s="1"/>
  <c r="B1188" i="2" a="1"/>
  <c r="B1188" i="2" s="1"/>
  <c r="C1188" i="2" a="1"/>
  <c r="C1188" i="2" s="1"/>
  <c r="D1188" i="2" a="1"/>
  <c r="D1188" i="2" s="1"/>
  <c r="E1188" i="2" a="1"/>
  <c r="E1188" i="2" s="1"/>
  <c r="F1188" i="2" a="1"/>
  <c r="F1188" i="2" s="1"/>
  <c r="G1188" i="2" a="1"/>
  <c r="G1188" i="2" s="1"/>
  <c r="H1188" i="2" a="1"/>
  <c r="H1188" i="2" s="1"/>
  <c r="I1188" i="2" a="1"/>
  <c r="I1188" i="2" s="1"/>
  <c r="J1188" i="2" a="1"/>
  <c r="J1188" i="2" s="1"/>
  <c r="K1188" i="2" a="1"/>
  <c r="K1188" i="2" s="1"/>
  <c r="L1188" i="2" a="1"/>
  <c r="L1188" i="2" s="1"/>
  <c r="M1188" i="2" a="1"/>
  <c r="M1188" i="2" s="1"/>
  <c r="N1188" i="2" a="1"/>
  <c r="N1188" i="2" s="1"/>
  <c r="O1188" i="2" a="1"/>
  <c r="O1188" i="2" s="1"/>
  <c r="P1188" i="2" a="1"/>
  <c r="P1188" i="2" s="1"/>
  <c r="Q1188" i="2" a="1"/>
  <c r="Q1188" i="2" s="1"/>
  <c r="A1189" i="2" a="1"/>
  <c r="A1189" i="2" s="1"/>
  <c r="B1189" i="2" a="1"/>
  <c r="B1189" i="2" s="1"/>
  <c r="C1189" i="2" a="1"/>
  <c r="C1189" i="2" s="1"/>
  <c r="D1189" i="2" a="1"/>
  <c r="D1189" i="2" s="1"/>
  <c r="E1189" i="2" a="1"/>
  <c r="E1189" i="2" s="1"/>
  <c r="F1189" i="2" a="1"/>
  <c r="F1189" i="2" s="1"/>
  <c r="G1189" i="2" a="1"/>
  <c r="G1189" i="2" s="1"/>
  <c r="H1189" i="2" a="1"/>
  <c r="H1189" i="2" s="1"/>
  <c r="I1189" i="2" a="1"/>
  <c r="I1189" i="2" s="1"/>
  <c r="J1189" i="2" a="1"/>
  <c r="J1189" i="2" s="1"/>
  <c r="K1189" i="2" a="1"/>
  <c r="K1189" i="2" s="1"/>
  <c r="L1189" i="2" a="1"/>
  <c r="L1189" i="2" s="1"/>
  <c r="M1189" i="2" a="1"/>
  <c r="M1189" i="2" s="1"/>
  <c r="N1189" i="2" a="1"/>
  <c r="N1189" i="2" s="1"/>
  <c r="O1189" i="2" a="1"/>
  <c r="O1189" i="2" s="1"/>
  <c r="P1189" i="2" a="1"/>
  <c r="P1189" i="2" s="1"/>
  <c r="Q1189" i="2" a="1"/>
  <c r="Q1189" i="2" s="1"/>
  <c r="A1190" i="2" a="1"/>
  <c r="A1190" i="2" s="1"/>
  <c r="B1190" i="2" a="1"/>
  <c r="B1190" i="2" s="1"/>
  <c r="C1190" i="2" a="1"/>
  <c r="C1190" i="2" s="1"/>
  <c r="D1190" i="2" a="1"/>
  <c r="D1190" i="2" s="1"/>
  <c r="E1190" i="2" a="1"/>
  <c r="E1190" i="2" s="1"/>
  <c r="F1190" i="2" a="1"/>
  <c r="F1190" i="2" s="1"/>
  <c r="G1190" i="2" a="1"/>
  <c r="G1190" i="2" s="1"/>
  <c r="H1190" i="2" a="1"/>
  <c r="H1190" i="2" s="1"/>
  <c r="I1190" i="2" a="1"/>
  <c r="I1190" i="2" s="1"/>
  <c r="J1190" i="2" a="1"/>
  <c r="J1190" i="2" s="1"/>
  <c r="K1190" i="2" a="1"/>
  <c r="K1190" i="2" s="1"/>
  <c r="L1190" i="2" a="1"/>
  <c r="L1190" i="2" s="1"/>
  <c r="M1190" i="2" a="1"/>
  <c r="M1190" i="2" s="1"/>
  <c r="N1190" i="2" a="1"/>
  <c r="N1190" i="2" s="1"/>
  <c r="O1190" i="2" a="1"/>
  <c r="O1190" i="2" s="1"/>
  <c r="P1190" i="2" a="1"/>
  <c r="P1190" i="2" s="1"/>
  <c r="Q1190" i="2" a="1"/>
  <c r="Q1190" i="2" s="1"/>
  <c r="A1191" i="2" a="1"/>
  <c r="A1191" i="2" s="1"/>
  <c r="B1191" i="2" a="1"/>
  <c r="B1191" i="2" s="1"/>
  <c r="C1191" i="2" a="1"/>
  <c r="C1191" i="2" s="1"/>
  <c r="D1191" i="2" a="1"/>
  <c r="D1191" i="2" s="1"/>
  <c r="E1191" i="2" a="1"/>
  <c r="E1191" i="2" s="1"/>
  <c r="F1191" i="2" a="1"/>
  <c r="F1191" i="2" s="1"/>
  <c r="G1191" i="2" a="1"/>
  <c r="G1191" i="2" s="1"/>
  <c r="H1191" i="2" a="1"/>
  <c r="H1191" i="2" s="1"/>
  <c r="I1191" i="2" a="1"/>
  <c r="I1191" i="2" s="1"/>
  <c r="J1191" i="2" a="1"/>
  <c r="J1191" i="2" s="1"/>
  <c r="K1191" i="2" a="1"/>
  <c r="K1191" i="2" s="1"/>
  <c r="L1191" i="2" a="1"/>
  <c r="L1191" i="2" s="1"/>
  <c r="M1191" i="2" a="1"/>
  <c r="M1191" i="2" s="1"/>
  <c r="N1191" i="2" a="1"/>
  <c r="N1191" i="2" s="1"/>
  <c r="O1191" i="2" a="1"/>
  <c r="O1191" i="2" s="1"/>
  <c r="P1191" i="2" a="1"/>
  <c r="P1191" i="2" s="1"/>
  <c r="Q1191" i="2" a="1"/>
  <c r="Q1191" i="2" s="1"/>
  <c r="A1192" i="2" a="1"/>
  <c r="A1192" i="2" s="1"/>
  <c r="B1192" i="2" a="1"/>
  <c r="B1192" i="2" s="1"/>
  <c r="C1192" i="2" a="1"/>
  <c r="C1192" i="2" s="1"/>
  <c r="D1192" i="2" a="1"/>
  <c r="D1192" i="2" s="1"/>
  <c r="E1192" i="2" a="1"/>
  <c r="E1192" i="2" s="1"/>
  <c r="F1192" i="2" a="1"/>
  <c r="F1192" i="2" s="1"/>
  <c r="G1192" i="2" a="1"/>
  <c r="G1192" i="2" s="1"/>
  <c r="H1192" i="2" a="1"/>
  <c r="H1192" i="2" s="1"/>
  <c r="I1192" i="2" a="1"/>
  <c r="I1192" i="2" s="1"/>
  <c r="J1192" i="2" a="1"/>
  <c r="J1192" i="2" s="1"/>
  <c r="K1192" i="2" a="1"/>
  <c r="K1192" i="2" s="1"/>
  <c r="L1192" i="2" a="1"/>
  <c r="L1192" i="2" s="1"/>
  <c r="M1192" i="2" a="1"/>
  <c r="M1192" i="2" s="1"/>
  <c r="N1192" i="2" a="1"/>
  <c r="N1192" i="2" s="1"/>
  <c r="O1192" i="2" a="1"/>
  <c r="O1192" i="2" s="1"/>
  <c r="P1192" i="2" a="1"/>
  <c r="P1192" i="2" s="1"/>
  <c r="Q1192" i="2" a="1"/>
  <c r="Q1192" i="2" s="1"/>
  <c r="A1193" i="2" a="1"/>
  <c r="A1193" i="2" s="1"/>
  <c r="B1193" i="2" a="1"/>
  <c r="B1193" i="2" s="1"/>
  <c r="C1193" i="2" a="1"/>
  <c r="C1193" i="2" s="1"/>
  <c r="D1193" i="2" a="1"/>
  <c r="D1193" i="2" s="1"/>
  <c r="E1193" i="2" a="1"/>
  <c r="E1193" i="2" s="1"/>
  <c r="F1193" i="2" a="1"/>
  <c r="F1193" i="2" s="1"/>
  <c r="G1193" i="2" a="1"/>
  <c r="G1193" i="2" s="1"/>
  <c r="H1193" i="2" a="1"/>
  <c r="H1193" i="2" s="1"/>
  <c r="I1193" i="2" a="1"/>
  <c r="I1193" i="2" s="1"/>
  <c r="J1193" i="2" a="1"/>
  <c r="J1193" i="2" s="1"/>
  <c r="K1193" i="2" a="1"/>
  <c r="K1193" i="2" s="1"/>
  <c r="L1193" i="2" a="1"/>
  <c r="L1193" i="2" s="1"/>
  <c r="M1193" i="2" a="1"/>
  <c r="M1193" i="2" s="1"/>
  <c r="N1193" i="2" a="1"/>
  <c r="N1193" i="2" s="1"/>
  <c r="O1193" i="2" a="1"/>
  <c r="O1193" i="2" s="1"/>
  <c r="P1193" i="2" a="1"/>
  <c r="P1193" i="2" s="1"/>
  <c r="Q1193" i="2" a="1"/>
  <c r="Q1193" i="2" s="1"/>
  <c r="A1194" i="2" a="1"/>
  <c r="A1194" i="2" s="1"/>
  <c r="B1194" i="2" a="1"/>
  <c r="B1194" i="2" s="1"/>
  <c r="C1194" i="2" a="1"/>
  <c r="C1194" i="2" s="1"/>
  <c r="D1194" i="2" a="1"/>
  <c r="D1194" i="2" s="1"/>
  <c r="E1194" i="2" a="1"/>
  <c r="E1194" i="2" s="1"/>
  <c r="F1194" i="2" a="1"/>
  <c r="F1194" i="2" s="1"/>
  <c r="G1194" i="2" a="1"/>
  <c r="G1194" i="2" s="1"/>
  <c r="H1194" i="2" a="1"/>
  <c r="H1194" i="2" s="1"/>
  <c r="I1194" i="2" a="1"/>
  <c r="I1194" i="2" s="1"/>
  <c r="J1194" i="2" a="1"/>
  <c r="J1194" i="2" s="1"/>
  <c r="K1194" i="2" a="1"/>
  <c r="K1194" i="2" s="1"/>
  <c r="L1194" i="2" a="1"/>
  <c r="L1194" i="2" s="1"/>
  <c r="M1194" i="2" a="1"/>
  <c r="M1194" i="2" s="1"/>
  <c r="N1194" i="2" a="1"/>
  <c r="N1194" i="2" s="1"/>
  <c r="O1194" i="2" a="1"/>
  <c r="O1194" i="2" s="1"/>
  <c r="P1194" i="2" a="1"/>
  <c r="P1194" i="2" s="1"/>
  <c r="Q1194" i="2" a="1"/>
  <c r="Q1194" i="2" s="1"/>
  <c r="A1195" i="2" a="1"/>
  <c r="A1195" i="2" s="1"/>
  <c r="B1195" i="2" a="1"/>
  <c r="B1195" i="2" s="1"/>
  <c r="C1195" i="2" a="1"/>
  <c r="C1195" i="2" s="1"/>
  <c r="D1195" i="2" a="1"/>
  <c r="D1195" i="2" s="1"/>
  <c r="E1195" i="2" a="1"/>
  <c r="E1195" i="2" s="1"/>
  <c r="F1195" i="2" a="1"/>
  <c r="F1195" i="2" s="1"/>
  <c r="G1195" i="2" a="1"/>
  <c r="G1195" i="2" s="1"/>
  <c r="H1195" i="2" a="1"/>
  <c r="H1195" i="2" s="1"/>
  <c r="I1195" i="2" a="1"/>
  <c r="I1195" i="2" s="1"/>
  <c r="J1195" i="2" a="1"/>
  <c r="J1195" i="2" s="1"/>
  <c r="K1195" i="2" a="1"/>
  <c r="K1195" i="2" s="1"/>
  <c r="L1195" i="2" a="1"/>
  <c r="L1195" i="2" s="1"/>
  <c r="M1195" i="2" a="1"/>
  <c r="M1195" i="2" s="1"/>
  <c r="N1195" i="2" a="1"/>
  <c r="N1195" i="2" s="1"/>
  <c r="O1195" i="2" a="1"/>
  <c r="O1195" i="2" s="1"/>
  <c r="P1195" i="2" a="1"/>
  <c r="P1195" i="2" s="1"/>
  <c r="Q1195" i="2" a="1"/>
  <c r="Q1195" i="2" s="1"/>
  <c r="A1196" i="2" a="1"/>
  <c r="A1196" i="2" s="1"/>
  <c r="B1196" i="2" a="1"/>
  <c r="B1196" i="2" s="1"/>
  <c r="C1196" i="2" a="1"/>
  <c r="C1196" i="2" s="1"/>
  <c r="D1196" i="2" a="1"/>
  <c r="D1196" i="2" s="1"/>
  <c r="E1196" i="2" a="1"/>
  <c r="E1196" i="2" s="1"/>
  <c r="F1196" i="2" a="1"/>
  <c r="F1196" i="2" s="1"/>
  <c r="G1196" i="2" a="1"/>
  <c r="G1196" i="2" s="1"/>
  <c r="H1196" i="2" a="1"/>
  <c r="H1196" i="2" s="1"/>
  <c r="I1196" i="2" a="1"/>
  <c r="I1196" i="2" s="1"/>
  <c r="J1196" i="2" a="1"/>
  <c r="J1196" i="2" s="1"/>
  <c r="K1196" i="2" a="1"/>
  <c r="K1196" i="2" s="1"/>
  <c r="L1196" i="2" a="1"/>
  <c r="L1196" i="2" s="1"/>
  <c r="M1196" i="2" a="1"/>
  <c r="M1196" i="2" s="1"/>
  <c r="N1196" i="2" a="1"/>
  <c r="N1196" i="2" s="1"/>
  <c r="O1196" i="2" a="1"/>
  <c r="O1196" i="2" s="1"/>
  <c r="P1196" i="2" a="1"/>
  <c r="P1196" i="2" s="1"/>
  <c r="Q1196" i="2" a="1"/>
  <c r="Q1196" i="2" s="1"/>
  <c r="A1197" i="2" a="1"/>
  <c r="A1197" i="2" s="1"/>
  <c r="B1197" i="2" a="1"/>
  <c r="B1197" i="2" s="1"/>
  <c r="C1197" i="2" a="1"/>
  <c r="C1197" i="2" s="1"/>
  <c r="D1197" i="2" a="1"/>
  <c r="D1197" i="2" s="1"/>
  <c r="E1197" i="2" a="1"/>
  <c r="E1197" i="2" s="1"/>
  <c r="F1197" i="2" a="1"/>
  <c r="F1197" i="2" s="1"/>
  <c r="G1197" i="2" a="1"/>
  <c r="G1197" i="2" s="1"/>
  <c r="H1197" i="2" a="1"/>
  <c r="H1197" i="2" s="1"/>
  <c r="I1197" i="2" a="1"/>
  <c r="I1197" i="2" s="1"/>
  <c r="J1197" i="2" a="1"/>
  <c r="J1197" i="2" s="1"/>
  <c r="K1197" i="2" a="1"/>
  <c r="K1197" i="2" s="1"/>
  <c r="L1197" i="2" a="1"/>
  <c r="L1197" i="2" s="1"/>
  <c r="M1197" i="2" a="1"/>
  <c r="M1197" i="2" s="1"/>
  <c r="N1197" i="2" a="1"/>
  <c r="N1197" i="2" s="1"/>
  <c r="O1197" i="2" a="1"/>
  <c r="O1197" i="2" s="1"/>
  <c r="P1197" i="2" a="1"/>
  <c r="P1197" i="2" s="1"/>
  <c r="Q1197" i="2" a="1"/>
  <c r="Q1197" i="2" s="1"/>
  <c r="A1198" i="2" a="1"/>
  <c r="A1198" i="2" s="1"/>
  <c r="B1198" i="2" a="1"/>
  <c r="B1198" i="2" s="1"/>
  <c r="C1198" i="2" a="1"/>
  <c r="C1198" i="2" s="1"/>
  <c r="D1198" i="2" a="1"/>
  <c r="D1198" i="2" s="1"/>
  <c r="E1198" i="2" a="1"/>
  <c r="E1198" i="2" s="1"/>
  <c r="F1198" i="2" a="1"/>
  <c r="F1198" i="2" s="1"/>
  <c r="G1198" i="2" a="1"/>
  <c r="G1198" i="2" s="1"/>
  <c r="H1198" i="2" a="1"/>
  <c r="H1198" i="2" s="1"/>
  <c r="I1198" i="2" a="1"/>
  <c r="I1198" i="2" s="1"/>
  <c r="J1198" i="2" a="1"/>
  <c r="J1198" i="2" s="1"/>
  <c r="K1198" i="2" a="1"/>
  <c r="K1198" i="2" s="1"/>
  <c r="L1198" i="2" a="1"/>
  <c r="L1198" i="2" s="1"/>
  <c r="M1198" i="2" a="1"/>
  <c r="M1198" i="2" s="1"/>
  <c r="N1198" i="2" a="1"/>
  <c r="N1198" i="2" s="1"/>
  <c r="O1198" i="2" a="1"/>
  <c r="O1198" i="2" s="1"/>
  <c r="P1198" i="2" a="1"/>
  <c r="P1198" i="2" s="1"/>
  <c r="Q1198" i="2" a="1"/>
  <c r="Q1198" i="2" s="1"/>
  <c r="A1199" i="2" a="1"/>
  <c r="A1199" i="2" s="1"/>
  <c r="B1199" i="2" a="1"/>
  <c r="B1199" i="2" s="1"/>
  <c r="C1199" i="2" a="1"/>
  <c r="C1199" i="2" s="1"/>
  <c r="D1199" i="2" a="1"/>
  <c r="D1199" i="2" s="1"/>
  <c r="E1199" i="2" a="1"/>
  <c r="E1199" i="2" s="1"/>
  <c r="F1199" i="2" a="1"/>
  <c r="F1199" i="2" s="1"/>
  <c r="G1199" i="2" a="1"/>
  <c r="G1199" i="2" s="1"/>
  <c r="H1199" i="2" a="1"/>
  <c r="H1199" i="2" s="1"/>
  <c r="I1199" i="2" a="1"/>
  <c r="I1199" i="2" s="1"/>
  <c r="J1199" i="2" a="1"/>
  <c r="J1199" i="2" s="1"/>
  <c r="K1199" i="2" a="1"/>
  <c r="K1199" i="2" s="1"/>
  <c r="L1199" i="2" a="1"/>
  <c r="L1199" i="2" s="1"/>
  <c r="M1199" i="2" a="1"/>
  <c r="M1199" i="2" s="1"/>
  <c r="N1199" i="2" a="1"/>
  <c r="N1199" i="2" s="1"/>
  <c r="O1199" i="2" a="1"/>
  <c r="O1199" i="2" s="1"/>
  <c r="P1199" i="2" a="1"/>
  <c r="P1199" i="2" s="1"/>
  <c r="Q1199" i="2" a="1"/>
  <c r="Q1199" i="2" s="1"/>
  <c r="A1200" i="2" a="1"/>
  <c r="A1200" i="2" s="1"/>
  <c r="B1200" i="2" a="1"/>
  <c r="B1200" i="2" s="1"/>
  <c r="C1200" i="2" a="1"/>
  <c r="C1200" i="2" s="1"/>
  <c r="D1200" i="2" a="1"/>
  <c r="D1200" i="2" s="1"/>
  <c r="E1200" i="2" a="1"/>
  <c r="E1200" i="2" s="1"/>
  <c r="F1200" i="2" a="1"/>
  <c r="F1200" i="2" s="1"/>
  <c r="G1200" i="2" a="1"/>
  <c r="G1200" i="2" s="1"/>
  <c r="H1200" i="2" a="1"/>
  <c r="H1200" i="2" s="1"/>
  <c r="I1200" i="2" a="1"/>
  <c r="I1200" i="2" s="1"/>
  <c r="J1200" i="2" a="1"/>
  <c r="J1200" i="2" s="1"/>
  <c r="K1200" i="2" a="1"/>
  <c r="K1200" i="2" s="1"/>
  <c r="L1200" i="2" a="1"/>
  <c r="L1200" i="2" s="1"/>
  <c r="M1200" i="2" a="1"/>
  <c r="M1200" i="2" s="1"/>
  <c r="N1200" i="2" a="1"/>
  <c r="N1200" i="2" s="1"/>
  <c r="O1200" i="2" a="1"/>
  <c r="O1200" i="2" s="1"/>
  <c r="P1200" i="2" a="1"/>
  <c r="P1200" i="2" s="1"/>
  <c r="Q1200" i="2" a="1"/>
  <c r="Q1200" i="2" s="1"/>
  <c r="A1201" i="2" a="1"/>
  <c r="A1201" i="2" s="1"/>
  <c r="B1201" i="2" a="1"/>
  <c r="B1201" i="2" s="1"/>
  <c r="C1201" i="2" a="1"/>
  <c r="C1201" i="2" s="1"/>
  <c r="D1201" i="2" a="1"/>
  <c r="D1201" i="2" s="1"/>
  <c r="E1201" i="2" a="1"/>
  <c r="E1201" i="2" s="1"/>
  <c r="F1201" i="2" a="1"/>
  <c r="F1201" i="2" s="1"/>
  <c r="G1201" i="2" a="1"/>
  <c r="G1201" i="2" s="1"/>
  <c r="H1201" i="2" a="1"/>
  <c r="H1201" i="2" s="1"/>
  <c r="I1201" i="2" a="1"/>
  <c r="I1201" i="2" s="1"/>
  <c r="J1201" i="2" a="1"/>
  <c r="J1201" i="2" s="1"/>
  <c r="K1201" i="2" a="1"/>
  <c r="K1201" i="2" s="1"/>
  <c r="L1201" i="2" a="1"/>
  <c r="L1201" i="2" s="1"/>
  <c r="M1201" i="2" a="1"/>
  <c r="M1201" i="2" s="1"/>
  <c r="N1201" i="2" a="1"/>
  <c r="N1201" i="2" s="1"/>
  <c r="O1201" i="2" a="1"/>
  <c r="O1201" i="2" s="1"/>
  <c r="P1201" i="2" a="1"/>
  <c r="P1201" i="2" s="1"/>
  <c r="Q1201" i="2" a="1"/>
  <c r="Q1201" i="2" s="1"/>
  <c r="A1202" i="2" a="1"/>
  <c r="A1202" i="2" s="1"/>
  <c r="B1202" i="2" a="1"/>
  <c r="B1202" i="2" s="1"/>
  <c r="C1202" i="2" a="1"/>
  <c r="C1202" i="2" s="1"/>
  <c r="D1202" i="2" a="1"/>
  <c r="D1202" i="2" s="1"/>
  <c r="E1202" i="2" a="1"/>
  <c r="E1202" i="2" s="1"/>
  <c r="F1202" i="2" a="1"/>
  <c r="F1202" i="2" s="1"/>
  <c r="G1202" i="2" a="1"/>
  <c r="G1202" i="2" s="1"/>
  <c r="H1202" i="2" a="1"/>
  <c r="H1202" i="2" s="1"/>
  <c r="I1202" i="2" a="1"/>
  <c r="I1202" i="2" s="1"/>
  <c r="J1202" i="2" a="1"/>
  <c r="J1202" i="2" s="1"/>
  <c r="K1202" i="2" a="1"/>
  <c r="K1202" i="2" s="1"/>
  <c r="L1202" i="2" a="1"/>
  <c r="L1202" i="2" s="1"/>
  <c r="M1202" i="2" a="1"/>
  <c r="M1202" i="2" s="1"/>
  <c r="N1202" i="2" a="1"/>
  <c r="N1202" i="2" s="1"/>
  <c r="O1202" i="2" a="1"/>
  <c r="O1202" i="2" s="1"/>
  <c r="P1202" i="2" a="1"/>
  <c r="P1202" i="2" s="1"/>
  <c r="Q1202" i="2" a="1"/>
  <c r="Q1202" i="2" s="1"/>
  <c r="A1203" i="2" a="1"/>
  <c r="A1203" i="2" s="1"/>
  <c r="B1203" i="2" a="1"/>
  <c r="B1203" i="2" s="1"/>
  <c r="C1203" i="2" a="1"/>
  <c r="C1203" i="2" s="1"/>
  <c r="D1203" i="2" a="1"/>
  <c r="D1203" i="2" s="1"/>
  <c r="E1203" i="2" a="1"/>
  <c r="E1203" i="2" s="1"/>
  <c r="F1203" i="2" a="1"/>
  <c r="F1203" i="2" s="1"/>
  <c r="G1203" i="2" a="1"/>
  <c r="G1203" i="2" s="1"/>
  <c r="H1203" i="2" a="1"/>
  <c r="H1203" i="2" s="1"/>
  <c r="I1203" i="2" a="1"/>
  <c r="I1203" i="2" s="1"/>
  <c r="J1203" i="2" a="1"/>
  <c r="J1203" i="2" s="1"/>
  <c r="K1203" i="2" a="1"/>
  <c r="K1203" i="2" s="1"/>
  <c r="L1203" i="2" a="1"/>
  <c r="L1203" i="2" s="1"/>
  <c r="M1203" i="2" a="1"/>
  <c r="M1203" i="2" s="1"/>
  <c r="N1203" i="2" a="1"/>
  <c r="N1203" i="2" s="1"/>
  <c r="O1203" i="2" a="1"/>
  <c r="O1203" i="2" s="1"/>
  <c r="P1203" i="2" a="1"/>
  <c r="P1203" i="2" s="1"/>
  <c r="Q1203" i="2" a="1"/>
  <c r="Q1203" i="2" s="1"/>
  <c r="A1204" i="2" a="1"/>
  <c r="A1204" i="2" s="1"/>
  <c r="B1204" i="2" a="1"/>
  <c r="B1204" i="2" s="1"/>
  <c r="C1204" i="2" a="1"/>
  <c r="C1204" i="2" s="1"/>
  <c r="D1204" i="2" a="1"/>
  <c r="D1204" i="2" s="1"/>
  <c r="E1204" i="2" a="1"/>
  <c r="E1204" i="2" s="1"/>
  <c r="F1204" i="2" a="1"/>
  <c r="F1204" i="2" s="1"/>
  <c r="G1204" i="2" a="1"/>
  <c r="G1204" i="2" s="1"/>
  <c r="H1204" i="2" a="1"/>
  <c r="H1204" i="2" s="1"/>
  <c r="I1204" i="2" a="1"/>
  <c r="I1204" i="2" s="1"/>
  <c r="J1204" i="2" a="1"/>
  <c r="J1204" i="2" s="1"/>
  <c r="K1204" i="2" a="1"/>
  <c r="K1204" i="2" s="1"/>
  <c r="L1204" i="2" a="1"/>
  <c r="L1204" i="2" s="1"/>
  <c r="M1204" i="2" a="1"/>
  <c r="M1204" i="2" s="1"/>
  <c r="N1204" i="2" a="1"/>
  <c r="N1204" i="2" s="1"/>
  <c r="O1204" i="2" a="1"/>
  <c r="O1204" i="2" s="1"/>
  <c r="P1204" i="2" a="1"/>
  <c r="P1204" i="2" s="1"/>
  <c r="Q1204" i="2" a="1"/>
  <c r="Q1204" i="2" s="1"/>
</calcChain>
</file>

<file path=xl/sharedStrings.xml><?xml version="1.0" encoding="utf-8"?>
<sst xmlns="http://schemas.openxmlformats.org/spreadsheetml/2006/main" count="259" uniqueCount="159">
  <si>
    <t>FORMATO ÚNICO DE CONTEO ESTRUCTURADO DE PÚBLICOS - SCRD</t>
  </si>
  <si>
    <t>Formato Único de Conteo Estructurado de Públicos</t>
  </si>
  <si>
    <t>Este archivo permite registrar múltiples actividades y conteos. Se utiliza UNA pestaña según el método aplicado. El único identificador obligatorio es ID actividad. Cuando una misma actividad requiera varios registros —por ejemplo, varios sectores, observaciones horarias o puntos de control— se repite el mismo ID actividad en todas las filas relacionadas.</t>
  </si>
  <si>
    <t>Código: DES-GU-04-FR-01</t>
  </si>
  <si>
    <t>Pestaña</t>
  </si>
  <si>
    <t>Cuándo se usa</t>
  </si>
  <si>
    <t>Qué representa cada fila</t>
  </si>
  <si>
    <t>Resultado principal</t>
  </si>
  <si>
    <t>Ejemplo sencillo</t>
  </si>
  <si>
    <t>Regla clave</t>
  </si>
  <si>
    <t>Clasificación</t>
  </si>
  <si>
    <t>M1_Administrativo</t>
  </si>
  <si>
    <t>Existe boletería validada, torniquete, check-in o sistema confiable.</t>
  </si>
  <si>
    <t>Una actividad y su fuente administrativa.</t>
  </si>
  <si>
    <t>Accesos/usos efectivos.</t>
  </si>
  <si>
    <t>600 reservas; 512 accesos → se reportan 512.</t>
  </si>
  <si>
    <t>No usar inscritos si existe dato de acceso real.</t>
  </si>
  <si>
    <t>RA</t>
  </si>
  <si>
    <t>M2_Accesos</t>
  </si>
  <si>
    <t>El público atraviesa uno o varios accesos controlables.</t>
  </si>
  <si>
    <t>Un resultado consolidado de todos los accesos de la actividad o periodo.</t>
  </si>
  <si>
    <t>Versión: 1</t>
  </si>
  <si>
    <t>Entradas totales; o entradas menos salidas si se mide ocupación.</t>
  </si>
  <si>
    <t>A=420, B=210, C=35 → en el formato se registra 665 entradas.</t>
  </si>
  <si>
    <t>Los conteos por puerta se conservan como soporte, pero aquí se consolida el total.</t>
  </si>
  <si>
    <t>RD</t>
  </si>
  <si>
    <t>M3_Silleteria</t>
  </si>
  <si>
    <t>Hay silletería conocida, público estable y baja circulación.</t>
  </si>
  <si>
    <t>Una observación consolidada del recinto.</t>
  </si>
  <si>
    <t>Puestos habilitados - vacíos + ingresos tardíos controlados.</t>
  </si>
  <si>
    <t>480 - 27 + 12 = 465.</t>
  </si>
  <si>
    <t>No usar como único método si hay público de pie significativo.</t>
  </si>
  <si>
    <t>ID actividad</t>
  </si>
  <si>
    <t>CD</t>
  </si>
  <si>
    <t>M4_Sectores</t>
  </si>
  <si>
    <t>No hay accesos controlados y el público puede dividirse en sectores.</t>
  </si>
  <si>
    <t>Un sector de una medición específica.</t>
  </si>
  <si>
    <t>Suma de sectores del mismo ID y momento.</t>
  </si>
  <si>
    <t>S1=210, S2=185, S3=140 → total momento 535.</t>
  </si>
  <si>
    <t>No sumar mediciones realizadas en momentos diferentes.</t>
  </si>
  <si>
    <t>Descripción de la actividad</t>
  </si>
  <si>
    <t>EE</t>
  </si>
  <si>
    <t>M5_Ocupacion</t>
  </si>
  <si>
    <t>Fecha</t>
  </si>
  <si>
    <t>Hay circulación continua y no se controlan todas las entradas.</t>
  </si>
  <si>
    <t>Una observación programada de ocupación.</t>
  </si>
  <si>
    <t>Dependencia</t>
  </si>
  <si>
    <t>Ocupación de cada momento y promedio de observaciones completas.</t>
  </si>
  <si>
    <t>Actividad / evento / servicio</t>
  </si>
  <si>
    <t>10:15=25; 11:15=42 → promedio 33,5.</t>
  </si>
  <si>
    <t>Lugar / equipamiento</t>
  </si>
  <si>
    <t>Las observaciones no se suman como visitantes.</t>
  </si>
  <si>
    <t>MO</t>
  </si>
  <si>
    <t>Espacio / recorrido</t>
  </si>
  <si>
    <t>Método de conteo</t>
  </si>
  <si>
    <t>M6_Puntos_Control</t>
  </si>
  <si>
    <t>Unidad de medición</t>
  </si>
  <si>
    <t>La población se desplaza por un recorrido.</t>
  </si>
  <si>
    <t>Resultado / cantidad reportada</t>
  </si>
  <si>
    <t>Un punto de control consolidado.</t>
  </si>
  <si>
    <t>Dato del punto definido como referencia oficial.</t>
  </si>
  <si>
    <t>¿Hubo novedad?</t>
  </si>
  <si>
    <t>PC1=1.250; PC3=1.195 oficial → se reporta 1.195.</t>
  </si>
  <si>
    <t>Descripción de la novedad</t>
  </si>
  <si>
    <t>Varios puntos de la misma población se comparan, no se suman.</t>
  </si>
  <si>
    <t>Soporte / referencia</t>
  </si>
  <si>
    <t>Momento / punto</t>
  </si>
  <si>
    <t>Fila de origen</t>
  </si>
  <si>
    <t>Estado del resultado</t>
  </si>
  <si>
    <t>REGLAS GENERALES DE DILIGENCIAMIENTO</t>
  </si>
  <si>
    <t>1</t>
  </si>
  <si>
    <t>Use solo el ID actividad institucional. Repítalo cuando la misma actividad requiera varias filas de detalle.</t>
  </si>
  <si>
    <t>2</t>
  </si>
  <si>
    <t>Las filas 9 y 10 de cada pestaña son ejemplos; el registro oficial inicia en la fila 13.</t>
  </si>
  <si>
    <t>3</t>
  </si>
  <si>
    <t>Las columnas grises contienen resultados o clasificaciones automáticas. No es necesario diligenciarlas manualmente.</t>
  </si>
  <si>
    <t>4</t>
  </si>
  <si>
    <t>Registre las novedades de manera breve y objetiva cuando puedan afectar el dato.</t>
  </si>
  <si>
    <t>5</t>
  </si>
  <si>
    <t>El soporte puede ser un archivo, reporte, bitácora, croquis, fotografía del dispositivo metodológico u otra evidencia identificable.</t>
  </si>
  <si>
    <t>6</t>
  </si>
  <si>
    <t>Si la situación no está prevista en la guía, consulte a la Oficina Asesora de Planeación antes de usar la cifra como dato oficial.</t>
  </si>
  <si>
    <t>M1 - REGISTRO ADMINISTRATIVO</t>
  </si>
  <si>
    <t>M2 - CONTEO POR ACCESOS</t>
  </si>
  <si>
    <t>Cuando existe una fuente administrativa o tecnológica confiable: boletería validada, torniquete, check-in, sistema de reservas con confirmación de ingreso o sistema de uso del servicio.</t>
  </si>
  <si>
    <t>Cuando no existe un sistema administrativo suficiente, pero el público atraviesa uno o varios accesos identificables y controlables.</t>
  </si>
  <si>
    <t>Una actividad, evento o servicio y el dato final producido por la fuente administrativa.</t>
  </si>
  <si>
    <t>El resultado CONSOLIDADO de todos los accesos habilitados para una actividad o periodo. No se registra una fila por puerta.</t>
  </si>
  <si>
    <t>Qué diligenciar</t>
  </si>
  <si>
    <t>Identificación de la actividad, unidad de medición, fuente, datos de referencia y accesos/usos efectivos. Indique si el sistema cubre toda la operación.</t>
  </si>
  <si>
    <t>Indique cuántos accesos estuvieron habilitados y registre la suma final de entradas de todos ellos. Si se controlaron salidas, registre también el total consolidado.</t>
  </si>
  <si>
    <t>Resultado</t>
  </si>
  <si>
    <t>Si la unidad es ocupación simultánea, se calcula entradas menos salidas. Para asistentes, ingresos/visitas o participaciones se toma el total de entradas.</t>
  </si>
  <si>
    <t>Se utiliza el número de accesos/usos efectivos cuando la cobertura es completa. Los inscritos o emitidos quedan solo como referencia.</t>
  </si>
  <si>
    <t>Importante</t>
  </si>
  <si>
    <t>Si un reingreso genera un nuevo registro, la cifra puede representar ingresos/usos y no personas únicas.</t>
  </si>
  <si>
    <t>Ejemplo de 'accesos': puerta principal, acceso lateral y acceso de invitados. Los subtotales por puerta pueden conservarse en la bitácora o soporte; este formato recibe el total consolidado.</t>
  </si>
  <si>
    <t>Espacio específico</t>
  </si>
  <si>
    <t>Fuente administrativa</t>
  </si>
  <si>
    <t>Inscritos / emitidos (referencia)</t>
  </si>
  <si>
    <t>Accesos / usos efectivos</t>
  </si>
  <si>
    <t>¿Reingreso genera nuevo registro?</t>
  </si>
  <si>
    <t>¿Cobertura completa?</t>
  </si>
  <si>
    <t>N.º de accesos habilitados</t>
  </si>
  <si>
    <t>Hora inicio del conteo</t>
  </si>
  <si>
    <t>Resultado para reporte</t>
  </si>
  <si>
    <t>Responsable de captura</t>
  </si>
  <si>
    <t>Hora fin del conteo</t>
  </si>
  <si>
    <t>Total entradas (todos los accesos)</t>
  </si>
  <si>
    <t>Total salidas (todos los accesos)</t>
  </si>
  <si>
    <t>Breve descripción de la actividad</t>
  </si>
  <si>
    <t>M3 - AFORO MEDIANTE SILLETERÍA</t>
  </si>
  <si>
    <t>En teatros, auditorios, salas o escenarios con silletería conocida, público predominantemente sentado y baja circulación.</t>
  </si>
  <si>
    <t>Una observación consolidada del recinto en un momento definido.</t>
  </si>
  <si>
    <t>Registre los puestos realmente habilitados, los puestos vacíos observados y, solo si fueron controlados, los ingresos tardíos posteriores al conteo.</t>
  </si>
  <si>
    <t>Puestos habilitados - puestos vacíos + ingresos tardíos controlados.</t>
  </si>
  <si>
    <t>No incluya sillas bloqueadas o no disponibles como puestos habilitados. Si existe público de pie significativo, combine con otro método.</t>
  </si>
  <si>
    <t>Hora / momento de observación</t>
  </si>
  <si>
    <t>Puestos habilitados</t>
  </si>
  <si>
    <t>Puestos vacíos</t>
  </si>
  <si>
    <t>Ingresos tardíos posteriores al conteo</t>
  </si>
  <si>
    <t>Informe Informe desagregado del mes de septiembre de 2026 de presentaciones artísticas en el Centro Felicidad Chapinero.</t>
  </si>
  <si>
    <t>M4 - CONTEO MEDIANTE BARRIDO POR SECTORES</t>
  </si>
  <si>
    <t>En parques, plazas, plazoletas y espacios sin accesos controlados donde el público se concentra en un área observable que puede dividirse en sectores.</t>
  </si>
  <si>
    <t>Un sector de una misma medición. Repita el ID actividad y el mismo momento de medición para todos los sectores que conforman la 'foto' de ocupación.</t>
  </si>
  <si>
    <t>Nombre del sector, límites claros y número de personas observadas. Ejemplo de delimitación: 'tarima al norte, poste 1 al oriente, sendero central al sur'.</t>
  </si>
  <si>
    <t>El total del momento se calcula sumando los sectores que tienen el mismo ID actividad y la misma hora/momento.</t>
  </si>
  <si>
    <t>No sume mediciones de horas diferentes. Si la sectorización no es clara o la densidad impide contar individualmente, consulte a la OAP.</t>
  </si>
  <si>
    <t>Momento de medición</t>
  </si>
  <si>
    <t>Sector</t>
  </si>
  <si>
    <t>Delimitación del sector</t>
  </si>
  <si>
    <t>Personas observadas en el sector</t>
  </si>
  <si>
    <t>Total del momento</t>
  </si>
  <si>
    <t>M5 - MUESTREO PERIÓDICO DE OCUPACIÓN</t>
  </si>
  <si>
    <t>En galerías, exposiciones, espacios polivalentes y servicios con circulación continua donde no es posible controlar todas las entradas y salidas.</t>
  </si>
  <si>
    <t>Una observación programada de ocupación. Repita el ID actividad en cada ronda del mismo periodo.</t>
  </si>
  <si>
    <t>Frecuencia definida, hora programada, hora real y número de personas presentes. Marque si la medición fue completa.</t>
  </si>
  <si>
    <t>Cada fila conserva la ocupación del momento. El promedio se calcula únicamente con observaciones completas del mismo ID actividad.</t>
  </si>
  <si>
    <t>No sume las observaciones para obtener visitantes. Si necesita visitas o ingresos, combine este método con M1 o M2.</t>
  </si>
  <si>
    <t>EJEMPLOS DE DILIGENCIAMIENTO — son orientativos y no hacen parte del registro oficial</t>
  </si>
  <si>
    <t>Frecuencia programada</t>
  </si>
  <si>
    <t>Hora programada</t>
  </si>
  <si>
    <t>Hora real</t>
  </si>
  <si>
    <t>Personas presentes</t>
  </si>
  <si>
    <t>¿Medición completa?</t>
  </si>
  <si>
    <t>Promedio de ocupación de la actividad</t>
  </si>
  <si>
    <t>M6 - CONTEO MEDIANTE PUNTOS DE CONTROL O TRAMOS</t>
  </si>
  <si>
    <t>En desfiles, comparsas, marchas, recorridos culturales o recreativos y otras actividades donde la población se desplaza.</t>
  </si>
  <si>
    <t>Un punto de control ya consolidado. Si en ese punto hubo dos contadores por carril o costado, primero se suman y se registra aquí el total del punto.</t>
  </si>
  <si>
    <t>Tipo de población, nombre del punto, ubicación, total contado y si ese punto fue definido como referencia oficial para el reporte.</t>
  </si>
  <si>
    <t>Solo la fila marcada como punto oficial muestra un resultado para reporte. Los demás puntos sirven para comparar variaciones del recorrido.</t>
  </si>
  <si>
    <t>Ejemplo de punto de control: 'PC3 - ingreso a Plaza B'. Los distintos puntos que cuentan a la misma población no se suman.</t>
  </si>
  <si>
    <t>Recorrido</t>
  </si>
  <si>
    <t>Tipo de población</t>
  </si>
  <si>
    <t>Punto de control</t>
  </si>
  <si>
    <t>Descripción de la ubicación</t>
  </si>
  <si>
    <t>¿Punto oficial para reporte?</t>
  </si>
  <si>
    <t>Personas contadas en el punto</t>
  </si>
  <si>
    <t>Fecha: 28/10/2026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</si>
</sst>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dd/mm/yyyy"/>
    <numFmt numFmtId="165" formatCode="hh:mm"/>
    <numFmt numFmtId="166" formatCode="#,##0.0"/>
    <numFmt numFmtId="167" formatCode="0.0"/>
  </numFmts>
  <fonts count="15">
    <font>
      <sz val="11"/>
      <color rgb="FF000000"/>
      <name val="Carlito"/>
      <scheme val="minor"/>
    </font>
    <font>
      <sz val="10"/>
      <color rgb="FF000000"/>
      <name val="Arial"/>
    </font>
    <font>
      <b/>
      <sz val="14"/>
      <color rgb="FFFFFFFF"/>
      <name val="Carlito"/>
    </font>
    <font>
      <sz val="11"/>
      <name val="Carlito"/>
    </font>
    <font>
      <b/>
      <sz val="16"/>
      <color rgb="FF563B85"/>
      <name val="Arial"/>
    </font>
    <font>
      <sz val="10"/>
      <color rgb="FF2F2F2F"/>
      <name val="Carlito"/>
    </font>
    <font>
      <sz val="11"/>
      <color rgb="FF000000"/>
      <name val="Arial"/>
    </font>
    <font>
      <b/>
      <sz val="9"/>
      <color rgb="FFFFFFFF"/>
      <name val="Carlito"/>
    </font>
    <font>
      <sz val="9"/>
      <color theme="1"/>
      <name val="Carlito"/>
    </font>
    <font>
      <b/>
      <sz val="10"/>
      <color rgb="FFFFFFFF"/>
      <name val="Arial"/>
    </font>
    <font>
      <b/>
      <sz val="11"/>
      <color rgb="FFFFFFFF"/>
      <name val="Carlito"/>
    </font>
    <font>
      <b/>
      <sz val="11"/>
      <color rgb="FF5A3A8A"/>
      <name val="Carlito"/>
    </font>
    <font>
      <b/>
      <sz val="9"/>
      <color rgb="FF5A3A8A"/>
      <name val="Carlito"/>
    </font>
    <font>
      <sz val="9"/>
      <color rgb="FF2F2F2F"/>
      <name val="Carlito"/>
    </font>
    <font>
      <sz val="11"/>
      <color theme="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5A3A8A"/>
        <bgColor rgb="FF5A3A8A"/>
      </patternFill>
    </fill>
    <fill>
      <patternFill patternType="solid">
        <fgColor rgb="FFF2EFF7"/>
        <bgColor rgb="FFF2EFF7"/>
      </patternFill>
    </fill>
    <fill>
      <patternFill patternType="solid">
        <fgColor rgb="FF563B85"/>
        <bgColor rgb="FF563B85"/>
      </patternFill>
    </fill>
    <fill>
      <patternFill patternType="solid">
        <fgColor rgb="FFE7E7E7"/>
        <bgColor rgb="FFE7E7E7"/>
      </patternFill>
    </fill>
    <fill>
      <patternFill patternType="solid">
        <fgColor rgb="FFEAF3F8"/>
        <bgColor rgb="FFEAF3F8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7" fillId="2" borderId="11" xfId="0" applyFont="1" applyFill="1" applyBorder="1" applyAlignment="1">
      <alignment wrapText="1"/>
    </xf>
    <xf numFmtId="0" fontId="8" fillId="0" borderId="0" xfId="0" applyFont="1" applyAlignment="1">
      <alignment vertical="top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vertical="center" wrapText="1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2" fillId="3" borderId="11" xfId="0" applyFont="1" applyFill="1" applyBorder="1" applyAlignment="1">
      <alignment vertical="top" wrapText="1"/>
    </xf>
    <xf numFmtId="0" fontId="1" fillId="0" borderId="0" xfId="0" applyFont="1" applyAlignment="1">
      <alignment vertical="center" wrapText="1"/>
    </xf>
    <xf numFmtId="0" fontId="7" fillId="2" borderId="1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164" fontId="8" fillId="0" borderId="0" xfId="0" applyNumberFormat="1" applyFont="1" applyAlignment="1">
      <alignment vertical="top" wrapText="1"/>
    </xf>
    <xf numFmtId="0" fontId="8" fillId="5" borderId="11" xfId="0" applyFont="1" applyFill="1" applyBorder="1" applyAlignment="1">
      <alignment vertical="top" wrapText="1"/>
    </xf>
    <xf numFmtId="165" fontId="8" fillId="0" borderId="0" xfId="0" applyNumberFormat="1" applyFont="1" applyAlignment="1">
      <alignment vertical="top" wrapText="1"/>
    </xf>
    <xf numFmtId="166" fontId="1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4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167" fontId="8" fillId="5" borderId="11" xfId="0" applyNumberFormat="1" applyFont="1" applyFill="1" applyBorder="1" applyAlignment="1">
      <alignment vertical="top" wrapText="1"/>
    </xf>
    <xf numFmtId="165" fontId="14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7" fillId="2" borderId="1" xfId="0" applyFont="1" applyFill="1" applyBorder="1" applyAlignment="1">
      <alignment wrapText="1"/>
    </xf>
    <xf numFmtId="0" fontId="3" fillId="0" borderId="4" xfId="0" applyFont="1" applyBorder="1"/>
    <xf numFmtId="0" fontId="2" fillId="2" borderId="1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 wrapText="1"/>
    </xf>
    <xf numFmtId="0" fontId="3" fillId="0" borderId="7" xfId="0" applyFont="1" applyBorder="1"/>
    <xf numFmtId="0" fontId="3" fillId="0" borderId="8" xfId="0" applyFont="1" applyBorder="1"/>
    <xf numFmtId="0" fontId="0" fillId="0" borderId="0" xfId="0"/>
    <xf numFmtId="0" fontId="10" fillId="2" borderId="1" xfId="0" applyFont="1" applyFill="1" applyBorder="1"/>
    <xf numFmtId="0" fontId="1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4" fillId="0" borderId="2" xfId="0" applyFont="1" applyBorder="1" applyAlignment="1">
      <alignment horizontal="center" vertical="center"/>
    </xf>
    <xf numFmtId="0" fontId="3" fillId="0" borderId="5" xfId="0" applyFont="1" applyBorder="1"/>
    <xf numFmtId="0" fontId="3" fillId="0" borderId="16" xfId="0" applyFont="1" applyBorder="1"/>
    <xf numFmtId="0" fontId="6" fillId="0" borderId="9" xfId="0" applyFont="1" applyBorder="1" applyAlignment="1">
      <alignment horizontal="left" vertical="center"/>
    </xf>
    <xf numFmtId="0" fontId="3" fillId="0" borderId="10" xfId="0" applyFont="1" applyBorder="1"/>
    <xf numFmtId="0" fontId="13" fillId="3" borderId="1" xfId="0" applyFont="1" applyFill="1" applyBorder="1" applyAlignment="1">
      <alignment vertical="top" wrapText="1"/>
    </xf>
    <xf numFmtId="0" fontId="12" fillId="6" borderId="1" xfId="0" applyFont="1" applyFill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164" fontId="1" fillId="0" borderId="18" xfId="0" applyNumberFormat="1" applyFont="1" applyBorder="1" applyAlignment="1">
      <alignment vertical="center" wrapText="1"/>
    </xf>
    <xf numFmtId="166" fontId="1" fillId="0" borderId="18" xfId="0" applyNumberFormat="1" applyFont="1" applyBorder="1" applyAlignment="1">
      <alignment vertical="center" wrapText="1"/>
    </xf>
    <xf numFmtId="165" fontId="1" fillId="0" borderId="18" xfId="0" applyNumberFormat="1" applyFont="1" applyBorder="1" applyAlignment="1">
      <alignment vertical="center" wrapText="1"/>
    </xf>
  </cellXfs>
  <cellStyles count="1">
    <cellStyle name="Normal" xfId="0" builtinId="0"/>
  </cellStyles>
  <dxfs count="24"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</dxfs>
  <tableStyles count="6">
    <tableStyle name="M1_Administrativo-style" pivot="0" count="4" xr9:uid="{00000000-0011-0000-FFFF-FFFF00000000}">
      <tableStyleElement type="wholeTable" size="0" dxfId="20"/>
      <tableStyleElement type="headerRow" dxfId="23"/>
      <tableStyleElement type="firstRowStripe" dxfId="22"/>
      <tableStyleElement type="secondRowStripe" dxfId="21"/>
    </tableStyle>
    <tableStyle name="M2_Accesos-style" pivot="0" count="4" xr9:uid="{00000000-0011-0000-FFFF-FFFF01000000}">
      <tableStyleElement type="wholeTable" size="0" dxfId="16"/>
      <tableStyleElement type="headerRow" dxfId="19"/>
      <tableStyleElement type="firstRowStripe" dxfId="18"/>
      <tableStyleElement type="secondRowStripe" dxfId="17"/>
    </tableStyle>
    <tableStyle name="M3_Silleteria-style" pivot="0" count="4" xr9:uid="{00000000-0011-0000-FFFF-FFFF02000000}">
      <tableStyleElement type="wholeTable" size="0" dxfId="12"/>
      <tableStyleElement type="headerRow" dxfId="15"/>
      <tableStyleElement type="firstRowStripe" dxfId="14"/>
      <tableStyleElement type="secondRowStripe" dxfId="13"/>
    </tableStyle>
    <tableStyle name="M4_Sectores-style" pivot="0" count="4" xr9:uid="{00000000-0011-0000-FFFF-FFFF03000000}">
      <tableStyleElement type="wholeTable" size="0" dxfId="8"/>
      <tableStyleElement type="headerRow" dxfId="11"/>
      <tableStyleElement type="firstRowStripe" dxfId="10"/>
      <tableStyleElement type="secondRowStripe" dxfId="9"/>
    </tableStyle>
    <tableStyle name="M5_Ocupacion-style" pivot="0" count="4" xr9:uid="{00000000-0011-0000-FFFF-FFFF04000000}">
      <tableStyleElement type="wholeTable" size="0" dxfId="4"/>
      <tableStyleElement type="headerRow" dxfId="7"/>
      <tableStyleElement type="firstRowStripe" dxfId="6"/>
      <tableStyleElement type="secondRowStripe" dxfId="5"/>
    </tableStyle>
    <tableStyle name="M6_Puntos_Control-style" pivot="0" count="4" xr9:uid="{00000000-0011-0000-FFFF-FFFF05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1543050</xdr:colOff>
      <xdr:row>0</xdr:row>
      <xdr:rowOff>95250</xdr:rowOff>
    </xdr:from>
    <xdr:ext cx="942975" cy="952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M1" displayName="TblM1" ref="A8:R208">
  <tableColumns count="18">
    <tableColumn id="1" xr3:uid="{00000000-0010-0000-0000-000001000000}" name="ID actividad"/>
    <tableColumn id="2" xr3:uid="{00000000-0010-0000-0000-000002000000}" name="Dependencia"/>
    <tableColumn id="3" xr3:uid="{00000000-0010-0000-0000-000003000000}" name="Actividad / evento / servicio"/>
    <tableColumn id="4" xr3:uid="{00000000-0010-0000-0000-000004000000}" name="Fecha"/>
    <tableColumn id="5" xr3:uid="{00000000-0010-0000-0000-000005000000}" name="Lugar / equipamiento"/>
    <tableColumn id="6" xr3:uid="{00000000-0010-0000-0000-000006000000}" name="Espacio específico"/>
    <tableColumn id="7" xr3:uid="{00000000-0010-0000-0000-000007000000}" name="Unidad de medición"/>
    <tableColumn id="8" xr3:uid="{00000000-0010-0000-0000-000008000000}" name="Fuente administrativa"/>
    <tableColumn id="9" xr3:uid="{00000000-0010-0000-0000-000009000000}" name="Inscritos / emitidos (referencia)"/>
    <tableColumn id="10" xr3:uid="{00000000-0010-0000-0000-00000A000000}" name="Accesos / usos efectivos"/>
    <tableColumn id="11" xr3:uid="{00000000-0010-0000-0000-00000B000000}" name="¿Reingreso genera nuevo registro?"/>
    <tableColumn id="12" xr3:uid="{00000000-0010-0000-0000-00000C000000}" name="¿Cobertura completa?"/>
    <tableColumn id="13" xr3:uid="{00000000-0010-0000-0000-00000D000000}" name="Resultado para reporte"/>
    <tableColumn id="14" xr3:uid="{00000000-0010-0000-0000-00000E000000}" name="Responsable de captura"/>
    <tableColumn id="15" xr3:uid="{00000000-0010-0000-0000-00000F000000}" name="¿Hubo novedad?"/>
    <tableColumn id="16" xr3:uid="{00000000-0010-0000-0000-000010000000}" name="Descripción de la novedad"/>
    <tableColumn id="17" xr3:uid="{00000000-0010-0000-0000-000011000000}" name="Soporte / referencia"/>
    <tableColumn id="18" xr3:uid="{00000000-0010-0000-0000-000012000000}" name="Breve descripción de la actividad"/>
  </tableColumns>
  <tableStyleInfo name="M1_Administrativo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M2" displayName="TblM2" ref="A8:R208">
  <tableColumns count="18">
    <tableColumn id="1" xr3:uid="{00000000-0010-0000-0100-000001000000}" name="ID actividad"/>
    <tableColumn id="2" xr3:uid="{00000000-0010-0000-0100-000002000000}" name="Dependencia"/>
    <tableColumn id="3" xr3:uid="{00000000-0010-0000-0100-000003000000}" name="Actividad / evento / servicio"/>
    <tableColumn id="4" xr3:uid="{00000000-0010-0000-0100-000004000000}" name="Fecha"/>
    <tableColumn id="5" xr3:uid="{00000000-0010-0000-0100-000005000000}" name="Lugar / equipamiento"/>
    <tableColumn id="6" xr3:uid="{00000000-0010-0000-0100-000006000000}" name="Espacio específico"/>
    <tableColumn id="7" xr3:uid="{00000000-0010-0000-0100-000007000000}" name="Unidad de medición"/>
    <tableColumn id="8" xr3:uid="{00000000-0010-0000-0100-000008000000}" name="N.º de accesos habilitados"/>
    <tableColumn id="9" xr3:uid="{00000000-0010-0000-0100-000009000000}" name="Hora inicio del conteo"/>
    <tableColumn id="10" xr3:uid="{00000000-0010-0000-0100-00000A000000}" name="Hora fin del conteo"/>
    <tableColumn id="11" xr3:uid="{00000000-0010-0000-0100-00000B000000}" name="Total entradas (todos los accesos)"/>
    <tableColumn id="12" xr3:uid="{00000000-0010-0000-0100-00000C000000}" name="Total salidas (todos los accesos)"/>
    <tableColumn id="13" xr3:uid="{00000000-0010-0000-0100-00000D000000}" name="Resultado para reporte"/>
    <tableColumn id="14" xr3:uid="{00000000-0010-0000-0100-00000E000000}" name="Responsable de captura"/>
    <tableColumn id="15" xr3:uid="{00000000-0010-0000-0100-00000F000000}" name="¿Hubo novedad?"/>
    <tableColumn id="16" xr3:uid="{00000000-0010-0000-0100-000010000000}" name="Descripción de la novedad"/>
    <tableColumn id="17" xr3:uid="{00000000-0010-0000-0100-000011000000}" name="Soporte / referencia"/>
    <tableColumn id="18" xr3:uid="{00000000-0010-0000-0100-000012000000}" name="Breve descripción de la actividad"/>
  </tableColumns>
  <tableStyleInfo name="M2_Accesos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M3" displayName="TblM3" ref="A8:Q208">
  <tableColumns count="17">
    <tableColumn id="1" xr3:uid="{00000000-0010-0000-0200-000001000000}" name="ID actividad"/>
    <tableColumn id="2" xr3:uid="{00000000-0010-0000-0200-000002000000}" name="Dependencia"/>
    <tableColumn id="3" xr3:uid="{00000000-0010-0000-0200-000003000000}" name="Actividad / evento / servicio"/>
    <tableColumn id="4" xr3:uid="{00000000-0010-0000-0200-000004000000}" name="Fecha"/>
    <tableColumn id="5" xr3:uid="{00000000-0010-0000-0200-000005000000}" name="Lugar / equipamiento"/>
    <tableColumn id="6" xr3:uid="{00000000-0010-0000-0200-000006000000}" name="Espacio específico"/>
    <tableColumn id="7" xr3:uid="{00000000-0010-0000-0200-000007000000}" name="Unidad de medición"/>
    <tableColumn id="8" xr3:uid="{00000000-0010-0000-0200-000008000000}" name="Hora / momento de observación"/>
    <tableColumn id="9" xr3:uid="{00000000-0010-0000-0200-000009000000}" name="Puestos habilitados"/>
    <tableColumn id="10" xr3:uid="{00000000-0010-0000-0200-00000A000000}" name="Puestos vacíos"/>
    <tableColumn id="11" xr3:uid="{00000000-0010-0000-0200-00000B000000}" name="Ingresos tardíos posteriores al conteo"/>
    <tableColumn id="12" xr3:uid="{00000000-0010-0000-0200-00000C000000}" name="Resultado para reporte"/>
    <tableColumn id="13" xr3:uid="{00000000-0010-0000-0200-00000D000000}" name="Responsable de captura"/>
    <tableColumn id="14" xr3:uid="{00000000-0010-0000-0200-00000E000000}" name="¿Hubo novedad?"/>
    <tableColumn id="15" xr3:uid="{00000000-0010-0000-0200-00000F000000}" name="Descripción de la novedad"/>
    <tableColumn id="16" xr3:uid="{00000000-0010-0000-0200-000010000000}" name="Soporte / referencia"/>
    <tableColumn id="17" xr3:uid="{00000000-0010-0000-0200-000011000000}" name="Breve descripción de la actividad"/>
  </tableColumns>
  <tableStyleInfo name="M3_Silleteria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M4" displayName="TblM4" ref="A8:Q208">
  <tableColumns count="17">
    <tableColumn id="1" xr3:uid="{00000000-0010-0000-0300-000001000000}" name="ID actividad"/>
    <tableColumn id="2" xr3:uid="{00000000-0010-0000-0300-000002000000}" name="Dependencia"/>
    <tableColumn id="3" xr3:uid="{00000000-0010-0000-0300-000003000000}" name="Actividad / evento / servicio"/>
    <tableColumn id="4" xr3:uid="{00000000-0010-0000-0300-000004000000}" name="Fecha"/>
    <tableColumn id="5" xr3:uid="{00000000-0010-0000-0300-000005000000}" name="Lugar / equipamiento"/>
    <tableColumn id="6" xr3:uid="{00000000-0010-0000-0300-000006000000}" name="Espacio específico"/>
    <tableColumn id="7" xr3:uid="{00000000-0010-0000-0300-000007000000}" name="Unidad de medición"/>
    <tableColumn id="8" xr3:uid="{00000000-0010-0000-0300-000008000000}" name="Momento de medición"/>
    <tableColumn id="9" xr3:uid="{00000000-0010-0000-0300-000009000000}" name="Sector"/>
    <tableColumn id="10" xr3:uid="{00000000-0010-0000-0300-00000A000000}" name="Delimitación del sector"/>
    <tableColumn id="11" xr3:uid="{00000000-0010-0000-0300-00000B000000}" name="Personas observadas en el sector"/>
    <tableColumn id="12" xr3:uid="{00000000-0010-0000-0300-00000C000000}" name="Total del momento"/>
    <tableColumn id="13" xr3:uid="{00000000-0010-0000-0300-00000D000000}" name="Responsable de captura"/>
    <tableColumn id="14" xr3:uid="{00000000-0010-0000-0300-00000E000000}" name="¿Hubo novedad?"/>
    <tableColumn id="15" xr3:uid="{00000000-0010-0000-0300-00000F000000}" name="Descripción de la novedad"/>
    <tableColumn id="16" xr3:uid="{00000000-0010-0000-0300-000010000000}" name="Soporte / referencia"/>
    <tableColumn id="17" xr3:uid="{00000000-0010-0000-0300-000011000000}" name="Breve descripción de la actividad"/>
  </tableColumns>
  <tableStyleInfo name="M4_Sectores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blM5" displayName="TblM5" ref="A9:R209">
  <tableColumns count="18">
    <tableColumn id="1" xr3:uid="{00000000-0010-0000-0400-000001000000}" name="ID actividad"/>
    <tableColumn id="2" xr3:uid="{00000000-0010-0000-0400-000002000000}" name="Dependencia"/>
    <tableColumn id="3" xr3:uid="{00000000-0010-0000-0400-000003000000}" name="Actividad / evento / servicio"/>
    <tableColumn id="4" xr3:uid="{00000000-0010-0000-0400-000004000000}" name="Fecha"/>
    <tableColumn id="5" xr3:uid="{00000000-0010-0000-0400-000005000000}" name="Lugar / equipamiento"/>
    <tableColumn id="6" xr3:uid="{00000000-0010-0000-0400-000006000000}" name="Espacio específico"/>
    <tableColumn id="7" xr3:uid="{00000000-0010-0000-0400-000007000000}" name="Unidad de medición"/>
    <tableColumn id="8" xr3:uid="{00000000-0010-0000-0400-000008000000}" name="Frecuencia programada"/>
    <tableColumn id="9" xr3:uid="{00000000-0010-0000-0400-000009000000}" name="Hora programada"/>
    <tableColumn id="10" xr3:uid="{00000000-0010-0000-0400-00000A000000}" name="Hora real"/>
    <tableColumn id="11" xr3:uid="{00000000-0010-0000-0400-00000B000000}" name="Personas presentes"/>
    <tableColumn id="12" xr3:uid="{00000000-0010-0000-0400-00000C000000}" name="¿Medición completa?"/>
    <tableColumn id="13" xr3:uid="{00000000-0010-0000-0400-00000D000000}" name="Promedio de ocupación de la actividad"/>
    <tableColumn id="14" xr3:uid="{00000000-0010-0000-0400-00000E000000}" name="Responsable de captura"/>
    <tableColumn id="15" xr3:uid="{00000000-0010-0000-0400-00000F000000}" name="¿Hubo novedad?"/>
    <tableColumn id="16" xr3:uid="{00000000-0010-0000-0400-000010000000}" name="Descripción de la novedad"/>
    <tableColumn id="17" xr3:uid="{00000000-0010-0000-0400-000011000000}" name="Soporte / referencia"/>
    <tableColumn id="18" xr3:uid="{00000000-0010-0000-0400-000012000000}" name="Breve descripción de la actividad"/>
  </tableColumns>
  <tableStyleInfo name="M5_Ocupacion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blM6" displayName="TblM6" ref="A8:R208">
  <tableColumns count="18">
    <tableColumn id="1" xr3:uid="{00000000-0010-0000-0500-000001000000}" name="ID actividad"/>
    <tableColumn id="2" xr3:uid="{00000000-0010-0000-0500-000002000000}" name="Dependencia"/>
    <tableColumn id="3" xr3:uid="{00000000-0010-0000-0500-000003000000}" name="Actividad / evento / servicio"/>
    <tableColumn id="4" xr3:uid="{00000000-0010-0000-0500-000004000000}" name="Fecha"/>
    <tableColumn id="5" xr3:uid="{00000000-0010-0000-0500-000005000000}" name="Lugar / equipamiento"/>
    <tableColumn id="6" xr3:uid="{00000000-0010-0000-0500-000006000000}" name="Recorrido"/>
    <tableColumn id="7" xr3:uid="{00000000-0010-0000-0500-000007000000}" name="Unidad de medición"/>
    <tableColumn id="8" xr3:uid="{00000000-0010-0000-0500-000008000000}" name="Tipo de población"/>
    <tableColumn id="9" xr3:uid="{00000000-0010-0000-0500-000009000000}" name="Punto de control"/>
    <tableColumn id="10" xr3:uid="{00000000-0010-0000-0500-00000A000000}" name="Descripción de la ubicación"/>
    <tableColumn id="11" xr3:uid="{00000000-0010-0000-0500-00000B000000}" name="¿Punto oficial para reporte?"/>
    <tableColumn id="12" xr3:uid="{00000000-0010-0000-0500-00000C000000}" name="Personas contadas en el punto"/>
    <tableColumn id="13" xr3:uid="{00000000-0010-0000-0500-00000D000000}" name="Resultado para reporte"/>
    <tableColumn id="14" xr3:uid="{00000000-0010-0000-0500-00000E000000}" name="Responsable de captura"/>
    <tableColumn id="15" xr3:uid="{00000000-0010-0000-0500-00000F000000}" name="¿Hubo novedad?"/>
    <tableColumn id="16" xr3:uid="{00000000-0010-0000-0500-000010000000}" name="Descripción de la novedad"/>
    <tableColumn id="17" xr3:uid="{00000000-0010-0000-0500-000011000000}" name="Soporte / referencia"/>
    <tableColumn id="18" xr3:uid="{00000000-0010-0000-0500-000012000000}" name="Breve descripción de la actividad"/>
  </tableColumns>
  <tableStyleInfo name="M6_Puntos_Control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63B85"/>
  </sheetPr>
  <dimension ref="A1:AJ1206"/>
  <sheetViews>
    <sheetView showGridLines="0" view="pageBreakPreview" topLeftCell="J1" zoomScale="40" zoomScaleNormal="100" zoomScaleSheetLayoutView="40" workbookViewId="0">
      <selection activeCell="Q5" sqref="A5:Q41"/>
    </sheetView>
  </sheetViews>
  <sheetFormatPr baseColWidth="10" defaultColWidth="12.59765625" defaultRowHeight="15" customHeight="1"/>
  <cols>
    <col min="1" max="1" width="23" customWidth="1"/>
    <col min="2" max="2" width="33" customWidth="1"/>
    <col min="3" max="4" width="16" customWidth="1"/>
    <col min="5" max="7" width="29" customWidth="1"/>
    <col min="8" max="9" width="26" customWidth="1"/>
    <col min="10" max="12" width="22" customWidth="1"/>
    <col min="13" max="14" width="48" customWidth="1"/>
    <col min="15" max="16" width="25" customWidth="1"/>
    <col min="17" max="17" width="39" customWidth="1"/>
    <col min="18" max="18" width="9" customWidth="1"/>
    <col min="19" max="36" width="12" hidden="1" customWidth="1"/>
  </cols>
  <sheetData>
    <row r="1" spans="1:36" ht="30.75" customHeight="1">
      <c r="A1" s="31"/>
      <c r="B1" s="32"/>
      <c r="C1" s="37" t="s">
        <v>1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2"/>
      <c r="P1" s="40" t="s">
        <v>3</v>
      </c>
      <c r="Q1" s="41"/>
    </row>
    <row r="2" spans="1:36" ht="30.75" customHeight="1">
      <c r="A2" s="33"/>
      <c r="B2" s="34"/>
      <c r="C2" s="33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4"/>
      <c r="P2" s="40" t="s">
        <v>158</v>
      </c>
      <c r="Q2" s="41"/>
    </row>
    <row r="3" spans="1:36" ht="30.75" customHeight="1">
      <c r="A3" s="35"/>
      <c r="B3" s="36"/>
      <c r="C3" s="35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6"/>
      <c r="P3" s="40" t="s">
        <v>21</v>
      </c>
      <c r="Q3" s="41"/>
    </row>
    <row r="4" spans="1:36" ht="42" customHeight="1">
      <c r="A4" s="3" t="s">
        <v>32</v>
      </c>
      <c r="B4" s="4" t="s">
        <v>40</v>
      </c>
      <c r="C4" s="4" t="s">
        <v>43</v>
      </c>
      <c r="D4" s="4" t="s">
        <v>46</v>
      </c>
      <c r="E4" s="4" t="s">
        <v>48</v>
      </c>
      <c r="F4" s="4" t="s">
        <v>50</v>
      </c>
      <c r="G4" s="4" t="s">
        <v>53</v>
      </c>
      <c r="H4" s="4" t="s">
        <v>54</v>
      </c>
      <c r="I4" s="4" t="s">
        <v>56</v>
      </c>
      <c r="J4" s="4" t="s">
        <v>58</v>
      </c>
      <c r="K4" s="4" t="s">
        <v>10</v>
      </c>
      <c r="L4" s="4" t="s">
        <v>61</v>
      </c>
      <c r="M4" s="4" t="s">
        <v>63</v>
      </c>
      <c r="N4" s="4" t="s">
        <v>65</v>
      </c>
      <c r="O4" s="4" t="s">
        <v>66</v>
      </c>
      <c r="P4" s="4" t="s">
        <v>67</v>
      </c>
      <c r="Q4" s="4" t="s">
        <v>68</v>
      </c>
    </row>
    <row r="5" spans="1:36" ht="55.5" customHeight="1">
      <c r="A5" s="44" t="str">
        <f t="array" ref="A5">IF(1&gt;$S$1204,"",INDEX($T$5:$AJ$1204,MATCH(1,$S$5:$S$1204,0),1))</f>
        <v/>
      </c>
      <c r="B5" s="45" t="str">
        <f t="array" ref="B5">IF(1&gt;$S$1204,"",INDEX($T$5:$AJ$1204,MATCH(1,$S$5:$S$1204,0),2))</f>
        <v/>
      </c>
      <c r="C5" s="46" t="str">
        <f t="array" ref="C5">IF(1&gt;$S$1204,"",INDEX($T$5:$AJ$1204,MATCH(1,$S$5:$S$1204,0),3))</f>
        <v/>
      </c>
      <c r="D5" s="45" t="str">
        <f t="array" ref="D5">IF(1&gt;$S$1204,"",INDEX($T$5:$AJ$1204,MATCH(1,$S$5:$S$1204,0),4))</f>
        <v/>
      </c>
      <c r="E5" s="45" t="str">
        <f t="array" ref="E5">IF(1&gt;$S$1204,"",INDEX($T$5:$AJ$1204,MATCH(1,$S$5:$S$1204,0),5))</f>
        <v/>
      </c>
      <c r="F5" s="45" t="str">
        <f t="array" ref="F5">IF(1&gt;$S$1204,"",INDEX($T$5:$AJ$1204,MATCH(1,$S$5:$S$1204,0),6))</f>
        <v/>
      </c>
      <c r="G5" s="45" t="str">
        <f t="array" ref="G5">IF(1&gt;$S$1204,"",INDEX($T$5:$AJ$1204,MATCH(1,$S$5:$S$1204,0),7))</f>
        <v/>
      </c>
      <c r="H5" s="45" t="str">
        <f t="array" ref="H5">IF(1&gt;$S$1204,"",INDEX($T$5:$AJ$1204,MATCH(1,$S$5:$S$1204,0),8))</f>
        <v/>
      </c>
      <c r="I5" s="45" t="str">
        <f t="array" ref="I5">IF(1&gt;$S$1204,"",INDEX($T$5:$AJ$1204,MATCH(1,$S$5:$S$1204,0),9))</f>
        <v/>
      </c>
      <c r="J5" s="47" t="str">
        <f t="array" ref="J5">IF(1&gt;$S$1204,"",INDEX($T$5:$AJ$1204,MATCH(1,$S$5:$S$1204,0),10))</f>
        <v/>
      </c>
      <c r="K5" s="45" t="str">
        <f t="array" ref="K5">IF(1&gt;$S$1204,"",INDEX($T$5:$AJ$1204,MATCH(1,$S$5:$S$1204,0),11))</f>
        <v/>
      </c>
      <c r="L5" s="45" t="str">
        <f t="array" ref="L5">IF(1&gt;$S$1204,"",INDEX($T$5:$AJ$1204,MATCH(1,$S$5:$S$1204,0),12))</f>
        <v/>
      </c>
      <c r="M5" s="45" t="str">
        <f t="array" ref="M5">IF(1&gt;$S$1204,"",INDEX($T$5:$AJ$1204,MATCH(1,$S$5:$S$1204,0),13))</f>
        <v/>
      </c>
      <c r="N5" s="45" t="str">
        <f t="array" ref="N5">IF(1&gt;$S$1204,"",INDEX($T$5:$AJ$1204,MATCH(1,$S$5:$S$1204,0),14))</f>
        <v/>
      </c>
      <c r="O5" s="48" t="str">
        <f t="array" ref="O5">IF(1&gt;$S$1204,"",INDEX($T$5:$AJ$1204,MATCH(1,$S$5:$S$1204,0),15))</f>
        <v/>
      </c>
      <c r="P5" s="45" t="str">
        <f t="array" ref="P5">IF(1&gt;$S$1204,"",INDEX($T$5:$AJ$1204,MATCH(1,$S$5:$S$1204,0),16))</f>
        <v/>
      </c>
      <c r="Q5" s="45" t="str">
        <f t="array" ref="Q5">IF(1&gt;$S$1204,"",INDEX($T$5:$AJ$1204,MATCH(1,$S$5:$S$1204,0),17))</f>
        <v/>
      </c>
      <c r="R5" s="17"/>
      <c r="S5" s="17">
        <f>0+IF(M1_Administrativo!A9="",0,1)</f>
        <v>0</v>
      </c>
      <c r="T5" s="17" t="str">
        <f>IF(M1_Administrativo!A9="","",IF(M1_Administrativo!A9="","",M1_Administrativo!A9))</f>
        <v/>
      </c>
      <c r="U5" s="17" t="str">
        <f>IF(M1_Administrativo!A9="","",IF(M1_Administrativo!R9="","",M1_Administrativo!R9))</f>
        <v/>
      </c>
      <c r="V5" s="18" t="str">
        <f>IF(M1_Administrativo!A9="","",IF(M1_Administrativo!D9="","",M1_Administrativo!D9))</f>
        <v/>
      </c>
      <c r="W5" s="17" t="str">
        <f>IF(M1_Administrativo!A9="","",IF(M1_Administrativo!B9="","",M1_Administrativo!B9))</f>
        <v/>
      </c>
      <c r="X5" s="17" t="str">
        <f>IF(M1_Administrativo!A9="","",IF(M1_Administrativo!C9="","",M1_Administrativo!C9))</f>
        <v/>
      </c>
      <c r="Y5" s="17" t="str">
        <f>IF(M1_Administrativo!A9="","",IF(M1_Administrativo!E9="","",M1_Administrativo!E9))</f>
        <v/>
      </c>
      <c r="Z5" s="17" t="str">
        <f>IF(M1_Administrativo!A9="","",IF(M1_Administrativo!F9="","",M1_Administrativo!F9))</f>
        <v/>
      </c>
      <c r="AA5" s="17" t="str">
        <f>IF(M1_Administrativo!A9="","","M1 Administrativo")</f>
        <v/>
      </c>
      <c r="AB5" s="17" t="str">
        <f>IF(M1_Administrativo!A9="","",IF(M1_Administrativo!G9="","",M1_Administrativo!G9))</f>
        <v/>
      </c>
      <c r="AC5" s="17" t="str">
        <f>IF(M1_Administrativo!A9="","",IF(M1_Administrativo!M9="","",M1_Administrativo!M9))</f>
        <v/>
      </c>
      <c r="AD5" s="17" t="str">
        <f>IF(M1_Administrativo!A9="","","RA")</f>
        <v/>
      </c>
      <c r="AE5" s="17" t="str">
        <f>IF(M1_Administrativo!A9="","",IF(M1_Administrativo!O9="","",M1_Administrativo!O9))</f>
        <v/>
      </c>
      <c r="AF5" s="17" t="str">
        <f>IF(M1_Administrativo!A9="","",IF(M1_Administrativo!P9="","",M1_Administrativo!P9))</f>
        <v/>
      </c>
      <c r="AG5" s="17" t="str">
        <f>IF(M1_Administrativo!A9="","",IF(M1_Administrativo!Q9="","",M1_Administrativo!Q9))</f>
        <v/>
      </c>
      <c r="AH5" s="17" t="str">
        <f>IF(M1_Administrativo!A9="","","")</f>
        <v/>
      </c>
      <c r="AI5" s="17" t="str">
        <f>IF(M1_Administrativo!A9="","","M1_Administrativo!9")</f>
        <v/>
      </c>
      <c r="AJ5" s="17" t="str">
        <f>IF(M1_Administrativo!A9="","",IF(M1_Administrativo!M9="","Pendiente de resultado","Disponible"))</f>
        <v/>
      </c>
    </row>
    <row r="6" spans="1:36" ht="55.5" customHeight="1">
      <c r="A6" s="44" t="str">
        <f t="array" ref="A6">IF(2&gt;$S$1204,"",INDEX($T$5:$AJ$1204,MATCH(2,$S$5:$S$1204,0),1))</f>
        <v/>
      </c>
      <c r="B6" s="45" t="str">
        <f t="shared" ref="B6:B9" si="0">IF(2&gt;$S$1204,"",INDEX($T$5:$AJ$1204,MATCH(2,$S$5:$S$1204,0),2))</f>
        <v/>
      </c>
      <c r="C6" s="46" t="str">
        <f t="array" ref="C6">IF(2&gt;$S$1204,"",INDEX($T$5:$AJ$1204,MATCH(2,$S$5:$S$1204,0),3))</f>
        <v/>
      </c>
      <c r="D6" s="45" t="str">
        <f t="array" ref="D6">IF(2&gt;$S$1204,"",INDEX($T$5:$AJ$1204,MATCH(2,$S$5:$S$1204,0),4))</f>
        <v/>
      </c>
      <c r="E6" s="45" t="str">
        <f t="array" ref="E6">IF(2&gt;$S$1204,"",INDEX($T$5:$AJ$1204,MATCH(2,$S$5:$S$1204,0),5))</f>
        <v/>
      </c>
      <c r="F6" s="45" t="str">
        <f t="array" ref="F6">IF(2&gt;$S$1204,"",INDEX($T$5:$AJ$1204,MATCH(2,$S$5:$S$1204,0),6))</f>
        <v/>
      </c>
      <c r="G6" s="45" t="str">
        <f t="array" ref="G6">IF(2&gt;$S$1204,"",INDEX($T$5:$AJ$1204,MATCH(2,$S$5:$S$1204,0),7))</f>
        <v/>
      </c>
      <c r="H6" s="45" t="str">
        <f t="array" ref="H6">IF(2&gt;$S$1204,"",INDEX($T$5:$AJ$1204,MATCH(2,$S$5:$S$1204,0),8))</f>
        <v/>
      </c>
      <c r="I6" s="45" t="str">
        <f t="array" ref="I6">IF(2&gt;$S$1204,"",INDEX($T$5:$AJ$1204,MATCH(2,$S$5:$S$1204,0),9))</f>
        <v/>
      </c>
      <c r="J6" s="47" t="str">
        <f t="array" ref="J6">IF(2&gt;$S$1204,"",INDEX($T$5:$AJ$1204,MATCH(2,$S$5:$S$1204,0),10))</f>
        <v/>
      </c>
      <c r="K6" s="45" t="str">
        <f t="array" ref="K6">IF(2&gt;$S$1204,"",INDEX($T$5:$AJ$1204,MATCH(2,$S$5:$S$1204,0),11))</f>
        <v/>
      </c>
      <c r="L6" s="45" t="str">
        <f t="array" ref="L6">IF(2&gt;$S$1204,"",INDEX($T$5:$AJ$1204,MATCH(2,$S$5:$S$1204,0),12))</f>
        <v/>
      </c>
      <c r="M6" s="45" t="str">
        <f t="array" ref="M6">IF(2&gt;$S$1204,"",INDEX($T$5:$AJ$1204,MATCH(2,$S$5:$S$1204,0),13))</f>
        <v/>
      </c>
      <c r="N6" s="45" t="str">
        <f t="array" ref="N6">IF(2&gt;$S$1204,"",INDEX($T$5:$AJ$1204,MATCH(2,$S$5:$S$1204,0),14))</f>
        <v/>
      </c>
      <c r="O6" s="48" t="str">
        <f t="array" ref="O6">IF(2&gt;$S$1204,"",INDEX($T$5:$AJ$1204,MATCH(2,$S$5:$S$1204,0),15))</f>
        <v/>
      </c>
      <c r="P6" s="45" t="str">
        <f t="array" ref="P6">IF(2&gt;$S$1204,"",INDEX($T$5:$AJ$1204,MATCH(2,$S$5:$S$1204,0),16))</f>
        <v/>
      </c>
      <c r="Q6" s="45" t="str">
        <f t="array" ref="Q6">IF(2&gt;$S$1204,"",INDEX($T$5:$AJ$1204,MATCH(2,$S$5:$S$1204,0),17))</f>
        <v/>
      </c>
      <c r="R6" s="17"/>
      <c r="S6" s="17">
        <f>S5+IF(M1_Administrativo!A10="",0,1)</f>
        <v>0</v>
      </c>
      <c r="T6" s="17" t="str">
        <f>IF(M1_Administrativo!A10="","",IF(M1_Administrativo!A10="","",M1_Administrativo!A10))</f>
        <v/>
      </c>
      <c r="U6" s="17" t="str">
        <f>IF(M1_Administrativo!A10="","",IF(M1_Administrativo!R10="","",M1_Administrativo!R10))</f>
        <v/>
      </c>
      <c r="V6" s="18" t="str">
        <f>IF(M1_Administrativo!A10="","",IF(M1_Administrativo!D10="","",M1_Administrativo!D10))</f>
        <v/>
      </c>
      <c r="W6" s="17" t="str">
        <f>IF(M1_Administrativo!A10="","",IF(M1_Administrativo!B10="","",M1_Administrativo!B10))</f>
        <v/>
      </c>
      <c r="X6" s="17" t="str">
        <f>IF(M1_Administrativo!A10="","",IF(M1_Administrativo!C10="","",M1_Administrativo!C10))</f>
        <v/>
      </c>
      <c r="Y6" s="17" t="str">
        <f>IF(M1_Administrativo!A10="","",IF(M1_Administrativo!E10="","",M1_Administrativo!E10))</f>
        <v/>
      </c>
      <c r="Z6" s="17" t="str">
        <f>IF(M1_Administrativo!A10="","",IF(M1_Administrativo!F10="","",M1_Administrativo!F10))</f>
        <v/>
      </c>
      <c r="AA6" s="17" t="str">
        <f>IF(M1_Administrativo!A10="","","M1 Administrativo")</f>
        <v/>
      </c>
      <c r="AB6" s="17" t="str">
        <f>IF(M1_Administrativo!A10="","",IF(M1_Administrativo!G10="","",M1_Administrativo!G10))</f>
        <v/>
      </c>
      <c r="AC6" s="17" t="str">
        <f>IF(M1_Administrativo!A10="","",IF(M1_Administrativo!M10="","",M1_Administrativo!M10))</f>
        <v/>
      </c>
      <c r="AD6" s="17" t="str">
        <f>IF(M1_Administrativo!A10="","","RA")</f>
        <v/>
      </c>
      <c r="AE6" s="17" t="str">
        <f>IF(M1_Administrativo!A10="","",IF(M1_Administrativo!O10="","",M1_Administrativo!O10))</f>
        <v/>
      </c>
      <c r="AF6" s="17" t="str">
        <f>IF(M1_Administrativo!A10="","",IF(M1_Administrativo!P10="","",M1_Administrativo!P10))</f>
        <v/>
      </c>
      <c r="AG6" s="17" t="str">
        <f>IF(M1_Administrativo!A10="","",IF(M1_Administrativo!Q10="","",M1_Administrativo!Q10))</f>
        <v/>
      </c>
      <c r="AH6" s="17" t="str">
        <f>IF(M1_Administrativo!A10="","","")</f>
        <v/>
      </c>
      <c r="AI6" s="17" t="str">
        <f>IF(M1_Administrativo!A10="","","M1_Administrativo!10")</f>
        <v/>
      </c>
      <c r="AJ6" s="17" t="str">
        <f>IF(M1_Administrativo!A10="","",IF(M1_Administrativo!M10="","Pendiente de resultado","Disponible"))</f>
        <v/>
      </c>
    </row>
    <row r="7" spans="1:36" ht="55.5" customHeight="1">
      <c r="A7" s="44" t="str">
        <f t="array" ref="A7">IF(3&gt;$S$1204,"",INDEX($T$5:$AJ$1204,MATCH(3,$S$5:$S$1204,0),1))</f>
        <v/>
      </c>
      <c r="B7" s="45" t="str">
        <f t="shared" si="0"/>
        <v/>
      </c>
      <c r="C7" s="46" t="str">
        <f t="array" ref="C7">IF(3&gt;$S$1204,"",INDEX($T$5:$AJ$1204,MATCH(3,$S$5:$S$1204,0),3))</f>
        <v/>
      </c>
      <c r="D7" s="45" t="str">
        <f t="array" ref="D7">IF(3&gt;$S$1204,"",INDEX($T$5:$AJ$1204,MATCH(3,$S$5:$S$1204,0),4))</f>
        <v/>
      </c>
      <c r="E7" s="45" t="str">
        <f t="array" ref="E7">IF(3&gt;$S$1204,"",INDEX($T$5:$AJ$1204,MATCH(3,$S$5:$S$1204,0),5))</f>
        <v/>
      </c>
      <c r="F7" s="45" t="str">
        <f t="array" ref="F7">IF(3&gt;$S$1204,"",INDEX($T$5:$AJ$1204,MATCH(3,$S$5:$S$1204,0),6))</f>
        <v/>
      </c>
      <c r="G7" s="45" t="str">
        <f t="array" ref="G7">IF(3&gt;$S$1204,"",INDEX($T$5:$AJ$1204,MATCH(3,$S$5:$S$1204,0),7))</f>
        <v/>
      </c>
      <c r="H7" s="45" t="str">
        <f t="array" ref="H7">IF(3&gt;$S$1204,"",INDEX($T$5:$AJ$1204,MATCH(3,$S$5:$S$1204,0),8))</f>
        <v/>
      </c>
      <c r="I7" s="45" t="str">
        <f t="array" ref="I7">IF(3&gt;$S$1204,"",INDEX($T$5:$AJ$1204,MATCH(3,$S$5:$S$1204,0),9))</f>
        <v/>
      </c>
      <c r="J7" s="47" t="str">
        <f t="array" ref="J7">IF(3&gt;$S$1204,"",INDEX($T$5:$AJ$1204,MATCH(3,$S$5:$S$1204,0),10))</f>
        <v/>
      </c>
      <c r="K7" s="45" t="str">
        <f t="array" ref="K7">IF(3&gt;$S$1204,"",INDEX($T$5:$AJ$1204,MATCH(3,$S$5:$S$1204,0),11))</f>
        <v/>
      </c>
      <c r="L7" s="45" t="str">
        <f t="array" ref="L7">IF(3&gt;$S$1204,"",INDEX($T$5:$AJ$1204,MATCH(3,$S$5:$S$1204,0),12))</f>
        <v/>
      </c>
      <c r="M7" s="45" t="str">
        <f t="array" ref="M7">IF(3&gt;$S$1204,"",INDEX($T$5:$AJ$1204,MATCH(3,$S$5:$S$1204,0),13))</f>
        <v/>
      </c>
      <c r="N7" s="45" t="str">
        <f t="array" ref="N7">IF(3&gt;$S$1204,"",INDEX($T$5:$AJ$1204,MATCH(3,$S$5:$S$1204,0),14))</f>
        <v/>
      </c>
      <c r="O7" s="48" t="str">
        <f t="array" ref="O7">IF(3&gt;$S$1204,"",INDEX($T$5:$AJ$1204,MATCH(3,$S$5:$S$1204,0),15))</f>
        <v/>
      </c>
      <c r="P7" s="45" t="str">
        <f t="array" ref="P7">IF(3&gt;$S$1204,"",INDEX($T$5:$AJ$1204,MATCH(3,$S$5:$S$1204,0),16))</f>
        <v/>
      </c>
      <c r="Q7" s="45" t="str">
        <f t="array" ref="Q7">IF(3&gt;$S$1204,"",INDEX($T$5:$AJ$1204,MATCH(3,$S$5:$S$1204,0),17))</f>
        <v/>
      </c>
      <c r="R7" s="17"/>
      <c r="S7" s="17">
        <f>S6+IF(M1_Administrativo!A11="",0,1)</f>
        <v>0</v>
      </c>
      <c r="T7" s="17" t="str">
        <f>IF(M1_Administrativo!A11="","",IF(M1_Administrativo!A11="","",M1_Administrativo!A11))</f>
        <v/>
      </c>
      <c r="U7" s="17" t="str">
        <f>IF(M1_Administrativo!A11="","",IF(M1_Administrativo!R11="","",M1_Administrativo!R11))</f>
        <v/>
      </c>
      <c r="V7" s="17" t="str">
        <f>IF(M1_Administrativo!A11="","",IF(M1_Administrativo!D11="","",M1_Administrativo!D11))</f>
        <v/>
      </c>
      <c r="W7" s="17" t="str">
        <f>IF(M1_Administrativo!A11="","",IF(M1_Administrativo!B11="","",M1_Administrativo!B11))</f>
        <v/>
      </c>
      <c r="X7" s="17" t="str">
        <f>IF(M1_Administrativo!A11="","",IF(M1_Administrativo!C11="","",M1_Administrativo!C11))</f>
        <v/>
      </c>
      <c r="Y7" s="17" t="str">
        <f>IF(M1_Administrativo!A11="","",IF(M1_Administrativo!E11="","",M1_Administrativo!E11))</f>
        <v/>
      </c>
      <c r="Z7" s="17" t="str">
        <f>IF(M1_Administrativo!A11="","",IF(M1_Administrativo!F11="","",M1_Administrativo!F11))</f>
        <v/>
      </c>
      <c r="AA7" s="17" t="str">
        <f>IF(M1_Administrativo!A11="","","M1 Administrativo")</f>
        <v/>
      </c>
      <c r="AB7" s="17" t="str">
        <f>IF(M1_Administrativo!A11="","",IF(M1_Administrativo!G11="","",M1_Administrativo!G11))</f>
        <v/>
      </c>
      <c r="AC7" s="17" t="str">
        <f>IF(M1_Administrativo!A11="","",IF(M1_Administrativo!M11="","",M1_Administrativo!M11))</f>
        <v/>
      </c>
      <c r="AD7" s="17" t="str">
        <f>IF(M1_Administrativo!A11="","","RA")</f>
        <v/>
      </c>
      <c r="AE7" s="17" t="str">
        <f>IF(M1_Administrativo!A11="","",IF(M1_Administrativo!O11="","",M1_Administrativo!O11))</f>
        <v/>
      </c>
      <c r="AF7" s="17" t="str">
        <f>IF(M1_Administrativo!A11="","",IF(M1_Administrativo!P11="","",M1_Administrativo!P11))</f>
        <v/>
      </c>
      <c r="AG7" s="17" t="str">
        <f>IF(M1_Administrativo!A11="","",IF(M1_Administrativo!Q11="","",M1_Administrativo!Q11))</f>
        <v/>
      </c>
      <c r="AH7" s="17" t="str">
        <f>IF(M1_Administrativo!A11="","","")</f>
        <v/>
      </c>
      <c r="AI7" s="17" t="str">
        <f>IF(M1_Administrativo!A11="","","M1_Administrativo!11")</f>
        <v/>
      </c>
      <c r="AJ7" s="17" t="str">
        <f>IF(M1_Administrativo!A11="","",IF(M1_Administrativo!M11="","Pendiente de resultado","Disponible"))</f>
        <v/>
      </c>
    </row>
    <row r="8" spans="1:36" ht="55.5" customHeight="1">
      <c r="A8" s="44" t="str">
        <f t="array" ref="A8">IF(4&gt;$S$1204,"",INDEX($T$5:$AJ$1204,MATCH(4,$S$5:$S$1204,0),1))</f>
        <v/>
      </c>
      <c r="B8" s="45" t="str">
        <f t="shared" si="0"/>
        <v/>
      </c>
      <c r="C8" s="46" t="str">
        <f t="array" ref="C8">IF(4&gt;$S$1204,"",INDEX($T$5:$AJ$1204,MATCH(4,$S$5:$S$1204,0),3))</f>
        <v/>
      </c>
      <c r="D8" s="45" t="str">
        <f t="array" ref="D8">IF(4&gt;$S$1204,"",INDEX($T$5:$AJ$1204,MATCH(4,$S$5:$S$1204,0),4))</f>
        <v/>
      </c>
      <c r="E8" s="45" t="str">
        <f t="array" ref="E8">IF(4&gt;$S$1204,"",INDEX($T$5:$AJ$1204,MATCH(4,$S$5:$S$1204,0),5))</f>
        <v/>
      </c>
      <c r="F8" s="45" t="str">
        <f t="array" ref="F8">IF(4&gt;$S$1204,"",INDEX($T$5:$AJ$1204,MATCH(4,$S$5:$S$1204,0),6))</f>
        <v/>
      </c>
      <c r="G8" s="45" t="str">
        <f t="array" ref="G8">IF(4&gt;$S$1204,"",INDEX($T$5:$AJ$1204,MATCH(4,$S$5:$S$1204,0),7))</f>
        <v/>
      </c>
      <c r="H8" s="45" t="str">
        <f t="array" ref="H8">IF(4&gt;$S$1204,"",INDEX($T$5:$AJ$1204,MATCH(4,$S$5:$S$1204,0),8))</f>
        <v/>
      </c>
      <c r="I8" s="45" t="str">
        <f t="array" ref="I8">IF(4&gt;$S$1204,"",INDEX($T$5:$AJ$1204,MATCH(4,$S$5:$S$1204,0),9))</f>
        <v/>
      </c>
      <c r="J8" s="47" t="str">
        <f t="array" ref="J8">IF(4&gt;$S$1204,"",INDEX($T$5:$AJ$1204,MATCH(4,$S$5:$S$1204,0),10))</f>
        <v/>
      </c>
      <c r="K8" s="45" t="str">
        <f t="array" ref="K8">IF(4&gt;$S$1204,"",INDEX($T$5:$AJ$1204,MATCH(4,$S$5:$S$1204,0),11))</f>
        <v/>
      </c>
      <c r="L8" s="45" t="str">
        <f t="array" ref="L8">IF(4&gt;$S$1204,"",INDEX($T$5:$AJ$1204,MATCH(4,$S$5:$S$1204,0),12))</f>
        <v/>
      </c>
      <c r="M8" s="45" t="str">
        <f t="array" ref="M8">IF(4&gt;$S$1204,"",INDEX($T$5:$AJ$1204,MATCH(4,$S$5:$S$1204,0),13))</f>
        <v/>
      </c>
      <c r="N8" s="45" t="str">
        <f t="array" ref="N8">IF(4&gt;$S$1204,"",INDEX($T$5:$AJ$1204,MATCH(4,$S$5:$S$1204,0),14))</f>
        <v/>
      </c>
      <c r="O8" s="48" t="str">
        <f t="array" ref="O8">IF(4&gt;$S$1204,"",INDEX($T$5:$AJ$1204,MATCH(4,$S$5:$S$1204,0),15))</f>
        <v/>
      </c>
      <c r="P8" s="45" t="str">
        <f t="array" ref="P8">IF(4&gt;$S$1204,"",INDEX($T$5:$AJ$1204,MATCH(4,$S$5:$S$1204,0),16))</f>
        <v/>
      </c>
      <c r="Q8" s="45" t="str">
        <f t="array" ref="Q8">IF(4&gt;$S$1204,"",INDEX($T$5:$AJ$1204,MATCH(4,$S$5:$S$1204,0),17))</f>
        <v/>
      </c>
      <c r="R8" s="17"/>
      <c r="S8" s="17">
        <f>S7+IF(M1_Administrativo!A12="",0,1)</f>
        <v>0</v>
      </c>
      <c r="T8" s="17" t="str">
        <f>IF(M1_Administrativo!A12="","",IF(M1_Administrativo!A12="","",M1_Administrativo!A12))</f>
        <v/>
      </c>
      <c r="U8" s="17" t="str">
        <f>IF(M1_Administrativo!A12="","",IF(M1_Administrativo!R12="","",M1_Administrativo!R12))</f>
        <v/>
      </c>
      <c r="V8" s="17" t="str">
        <f>IF(M1_Administrativo!A12="","",IF(M1_Administrativo!D12="","",M1_Administrativo!D12))</f>
        <v/>
      </c>
      <c r="W8" s="17" t="str">
        <f>IF(M1_Administrativo!A12="","",IF(M1_Administrativo!B12="","",M1_Administrativo!B12))</f>
        <v/>
      </c>
      <c r="X8" s="17" t="str">
        <f>IF(M1_Administrativo!A12="","",IF(M1_Administrativo!C12="","",M1_Administrativo!C12))</f>
        <v/>
      </c>
      <c r="Y8" s="17" t="str">
        <f>IF(M1_Administrativo!A12="","",IF(M1_Administrativo!E12="","",M1_Administrativo!E12))</f>
        <v/>
      </c>
      <c r="Z8" s="17" t="str">
        <f>IF(M1_Administrativo!A12="","",IF(M1_Administrativo!F12="","",M1_Administrativo!F12))</f>
        <v/>
      </c>
      <c r="AA8" s="17" t="str">
        <f>IF(M1_Administrativo!A12="","","M1 Administrativo")</f>
        <v/>
      </c>
      <c r="AB8" s="17" t="str">
        <f>IF(M1_Administrativo!A12="","",IF(M1_Administrativo!G12="","",M1_Administrativo!G12))</f>
        <v/>
      </c>
      <c r="AC8" s="17" t="str">
        <f>IF(M1_Administrativo!A12="","",IF(M1_Administrativo!M12="","",M1_Administrativo!M12))</f>
        <v/>
      </c>
      <c r="AD8" s="17" t="str">
        <f>IF(M1_Administrativo!A12="","","RA")</f>
        <v/>
      </c>
      <c r="AE8" s="17" t="str">
        <f>IF(M1_Administrativo!A12="","",IF(M1_Administrativo!O12="","",M1_Administrativo!O12))</f>
        <v/>
      </c>
      <c r="AF8" s="17" t="str">
        <f>IF(M1_Administrativo!A12="","",IF(M1_Administrativo!P12="","",M1_Administrativo!P12))</f>
        <v/>
      </c>
      <c r="AG8" s="17" t="str">
        <f>IF(M1_Administrativo!A12="","",IF(M1_Administrativo!Q12="","",M1_Administrativo!Q12))</f>
        <v/>
      </c>
      <c r="AH8" s="17" t="str">
        <f>IF(M1_Administrativo!A12="","","")</f>
        <v/>
      </c>
      <c r="AI8" s="17" t="str">
        <f>IF(M1_Administrativo!A12="","","M1_Administrativo!12")</f>
        <v/>
      </c>
      <c r="AJ8" s="17" t="str">
        <f>IF(M1_Administrativo!A12="","",IF(M1_Administrativo!M12="","Pendiente de resultado","Disponible"))</f>
        <v/>
      </c>
    </row>
    <row r="9" spans="1:36" ht="55.5" customHeight="1">
      <c r="A9" s="44" t="str">
        <f t="array" ref="A9">IF(5&gt;$S$1204,"",INDEX($T$5:$AJ$1204,MATCH(5,$S$5:$S$1204,0),1))</f>
        <v/>
      </c>
      <c r="B9" s="45" t="str">
        <f t="shared" si="0"/>
        <v/>
      </c>
      <c r="C9" s="46" t="str">
        <f t="array" ref="C9">IF(5&gt;$S$1204,"",INDEX($T$5:$AJ$1204,MATCH(5,$S$5:$S$1204,0),3))</f>
        <v/>
      </c>
      <c r="D9" s="45" t="str">
        <f t="array" ref="D9">IF(5&gt;$S$1204,"",INDEX($T$5:$AJ$1204,MATCH(5,$S$5:$S$1204,0),4))</f>
        <v/>
      </c>
      <c r="E9" s="45" t="str">
        <f t="array" ref="E9">IF(5&gt;$S$1204,"",INDEX($T$5:$AJ$1204,MATCH(5,$S$5:$S$1204,0),5))</f>
        <v/>
      </c>
      <c r="F9" s="45" t="str">
        <f t="array" ref="F9">IF(5&gt;$S$1204,"",INDEX($T$5:$AJ$1204,MATCH(5,$S$5:$S$1204,0),6))</f>
        <v/>
      </c>
      <c r="G9" s="45" t="str">
        <f t="array" ref="G9">IF(5&gt;$S$1204,"",INDEX($T$5:$AJ$1204,MATCH(5,$S$5:$S$1204,0),7))</f>
        <v/>
      </c>
      <c r="H9" s="45" t="str">
        <f t="array" ref="H9">IF(5&gt;$S$1204,"",INDEX($T$5:$AJ$1204,MATCH(5,$S$5:$S$1204,0),8))</f>
        <v/>
      </c>
      <c r="I9" s="45" t="str">
        <f t="array" ref="I9">IF(5&gt;$S$1204,"",INDEX($T$5:$AJ$1204,MATCH(5,$S$5:$S$1204,0),9))</f>
        <v/>
      </c>
      <c r="J9" s="47" t="str">
        <f t="array" ref="J9">IF(5&gt;$S$1204,"",INDEX($T$5:$AJ$1204,MATCH(5,$S$5:$S$1204,0),10))</f>
        <v/>
      </c>
      <c r="K9" s="45" t="str">
        <f t="array" ref="K9">IF(5&gt;$S$1204,"",INDEX($T$5:$AJ$1204,MATCH(5,$S$5:$S$1204,0),11))</f>
        <v/>
      </c>
      <c r="L9" s="45" t="str">
        <f t="array" ref="L9">IF(5&gt;$S$1204,"",INDEX($T$5:$AJ$1204,MATCH(5,$S$5:$S$1204,0),12))</f>
        <v/>
      </c>
      <c r="M9" s="45" t="str">
        <f t="array" ref="M9">IF(5&gt;$S$1204,"",INDEX($T$5:$AJ$1204,MATCH(5,$S$5:$S$1204,0),13))</f>
        <v/>
      </c>
      <c r="N9" s="45" t="str">
        <f t="array" ref="N9">IF(5&gt;$S$1204,"",INDEX($T$5:$AJ$1204,MATCH(5,$S$5:$S$1204,0),14))</f>
        <v/>
      </c>
      <c r="O9" s="48" t="str">
        <f t="array" ref="O9">IF(5&gt;$S$1204,"",INDEX($T$5:$AJ$1204,MATCH(5,$S$5:$S$1204,0),15))</f>
        <v/>
      </c>
      <c r="P9" s="45" t="str">
        <f t="array" ref="P9">IF(5&gt;$S$1204,"",INDEX($T$5:$AJ$1204,MATCH(5,$S$5:$S$1204,0),16))</f>
        <v/>
      </c>
      <c r="Q9" s="45" t="str">
        <f t="array" ref="Q9">IF(5&gt;$S$1204,"",INDEX($T$5:$AJ$1204,MATCH(5,$S$5:$S$1204,0),17))</f>
        <v/>
      </c>
      <c r="R9" s="17"/>
      <c r="S9" s="17">
        <f>S8+IF(M1_Administrativo!A13="",0,1)</f>
        <v>0</v>
      </c>
      <c r="T9" s="17" t="str">
        <f>IF(M1_Administrativo!A13="","",IF(M1_Administrativo!A13="","",M1_Administrativo!A13))</f>
        <v/>
      </c>
      <c r="U9" s="17" t="str">
        <f>IF(M1_Administrativo!A13="","",IF(M1_Administrativo!R13="","",M1_Administrativo!R13))</f>
        <v/>
      </c>
      <c r="V9" s="17" t="str">
        <f>IF(M1_Administrativo!A13="","",IF(M1_Administrativo!D13="","",M1_Administrativo!D13))</f>
        <v/>
      </c>
      <c r="W9" s="17" t="str">
        <f>IF(M1_Administrativo!A13="","",IF(M1_Administrativo!B13="","",M1_Administrativo!B13))</f>
        <v/>
      </c>
      <c r="X9" s="17" t="str">
        <f>IF(M1_Administrativo!A13="","",IF(M1_Administrativo!C13="","",M1_Administrativo!C13))</f>
        <v/>
      </c>
      <c r="Y9" s="17" t="str">
        <f>IF(M1_Administrativo!A13="","",IF(M1_Administrativo!E13="","",M1_Administrativo!E13))</f>
        <v/>
      </c>
      <c r="Z9" s="17" t="str">
        <f>IF(M1_Administrativo!A13="","",IF(M1_Administrativo!F13="","",M1_Administrativo!F13))</f>
        <v/>
      </c>
      <c r="AA9" s="17" t="str">
        <f>IF(M1_Administrativo!A13="","","M1 Administrativo")</f>
        <v/>
      </c>
      <c r="AB9" s="17" t="str">
        <f>IF(M1_Administrativo!A13="","",IF(M1_Administrativo!G13="","",M1_Administrativo!G13))</f>
        <v/>
      </c>
      <c r="AC9" s="17" t="str">
        <f>IF(M1_Administrativo!A13="","",IF(M1_Administrativo!M13="","",M1_Administrativo!M13))</f>
        <v/>
      </c>
      <c r="AD9" s="17" t="str">
        <f>IF(M1_Administrativo!A13="","","RA")</f>
        <v/>
      </c>
      <c r="AE9" s="17" t="str">
        <f>IF(M1_Administrativo!A13="","",IF(M1_Administrativo!O13="","",M1_Administrativo!O13))</f>
        <v/>
      </c>
      <c r="AF9" s="17" t="str">
        <f>IF(M1_Administrativo!A13="","",IF(M1_Administrativo!P13="","",M1_Administrativo!P13))</f>
        <v/>
      </c>
      <c r="AG9" s="17" t="str">
        <f>IF(M1_Administrativo!A13="","",IF(M1_Administrativo!Q13="","",M1_Administrativo!Q13))</f>
        <v/>
      </c>
      <c r="AH9" s="17" t="str">
        <f>IF(M1_Administrativo!A13="","","")</f>
        <v/>
      </c>
      <c r="AI9" s="17" t="str">
        <f>IF(M1_Administrativo!A13="","","M1_Administrativo!13")</f>
        <v/>
      </c>
      <c r="AJ9" s="17" t="str">
        <f>IF(M1_Administrativo!A13="","",IF(M1_Administrativo!M13="","Pendiente de resultado","Disponible"))</f>
        <v/>
      </c>
    </row>
    <row r="10" spans="1:36" ht="55.5" customHeight="1">
      <c r="A10" s="44" t="str">
        <f t="array" ref="A10">IF(6&gt;$S$1204,"",INDEX($T$5:$AJ$1204,MATCH(6,$S$5:$S$1204,0),1))</f>
        <v/>
      </c>
      <c r="B10" s="45" t="str">
        <f t="array" ref="B10">IF(6&gt;$S$1204,"",INDEX($T$5:$AJ$1204,MATCH(6,$S$5:$S$1204,0),2))</f>
        <v/>
      </c>
      <c r="C10" s="46" t="str">
        <f t="array" ref="C10">IF(6&gt;$S$1204,"",INDEX($T$5:$AJ$1204,MATCH(6,$S$5:$S$1204,0),3))</f>
        <v/>
      </c>
      <c r="D10" s="45" t="str">
        <f t="array" ref="D10">IF(6&gt;$S$1204,"",INDEX($T$5:$AJ$1204,MATCH(6,$S$5:$S$1204,0),4))</f>
        <v/>
      </c>
      <c r="E10" s="45" t="str">
        <f t="array" ref="E10">IF(6&gt;$S$1204,"",INDEX($T$5:$AJ$1204,MATCH(6,$S$5:$S$1204,0),5))</f>
        <v/>
      </c>
      <c r="F10" s="45" t="str">
        <f t="array" ref="F10">IF(6&gt;$S$1204,"",INDEX($T$5:$AJ$1204,MATCH(6,$S$5:$S$1204,0),6))</f>
        <v/>
      </c>
      <c r="G10" s="45" t="str">
        <f t="array" ref="G10">IF(6&gt;$S$1204,"",INDEX($T$5:$AJ$1204,MATCH(6,$S$5:$S$1204,0),7))</f>
        <v/>
      </c>
      <c r="H10" s="45" t="str">
        <f t="array" ref="H10">IF(6&gt;$S$1204,"",INDEX($T$5:$AJ$1204,MATCH(6,$S$5:$S$1204,0),8))</f>
        <v/>
      </c>
      <c r="I10" s="45" t="str">
        <f t="array" ref="I10">IF(6&gt;$S$1204,"",INDEX($T$5:$AJ$1204,MATCH(6,$S$5:$S$1204,0),9))</f>
        <v/>
      </c>
      <c r="J10" s="47" t="str">
        <f t="array" ref="J10">IF(6&gt;$S$1204,"",INDEX($T$5:$AJ$1204,MATCH(6,$S$5:$S$1204,0),10))</f>
        <v/>
      </c>
      <c r="K10" s="45" t="str">
        <f t="array" ref="K10">IF(6&gt;$S$1204,"",INDEX($T$5:$AJ$1204,MATCH(6,$S$5:$S$1204,0),11))</f>
        <v/>
      </c>
      <c r="L10" s="45" t="str">
        <f t="array" ref="L10">IF(6&gt;$S$1204,"",INDEX($T$5:$AJ$1204,MATCH(6,$S$5:$S$1204,0),12))</f>
        <v/>
      </c>
      <c r="M10" s="45" t="str">
        <f t="array" ref="M10">IF(6&gt;$S$1204,"",INDEX($T$5:$AJ$1204,MATCH(6,$S$5:$S$1204,0),13))</f>
        <v/>
      </c>
      <c r="N10" s="45" t="str">
        <f t="array" ref="N10">IF(6&gt;$S$1204,"",INDEX($T$5:$AJ$1204,MATCH(6,$S$5:$S$1204,0),14))</f>
        <v/>
      </c>
      <c r="O10" s="48" t="str">
        <f t="array" ref="O10">IF(6&gt;$S$1204,"",INDEX($T$5:$AJ$1204,MATCH(6,$S$5:$S$1204,0),15))</f>
        <v/>
      </c>
      <c r="P10" s="45" t="str">
        <f t="array" ref="P10">IF(6&gt;$S$1204,"",INDEX($T$5:$AJ$1204,MATCH(6,$S$5:$S$1204,0),16))</f>
        <v/>
      </c>
      <c r="Q10" s="45" t="str">
        <f t="array" ref="Q10">IF(6&gt;$S$1204,"",INDEX($T$5:$AJ$1204,MATCH(6,$S$5:$S$1204,0),17))</f>
        <v/>
      </c>
      <c r="R10" s="17"/>
      <c r="S10" s="17">
        <f>S9+IF(M1_Administrativo!A14="",0,1)</f>
        <v>0</v>
      </c>
      <c r="T10" s="17" t="str">
        <f>IF(M1_Administrativo!A14="","",IF(M1_Administrativo!A14="","",M1_Administrativo!A14))</f>
        <v/>
      </c>
      <c r="U10" s="17" t="str">
        <f>IF(M1_Administrativo!A14="","",IF(M1_Administrativo!R14="","",M1_Administrativo!R14))</f>
        <v/>
      </c>
      <c r="V10" s="17" t="str">
        <f>IF(M1_Administrativo!A14="","",IF(M1_Administrativo!D14="","",M1_Administrativo!D14))</f>
        <v/>
      </c>
      <c r="W10" s="17" t="str">
        <f>IF(M1_Administrativo!A14="","",IF(M1_Administrativo!B14="","",M1_Administrativo!B14))</f>
        <v/>
      </c>
      <c r="X10" s="17" t="str">
        <f>IF(M1_Administrativo!A14="","",IF(M1_Administrativo!C14="","",M1_Administrativo!C14))</f>
        <v/>
      </c>
      <c r="Y10" s="17" t="str">
        <f>IF(M1_Administrativo!A14="","",IF(M1_Administrativo!E14="","",M1_Administrativo!E14))</f>
        <v/>
      </c>
      <c r="Z10" s="17" t="str">
        <f>IF(M1_Administrativo!A14="","",IF(M1_Administrativo!F14="","",M1_Administrativo!F14))</f>
        <v/>
      </c>
      <c r="AA10" s="17" t="str">
        <f>IF(M1_Administrativo!A14="","","M1 Administrativo")</f>
        <v/>
      </c>
      <c r="AB10" s="17" t="str">
        <f>IF(M1_Administrativo!A14="","",IF(M1_Administrativo!G14="","",M1_Administrativo!G14))</f>
        <v/>
      </c>
      <c r="AC10" s="17" t="str">
        <f>IF(M1_Administrativo!A14="","",IF(M1_Administrativo!M14="","",M1_Administrativo!M14))</f>
        <v/>
      </c>
      <c r="AD10" s="17" t="str">
        <f>IF(M1_Administrativo!A14="","","RA")</f>
        <v/>
      </c>
      <c r="AE10" s="17" t="str">
        <f>IF(M1_Administrativo!A14="","",IF(M1_Administrativo!O14="","",M1_Administrativo!O14))</f>
        <v/>
      </c>
      <c r="AF10" s="17" t="str">
        <f>IF(M1_Administrativo!A14="","",IF(M1_Administrativo!P14="","",M1_Administrativo!P14))</f>
        <v/>
      </c>
      <c r="AG10" s="17" t="str">
        <f>IF(M1_Administrativo!A14="","",IF(M1_Administrativo!Q14="","",M1_Administrativo!Q14))</f>
        <v/>
      </c>
      <c r="AH10" s="17" t="str">
        <f>IF(M1_Administrativo!A14="","","")</f>
        <v/>
      </c>
      <c r="AI10" s="17" t="str">
        <f>IF(M1_Administrativo!A14="","","M1_Administrativo!14")</f>
        <v/>
      </c>
      <c r="AJ10" s="17" t="str">
        <f>IF(M1_Administrativo!A14="","",IF(M1_Administrativo!M14="","Pendiente de resultado","Disponible"))</f>
        <v/>
      </c>
    </row>
    <row r="11" spans="1:36" ht="55.5" customHeight="1">
      <c r="A11" s="44" t="str">
        <f t="array" ref="A11">IF(7&gt;$S$1204,"",INDEX($T$5:$AJ$1204,MATCH(7,$S$5:$S$1204,0),1))</f>
        <v/>
      </c>
      <c r="B11" s="45" t="str">
        <f t="array" ref="B11">IF(7&gt;$S$1204,"",INDEX($T$5:$AJ$1204,MATCH(7,$S$5:$S$1204,0),2))</f>
        <v/>
      </c>
      <c r="C11" s="46" t="str">
        <f t="array" ref="C11">IF(7&gt;$S$1204,"",INDEX($T$5:$AJ$1204,MATCH(7,$S$5:$S$1204,0),3))</f>
        <v/>
      </c>
      <c r="D11" s="45" t="str">
        <f t="array" ref="D11">IF(7&gt;$S$1204,"",INDEX($T$5:$AJ$1204,MATCH(7,$S$5:$S$1204,0),4))</f>
        <v/>
      </c>
      <c r="E11" s="45" t="str">
        <f t="array" ref="E11">IF(7&gt;$S$1204,"",INDEX($T$5:$AJ$1204,MATCH(7,$S$5:$S$1204,0),5))</f>
        <v/>
      </c>
      <c r="F11" s="45" t="str">
        <f t="array" ref="F11">IF(7&gt;$S$1204,"",INDEX($T$5:$AJ$1204,MATCH(7,$S$5:$S$1204,0),6))</f>
        <v/>
      </c>
      <c r="G11" s="45" t="str">
        <f t="array" ref="G11">IF(7&gt;$S$1204,"",INDEX($T$5:$AJ$1204,MATCH(7,$S$5:$S$1204,0),7))</f>
        <v/>
      </c>
      <c r="H11" s="45" t="str">
        <f t="array" ref="H11">IF(7&gt;$S$1204,"",INDEX($T$5:$AJ$1204,MATCH(7,$S$5:$S$1204,0),8))</f>
        <v/>
      </c>
      <c r="I11" s="45" t="str">
        <f t="array" ref="I11">IF(7&gt;$S$1204,"",INDEX($T$5:$AJ$1204,MATCH(7,$S$5:$S$1204,0),9))</f>
        <v/>
      </c>
      <c r="J11" s="47" t="str">
        <f t="array" ref="J11">IF(7&gt;$S$1204,"",INDEX($T$5:$AJ$1204,MATCH(7,$S$5:$S$1204,0),10))</f>
        <v/>
      </c>
      <c r="K11" s="45" t="str">
        <f t="array" ref="K11">IF(7&gt;$S$1204,"",INDEX($T$5:$AJ$1204,MATCH(7,$S$5:$S$1204,0),11))</f>
        <v/>
      </c>
      <c r="L11" s="45" t="str">
        <f t="array" ref="L11">IF(7&gt;$S$1204,"",INDEX($T$5:$AJ$1204,MATCH(7,$S$5:$S$1204,0),12))</f>
        <v/>
      </c>
      <c r="M11" s="45" t="str">
        <f t="array" ref="M11">IF(7&gt;$S$1204,"",INDEX($T$5:$AJ$1204,MATCH(7,$S$5:$S$1204,0),13))</f>
        <v/>
      </c>
      <c r="N11" s="45" t="str">
        <f t="array" ref="N11">IF(7&gt;$S$1204,"",INDEX($T$5:$AJ$1204,MATCH(7,$S$5:$S$1204,0),14))</f>
        <v/>
      </c>
      <c r="O11" s="48" t="str">
        <f t="array" ref="O11">IF(7&gt;$S$1204,"",INDEX($T$5:$AJ$1204,MATCH(7,$S$5:$S$1204,0),15))</f>
        <v/>
      </c>
      <c r="P11" s="45" t="str">
        <f t="array" ref="P11">IF(7&gt;$S$1204,"",INDEX($T$5:$AJ$1204,MATCH(7,$S$5:$S$1204,0),16))</f>
        <v/>
      </c>
      <c r="Q11" s="45" t="str">
        <f t="array" ref="Q11">IF(7&gt;$S$1204,"",INDEX($T$5:$AJ$1204,MATCH(7,$S$5:$S$1204,0),17))</f>
        <v/>
      </c>
      <c r="R11" s="17"/>
      <c r="S11" s="17">
        <f>S10+IF(M1_Administrativo!A15="",0,1)</f>
        <v>0</v>
      </c>
      <c r="T11" s="17" t="str">
        <f>IF(M1_Administrativo!A15="","",IF(M1_Administrativo!A15="","",M1_Administrativo!A15))</f>
        <v/>
      </c>
      <c r="U11" s="17" t="str">
        <f>IF(M1_Administrativo!A15="","",IF(M1_Administrativo!R15="","",M1_Administrativo!R15))</f>
        <v/>
      </c>
      <c r="V11" s="17" t="str">
        <f>IF(M1_Administrativo!A15="","",IF(M1_Administrativo!D15="","",M1_Administrativo!D15))</f>
        <v/>
      </c>
      <c r="W11" s="17" t="str">
        <f>IF(M1_Administrativo!A15="","",IF(M1_Administrativo!B15="","",M1_Administrativo!B15))</f>
        <v/>
      </c>
      <c r="X11" s="17" t="str">
        <f>IF(M1_Administrativo!A15="","",IF(M1_Administrativo!C15="","",M1_Administrativo!C15))</f>
        <v/>
      </c>
      <c r="Y11" s="17" t="str">
        <f>IF(M1_Administrativo!A15="","",IF(M1_Administrativo!E15="","",M1_Administrativo!E15))</f>
        <v/>
      </c>
      <c r="Z11" s="17" t="str">
        <f>IF(M1_Administrativo!A15="","",IF(M1_Administrativo!F15="","",M1_Administrativo!F15))</f>
        <v/>
      </c>
      <c r="AA11" s="17" t="str">
        <f>IF(M1_Administrativo!A15="","","M1 Administrativo")</f>
        <v/>
      </c>
      <c r="AB11" s="17" t="str">
        <f>IF(M1_Administrativo!A15="","",IF(M1_Administrativo!G15="","",M1_Administrativo!G15))</f>
        <v/>
      </c>
      <c r="AC11" s="17" t="str">
        <f>IF(M1_Administrativo!A15="","",IF(M1_Administrativo!M15="","",M1_Administrativo!M15))</f>
        <v/>
      </c>
      <c r="AD11" s="17" t="str">
        <f>IF(M1_Administrativo!A15="","","RA")</f>
        <v/>
      </c>
      <c r="AE11" s="17" t="str">
        <f>IF(M1_Administrativo!A15="","",IF(M1_Administrativo!O15="","",M1_Administrativo!O15))</f>
        <v/>
      </c>
      <c r="AF11" s="17" t="str">
        <f>IF(M1_Administrativo!A15="","",IF(M1_Administrativo!P15="","",M1_Administrativo!P15))</f>
        <v/>
      </c>
      <c r="AG11" s="17" t="str">
        <f>IF(M1_Administrativo!A15="","",IF(M1_Administrativo!Q15="","",M1_Administrativo!Q15))</f>
        <v/>
      </c>
      <c r="AH11" s="17" t="str">
        <f>IF(M1_Administrativo!A15="","","")</f>
        <v/>
      </c>
      <c r="AI11" s="17" t="str">
        <f>IF(M1_Administrativo!A15="","","M1_Administrativo!15")</f>
        <v/>
      </c>
      <c r="AJ11" s="17" t="str">
        <f>IF(M1_Administrativo!A15="","",IF(M1_Administrativo!M15="","Pendiente de resultado","Disponible"))</f>
        <v/>
      </c>
    </row>
    <row r="12" spans="1:36" ht="55.5" customHeight="1">
      <c r="A12" s="44" t="str">
        <f t="array" ref="A12">IF(8&gt;$S$1204,"",INDEX($T$5:$AJ$1204,MATCH(8,$S$5:$S$1204,0),1))</f>
        <v/>
      </c>
      <c r="B12" s="45" t="str">
        <f t="array" ref="B12">IF(8&gt;$S$1204,"",INDEX($T$5:$AJ$1204,MATCH(8,$S$5:$S$1204,0),2))</f>
        <v/>
      </c>
      <c r="C12" s="46" t="str">
        <f t="array" ref="C12">IF(8&gt;$S$1204,"",INDEX($T$5:$AJ$1204,MATCH(8,$S$5:$S$1204,0),3))</f>
        <v/>
      </c>
      <c r="D12" s="45" t="str">
        <f t="array" ref="D12">IF(8&gt;$S$1204,"",INDEX($T$5:$AJ$1204,MATCH(8,$S$5:$S$1204,0),4))</f>
        <v/>
      </c>
      <c r="E12" s="45" t="str">
        <f t="array" ref="E12">IF(8&gt;$S$1204,"",INDEX($T$5:$AJ$1204,MATCH(8,$S$5:$S$1204,0),5))</f>
        <v/>
      </c>
      <c r="F12" s="45" t="str">
        <f t="array" ref="F12">IF(8&gt;$S$1204,"",INDEX($T$5:$AJ$1204,MATCH(8,$S$5:$S$1204,0),6))</f>
        <v/>
      </c>
      <c r="G12" s="45" t="str">
        <f t="array" ref="G12">IF(8&gt;$S$1204,"",INDEX($T$5:$AJ$1204,MATCH(8,$S$5:$S$1204,0),7))</f>
        <v/>
      </c>
      <c r="H12" s="45" t="str">
        <f t="array" ref="H12">IF(8&gt;$S$1204,"",INDEX($T$5:$AJ$1204,MATCH(8,$S$5:$S$1204,0),8))</f>
        <v/>
      </c>
      <c r="I12" s="45" t="str">
        <f t="array" ref="I12">IF(8&gt;$S$1204,"",INDEX($T$5:$AJ$1204,MATCH(8,$S$5:$S$1204,0),9))</f>
        <v/>
      </c>
      <c r="J12" s="47" t="str">
        <f t="array" ref="J12">IF(8&gt;$S$1204,"",INDEX($T$5:$AJ$1204,MATCH(8,$S$5:$S$1204,0),10))</f>
        <v/>
      </c>
      <c r="K12" s="45" t="str">
        <f t="array" ref="K12">IF(8&gt;$S$1204,"",INDEX($T$5:$AJ$1204,MATCH(8,$S$5:$S$1204,0),11))</f>
        <v/>
      </c>
      <c r="L12" s="45" t="str">
        <f t="array" ref="L12">IF(8&gt;$S$1204,"",INDEX($T$5:$AJ$1204,MATCH(8,$S$5:$S$1204,0),12))</f>
        <v/>
      </c>
      <c r="M12" s="45" t="str">
        <f t="array" ref="M12">IF(8&gt;$S$1204,"",INDEX($T$5:$AJ$1204,MATCH(8,$S$5:$S$1204,0),13))</f>
        <v/>
      </c>
      <c r="N12" s="45" t="str">
        <f t="array" ref="N12">IF(8&gt;$S$1204,"",INDEX($T$5:$AJ$1204,MATCH(8,$S$5:$S$1204,0),14))</f>
        <v/>
      </c>
      <c r="O12" s="48" t="str">
        <f t="array" ref="O12">IF(8&gt;$S$1204,"",INDEX($T$5:$AJ$1204,MATCH(8,$S$5:$S$1204,0),15))</f>
        <v/>
      </c>
      <c r="P12" s="45" t="str">
        <f t="array" ref="P12">IF(8&gt;$S$1204,"",INDEX($T$5:$AJ$1204,MATCH(8,$S$5:$S$1204,0),16))</f>
        <v/>
      </c>
      <c r="Q12" s="45" t="str">
        <f t="array" ref="Q12">IF(8&gt;$S$1204,"",INDEX($T$5:$AJ$1204,MATCH(8,$S$5:$S$1204,0),17))</f>
        <v/>
      </c>
      <c r="R12" s="17"/>
      <c r="S12" s="17">
        <f>S11+IF(M1_Administrativo!A16="",0,1)</f>
        <v>0</v>
      </c>
      <c r="T12" s="17" t="str">
        <f>IF(M1_Administrativo!A16="","",IF(M1_Administrativo!A16="","",M1_Administrativo!A16))</f>
        <v/>
      </c>
      <c r="U12" s="17" t="str">
        <f>IF(M1_Administrativo!A16="","",IF(M1_Administrativo!R16="","",M1_Administrativo!R16))</f>
        <v/>
      </c>
      <c r="V12" s="17" t="str">
        <f>IF(M1_Administrativo!A16="","",IF(M1_Administrativo!D16="","",M1_Administrativo!D16))</f>
        <v/>
      </c>
      <c r="W12" s="17" t="str">
        <f>IF(M1_Administrativo!A16="","",IF(M1_Administrativo!B16="","",M1_Administrativo!B16))</f>
        <v/>
      </c>
      <c r="X12" s="17" t="str">
        <f>IF(M1_Administrativo!A16="","",IF(M1_Administrativo!C16="","",M1_Administrativo!C16))</f>
        <v/>
      </c>
      <c r="Y12" s="17" t="str">
        <f>IF(M1_Administrativo!A16="","",IF(M1_Administrativo!E16="","",M1_Administrativo!E16))</f>
        <v/>
      </c>
      <c r="Z12" s="17" t="str">
        <f>IF(M1_Administrativo!A16="","",IF(M1_Administrativo!F16="","",M1_Administrativo!F16))</f>
        <v/>
      </c>
      <c r="AA12" s="17" t="str">
        <f>IF(M1_Administrativo!A16="","","M1 Administrativo")</f>
        <v/>
      </c>
      <c r="AB12" s="17" t="str">
        <f>IF(M1_Administrativo!A16="","",IF(M1_Administrativo!G16="","",M1_Administrativo!G16))</f>
        <v/>
      </c>
      <c r="AC12" s="17" t="str">
        <f>IF(M1_Administrativo!A16="","",IF(M1_Administrativo!M16="","",M1_Administrativo!M16))</f>
        <v/>
      </c>
      <c r="AD12" s="17" t="str">
        <f>IF(M1_Administrativo!A16="","","RA")</f>
        <v/>
      </c>
      <c r="AE12" s="17" t="str">
        <f>IF(M1_Administrativo!A16="","",IF(M1_Administrativo!O16="","",M1_Administrativo!O16))</f>
        <v/>
      </c>
      <c r="AF12" s="17" t="str">
        <f>IF(M1_Administrativo!A16="","",IF(M1_Administrativo!P16="","",M1_Administrativo!P16))</f>
        <v/>
      </c>
      <c r="AG12" s="17" t="str">
        <f>IF(M1_Administrativo!A16="","",IF(M1_Administrativo!Q16="","",M1_Administrativo!Q16))</f>
        <v/>
      </c>
      <c r="AH12" s="17" t="str">
        <f>IF(M1_Administrativo!A16="","","")</f>
        <v/>
      </c>
      <c r="AI12" s="17" t="str">
        <f>IF(M1_Administrativo!A16="","","M1_Administrativo!16")</f>
        <v/>
      </c>
      <c r="AJ12" s="17" t="str">
        <f>IF(M1_Administrativo!A16="","",IF(M1_Administrativo!M16="","Pendiente de resultado","Disponible"))</f>
        <v/>
      </c>
    </row>
    <row r="13" spans="1:36" ht="55.5" customHeight="1">
      <c r="A13" s="44" t="str">
        <f t="array" ref="A13">IF(9&gt;$S$1204,"",INDEX($T$5:$AJ$1204,MATCH(9,$S$5:$S$1204,0),1))</f>
        <v/>
      </c>
      <c r="B13" s="45" t="str">
        <f t="array" ref="B13">IF(9&gt;$S$1204,"",INDEX($T$5:$AJ$1204,MATCH(9,$S$5:$S$1204,0),2))</f>
        <v/>
      </c>
      <c r="C13" s="46" t="str">
        <f t="array" ref="C13">IF(9&gt;$S$1204,"",INDEX($T$5:$AJ$1204,MATCH(9,$S$5:$S$1204,0),3))</f>
        <v/>
      </c>
      <c r="D13" s="45" t="str">
        <f t="array" ref="D13">IF(9&gt;$S$1204,"",INDEX($T$5:$AJ$1204,MATCH(9,$S$5:$S$1204,0),4))</f>
        <v/>
      </c>
      <c r="E13" s="45" t="str">
        <f t="array" ref="E13">IF(9&gt;$S$1204,"",INDEX($T$5:$AJ$1204,MATCH(9,$S$5:$S$1204,0),5))</f>
        <v/>
      </c>
      <c r="F13" s="45" t="str">
        <f t="array" ref="F13">IF(9&gt;$S$1204,"",INDEX($T$5:$AJ$1204,MATCH(9,$S$5:$S$1204,0),6))</f>
        <v/>
      </c>
      <c r="G13" s="45" t="str">
        <f t="array" ref="G13">IF(9&gt;$S$1204,"",INDEX($T$5:$AJ$1204,MATCH(9,$S$5:$S$1204,0),7))</f>
        <v/>
      </c>
      <c r="H13" s="45" t="str">
        <f t="array" ref="H13">IF(9&gt;$S$1204,"",INDEX($T$5:$AJ$1204,MATCH(9,$S$5:$S$1204,0),8))</f>
        <v/>
      </c>
      <c r="I13" s="45" t="str">
        <f t="array" ref="I13">IF(9&gt;$S$1204,"",INDEX($T$5:$AJ$1204,MATCH(9,$S$5:$S$1204,0),9))</f>
        <v/>
      </c>
      <c r="J13" s="47" t="str">
        <f t="array" ref="J13">IF(9&gt;$S$1204,"",INDEX($T$5:$AJ$1204,MATCH(9,$S$5:$S$1204,0),10))</f>
        <v/>
      </c>
      <c r="K13" s="45" t="str">
        <f t="array" ref="K13">IF(9&gt;$S$1204,"",INDEX($T$5:$AJ$1204,MATCH(9,$S$5:$S$1204,0),11))</f>
        <v/>
      </c>
      <c r="L13" s="45" t="str">
        <f t="array" ref="L13">IF(9&gt;$S$1204,"",INDEX($T$5:$AJ$1204,MATCH(9,$S$5:$S$1204,0),12))</f>
        <v/>
      </c>
      <c r="M13" s="45" t="str">
        <f t="array" ref="M13">IF(9&gt;$S$1204,"",INDEX($T$5:$AJ$1204,MATCH(9,$S$5:$S$1204,0),13))</f>
        <v/>
      </c>
      <c r="N13" s="45" t="str">
        <f t="array" ref="N13">IF(9&gt;$S$1204,"",INDEX($T$5:$AJ$1204,MATCH(9,$S$5:$S$1204,0),14))</f>
        <v/>
      </c>
      <c r="O13" s="48" t="str">
        <f t="array" ref="O13">IF(9&gt;$S$1204,"",INDEX($T$5:$AJ$1204,MATCH(9,$S$5:$S$1204,0),15))</f>
        <v/>
      </c>
      <c r="P13" s="45" t="str">
        <f t="array" ref="P13">IF(9&gt;$S$1204,"",INDEX($T$5:$AJ$1204,MATCH(9,$S$5:$S$1204,0),16))</f>
        <v/>
      </c>
      <c r="Q13" s="45" t="str">
        <f t="array" ref="Q13">IF(9&gt;$S$1204,"",INDEX($T$5:$AJ$1204,MATCH(9,$S$5:$S$1204,0),17))</f>
        <v/>
      </c>
      <c r="R13" s="17"/>
      <c r="S13" s="17">
        <f>S12+IF(M1_Administrativo!A17="",0,1)</f>
        <v>0</v>
      </c>
      <c r="T13" s="17" t="str">
        <f>IF(M1_Administrativo!A17="","",IF(M1_Administrativo!A17="","",M1_Administrativo!A17))</f>
        <v/>
      </c>
      <c r="U13" s="17" t="str">
        <f>IF(M1_Administrativo!A17="","",IF(M1_Administrativo!R17="","",M1_Administrativo!R17))</f>
        <v/>
      </c>
      <c r="V13" s="17" t="str">
        <f>IF(M1_Administrativo!A17="","",IF(M1_Administrativo!D17="","",M1_Administrativo!D17))</f>
        <v/>
      </c>
      <c r="W13" s="17" t="str">
        <f>IF(M1_Administrativo!A17="","",IF(M1_Administrativo!B17="","",M1_Administrativo!B17))</f>
        <v/>
      </c>
      <c r="X13" s="17" t="str">
        <f>IF(M1_Administrativo!A17="","",IF(M1_Administrativo!C17="","",M1_Administrativo!C17))</f>
        <v/>
      </c>
      <c r="Y13" s="17" t="str">
        <f>IF(M1_Administrativo!A17="","",IF(M1_Administrativo!E17="","",M1_Administrativo!E17))</f>
        <v/>
      </c>
      <c r="Z13" s="17" t="str">
        <f>IF(M1_Administrativo!A17="","",IF(M1_Administrativo!F17="","",M1_Administrativo!F17))</f>
        <v/>
      </c>
      <c r="AA13" s="17" t="str">
        <f>IF(M1_Administrativo!A17="","","M1 Administrativo")</f>
        <v/>
      </c>
      <c r="AB13" s="17" t="str">
        <f>IF(M1_Administrativo!A17="","",IF(M1_Administrativo!G17="","",M1_Administrativo!G17))</f>
        <v/>
      </c>
      <c r="AC13" s="17" t="str">
        <f>IF(M1_Administrativo!A17="","",IF(M1_Administrativo!M17="","",M1_Administrativo!M17))</f>
        <v/>
      </c>
      <c r="AD13" s="17" t="str">
        <f>IF(M1_Administrativo!A17="","","RA")</f>
        <v/>
      </c>
      <c r="AE13" s="17" t="str">
        <f>IF(M1_Administrativo!A17="","",IF(M1_Administrativo!O17="","",M1_Administrativo!O17))</f>
        <v/>
      </c>
      <c r="AF13" s="17" t="str">
        <f>IF(M1_Administrativo!A17="","",IF(M1_Administrativo!P17="","",M1_Administrativo!P17))</f>
        <v/>
      </c>
      <c r="AG13" s="17" t="str">
        <f>IF(M1_Administrativo!A17="","",IF(M1_Administrativo!Q17="","",M1_Administrativo!Q17))</f>
        <v/>
      </c>
      <c r="AH13" s="17" t="str">
        <f>IF(M1_Administrativo!A17="","","")</f>
        <v/>
      </c>
      <c r="AI13" s="17" t="str">
        <f>IF(M1_Administrativo!A17="","","M1_Administrativo!17")</f>
        <v/>
      </c>
      <c r="AJ13" s="17" t="str">
        <f>IF(M1_Administrativo!A17="","",IF(M1_Administrativo!M17="","Pendiente de resultado","Disponible"))</f>
        <v/>
      </c>
    </row>
    <row r="14" spans="1:36" ht="55.5" customHeight="1">
      <c r="A14" s="44" t="str">
        <f t="array" ref="A14">IF(10&gt;$S$1204,"",INDEX($T$5:$AJ$1204,MATCH(10,$S$5:$S$1204,0),1))</f>
        <v/>
      </c>
      <c r="B14" s="45" t="str">
        <f t="array" ref="B14">IF(10&gt;$S$1204,"",INDEX($T$5:$AJ$1204,MATCH(10,$S$5:$S$1204,0),2))</f>
        <v/>
      </c>
      <c r="C14" s="46" t="str">
        <f t="array" ref="C14">IF(10&gt;$S$1204,"",INDEX($T$5:$AJ$1204,MATCH(10,$S$5:$S$1204,0),3))</f>
        <v/>
      </c>
      <c r="D14" s="45" t="str">
        <f t="array" ref="D14">IF(10&gt;$S$1204,"",INDEX($T$5:$AJ$1204,MATCH(10,$S$5:$S$1204,0),4))</f>
        <v/>
      </c>
      <c r="E14" s="45" t="str">
        <f t="array" ref="E14">IF(10&gt;$S$1204,"",INDEX($T$5:$AJ$1204,MATCH(10,$S$5:$S$1204,0),5))</f>
        <v/>
      </c>
      <c r="F14" s="45" t="str">
        <f t="array" ref="F14">IF(10&gt;$S$1204,"",INDEX($T$5:$AJ$1204,MATCH(10,$S$5:$S$1204,0),6))</f>
        <v/>
      </c>
      <c r="G14" s="45" t="str">
        <f t="array" ref="G14">IF(10&gt;$S$1204,"",INDEX($T$5:$AJ$1204,MATCH(10,$S$5:$S$1204,0),7))</f>
        <v/>
      </c>
      <c r="H14" s="45" t="str">
        <f t="array" ref="H14">IF(10&gt;$S$1204,"",INDEX($T$5:$AJ$1204,MATCH(10,$S$5:$S$1204,0),8))</f>
        <v/>
      </c>
      <c r="I14" s="45" t="str">
        <f t="array" ref="I14">IF(10&gt;$S$1204,"",INDEX($T$5:$AJ$1204,MATCH(10,$S$5:$S$1204,0),9))</f>
        <v/>
      </c>
      <c r="J14" s="47" t="str">
        <f t="array" ref="J14">IF(10&gt;$S$1204,"",INDEX($T$5:$AJ$1204,MATCH(10,$S$5:$S$1204,0),10))</f>
        <v/>
      </c>
      <c r="K14" s="45" t="str">
        <f t="array" ref="K14">IF(10&gt;$S$1204,"",INDEX($T$5:$AJ$1204,MATCH(10,$S$5:$S$1204,0),11))</f>
        <v/>
      </c>
      <c r="L14" s="45" t="str">
        <f t="array" ref="L14">IF(10&gt;$S$1204,"",INDEX($T$5:$AJ$1204,MATCH(10,$S$5:$S$1204,0),12))</f>
        <v/>
      </c>
      <c r="M14" s="45" t="str">
        <f t="array" ref="M14">IF(10&gt;$S$1204,"",INDEX($T$5:$AJ$1204,MATCH(10,$S$5:$S$1204,0),13))</f>
        <v/>
      </c>
      <c r="N14" s="45" t="str">
        <f t="array" ref="N14">IF(10&gt;$S$1204,"",INDEX($T$5:$AJ$1204,MATCH(10,$S$5:$S$1204,0),14))</f>
        <v/>
      </c>
      <c r="O14" s="48" t="str">
        <f t="array" ref="O14">IF(10&gt;$S$1204,"",INDEX($T$5:$AJ$1204,MATCH(10,$S$5:$S$1204,0),15))</f>
        <v/>
      </c>
      <c r="P14" s="45" t="str">
        <f t="array" ref="P14">IF(10&gt;$S$1204,"",INDEX($T$5:$AJ$1204,MATCH(10,$S$5:$S$1204,0),16))</f>
        <v/>
      </c>
      <c r="Q14" s="45" t="str">
        <f t="array" ref="Q14">IF(10&gt;$S$1204,"",INDEX($T$5:$AJ$1204,MATCH(10,$S$5:$S$1204,0),17))</f>
        <v/>
      </c>
      <c r="R14" s="17"/>
      <c r="S14" s="17">
        <f>S13+IF(M1_Administrativo!A18="",0,1)</f>
        <v>0</v>
      </c>
      <c r="T14" s="17" t="str">
        <f>IF(M1_Administrativo!A18="","",IF(M1_Administrativo!A18="","",M1_Administrativo!A18))</f>
        <v/>
      </c>
      <c r="U14" s="17" t="str">
        <f>IF(M1_Administrativo!A18="","",IF(M1_Administrativo!R18="","",M1_Administrativo!R18))</f>
        <v/>
      </c>
      <c r="V14" s="17" t="str">
        <f>IF(M1_Administrativo!A18="","",IF(M1_Administrativo!D18="","",M1_Administrativo!D18))</f>
        <v/>
      </c>
      <c r="W14" s="17" t="str">
        <f>IF(M1_Administrativo!A18="","",IF(M1_Administrativo!B18="","",M1_Administrativo!B18))</f>
        <v/>
      </c>
      <c r="X14" s="17" t="str">
        <f>IF(M1_Administrativo!A18="","",IF(M1_Administrativo!C18="","",M1_Administrativo!C18))</f>
        <v/>
      </c>
      <c r="Y14" s="17" t="str">
        <f>IF(M1_Administrativo!A18="","",IF(M1_Administrativo!E18="","",M1_Administrativo!E18))</f>
        <v/>
      </c>
      <c r="Z14" s="17" t="str">
        <f>IF(M1_Administrativo!A18="","",IF(M1_Administrativo!F18="","",M1_Administrativo!F18))</f>
        <v/>
      </c>
      <c r="AA14" s="17" t="str">
        <f>IF(M1_Administrativo!A18="","","M1 Administrativo")</f>
        <v/>
      </c>
      <c r="AB14" s="17" t="str">
        <f>IF(M1_Administrativo!A18="","",IF(M1_Administrativo!G18="","",M1_Administrativo!G18))</f>
        <v/>
      </c>
      <c r="AC14" s="17" t="str">
        <f>IF(M1_Administrativo!A18="","",IF(M1_Administrativo!M18="","",M1_Administrativo!M18))</f>
        <v/>
      </c>
      <c r="AD14" s="17" t="str">
        <f>IF(M1_Administrativo!A18="","","RA")</f>
        <v/>
      </c>
      <c r="AE14" s="17" t="str">
        <f>IF(M1_Administrativo!A18="","",IF(M1_Administrativo!O18="","",M1_Administrativo!O18))</f>
        <v/>
      </c>
      <c r="AF14" s="17" t="str">
        <f>IF(M1_Administrativo!A18="","",IF(M1_Administrativo!P18="","",M1_Administrativo!P18))</f>
        <v/>
      </c>
      <c r="AG14" s="17" t="str">
        <f>IF(M1_Administrativo!A18="","",IF(M1_Administrativo!Q18="","",M1_Administrativo!Q18))</f>
        <v/>
      </c>
      <c r="AH14" s="17" t="str">
        <f>IF(M1_Administrativo!A18="","","")</f>
        <v/>
      </c>
      <c r="AI14" s="17" t="str">
        <f>IF(M1_Administrativo!A18="","","M1_Administrativo!18")</f>
        <v/>
      </c>
      <c r="AJ14" s="17" t="str">
        <f>IF(M1_Administrativo!A18="","",IF(M1_Administrativo!M18="","Pendiente de resultado","Disponible"))</f>
        <v/>
      </c>
    </row>
    <row r="15" spans="1:36" ht="55.5" customHeight="1">
      <c r="A15" s="44" t="str">
        <f t="array" ref="A15">IF(11&gt;$S$1204,"",INDEX($T$5:$AJ$1204,MATCH(11,$S$5:$S$1204,0),1))</f>
        <v/>
      </c>
      <c r="B15" s="45" t="str">
        <f t="array" ref="B15">IF(11&gt;$S$1204,"",INDEX($T$5:$AJ$1204,MATCH(11,$S$5:$S$1204,0),2))</f>
        <v/>
      </c>
      <c r="C15" s="46" t="str">
        <f t="array" ref="C15">IF(11&gt;$S$1204,"",INDEX($T$5:$AJ$1204,MATCH(11,$S$5:$S$1204,0),3))</f>
        <v/>
      </c>
      <c r="D15" s="45" t="str">
        <f t="array" ref="D15">IF(11&gt;$S$1204,"",INDEX($T$5:$AJ$1204,MATCH(11,$S$5:$S$1204,0),4))</f>
        <v/>
      </c>
      <c r="E15" s="45" t="str">
        <f t="array" ref="E15">IF(11&gt;$S$1204,"",INDEX($T$5:$AJ$1204,MATCH(11,$S$5:$S$1204,0),5))</f>
        <v/>
      </c>
      <c r="F15" s="45" t="str">
        <f t="array" ref="F15">IF(11&gt;$S$1204,"",INDEX($T$5:$AJ$1204,MATCH(11,$S$5:$S$1204,0),6))</f>
        <v/>
      </c>
      <c r="G15" s="45" t="str">
        <f t="array" ref="G15">IF(11&gt;$S$1204,"",INDEX($T$5:$AJ$1204,MATCH(11,$S$5:$S$1204,0),7))</f>
        <v/>
      </c>
      <c r="H15" s="45" t="str">
        <f t="array" ref="H15">IF(11&gt;$S$1204,"",INDEX($T$5:$AJ$1204,MATCH(11,$S$5:$S$1204,0),8))</f>
        <v/>
      </c>
      <c r="I15" s="45" t="str">
        <f t="array" ref="I15">IF(11&gt;$S$1204,"",INDEX($T$5:$AJ$1204,MATCH(11,$S$5:$S$1204,0),9))</f>
        <v/>
      </c>
      <c r="J15" s="47" t="str">
        <f t="array" ref="J15">IF(11&gt;$S$1204,"",INDEX($T$5:$AJ$1204,MATCH(11,$S$5:$S$1204,0),10))</f>
        <v/>
      </c>
      <c r="K15" s="45" t="str">
        <f t="array" ref="K15">IF(11&gt;$S$1204,"",INDEX($T$5:$AJ$1204,MATCH(11,$S$5:$S$1204,0),11))</f>
        <v/>
      </c>
      <c r="L15" s="45" t="str">
        <f t="array" ref="L15">IF(11&gt;$S$1204,"",INDEX($T$5:$AJ$1204,MATCH(11,$S$5:$S$1204,0),12))</f>
        <v/>
      </c>
      <c r="M15" s="45" t="str">
        <f t="array" ref="M15">IF(11&gt;$S$1204,"",INDEX($T$5:$AJ$1204,MATCH(11,$S$5:$S$1204,0),13))</f>
        <v/>
      </c>
      <c r="N15" s="45" t="str">
        <f t="array" ref="N15">IF(11&gt;$S$1204,"",INDEX($T$5:$AJ$1204,MATCH(11,$S$5:$S$1204,0),14))</f>
        <v/>
      </c>
      <c r="O15" s="48" t="str">
        <f t="array" ref="O15">IF(11&gt;$S$1204,"",INDEX($T$5:$AJ$1204,MATCH(11,$S$5:$S$1204,0),15))</f>
        <v/>
      </c>
      <c r="P15" s="45" t="str">
        <f t="array" ref="P15">IF(11&gt;$S$1204,"",INDEX($T$5:$AJ$1204,MATCH(11,$S$5:$S$1204,0),16))</f>
        <v/>
      </c>
      <c r="Q15" s="45" t="str">
        <f t="array" ref="Q15">IF(11&gt;$S$1204,"",INDEX($T$5:$AJ$1204,MATCH(11,$S$5:$S$1204,0),17))</f>
        <v/>
      </c>
      <c r="R15" s="17"/>
      <c r="S15" s="17">
        <f>S14+IF(M1_Administrativo!A19="",0,1)</f>
        <v>0</v>
      </c>
      <c r="T15" s="17" t="str">
        <f>IF(M1_Administrativo!A19="","",IF(M1_Administrativo!A19="","",M1_Administrativo!A19))</f>
        <v/>
      </c>
      <c r="U15" s="17" t="str">
        <f>IF(M1_Administrativo!A19="","",IF(M1_Administrativo!R19="","",M1_Administrativo!R19))</f>
        <v/>
      </c>
      <c r="V15" s="17" t="str">
        <f>IF(M1_Administrativo!A19="","",IF(M1_Administrativo!D19="","",M1_Administrativo!D19))</f>
        <v/>
      </c>
      <c r="W15" s="17" t="str">
        <f>IF(M1_Administrativo!A19="","",IF(M1_Administrativo!B19="","",M1_Administrativo!B19))</f>
        <v/>
      </c>
      <c r="X15" s="17" t="str">
        <f>IF(M1_Administrativo!A19="","",IF(M1_Administrativo!C19="","",M1_Administrativo!C19))</f>
        <v/>
      </c>
      <c r="Y15" s="17" t="str">
        <f>IF(M1_Administrativo!A19="","",IF(M1_Administrativo!E19="","",M1_Administrativo!E19))</f>
        <v/>
      </c>
      <c r="Z15" s="17" t="str">
        <f>IF(M1_Administrativo!A19="","",IF(M1_Administrativo!F19="","",M1_Administrativo!F19))</f>
        <v/>
      </c>
      <c r="AA15" s="17" t="str">
        <f>IF(M1_Administrativo!A19="","","M1 Administrativo")</f>
        <v/>
      </c>
      <c r="AB15" s="17" t="str">
        <f>IF(M1_Administrativo!A19="","",IF(M1_Administrativo!G19="","",M1_Administrativo!G19))</f>
        <v/>
      </c>
      <c r="AC15" s="17" t="str">
        <f>IF(M1_Administrativo!A19="","",IF(M1_Administrativo!M19="","",M1_Administrativo!M19))</f>
        <v/>
      </c>
      <c r="AD15" s="17" t="str">
        <f>IF(M1_Administrativo!A19="","","RA")</f>
        <v/>
      </c>
      <c r="AE15" s="17" t="str">
        <f>IF(M1_Administrativo!A19="","",IF(M1_Administrativo!O19="","",M1_Administrativo!O19))</f>
        <v/>
      </c>
      <c r="AF15" s="17" t="str">
        <f>IF(M1_Administrativo!A19="","",IF(M1_Administrativo!P19="","",M1_Administrativo!P19))</f>
        <v/>
      </c>
      <c r="AG15" s="17" t="str">
        <f>IF(M1_Administrativo!A19="","",IF(M1_Administrativo!Q19="","",M1_Administrativo!Q19))</f>
        <v/>
      </c>
      <c r="AH15" s="17" t="str">
        <f>IF(M1_Administrativo!A19="","","")</f>
        <v/>
      </c>
      <c r="AI15" s="17" t="str">
        <f>IF(M1_Administrativo!A19="","","M1_Administrativo!19")</f>
        <v/>
      </c>
      <c r="AJ15" s="17" t="str">
        <f>IF(M1_Administrativo!A19="","",IF(M1_Administrativo!M19="","Pendiente de resultado","Disponible"))</f>
        <v/>
      </c>
    </row>
    <row r="16" spans="1:36" ht="55.5" customHeight="1">
      <c r="A16" s="44" t="str">
        <f t="array" ref="A16">IF(12&gt;$S$1204,"",INDEX($T$5:$AJ$1204,MATCH(12,$S$5:$S$1204,0),1))</f>
        <v/>
      </c>
      <c r="B16" s="45" t="str">
        <f t="array" ref="B16">IF(12&gt;$S$1204,"",INDEX($T$5:$AJ$1204,MATCH(12,$S$5:$S$1204,0),2))</f>
        <v/>
      </c>
      <c r="C16" s="46" t="str">
        <f t="array" ref="C16">IF(12&gt;$S$1204,"",INDEX($T$5:$AJ$1204,MATCH(12,$S$5:$S$1204,0),3))</f>
        <v/>
      </c>
      <c r="D16" s="45" t="str">
        <f t="array" ref="D16">IF(12&gt;$S$1204,"",INDEX($T$5:$AJ$1204,MATCH(12,$S$5:$S$1204,0),4))</f>
        <v/>
      </c>
      <c r="E16" s="45" t="str">
        <f t="array" ref="E16">IF(12&gt;$S$1204,"",INDEX($T$5:$AJ$1204,MATCH(12,$S$5:$S$1204,0),5))</f>
        <v/>
      </c>
      <c r="F16" s="45" t="str">
        <f t="array" ref="F16">IF(12&gt;$S$1204,"",INDEX($T$5:$AJ$1204,MATCH(12,$S$5:$S$1204,0),6))</f>
        <v/>
      </c>
      <c r="G16" s="45" t="str">
        <f t="array" ref="G16">IF(12&gt;$S$1204,"",INDEX($T$5:$AJ$1204,MATCH(12,$S$5:$S$1204,0),7))</f>
        <v/>
      </c>
      <c r="H16" s="45" t="str">
        <f t="array" ref="H16">IF(12&gt;$S$1204,"",INDEX($T$5:$AJ$1204,MATCH(12,$S$5:$S$1204,0),8))</f>
        <v/>
      </c>
      <c r="I16" s="45" t="str">
        <f t="array" ref="I16">IF(12&gt;$S$1204,"",INDEX($T$5:$AJ$1204,MATCH(12,$S$5:$S$1204,0),9))</f>
        <v/>
      </c>
      <c r="J16" s="47" t="str">
        <f t="array" ref="J16">IF(12&gt;$S$1204,"",INDEX($T$5:$AJ$1204,MATCH(12,$S$5:$S$1204,0),10))</f>
        <v/>
      </c>
      <c r="K16" s="45" t="str">
        <f t="array" ref="K16">IF(12&gt;$S$1204,"",INDEX($T$5:$AJ$1204,MATCH(12,$S$5:$S$1204,0),11))</f>
        <v/>
      </c>
      <c r="L16" s="45" t="str">
        <f t="array" ref="L16">IF(12&gt;$S$1204,"",INDEX($T$5:$AJ$1204,MATCH(12,$S$5:$S$1204,0),12))</f>
        <v/>
      </c>
      <c r="M16" s="45" t="str">
        <f t="array" ref="M16">IF(12&gt;$S$1204,"",INDEX($T$5:$AJ$1204,MATCH(12,$S$5:$S$1204,0),13))</f>
        <v/>
      </c>
      <c r="N16" s="45" t="str">
        <f t="array" ref="N16">IF(12&gt;$S$1204,"",INDEX($T$5:$AJ$1204,MATCH(12,$S$5:$S$1204,0),14))</f>
        <v/>
      </c>
      <c r="O16" s="48" t="str">
        <f t="array" ref="O16">IF(12&gt;$S$1204,"",INDEX($T$5:$AJ$1204,MATCH(12,$S$5:$S$1204,0),15))</f>
        <v/>
      </c>
      <c r="P16" s="45" t="str">
        <f t="array" ref="P16">IF(12&gt;$S$1204,"",INDEX($T$5:$AJ$1204,MATCH(12,$S$5:$S$1204,0),16))</f>
        <v/>
      </c>
      <c r="Q16" s="45" t="str">
        <f t="array" ref="Q16">IF(12&gt;$S$1204,"",INDEX($T$5:$AJ$1204,MATCH(12,$S$5:$S$1204,0),17))</f>
        <v/>
      </c>
      <c r="R16" s="17"/>
      <c r="S16" s="17">
        <f>S15+IF(M1_Administrativo!A20="",0,1)</f>
        <v>0</v>
      </c>
      <c r="T16" s="17" t="str">
        <f>IF(M1_Administrativo!A20="","",IF(M1_Administrativo!A20="","",M1_Administrativo!A20))</f>
        <v/>
      </c>
      <c r="U16" s="17" t="str">
        <f>IF(M1_Administrativo!A20="","",IF(M1_Administrativo!R20="","",M1_Administrativo!R20))</f>
        <v/>
      </c>
      <c r="V16" s="17" t="str">
        <f>IF(M1_Administrativo!A20="","",IF(M1_Administrativo!D20="","",M1_Administrativo!D20))</f>
        <v/>
      </c>
      <c r="W16" s="17" t="str">
        <f>IF(M1_Administrativo!A20="","",IF(M1_Administrativo!B20="","",M1_Administrativo!B20))</f>
        <v/>
      </c>
      <c r="X16" s="17" t="str">
        <f>IF(M1_Administrativo!A20="","",IF(M1_Administrativo!C20="","",M1_Administrativo!C20))</f>
        <v/>
      </c>
      <c r="Y16" s="17" t="str">
        <f>IF(M1_Administrativo!A20="","",IF(M1_Administrativo!E20="","",M1_Administrativo!E20))</f>
        <v/>
      </c>
      <c r="Z16" s="17" t="str">
        <f>IF(M1_Administrativo!A20="","",IF(M1_Administrativo!F20="","",M1_Administrativo!F20))</f>
        <v/>
      </c>
      <c r="AA16" s="17" t="str">
        <f>IF(M1_Administrativo!A20="","","M1 Administrativo")</f>
        <v/>
      </c>
      <c r="AB16" s="17" t="str">
        <f>IF(M1_Administrativo!A20="","",IF(M1_Administrativo!G20="","",M1_Administrativo!G20))</f>
        <v/>
      </c>
      <c r="AC16" s="17" t="str">
        <f>IF(M1_Administrativo!A20="","",IF(M1_Administrativo!M20="","",M1_Administrativo!M20))</f>
        <v/>
      </c>
      <c r="AD16" s="17" t="str">
        <f>IF(M1_Administrativo!A20="","","RA")</f>
        <v/>
      </c>
      <c r="AE16" s="17" t="str">
        <f>IF(M1_Administrativo!A20="","",IF(M1_Administrativo!O20="","",M1_Administrativo!O20))</f>
        <v/>
      </c>
      <c r="AF16" s="17" t="str">
        <f>IF(M1_Administrativo!A20="","",IF(M1_Administrativo!P20="","",M1_Administrativo!P20))</f>
        <v/>
      </c>
      <c r="AG16" s="17" t="str">
        <f>IF(M1_Administrativo!A20="","",IF(M1_Administrativo!Q20="","",M1_Administrativo!Q20))</f>
        <v/>
      </c>
      <c r="AH16" s="17" t="str">
        <f>IF(M1_Administrativo!A20="","","")</f>
        <v/>
      </c>
      <c r="AI16" s="17" t="str">
        <f>IF(M1_Administrativo!A20="","","M1_Administrativo!20")</f>
        <v/>
      </c>
      <c r="AJ16" s="17" t="str">
        <f>IF(M1_Administrativo!A20="","",IF(M1_Administrativo!M20="","Pendiente de resultado","Disponible"))</f>
        <v/>
      </c>
    </row>
    <row r="17" spans="1:36" ht="55.5" customHeight="1">
      <c r="A17" s="44" t="str">
        <f t="array" ref="A17">IF(13&gt;$S$1204,"",INDEX($T$5:$AJ$1204,MATCH(13,$S$5:$S$1204,0),1))</f>
        <v/>
      </c>
      <c r="B17" s="45" t="str">
        <f t="array" ref="B17">IF(13&gt;$S$1204,"",INDEX($T$5:$AJ$1204,MATCH(13,$S$5:$S$1204,0),2))</f>
        <v/>
      </c>
      <c r="C17" s="46" t="str">
        <f t="array" ref="C17">IF(13&gt;$S$1204,"",INDEX($T$5:$AJ$1204,MATCH(13,$S$5:$S$1204,0),3))</f>
        <v/>
      </c>
      <c r="D17" s="45" t="str">
        <f t="array" ref="D17">IF(13&gt;$S$1204,"",INDEX($T$5:$AJ$1204,MATCH(13,$S$5:$S$1204,0),4))</f>
        <v/>
      </c>
      <c r="E17" s="45" t="str">
        <f t="array" ref="E17">IF(13&gt;$S$1204,"",INDEX($T$5:$AJ$1204,MATCH(13,$S$5:$S$1204,0),5))</f>
        <v/>
      </c>
      <c r="F17" s="45" t="str">
        <f t="array" ref="F17">IF(13&gt;$S$1204,"",INDEX($T$5:$AJ$1204,MATCH(13,$S$5:$S$1204,0),6))</f>
        <v/>
      </c>
      <c r="G17" s="45" t="str">
        <f t="array" ref="G17">IF(13&gt;$S$1204,"",INDEX($T$5:$AJ$1204,MATCH(13,$S$5:$S$1204,0),7))</f>
        <v/>
      </c>
      <c r="H17" s="45" t="str">
        <f t="array" ref="H17">IF(13&gt;$S$1204,"",INDEX($T$5:$AJ$1204,MATCH(13,$S$5:$S$1204,0),8))</f>
        <v/>
      </c>
      <c r="I17" s="45" t="str">
        <f t="array" ref="I17">IF(13&gt;$S$1204,"",INDEX($T$5:$AJ$1204,MATCH(13,$S$5:$S$1204,0),9))</f>
        <v/>
      </c>
      <c r="J17" s="47" t="str">
        <f t="array" ref="J17">IF(13&gt;$S$1204,"",INDEX($T$5:$AJ$1204,MATCH(13,$S$5:$S$1204,0),10))</f>
        <v/>
      </c>
      <c r="K17" s="45" t="str">
        <f t="array" ref="K17">IF(13&gt;$S$1204,"",INDEX($T$5:$AJ$1204,MATCH(13,$S$5:$S$1204,0),11))</f>
        <v/>
      </c>
      <c r="L17" s="45" t="str">
        <f t="array" ref="L17">IF(13&gt;$S$1204,"",INDEX($T$5:$AJ$1204,MATCH(13,$S$5:$S$1204,0),12))</f>
        <v/>
      </c>
      <c r="M17" s="45" t="str">
        <f t="array" ref="M17">IF(13&gt;$S$1204,"",INDEX($T$5:$AJ$1204,MATCH(13,$S$5:$S$1204,0),13))</f>
        <v/>
      </c>
      <c r="N17" s="45" t="str">
        <f t="array" ref="N17">IF(13&gt;$S$1204,"",INDEX($T$5:$AJ$1204,MATCH(13,$S$5:$S$1204,0),14))</f>
        <v/>
      </c>
      <c r="O17" s="48" t="str">
        <f t="array" ref="O17">IF(13&gt;$S$1204,"",INDEX($T$5:$AJ$1204,MATCH(13,$S$5:$S$1204,0),15))</f>
        <v/>
      </c>
      <c r="P17" s="45" t="str">
        <f t="array" ref="P17">IF(13&gt;$S$1204,"",INDEX($T$5:$AJ$1204,MATCH(13,$S$5:$S$1204,0),16))</f>
        <v/>
      </c>
      <c r="Q17" s="45" t="str">
        <f t="array" ref="Q17">IF(13&gt;$S$1204,"",INDEX($T$5:$AJ$1204,MATCH(13,$S$5:$S$1204,0),17))</f>
        <v/>
      </c>
      <c r="R17" s="17"/>
      <c r="S17" s="17">
        <f>S16+IF(M1_Administrativo!A21="",0,1)</f>
        <v>0</v>
      </c>
      <c r="T17" s="17" t="str">
        <f>IF(M1_Administrativo!A21="","",IF(M1_Administrativo!A21="","",M1_Administrativo!A21))</f>
        <v/>
      </c>
      <c r="U17" s="17" t="str">
        <f>IF(M1_Administrativo!A21="","",IF(M1_Administrativo!R21="","",M1_Administrativo!R21))</f>
        <v/>
      </c>
      <c r="V17" s="17" t="str">
        <f>IF(M1_Administrativo!A21="","",IF(M1_Administrativo!D21="","",M1_Administrativo!D21))</f>
        <v/>
      </c>
      <c r="W17" s="17" t="str">
        <f>IF(M1_Administrativo!A21="","",IF(M1_Administrativo!B21="","",M1_Administrativo!B21))</f>
        <v/>
      </c>
      <c r="X17" s="17" t="str">
        <f>IF(M1_Administrativo!A21="","",IF(M1_Administrativo!C21="","",M1_Administrativo!C21))</f>
        <v/>
      </c>
      <c r="Y17" s="17" t="str">
        <f>IF(M1_Administrativo!A21="","",IF(M1_Administrativo!E21="","",M1_Administrativo!E21))</f>
        <v/>
      </c>
      <c r="Z17" s="17" t="str">
        <f>IF(M1_Administrativo!A21="","",IF(M1_Administrativo!F21="","",M1_Administrativo!F21))</f>
        <v/>
      </c>
      <c r="AA17" s="17" t="str">
        <f>IF(M1_Administrativo!A21="","","M1 Administrativo")</f>
        <v/>
      </c>
      <c r="AB17" s="17" t="str">
        <f>IF(M1_Administrativo!A21="","",IF(M1_Administrativo!G21="","",M1_Administrativo!G21))</f>
        <v/>
      </c>
      <c r="AC17" s="17" t="str">
        <f>IF(M1_Administrativo!A21="","",IF(M1_Administrativo!M21="","",M1_Administrativo!M21))</f>
        <v/>
      </c>
      <c r="AD17" s="17" t="str">
        <f>IF(M1_Administrativo!A21="","","RA")</f>
        <v/>
      </c>
      <c r="AE17" s="17" t="str">
        <f>IF(M1_Administrativo!A21="","",IF(M1_Administrativo!O21="","",M1_Administrativo!O21))</f>
        <v/>
      </c>
      <c r="AF17" s="17" t="str">
        <f>IF(M1_Administrativo!A21="","",IF(M1_Administrativo!P21="","",M1_Administrativo!P21))</f>
        <v/>
      </c>
      <c r="AG17" s="17" t="str">
        <f>IF(M1_Administrativo!A21="","",IF(M1_Administrativo!Q21="","",M1_Administrativo!Q21))</f>
        <v/>
      </c>
      <c r="AH17" s="17" t="str">
        <f>IF(M1_Administrativo!A21="","","")</f>
        <v/>
      </c>
      <c r="AI17" s="17" t="str">
        <f>IF(M1_Administrativo!A21="","","M1_Administrativo!21")</f>
        <v/>
      </c>
      <c r="AJ17" s="17" t="str">
        <f>IF(M1_Administrativo!A21="","",IF(M1_Administrativo!M21="","Pendiente de resultado","Disponible"))</f>
        <v/>
      </c>
    </row>
    <row r="18" spans="1:36" ht="55.5" customHeight="1">
      <c r="A18" s="44" t="str">
        <f t="array" ref="A18">IF(14&gt;$S$1204,"",INDEX($T$5:$AJ$1204,MATCH(14,$S$5:$S$1204,0),1))</f>
        <v/>
      </c>
      <c r="B18" s="45" t="str">
        <f t="array" ref="B18">IF(14&gt;$S$1204,"",INDEX($T$5:$AJ$1204,MATCH(14,$S$5:$S$1204,0),2))</f>
        <v/>
      </c>
      <c r="C18" s="46" t="str">
        <f t="array" ref="C18">IF(14&gt;$S$1204,"",INDEX($T$5:$AJ$1204,MATCH(14,$S$5:$S$1204,0),3))</f>
        <v/>
      </c>
      <c r="D18" s="45" t="str">
        <f t="array" ref="D18">IF(14&gt;$S$1204,"",INDEX($T$5:$AJ$1204,MATCH(14,$S$5:$S$1204,0),4))</f>
        <v/>
      </c>
      <c r="E18" s="45" t="str">
        <f t="array" ref="E18">IF(14&gt;$S$1204,"",INDEX($T$5:$AJ$1204,MATCH(14,$S$5:$S$1204,0),5))</f>
        <v/>
      </c>
      <c r="F18" s="45" t="str">
        <f t="array" ref="F18">IF(14&gt;$S$1204,"",INDEX($T$5:$AJ$1204,MATCH(14,$S$5:$S$1204,0),6))</f>
        <v/>
      </c>
      <c r="G18" s="45" t="str">
        <f t="array" ref="G18">IF(14&gt;$S$1204,"",INDEX($T$5:$AJ$1204,MATCH(14,$S$5:$S$1204,0),7))</f>
        <v/>
      </c>
      <c r="H18" s="45" t="str">
        <f t="array" ref="H18">IF(14&gt;$S$1204,"",INDEX($T$5:$AJ$1204,MATCH(14,$S$5:$S$1204,0),8))</f>
        <v/>
      </c>
      <c r="I18" s="45" t="str">
        <f t="array" ref="I18">IF(14&gt;$S$1204,"",INDEX($T$5:$AJ$1204,MATCH(14,$S$5:$S$1204,0),9))</f>
        <v/>
      </c>
      <c r="J18" s="47" t="str">
        <f t="array" ref="J18">IF(14&gt;$S$1204,"",INDEX($T$5:$AJ$1204,MATCH(14,$S$5:$S$1204,0),10))</f>
        <v/>
      </c>
      <c r="K18" s="45" t="str">
        <f t="array" ref="K18">IF(14&gt;$S$1204,"",INDEX($T$5:$AJ$1204,MATCH(14,$S$5:$S$1204,0),11))</f>
        <v/>
      </c>
      <c r="L18" s="45" t="str">
        <f t="array" ref="L18">IF(14&gt;$S$1204,"",INDEX($T$5:$AJ$1204,MATCH(14,$S$5:$S$1204,0),12))</f>
        <v/>
      </c>
      <c r="M18" s="45" t="str">
        <f t="array" ref="M18">IF(14&gt;$S$1204,"",INDEX($T$5:$AJ$1204,MATCH(14,$S$5:$S$1204,0),13))</f>
        <v/>
      </c>
      <c r="N18" s="45" t="str">
        <f t="array" ref="N18">IF(14&gt;$S$1204,"",INDEX($T$5:$AJ$1204,MATCH(14,$S$5:$S$1204,0),14))</f>
        <v/>
      </c>
      <c r="O18" s="48" t="str">
        <f t="array" ref="O18">IF(14&gt;$S$1204,"",INDEX($T$5:$AJ$1204,MATCH(14,$S$5:$S$1204,0),15))</f>
        <v/>
      </c>
      <c r="P18" s="45" t="str">
        <f t="array" ref="P18">IF(14&gt;$S$1204,"",INDEX($T$5:$AJ$1204,MATCH(14,$S$5:$S$1204,0),16))</f>
        <v/>
      </c>
      <c r="Q18" s="45" t="str">
        <f t="array" ref="Q18">IF(14&gt;$S$1204,"",INDEX($T$5:$AJ$1204,MATCH(14,$S$5:$S$1204,0),17))</f>
        <v/>
      </c>
      <c r="R18" s="17"/>
      <c r="S18" s="17">
        <f>S17+IF(M1_Administrativo!A22="",0,1)</f>
        <v>0</v>
      </c>
      <c r="T18" s="17" t="str">
        <f>IF(M1_Administrativo!A22="","",IF(M1_Administrativo!A22="","",M1_Administrativo!A22))</f>
        <v/>
      </c>
      <c r="U18" s="17" t="str">
        <f>IF(M1_Administrativo!A22="","",IF(M1_Administrativo!R22="","",M1_Administrativo!R22))</f>
        <v/>
      </c>
      <c r="V18" s="17" t="str">
        <f>IF(M1_Administrativo!A22="","",IF(M1_Administrativo!D22="","",M1_Administrativo!D22))</f>
        <v/>
      </c>
      <c r="W18" s="17" t="str">
        <f>IF(M1_Administrativo!A22="","",IF(M1_Administrativo!B22="","",M1_Administrativo!B22))</f>
        <v/>
      </c>
      <c r="X18" s="17" t="str">
        <f>IF(M1_Administrativo!A22="","",IF(M1_Administrativo!C22="","",M1_Administrativo!C22))</f>
        <v/>
      </c>
      <c r="Y18" s="17" t="str">
        <f>IF(M1_Administrativo!A22="","",IF(M1_Administrativo!E22="","",M1_Administrativo!E22))</f>
        <v/>
      </c>
      <c r="Z18" s="17" t="str">
        <f>IF(M1_Administrativo!A22="","",IF(M1_Administrativo!F22="","",M1_Administrativo!F22))</f>
        <v/>
      </c>
      <c r="AA18" s="17" t="str">
        <f>IF(M1_Administrativo!A22="","","M1 Administrativo")</f>
        <v/>
      </c>
      <c r="AB18" s="17" t="str">
        <f>IF(M1_Administrativo!A22="","",IF(M1_Administrativo!G22="","",M1_Administrativo!G22))</f>
        <v/>
      </c>
      <c r="AC18" s="17" t="str">
        <f>IF(M1_Administrativo!A22="","",IF(M1_Administrativo!M22="","",M1_Administrativo!M22))</f>
        <v/>
      </c>
      <c r="AD18" s="17" t="str">
        <f>IF(M1_Administrativo!A22="","","RA")</f>
        <v/>
      </c>
      <c r="AE18" s="17" t="str">
        <f>IF(M1_Administrativo!A22="","",IF(M1_Administrativo!O22="","",M1_Administrativo!O22))</f>
        <v/>
      </c>
      <c r="AF18" s="17" t="str">
        <f>IF(M1_Administrativo!A22="","",IF(M1_Administrativo!P22="","",M1_Administrativo!P22))</f>
        <v/>
      </c>
      <c r="AG18" s="17" t="str">
        <f>IF(M1_Administrativo!A22="","",IF(M1_Administrativo!Q22="","",M1_Administrativo!Q22))</f>
        <v/>
      </c>
      <c r="AH18" s="17" t="str">
        <f>IF(M1_Administrativo!A22="","","")</f>
        <v/>
      </c>
      <c r="AI18" s="17" t="str">
        <f>IF(M1_Administrativo!A22="","","M1_Administrativo!22")</f>
        <v/>
      </c>
      <c r="AJ18" s="17" t="str">
        <f>IF(M1_Administrativo!A22="","",IF(M1_Administrativo!M22="","Pendiente de resultado","Disponible"))</f>
        <v/>
      </c>
    </row>
    <row r="19" spans="1:36" ht="55.5" customHeight="1">
      <c r="A19" s="44" t="str">
        <f t="array" ref="A19">IF(15&gt;$S$1204,"",INDEX($T$5:$AJ$1204,MATCH(15,$S$5:$S$1204,0),1))</f>
        <v/>
      </c>
      <c r="B19" s="45" t="str">
        <f t="array" ref="B19">IF(15&gt;$S$1204,"",INDEX($T$5:$AJ$1204,MATCH(15,$S$5:$S$1204,0),2))</f>
        <v/>
      </c>
      <c r="C19" s="46" t="str">
        <f t="array" ref="C19">IF(15&gt;$S$1204,"",INDEX($T$5:$AJ$1204,MATCH(15,$S$5:$S$1204,0),3))</f>
        <v/>
      </c>
      <c r="D19" s="45" t="str">
        <f t="array" ref="D19">IF(15&gt;$S$1204,"",INDEX($T$5:$AJ$1204,MATCH(15,$S$5:$S$1204,0),4))</f>
        <v/>
      </c>
      <c r="E19" s="45" t="str">
        <f t="array" ref="E19">IF(15&gt;$S$1204,"",INDEX($T$5:$AJ$1204,MATCH(15,$S$5:$S$1204,0),5))</f>
        <v/>
      </c>
      <c r="F19" s="45" t="str">
        <f t="array" ref="F19">IF(15&gt;$S$1204,"",INDEX($T$5:$AJ$1204,MATCH(15,$S$5:$S$1204,0),6))</f>
        <v/>
      </c>
      <c r="G19" s="45" t="str">
        <f t="array" ref="G19">IF(15&gt;$S$1204,"",INDEX($T$5:$AJ$1204,MATCH(15,$S$5:$S$1204,0),7))</f>
        <v/>
      </c>
      <c r="H19" s="45" t="str">
        <f t="array" ref="H19">IF(15&gt;$S$1204,"",INDEX($T$5:$AJ$1204,MATCH(15,$S$5:$S$1204,0),8))</f>
        <v/>
      </c>
      <c r="I19" s="45" t="str">
        <f t="array" ref="I19">IF(15&gt;$S$1204,"",INDEX($T$5:$AJ$1204,MATCH(15,$S$5:$S$1204,0),9))</f>
        <v/>
      </c>
      <c r="J19" s="47" t="str">
        <f t="array" ref="J19">IF(15&gt;$S$1204,"",INDEX($T$5:$AJ$1204,MATCH(15,$S$5:$S$1204,0),10))</f>
        <v/>
      </c>
      <c r="K19" s="45" t="str">
        <f t="array" ref="K19">IF(15&gt;$S$1204,"",INDEX($T$5:$AJ$1204,MATCH(15,$S$5:$S$1204,0),11))</f>
        <v/>
      </c>
      <c r="L19" s="45" t="str">
        <f t="array" ref="L19">IF(15&gt;$S$1204,"",INDEX($T$5:$AJ$1204,MATCH(15,$S$5:$S$1204,0),12))</f>
        <v/>
      </c>
      <c r="M19" s="45" t="str">
        <f t="array" ref="M19">IF(15&gt;$S$1204,"",INDEX($T$5:$AJ$1204,MATCH(15,$S$5:$S$1204,0),13))</f>
        <v/>
      </c>
      <c r="N19" s="45" t="str">
        <f t="array" ref="N19">IF(15&gt;$S$1204,"",INDEX($T$5:$AJ$1204,MATCH(15,$S$5:$S$1204,0),14))</f>
        <v/>
      </c>
      <c r="O19" s="48" t="str">
        <f t="array" ref="O19">IF(15&gt;$S$1204,"",INDEX($T$5:$AJ$1204,MATCH(15,$S$5:$S$1204,0),15))</f>
        <v/>
      </c>
      <c r="P19" s="45" t="str">
        <f t="array" ref="P19">IF(15&gt;$S$1204,"",INDEX($T$5:$AJ$1204,MATCH(15,$S$5:$S$1204,0),16))</f>
        <v/>
      </c>
      <c r="Q19" s="45" t="str">
        <f t="array" ref="Q19">IF(15&gt;$S$1204,"",INDEX($T$5:$AJ$1204,MATCH(15,$S$5:$S$1204,0),17))</f>
        <v/>
      </c>
      <c r="R19" s="17"/>
      <c r="S19" s="17">
        <f>S18+IF(M1_Administrativo!A23="",0,1)</f>
        <v>0</v>
      </c>
      <c r="T19" s="17" t="str">
        <f>IF(M1_Administrativo!A23="","",IF(M1_Administrativo!A23="","",M1_Administrativo!A23))</f>
        <v/>
      </c>
      <c r="U19" s="17" t="str">
        <f>IF(M1_Administrativo!A23="","",IF(M1_Administrativo!R23="","",M1_Administrativo!R23))</f>
        <v/>
      </c>
      <c r="V19" s="17" t="str">
        <f>IF(M1_Administrativo!A23="","",IF(M1_Administrativo!D23="","",M1_Administrativo!D23))</f>
        <v/>
      </c>
      <c r="W19" s="17" t="str">
        <f>IF(M1_Administrativo!A23="","",IF(M1_Administrativo!B23="","",M1_Administrativo!B23))</f>
        <v/>
      </c>
      <c r="X19" s="17" t="str">
        <f>IF(M1_Administrativo!A23="","",IF(M1_Administrativo!C23="","",M1_Administrativo!C23))</f>
        <v/>
      </c>
      <c r="Y19" s="17" t="str">
        <f>IF(M1_Administrativo!A23="","",IF(M1_Administrativo!E23="","",M1_Administrativo!E23))</f>
        <v/>
      </c>
      <c r="Z19" s="17" t="str">
        <f>IF(M1_Administrativo!A23="","",IF(M1_Administrativo!F23="","",M1_Administrativo!F23))</f>
        <v/>
      </c>
      <c r="AA19" s="17" t="str">
        <f>IF(M1_Administrativo!A23="","","M1 Administrativo")</f>
        <v/>
      </c>
      <c r="AB19" s="17" t="str">
        <f>IF(M1_Administrativo!A23="","",IF(M1_Administrativo!G23="","",M1_Administrativo!G23))</f>
        <v/>
      </c>
      <c r="AC19" s="17" t="str">
        <f>IF(M1_Administrativo!A23="","",IF(M1_Administrativo!M23="","",M1_Administrativo!M23))</f>
        <v/>
      </c>
      <c r="AD19" s="17" t="str">
        <f>IF(M1_Administrativo!A23="","","RA")</f>
        <v/>
      </c>
      <c r="AE19" s="17" t="str">
        <f>IF(M1_Administrativo!A23="","",IF(M1_Administrativo!O23="","",M1_Administrativo!O23))</f>
        <v/>
      </c>
      <c r="AF19" s="17" t="str">
        <f>IF(M1_Administrativo!A23="","",IF(M1_Administrativo!P23="","",M1_Administrativo!P23))</f>
        <v/>
      </c>
      <c r="AG19" s="17" t="str">
        <f>IF(M1_Administrativo!A23="","",IF(M1_Administrativo!Q23="","",M1_Administrativo!Q23))</f>
        <v/>
      </c>
      <c r="AH19" s="17" t="str">
        <f>IF(M1_Administrativo!A23="","","")</f>
        <v/>
      </c>
      <c r="AI19" s="17" t="str">
        <f>IF(M1_Administrativo!A23="","","M1_Administrativo!23")</f>
        <v/>
      </c>
      <c r="AJ19" s="17" t="str">
        <f>IF(M1_Administrativo!A23="","",IF(M1_Administrativo!M23="","Pendiente de resultado","Disponible"))</f>
        <v/>
      </c>
    </row>
    <row r="20" spans="1:36" ht="55.5" customHeight="1">
      <c r="A20" s="44" t="str">
        <f t="array" ref="A20">IF(16&gt;$S$1204,"",INDEX($T$5:$AJ$1204,MATCH(16,$S$5:$S$1204,0),1))</f>
        <v/>
      </c>
      <c r="B20" s="45" t="str">
        <f t="array" ref="B20">IF(16&gt;$S$1204,"",INDEX($T$5:$AJ$1204,MATCH(16,$S$5:$S$1204,0),2))</f>
        <v/>
      </c>
      <c r="C20" s="46" t="str">
        <f t="array" ref="C20">IF(16&gt;$S$1204,"",INDEX($T$5:$AJ$1204,MATCH(16,$S$5:$S$1204,0),3))</f>
        <v/>
      </c>
      <c r="D20" s="45" t="str">
        <f t="array" ref="D20">IF(16&gt;$S$1204,"",INDEX($T$5:$AJ$1204,MATCH(16,$S$5:$S$1204,0),4))</f>
        <v/>
      </c>
      <c r="E20" s="45" t="str">
        <f t="array" ref="E20">IF(16&gt;$S$1204,"",INDEX($T$5:$AJ$1204,MATCH(16,$S$5:$S$1204,0),5))</f>
        <v/>
      </c>
      <c r="F20" s="45" t="str">
        <f t="array" ref="F20">IF(16&gt;$S$1204,"",INDEX($T$5:$AJ$1204,MATCH(16,$S$5:$S$1204,0),6))</f>
        <v/>
      </c>
      <c r="G20" s="45" t="str">
        <f t="array" ref="G20">IF(16&gt;$S$1204,"",INDEX($T$5:$AJ$1204,MATCH(16,$S$5:$S$1204,0),7))</f>
        <v/>
      </c>
      <c r="H20" s="45" t="str">
        <f t="array" ref="H20">IF(16&gt;$S$1204,"",INDEX($T$5:$AJ$1204,MATCH(16,$S$5:$S$1204,0),8))</f>
        <v/>
      </c>
      <c r="I20" s="45" t="str">
        <f t="array" ref="I20">IF(16&gt;$S$1204,"",INDEX($T$5:$AJ$1204,MATCH(16,$S$5:$S$1204,0),9))</f>
        <v/>
      </c>
      <c r="J20" s="47" t="str">
        <f t="array" ref="J20">IF(16&gt;$S$1204,"",INDEX($T$5:$AJ$1204,MATCH(16,$S$5:$S$1204,0),10))</f>
        <v/>
      </c>
      <c r="K20" s="45" t="str">
        <f t="array" ref="K20">IF(16&gt;$S$1204,"",INDEX($T$5:$AJ$1204,MATCH(16,$S$5:$S$1204,0),11))</f>
        <v/>
      </c>
      <c r="L20" s="45" t="str">
        <f t="array" ref="L20">IF(16&gt;$S$1204,"",INDEX($T$5:$AJ$1204,MATCH(16,$S$5:$S$1204,0),12))</f>
        <v/>
      </c>
      <c r="M20" s="45" t="str">
        <f t="array" ref="M20">IF(16&gt;$S$1204,"",INDEX($T$5:$AJ$1204,MATCH(16,$S$5:$S$1204,0),13))</f>
        <v/>
      </c>
      <c r="N20" s="45" t="str">
        <f t="array" ref="N20">IF(16&gt;$S$1204,"",INDEX($T$5:$AJ$1204,MATCH(16,$S$5:$S$1204,0),14))</f>
        <v/>
      </c>
      <c r="O20" s="48" t="str">
        <f t="array" ref="O20">IF(16&gt;$S$1204,"",INDEX($T$5:$AJ$1204,MATCH(16,$S$5:$S$1204,0),15))</f>
        <v/>
      </c>
      <c r="P20" s="45" t="str">
        <f t="array" ref="P20">IF(16&gt;$S$1204,"",INDEX($T$5:$AJ$1204,MATCH(16,$S$5:$S$1204,0),16))</f>
        <v/>
      </c>
      <c r="Q20" s="45" t="str">
        <f t="array" ref="Q20">IF(16&gt;$S$1204,"",INDEX($T$5:$AJ$1204,MATCH(16,$S$5:$S$1204,0),17))</f>
        <v/>
      </c>
      <c r="R20" s="17"/>
      <c r="S20" s="17">
        <f>S19+IF(M1_Administrativo!A24="",0,1)</f>
        <v>0</v>
      </c>
      <c r="T20" s="17" t="str">
        <f>IF(M1_Administrativo!A24="","",IF(M1_Administrativo!A24="","",M1_Administrativo!A24))</f>
        <v/>
      </c>
      <c r="U20" s="17" t="str">
        <f>IF(M1_Administrativo!A24="","",IF(M1_Administrativo!R24="","",M1_Administrativo!R24))</f>
        <v/>
      </c>
      <c r="V20" s="17" t="str">
        <f>IF(M1_Administrativo!A24="","",IF(M1_Administrativo!D24="","",M1_Administrativo!D24))</f>
        <v/>
      </c>
      <c r="W20" s="17" t="str">
        <f>IF(M1_Administrativo!A24="","",IF(M1_Administrativo!B24="","",M1_Administrativo!B24))</f>
        <v/>
      </c>
      <c r="X20" s="17" t="str">
        <f>IF(M1_Administrativo!A24="","",IF(M1_Administrativo!C24="","",M1_Administrativo!C24))</f>
        <v/>
      </c>
      <c r="Y20" s="17" t="str">
        <f>IF(M1_Administrativo!A24="","",IF(M1_Administrativo!E24="","",M1_Administrativo!E24))</f>
        <v/>
      </c>
      <c r="Z20" s="17" t="str">
        <f>IF(M1_Administrativo!A24="","",IF(M1_Administrativo!F24="","",M1_Administrativo!F24))</f>
        <v/>
      </c>
      <c r="AA20" s="17" t="str">
        <f>IF(M1_Administrativo!A24="","","M1 Administrativo")</f>
        <v/>
      </c>
      <c r="AB20" s="17" t="str">
        <f>IF(M1_Administrativo!A24="","",IF(M1_Administrativo!G24="","",M1_Administrativo!G24))</f>
        <v/>
      </c>
      <c r="AC20" s="17" t="str">
        <f>IF(M1_Administrativo!A24="","",IF(M1_Administrativo!M24="","",M1_Administrativo!M24))</f>
        <v/>
      </c>
      <c r="AD20" s="17" t="str">
        <f>IF(M1_Administrativo!A24="","","RA")</f>
        <v/>
      </c>
      <c r="AE20" s="17" t="str">
        <f>IF(M1_Administrativo!A24="","",IF(M1_Administrativo!O24="","",M1_Administrativo!O24))</f>
        <v/>
      </c>
      <c r="AF20" s="17" t="str">
        <f>IF(M1_Administrativo!A24="","",IF(M1_Administrativo!P24="","",M1_Administrativo!P24))</f>
        <v/>
      </c>
      <c r="AG20" s="17" t="str">
        <f>IF(M1_Administrativo!A24="","",IF(M1_Administrativo!Q24="","",M1_Administrativo!Q24))</f>
        <v/>
      </c>
      <c r="AH20" s="17" t="str">
        <f>IF(M1_Administrativo!A24="","","")</f>
        <v/>
      </c>
      <c r="AI20" s="17" t="str">
        <f>IF(M1_Administrativo!A24="","","M1_Administrativo!24")</f>
        <v/>
      </c>
      <c r="AJ20" s="17" t="str">
        <f>IF(M1_Administrativo!A24="","",IF(M1_Administrativo!M24="","Pendiente de resultado","Disponible"))</f>
        <v/>
      </c>
    </row>
    <row r="21" spans="1:36" ht="55.5" customHeight="1">
      <c r="A21" s="44" t="str">
        <f t="array" ref="A21">IF(17&gt;$S$1204,"",INDEX($T$5:$AJ$1204,MATCH(17,$S$5:$S$1204,0),1))</f>
        <v/>
      </c>
      <c r="B21" s="45" t="str">
        <f t="array" ref="B21">IF(17&gt;$S$1204,"",INDEX($T$5:$AJ$1204,MATCH(17,$S$5:$S$1204,0),2))</f>
        <v/>
      </c>
      <c r="C21" s="46" t="str">
        <f t="array" ref="C21">IF(17&gt;$S$1204,"",INDEX($T$5:$AJ$1204,MATCH(17,$S$5:$S$1204,0),3))</f>
        <v/>
      </c>
      <c r="D21" s="45" t="str">
        <f t="array" ref="D21">IF(17&gt;$S$1204,"",INDEX($T$5:$AJ$1204,MATCH(17,$S$5:$S$1204,0),4))</f>
        <v/>
      </c>
      <c r="E21" s="45" t="str">
        <f t="array" ref="E21">IF(17&gt;$S$1204,"",INDEX($T$5:$AJ$1204,MATCH(17,$S$5:$S$1204,0),5))</f>
        <v/>
      </c>
      <c r="F21" s="45" t="str">
        <f t="array" ref="F21">IF(17&gt;$S$1204,"",INDEX($T$5:$AJ$1204,MATCH(17,$S$5:$S$1204,0),6))</f>
        <v/>
      </c>
      <c r="G21" s="45" t="str">
        <f t="array" ref="G21">IF(17&gt;$S$1204,"",INDEX($T$5:$AJ$1204,MATCH(17,$S$5:$S$1204,0),7))</f>
        <v/>
      </c>
      <c r="H21" s="45" t="str">
        <f t="array" ref="H21">IF(17&gt;$S$1204,"",INDEX($T$5:$AJ$1204,MATCH(17,$S$5:$S$1204,0),8))</f>
        <v/>
      </c>
      <c r="I21" s="45" t="str">
        <f t="array" ref="I21">IF(17&gt;$S$1204,"",INDEX($T$5:$AJ$1204,MATCH(17,$S$5:$S$1204,0),9))</f>
        <v/>
      </c>
      <c r="J21" s="47" t="str">
        <f t="array" ref="J21">IF(17&gt;$S$1204,"",INDEX($T$5:$AJ$1204,MATCH(17,$S$5:$S$1204,0),10))</f>
        <v/>
      </c>
      <c r="K21" s="45" t="str">
        <f t="array" ref="K21">IF(17&gt;$S$1204,"",INDEX($T$5:$AJ$1204,MATCH(17,$S$5:$S$1204,0),11))</f>
        <v/>
      </c>
      <c r="L21" s="45" t="str">
        <f t="array" ref="L21">IF(17&gt;$S$1204,"",INDEX($T$5:$AJ$1204,MATCH(17,$S$5:$S$1204,0),12))</f>
        <v/>
      </c>
      <c r="M21" s="45" t="str">
        <f t="array" ref="M21">IF(17&gt;$S$1204,"",INDEX($T$5:$AJ$1204,MATCH(17,$S$5:$S$1204,0),13))</f>
        <v/>
      </c>
      <c r="N21" s="45" t="str">
        <f t="array" ref="N21">IF(17&gt;$S$1204,"",INDEX($T$5:$AJ$1204,MATCH(17,$S$5:$S$1204,0),14))</f>
        <v/>
      </c>
      <c r="O21" s="48" t="str">
        <f t="array" ref="O21">IF(17&gt;$S$1204,"",INDEX($T$5:$AJ$1204,MATCH(17,$S$5:$S$1204,0),15))</f>
        <v/>
      </c>
      <c r="P21" s="45" t="str">
        <f t="array" ref="P21">IF(17&gt;$S$1204,"",INDEX($T$5:$AJ$1204,MATCH(17,$S$5:$S$1204,0),16))</f>
        <v/>
      </c>
      <c r="Q21" s="45" t="str">
        <f t="array" ref="Q21">IF(17&gt;$S$1204,"",INDEX($T$5:$AJ$1204,MATCH(17,$S$5:$S$1204,0),17))</f>
        <v/>
      </c>
      <c r="R21" s="17"/>
      <c r="S21" s="17">
        <f>S20+IF(M1_Administrativo!A25="",0,1)</f>
        <v>0</v>
      </c>
      <c r="T21" s="17" t="str">
        <f>IF(M1_Administrativo!A25="","",IF(M1_Administrativo!A25="","",M1_Administrativo!A25))</f>
        <v/>
      </c>
      <c r="U21" s="17" t="str">
        <f>IF(M1_Administrativo!A25="","",IF(M1_Administrativo!R25="","",M1_Administrativo!R25))</f>
        <v/>
      </c>
      <c r="V21" s="17" t="str">
        <f>IF(M1_Administrativo!A25="","",IF(M1_Administrativo!D25="","",M1_Administrativo!D25))</f>
        <v/>
      </c>
      <c r="W21" s="17" t="str">
        <f>IF(M1_Administrativo!A25="","",IF(M1_Administrativo!B25="","",M1_Administrativo!B25))</f>
        <v/>
      </c>
      <c r="X21" s="17" t="str">
        <f>IF(M1_Administrativo!A25="","",IF(M1_Administrativo!C25="","",M1_Administrativo!C25))</f>
        <v/>
      </c>
      <c r="Y21" s="17" t="str">
        <f>IF(M1_Administrativo!A25="","",IF(M1_Administrativo!E25="","",M1_Administrativo!E25))</f>
        <v/>
      </c>
      <c r="Z21" s="17" t="str">
        <f>IF(M1_Administrativo!A25="","",IF(M1_Administrativo!F25="","",M1_Administrativo!F25))</f>
        <v/>
      </c>
      <c r="AA21" s="17" t="str">
        <f>IF(M1_Administrativo!A25="","","M1 Administrativo")</f>
        <v/>
      </c>
      <c r="AB21" s="17" t="str">
        <f>IF(M1_Administrativo!A25="","",IF(M1_Administrativo!G25="","",M1_Administrativo!G25))</f>
        <v/>
      </c>
      <c r="AC21" s="17" t="str">
        <f>IF(M1_Administrativo!A25="","",IF(M1_Administrativo!M25="","",M1_Administrativo!M25))</f>
        <v/>
      </c>
      <c r="AD21" s="17" t="str">
        <f>IF(M1_Administrativo!A25="","","RA")</f>
        <v/>
      </c>
      <c r="AE21" s="17" t="str">
        <f>IF(M1_Administrativo!A25="","",IF(M1_Administrativo!O25="","",M1_Administrativo!O25))</f>
        <v/>
      </c>
      <c r="AF21" s="17" t="str">
        <f>IF(M1_Administrativo!A25="","",IF(M1_Administrativo!P25="","",M1_Administrativo!P25))</f>
        <v/>
      </c>
      <c r="AG21" s="17" t="str">
        <f>IF(M1_Administrativo!A25="","",IF(M1_Administrativo!Q25="","",M1_Administrativo!Q25))</f>
        <v/>
      </c>
      <c r="AH21" s="17" t="str">
        <f>IF(M1_Administrativo!A25="","","")</f>
        <v/>
      </c>
      <c r="AI21" s="17" t="str">
        <f>IF(M1_Administrativo!A25="","","M1_Administrativo!25")</f>
        <v/>
      </c>
      <c r="AJ21" s="17" t="str">
        <f>IF(M1_Administrativo!A25="","",IF(M1_Administrativo!M25="","Pendiente de resultado","Disponible"))</f>
        <v/>
      </c>
    </row>
    <row r="22" spans="1:36" ht="55.5" customHeight="1">
      <c r="A22" s="44" t="str">
        <f t="array" ref="A22">IF(18&gt;$S$1204,"",INDEX($T$5:$AJ$1204,MATCH(18,$S$5:$S$1204,0),1))</f>
        <v/>
      </c>
      <c r="B22" s="45" t="str">
        <f t="array" ref="B22">IF(18&gt;$S$1204,"",INDEX($T$5:$AJ$1204,MATCH(18,$S$5:$S$1204,0),2))</f>
        <v/>
      </c>
      <c r="C22" s="46" t="str">
        <f t="array" ref="C22">IF(18&gt;$S$1204,"",INDEX($T$5:$AJ$1204,MATCH(18,$S$5:$S$1204,0),3))</f>
        <v/>
      </c>
      <c r="D22" s="45" t="str">
        <f t="array" ref="D22">IF(18&gt;$S$1204,"",INDEX($T$5:$AJ$1204,MATCH(18,$S$5:$S$1204,0),4))</f>
        <v/>
      </c>
      <c r="E22" s="45" t="str">
        <f t="array" ref="E22">IF(18&gt;$S$1204,"",INDEX($T$5:$AJ$1204,MATCH(18,$S$5:$S$1204,0),5))</f>
        <v/>
      </c>
      <c r="F22" s="45" t="str">
        <f t="array" ref="F22">IF(18&gt;$S$1204,"",INDEX($T$5:$AJ$1204,MATCH(18,$S$5:$S$1204,0),6))</f>
        <v/>
      </c>
      <c r="G22" s="45" t="str">
        <f t="array" ref="G22">IF(18&gt;$S$1204,"",INDEX($T$5:$AJ$1204,MATCH(18,$S$5:$S$1204,0),7))</f>
        <v/>
      </c>
      <c r="H22" s="45" t="str">
        <f t="array" ref="H22">IF(18&gt;$S$1204,"",INDEX($T$5:$AJ$1204,MATCH(18,$S$5:$S$1204,0),8))</f>
        <v/>
      </c>
      <c r="I22" s="45" t="str">
        <f t="array" ref="I22">IF(18&gt;$S$1204,"",INDEX($T$5:$AJ$1204,MATCH(18,$S$5:$S$1204,0),9))</f>
        <v/>
      </c>
      <c r="J22" s="47" t="str">
        <f t="array" ref="J22">IF(18&gt;$S$1204,"",INDEX($T$5:$AJ$1204,MATCH(18,$S$5:$S$1204,0),10))</f>
        <v/>
      </c>
      <c r="K22" s="45" t="str">
        <f t="array" ref="K22">IF(18&gt;$S$1204,"",INDEX($T$5:$AJ$1204,MATCH(18,$S$5:$S$1204,0),11))</f>
        <v/>
      </c>
      <c r="L22" s="45" t="str">
        <f t="array" ref="L22">IF(18&gt;$S$1204,"",INDEX($T$5:$AJ$1204,MATCH(18,$S$5:$S$1204,0),12))</f>
        <v/>
      </c>
      <c r="M22" s="45" t="str">
        <f t="array" ref="M22">IF(18&gt;$S$1204,"",INDEX($T$5:$AJ$1204,MATCH(18,$S$5:$S$1204,0),13))</f>
        <v/>
      </c>
      <c r="N22" s="45" t="str">
        <f t="array" ref="N22">IF(18&gt;$S$1204,"",INDEX($T$5:$AJ$1204,MATCH(18,$S$5:$S$1204,0),14))</f>
        <v/>
      </c>
      <c r="O22" s="48" t="str">
        <f t="array" ref="O22">IF(18&gt;$S$1204,"",INDEX($T$5:$AJ$1204,MATCH(18,$S$5:$S$1204,0),15))</f>
        <v/>
      </c>
      <c r="P22" s="45" t="str">
        <f t="array" ref="P22">IF(18&gt;$S$1204,"",INDEX($T$5:$AJ$1204,MATCH(18,$S$5:$S$1204,0),16))</f>
        <v/>
      </c>
      <c r="Q22" s="45" t="str">
        <f t="array" ref="Q22">IF(18&gt;$S$1204,"",INDEX($T$5:$AJ$1204,MATCH(18,$S$5:$S$1204,0),17))</f>
        <v/>
      </c>
      <c r="R22" s="17"/>
      <c r="S22" s="17">
        <f>S21+IF(M1_Administrativo!A26="",0,1)</f>
        <v>0</v>
      </c>
      <c r="T22" s="17" t="str">
        <f>IF(M1_Administrativo!A26="","",IF(M1_Administrativo!A26="","",M1_Administrativo!A26))</f>
        <v/>
      </c>
      <c r="U22" s="17" t="str">
        <f>IF(M1_Administrativo!A26="","",IF(M1_Administrativo!R26="","",M1_Administrativo!R26))</f>
        <v/>
      </c>
      <c r="V22" s="17" t="str">
        <f>IF(M1_Administrativo!A26="","",IF(M1_Administrativo!D26="","",M1_Administrativo!D26))</f>
        <v/>
      </c>
      <c r="W22" s="17" t="str">
        <f>IF(M1_Administrativo!A26="","",IF(M1_Administrativo!B26="","",M1_Administrativo!B26))</f>
        <v/>
      </c>
      <c r="X22" s="17" t="str">
        <f>IF(M1_Administrativo!A26="","",IF(M1_Administrativo!C26="","",M1_Administrativo!C26))</f>
        <v/>
      </c>
      <c r="Y22" s="17" t="str">
        <f>IF(M1_Administrativo!A26="","",IF(M1_Administrativo!E26="","",M1_Administrativo!E26))</f>
        <v/>
      </c>
      <c r="Z22" s="17" t="str">
        <f>IF(M1_Administrativo!A26="","",IF(M1_Administrativo!F26="","",M1_Administrativo!F26))</f>
        <v/>
      </c>
      <c r="AA22" s="17" t="str">
        <f>IF(M1_Administrativo!A26="","","M1 Administrativo")</f>
        <v/>
      </c>
      <c r="AB22" s="17" t="str">
        <f>IF(M1_Administrativo!A26="","",IF(M1_Administrativo!G26="","",M1_Administrativo!G26))</f>
        <v/>
      </c>
      <c r="AC22" s="17" t="str">
        <f>IF(M1_Administrativo!A26="","",IF(M1_Administrativo!M26="","",M1_Administrativo!M26))</f>
        <v/>
      </c>
      <c r="AD22" s="17" t="str">
        <f>IF(M1_Administrativo!A26="","","RA")</f>
        <v/>
      </c>
      <c r="AE22" s="17" t="str">
        <f>IF(M1_Administrativo!A26="","",IF(M1_Administrativo!O26="","",M1_Administrativo!O26))</f>
        <v/>
      </c>
      <c r="AF22" s="17" t="str">
        <f>IF(M1_Administrativo!A26="","",IF(M1_Administrativo!P26="","",M1_Administrativo!P26))</f>
        <v/>
      </c>
      <c r="AG22" s="17" t="str">
        <f>IF(M1_Administrativo!A26="","",IF(M1_Administrativo!Q26="","",M1_Administrativo!Q26))</f>
        <v/>
      </c>
      <c r="AH22" s="17" t="str">
        <f>IF(M1_Administrativo!A26="","","")</f>
        <v/>
      </c>
      <c r="AI22" s="17" t="str">
        <f>IF(M1_Administrativo!A26="","","M1_Administrativo!26")</f>
        <v/>
      </c>
      <c r="AJ22" s="17" t="str">
        <f>IF(M1_Administrativo!A26="","",IF(M1_Administrativo!M26="","Pendiente de resultado","Disponible"))</f>
        <v/>
      </c>
    </row>
    <row r="23" spans="1:36" ht="55.5" customHeight="1">
      <c r="A23" s="44" t="str">
        <f t="array" ref="A23">IF(19&gt;$S$1204,"",INDEX($T$5:$AJ$1204,MATCH(19,$S$5:$S$1204,0),1))</f>
        <v/>
      </c>
      <c r="B23" s="45" t="str">
        <f t="array" ref="B23">IF(19&gt;$S$1204,"",INDEX($T$5:$AJ$1204,MATCH(19,$S$5:$S$1204,0),2))</f>
        <v/>
      </c>
      <c r="C23" s="46" t="str">
        <f t="array" ref="C23">IF(19&gt;$S$1204,"",INDEX($T$5:$AJ$1204,MATCH(19,$S$5:$S$1204,0),3))</f>
        <v/>
      </c>
      <c r="D23" s="45" t="str">
        <f t="array" ref="D23">IF(19&gt;$S$1204,"",INDEX($T$5:$AJ$1204,MATCH(19,$S$5:$S$1204,0),4))</f>
        <v/>
      </c>
      <c r="E23" s="45" t="str">
        <f t="array" ref="E23">IF(19&gt;$S$1204,"",INDEX($T$5:$AJ$1204,MATCH(19,$S$5:$S$1204,0),5))</f>
        <v/>
      </c>
      <c r="F23" s="45" t="str">
        <f t="array" ref="F23">IF(19&gt;$S$1204,"",INDEX($T$5:$AJ$1204,MATCH(19,$S$5:$S$1204,0),6))</f>
        <v/>
      </c>
      <c r="G23" s="45" t="str">
        <f t="array" ref="G23">IF(19&gt;$S$1204,"",INDEX($T$5:$AJ$1204,MATCH(19,$S$5:$S$1204,0),7))</f>
        <v/>
      </c>
      <c r="H23" s="45" t="str">
        <f t="array" ref="H23">IF(19&gt;$S$1204,"",INDEX($T$5:$AJ$1204,MATCH(19,$S$5:$S$1204,0),8))</f>
        <v/>
      </c>
      <c r="I23" s="45" t="str">
        <f t="array" ref="I23">IF(19&gt;$S$1204,"",INDEX($T$5:$AJ$1204,MATCH(19,$S$5:$S$1204,0),9))</f>
        <v/>
      </c>
      <c r="J23" s="47" t="str">
        <f t="array" ref="J23">IF(19&gt;$S$1204,"",INDEX($T$5:$AJ$1204,MATCH(19,$S$5:$S$1204,0),10))</f>
        <v/>
      </c>
      <c r="K23" s="45" t="str">
        <f t="array" ref="K23">IF(19&gt;$S$1204,"",INDEX($T$5:$AJ$1204,MATCH(19,$S$5:$S$1204,0),11))</f>
        <v/>
      </c>
      <c r="L23" s="45" t="str">
        <f t="array" ref="L23">IF(19&gt;$S$1204,"",INDEX($T$5:$AJ$1204,MATCH(19,$S$5:$S$1204,0),12))</f>
        <v/>
      </c>
      <c r="M23" s="45" t="str">
        <f t="array" ref="M23">IF(19&gt;$S$1204,"",INDEX($T$5:$AJ$1204,MATCH(19,$S$5:$S$1204,0),13))</f>
        <v/>
      </c>
      <c r="N23" s="45" t="str">
        <f t="array" ref="N23">IF(19&gt;$S$1204,"",INDEX($T$5:$AJ$1204,MATCH(19,$S$5:$S$1204,0),14))</f>
        <v/>
      </c>
      <c r="O23" s="48" t="str">
        <f t="array" ref="O23">IF(19&gt;$S$1204,"",INDEX($T$5:$AJ$1204,MATCH(19,$S$5:$S$1204,0),15))</f>
        <v/>
      </c>
      <c r="P23" s="45" t="str">
        <f t="array" ref="P23">IF(19&gt;$S$1204,"",INDEX($T$5:$AJ$1204,MATCH(19,$S$5:$S$1204,0),16))</f>
        <v/>
      </c>
      <c r="Q23" s="45" t="str">
        <f t="array" ref="Q23">IF(19&gt;$S$1204,"",INDEX($T$5:$AJ$1204,MATCH(19,$S$5:$S$1204,0),17))</f>
        <v/>
      </c>
      <c r="R23" s="17"/>
      <c r="S23" s="17">
        <f>S22+IF(M1_Administrativo!A27="",0,1)</f>
        <v>0</v>
      </c>
      <c r="T23" s="17" t="str">
        <f>IF(M1_Administrativo!A27="","",IF(M1_Administrativo!A27="","",M1_Administrativo!A27))</f>
        <v/>
      </c>
      <c r="U23" s="17" t="str">
        <f>IF(M1_Administrativo!A27="","",IF(M1_Administrativo!R27="","",M1_Administrativo!R27))</f>
        <v/>
      </c>
      <c r="V23" s="17" t="str">
        <f>IF(M1_Administrativo!A27="","",IF(M1_Administrativo!D27="","",M1_Administrativo!D27))</f>
        <v/>
      </c>
      <c r="W23" s="17" t="str">
        <f>IF(M1_Administrativo!A27="","",IF(M1_Administrativo!B27="","",M1_Administrativo!B27))</f>
        <v/>
      </c>
      <c r="X23" s="17" t="str">
        <f>IF(M1_Administrativo!A27="","",IF(M1_Administrativo!C27="","",M1_Administrativo!C27))</f>
        <v/>
      </c>
      <c r="Y23" s="17" t="str">
        <f>IF(M1_Administrativo!A27="","",IF(M1_Administrativo!E27="","",M1_Administrativo!E27))</f>
        <v/>
      </c>
      <c r="Z23" s="17" t="str">
        <f>IF(M1_Administrativo!A27="","",IF(M1_Administrativo!F27="","",M1_Administrativo!F27))</f>
        <v/>
      </c>
      <c r="AA23" s="17" t="str">
        <f>IF(M1_Administrativo!A27="","","M1 Administrativo")</f>
        <v/>
      </c>
      <c r="AB23" s="17" t="str">
        <f>IF(M1_Administrativo!A27="","",IF(M1_Administrativo!G27="","",M1_Administrativo!G27))</f>
        <v/>
      </c>
      <c r="AC23" s="17" t="str">
        <f>IF(M1_Administrativo!A27="","",IF(M1_Administrativo!M27="","",M1_Administrativo!M27))</f>
        <v/>
      </c>
      <c r="AD23" s="17" t="str">
        <f>IF(M1_Administrativo!A27="","","RA")</f>
        <v/>
      </c>
      <c r="AE23" s="17" t="str">
        <f>IF(M1_Administrativo!A27="","",IF(M1_Administrativo!O27="","",M1_Administrativo!O27))</f>
        <v/>
      </c>
      <c r="AF23" s="17" t="str">
        <f>IF(M1_Administrativo!A27="","",IF(M1_Administrativo!P27="","",M1_Administrativo!P27))</f>
        <v/>
      </c>
      <c r="AG23" s="17" t="str">
        <f>IF(M1_Administrativo!A27="","",IF(M1_Administrativo!Q27="","",M1_Administrativo!Q27))</f>
        <v/>
      </c>
      <c r="AH23" s="17" t="str">
        <f>IF(M1_Administrativo!A27="","","")</f>
        <v/>
      </c>
      <c r="AI23" s="17" t="str">
        <f>IF(M1_Administrativo!A27="","","M1_Administrativo!27")</f>
        <v/>
      </c>
      <c r="AJ23" s="17" t="str">
        <f>IF(M1_Administrativo!A27="","",IF(M1_Administrativo!M27="","Pendiente de resultado","Disponible"))</f>
        <v/>
      </c>
    </row>
    <row r="24" spans="1:36" ht="55.5" customHeight="1">
      <c r="A24" s="44" t="str">
        <f t="array" ref="A24">IF(20&gt;$S$1204,"",INDEX($T$5:$AJ$1204,MATCH(20,$S$5:$S$1204,0),1))</f>
        <v/>
      </c>
      <c r="B24" s="45" t="str">
        <f t="array" ref="B24">IF(20&gt;$S$1204,"",INDEX($T$5:$AJ$1204,MATCH(20,$S$5:$S$1204,0),2))</f>
        <v/>
      </c>
      <c r="C24" s="46" t="str">
        <f t="array" ref="C24">IF(20&gt;$S$1204,"",INDEX($T$5:$AJ$1204,MATCH(20,$S$5:$S$1204,0),3))</f>
        <v/>
      </c>
      <c r="D24" s="45" t="str">
        <f t="array" ref="D24">IF(20&gt;$S$1204,"",INDEX($T$5:$AJ$1204,MATCH(20,$S$5:$S$1204,0),4))</f>
        <v/>
      </c>
      <c r="E24" s="45" t="str">
        <f t="array" ref="E24">IF(20&gt;$S$1204,"",INDEX($T$5:$AJ$1204,MATCH(20,$S$5:$S$1204,0),5))</f>
        <v/>
      </c>
      <c r="F24" s="45" t="str">
        <f t="array" ref="F24">IF(20&gt;$S$1204,"",INDEX($T$5:$AJ$1204,MATCH(20,$S$5:$S$1204,0),6))</f>
        <v/>
      </c>
      <c r="G24" s="45" t="str">
        <f t="array" ref="G24">IF(20&gt;$S$1204,"",INDEX($T$5:$AJ$1204,MATCH(20,$S$5:$S$1204,0),7))</f>
        <v/>
      </c>
      <c r="H24" s="45" t="str">
        <f t="array" ref="H24">IF(20&gt;$S$1204,"",INDEX($T$5:$AJ$1204,MATCH(20,$S$5:$S$1204,0),8))</f>
        <v/>
      </c>
      <c r="I24" s="45" t="str">
        <f t="array" ref="I24">IF(20&gt;$S$1204,"",INDEX($T$5:$AJ$1204,MATCH(20,$S$5:$S$1204,0),9))</f>
        <v/>
      </c>
      <c r="J24" s="47" t="str">
        <f t="array" ref="J24">IF(20&gt;$S$1204,"",INDEX($T$5:$AJ$1204,MATCH(20,$S$5:$S$1204,0),10))</f>
        <v/>
      </c>
      <c r="K24" s="45" t="str">
        <f t="array" ref="K24">IF(20&gt;$S$1204,"",INDEX($T$5:$AJ$1204,MATCH(20,$S$5:$S$1204,0),11))</f>
        <v/>
      </c>
      <c r="L24" s="45" t="str">
        <f t="array" ref="L24">IF(20&gt;$S$1204,"",INDEX($T$5:$AJ$1204,MATCH(20,$S$5:$S$1204,0),12))</f>
        <v/>
      </c>
      <c r="M24" s="45" t="str">
        <f t="array" ref="M24">IF(20&gt;$S$1204,"",INDEX($T$5:$AJ$1204,MATCH(20,$S$5:$S$1204,0),13))</f>
        <v/>
      </c>
      <c r="N24" s="45" t="str">
        <f t="array" ref="N24">IF(20&gt;$S$1204,"",INDEX($T$5:$AJ$1204,MATCH(20,$S$5:$S$1204,0),14))</f>
        <v/>
      </c>
      <c r="O24" s="48" t="str">
        <f t="array" ref="O24">IF(20&gt;$S$1204,"",INDEX($T$5:$AJ$1204,MATCH(20,$S$5:$S$1204,0),15))</f>
        <v/>
      </c>
      <c r="P24" s="45" t="str">
        <f t="array" ref="P24">IF(20&gt;$S$1204,"",INDEX($T$5:$AJ$1204,MATCH(20,$S$5:$S$1204,0),16))</f>
        <v/>
      </c>
      <c r="Q24" s="45" t="str">
        <f t="array" ref="Q24">IF(20&gt;$S$1204,"",INDEX($T$5:$AJ$1204,MATCH(20,$S$5:$S$1204,0),17))</f>
        <v/>
      </c>
      <c r="R24" s="17"/>
      <c r="S24" s="17">
        <f>S23+IF(M1_Administrativo!A28="",0,1)</f>
        <v>0</v>
      </c>
      <c r="T24" s="17" t="str">
        <f>IF(M1_Administrativo!A28="","",IF(M1_Administrativo!A28="","",M1_Administrativo!A28))</f>
        <v/>
      </c>
      <c r="U24" s="17" t="str">
        <f>IF(M1_Administrativo!A28="","",IF(M1_Administrativo!R28="","",M1_Administrativo!R28))</f>
        <v/>
      </c>
      <c r="V24" s="17" t="str">
        <f>IF(M1_Administrativo!A28="","",IF(M1_Administrativo!D28="","",M1_Administrativo!D28))</f>
        <v/>
      </c>
      <c r="W24" s="17" t="str">
        <f>IF(M1_Administrativo!A28="","",IF(M1_Administrativo!B28="","",M1_Administrativo!B28))</f>
        <v/>
      </c>
      <c r="X24" s="17" t="str">
        <f>IF(M1_Administrativo!A28="","",IF(M1_Administrativo!C28="","",M1_Administrativo!C28))</f>
        <v/>
      </c>
      <c r="Y24" s="17" t="str">
        <f>IF(M1_Administrativo!A28="","",IF(M1_Administrativo!E28="","",M1_Administrativo!E28))</f>
        <v/>
      </c>
      <c r="Z24" s="17" t="str">
        <f>IF(M1_Administrativo!A28="","",IF(M1_Administrativo!F28="","",M1_Administrativo!F28))</f>
        <v/>
      </c>
      <c r="AA24" s="17" t="str">
        <f>IF(M1_Administrativo!A28="","","M1 Administrativo")</f>
        <v/>
      </c>
      <c r="AB24" s="17" t="str">
        <f>IF(M1_Administrativo!A28="","",IF(M1_Administrativo!G28="","",M1_Administrativo!G28))</f>
        <v/>
      </c>
      <c r="AC24" s="17" t="str">
        <f>IF(M1_Administrativo!A28="","",IF(M1_Administrativo!M28="","",M1_Administrativo!M28))</f>
        <v/>
      </c>
      <c r="AD24" s="17" t="str">
        <f>IF(M1_Administrativo!A28="","","RA")</f>
        <v/>
      </c>
      <c r="AE24" s="17" t="str">
        <f>IF(M1_Administrativo!A28="","",IF(M1_Administrativo!O28="","",M1_Administrativo!O28))</f>
        <v/>
      </c>
      <c r="AF24" s="17" t="str">
        <f>IF(M1_Administrativo!A28="","",IF(M1_Administrativo!P28="","",M1_Administrativo!P28))</f>
        <v/>
      </c>
      <c r="AG24" s="17" t="str">
        <f>IF(M1_Administrativo!A28="","",IF(M1_Administrativo!Q28="","",M1_Administrativo!Q28))</f>
        <v/>
      </c>
      <c r="AH24" s="17" t="str">
        <f>IF(M1_Administrativo!A28="","","")</f>
        <v/>
      </c>
      <c r="AI24" s="17" t="str">
        <f>IF(M1_Administrativo!A28="","","M1_Administrativo!28")</f>
        <v/>
      </c>
      <c r="AJ24" s="17" t="str">
        <f>IF(M1_Administrativo!A28="","",IF(M1_Administrativo!M28="","Pendiente de resultado","Disponible"))</f>
        <v/>
      </c>
    </row>
    <row r="25" spans="1:36" ht="55.5" customHeight="1">
      <c r="A25" s="44" t="str">
        <f t="array" ref="A25">IF(21&gt;$S$1204,"",INDEX($T$5:$AJ$1204,MATCH(21,$S$5:$S$1204,0),1))</f>
        <v/>
      </c>
      <c r="B25" s="45" t="str">
        <f t="array" ref="B25">IF(21&gt;$S$1204,"",INDEX($T$5:$AJ$1204,MATCH(21,$S$5:$S$1204,0),2))</f>
        <v/>
      </c>
      <c r="C25" s="46" t="str">
        <f t="array" ref="C25">IF(21&gt;$S$1204,"",INDEX($T$5:$AJ$1204,MATCH(21,$S$5:$S$1204,0),3))</f>
        <v/>
      </c>
      <c r="D25" s="45" t="str">
        <f t="array" ref="D25">IF(21&gt;$S$1204,"",INDEX($T$5:$AJ$1204,MATCH(21,$S$5:$S$1204,0),4))</f>
        <v/>
      </c>
      <c r="E25" s="45" t="str">
        <f t="array" ref="E25">IF(21&gt;$S$1204,"",INDEX($T$5:$AJ$1204,MATCH(21,$S$5:$S$1204,0),5))</f>
        <v/>
      </c>
      <c r="F25" s="45" t="str">
        <f t="array" ref="F25">IF(21&gt;$S$1204,"",INDEX($T$5:$AJ$1204,MATCH(21,$S$5:$S$1204,0),6))</f>
        <v/>
      </c>
      <c r="G25" s="45" t="str">
        <f t="array" ref="G25">IF(21&gt;$S$1204,"",INDEX($T$5:$AJ$1204,MATCH(21,$S$5:$S$1204,0),7))</f>
        <v/>
      </c>
      <c r="H25" s="45" t="str">
        <f t="array" ref="H25">IF(21&gt;$S$1204,"",INDEX($T$5:$AJ$1204,MATCH(21,$S$5:$S$1204,0),8))</f>
        <v/>
      </c>
      <c r="I25" s="45" t="str">
        <f t="array" ref="I25">IF(21&gt;$S$1204,"",INDEX($T$5:$AJ$1204,MATCH(21,$S$5:$S$1204,0),9))</f>
        <v/>
      </c>
      <c r="J25" s="47" t="str">
        <f t="array" ref="J25">IF(21&gt;$S$1204,"",INDEX($T$5:$AJ$1204,MATCH(21,$S$5:$S$1204,0),10))</f>
        <v/>
      </c>
      <c r="K25" s="45" t="str">
        <f t="array" ref="K25">IF(21&gt;$S$1204,"",INDEX($T$5:$AJ$1204,MATCH(21,$S$5:$S$1204,0),11))</f>
        <v/>
      </c>
      <c r="L25" s="45" t="str">
        <f t="array" ref="L25">IF(21&gt;$S$1204,"",INDEX($T$5:$AJ$1204,MATCH(21,$S$5:$S$1204,0),12))</f>
        <v/>
      </c>
      <c r="M25" s="45" t="str">
        <f t="array" ref="M25">IF(21&gt;$S$1204,"",INDEX($T$5:$AJ$1204,MATCH(21,$S$5:$S$1204,0),13))</f>
        <v/>
      </c>
      <c r="N25" s="45" t="str">
        <f t="array" ref="N25">IF(21&gt;$S$1204,"",INDEX($T$5:$AJ$1204,MATCH(21,$S$5:$S$1204,0),14))</f>
        <v/>
      </c>
      <c r="O25" s="48" t="str">
        <f t="array" ref="O25">IF(21&gt;$S$1204,"",INDEX($T$5:$AJ$1204,MATCH(21,$S$5:$S$1204,0),15))</f>
        <v/>
      </c>
      <c r="P25" s="45" t="str">
        <f t="array" ref="P25">IF(21&gt;$S$1204,"",INDEX($T$5:$AJ$1204,MATCH(21,$S$5:$S$1204,0),16))</f>
        <v/>
      </c>
      <c r="Q25" s="45" t="str">
        <f t="array" ref="Q25">IF(21&gt;$S$1204,"",INDEX($T$5:$AJ$1204,MATCH(21,$S$5:$S$1204,0),17))</f>
        <v/>
      </c>
      <c r="R25" s="17"/>
      <c r="S25" s="17">
        <f>S24+IF(M1_Administrativo!A29="",0,1)</f>
        <v>0</v>
      </c>
      <c r="T25" s="17" t="str">
        <f>IF(M1_Administrativo!A29="","",IF(M1_Administrativo!A29="","",M1_Administrativo!A29))</f>
        <v/>
      </c>
      <c r="U25" s="17" t="str">
        <f>IF(M1_Administrativo!A29="","",IF(M1_Administrativo!R29="","",M1_Administrativo!R29))</f>
        <v/>
      </c>
      <c r="V25" s="17" t="str">
        <f>IF(M1_Administrativo!A29="","",IF(M1_Administrativo!D29="","",M1_Administrativo!D29))</f>
        <v/>
      </c>
      <c r="W25" s="17" t="str">
        <f>IF(M1_Administrativo!A29="","",IF(M1_Administrativo!B29="","",M1_Administrativo!B29))</f>
        <v/>
      </c>
      <c r="X25" s="17" t="str">
        <f>IF(M1_Administrativo!A29="","",IF(M1_Administrativo!C29="","",M1_Administrativo!C29))</f>
        <v/>
      </c>
      <c r="Y25" s="17" t="str">
        <f>IF(M1_Administrativo!A29="","",IF(M1_Administrativo!E29="","",M1_Administrativo!E29))</f>
        <v/>
      </c>
      <c r="Z25" s="17" t="str">
        <f>IF(M1_Administrativo!A29="","",IF(M1_Administrativo!F29="","",M1_Administrativo!F29))</f>
        <v/>
      </c>
      <c r="AA25" s="17" t="str">
        <f>IF(M1_Administrativo!A29="","","M1 Administrativo")</f>
        <v/>
      </c>
      <c r="AB25" s="17" t="str">
        <f>IF(M1_Administrativo!A29="","",IF(M1_Administrativo!G29="","",M1_Administrativo!G29))</f>
        <v/>
      </c>
      <c r="AC25" s="17" t="str">
        <f>IF(M1_Administrativo!A29="","",IF(M1_Administrativo!M29="","",M1_Administrativo!M29))</f>
        <v/>
      </c>
      <c r="AD25" s="17" t="str">
        <f>IF(M1_Administrativo!A29="","","RA")</f>
        <v/>
      </c>
      <c r="AE25" s="17" t="str">
        <f>IF(M1_Administrativo!A29="","",IF(M1_Administrativo!O29="","",M1_Administrativo!O29))</f>
        <v/>
      </c>
      <c r="AF25" s="17" t="str">
        <f>IF(M1_Administrativo!A29="","",IF(M1_Administrativo!P29="","",M1_Administrativo!P29))</f>
        <v/>
      </c>
      <c r="AG25" s="17" t="str">
        <f>IF(M1_Administrativo!A29="","",IF(M1_Administrativo!Q29="","",M1_Administrativo!Q29))</f>
        <v/>
      </c>
      <c r="AH25" s="17" t="str">
        <f>IF(M1_Administrativo!A29="","","")</f>
        <v/>
      </c>
      <c r="AI25" s="17" t="str">
        <f>IF(M1_Administrativo!A29="","","M1_Administrativo!29")</f>
        <v/>
      </c>
      <c r="AJ25" s="17" t="str">
        <f>IF(M1_Administrativo!A29="","",IF(M1_Administrativo!M29="","Pendiente de resultado","Disponible"))</f>
        <v/>
      </c>
    </row>
    <row r="26" spans="1:36" ht="55.5" customHeight="1">
      <c r="A26" s="44" t="str">
        <f t="array" ref="A26">IF(22&gt;$S$1204,"",INDEX($T$5:$AJ$1204,MATCH(22,$S$5:$S$1204,0),1))</f>
        <v/>
      </c>
      <c r="B26" s="45" t="str">
        <f t="array" ref="B26">IF(22&gt;$S$1204,"",INDEX($T$5:$AJ$1204,MATCH(22,$S$5:$S$1204,0),2))</f>
        <v/>
      </c>
      <c r="C26" s="46" t="str">
        <f t="array" ref="C26">IF(22&gt;$S$1204,"",INDEX($T$5:$AJ$1204,MATCH(22,$S$5:$S$1204,0),3))</f>
        <v/>
      </c>
      <c r="D26" s="45" t="str">
        <f t="array" ref="D26">IF(22&gt;$S$1204,"",INDEX($T$5:$AJ$1204,MATCH(22,$S$5:$S$1204,0),4))</f>
        <v/>
      </c>
      <c r="E26" s="45" t="str">
        <f t="array" ref="E26">IF(22&gt;$S$1204,"",INDEX($T$5:$AJ$1204,MATCH(22,$S$5:$S$1204,0),5))</f>
        <v/>
      </c>
      <c r="F26" s="45" t="str">
        <f t="array" ref="F26">IF(22&gt;$S$1204,"",INDEX($T$5:$AJ$1204,MATCH(22,$S$5:$S$1204,0),6))</f>
        <v/>
      </c>
      <c r="G26" s="45" t="str">
        <f t="array" ref="G26">IF(22&gt;$S$1204,"",INDEX($T$5:$AJ$1204,MATCH(22,$S$5:$S$1204,0),7))</f>
        <v/>
      </c>
      <c r="H26" s="45" t="str">
        <f t="array" ref="H26">IF(22&gt;$S$1204,"",INDEX($T$5:$AJ$1204,MATCH(22,$S$5:$S$1204,0),8))</f>
        <v/>
      </c>
      <c r="I26" s="45" t="str">
        <f t="array" ref="I26">IF(22&gt;$S$1204,"",INDEX($T$5:$AJ$1204,MATCH(22,$S$5:$S$1204,0),9))</f>
        <v/>
      </c>
      <c r="J26" s="47" t="str">
        <f t="array" ref="J26">IF(22&gt;$S$1204,"",INDEX($T$5:$AJ$1204,MATCH(22,$S$5:$S$1204,0),10))</f>
        <v/>
      </c>
      <c r="K26" s="45" t="str">
        <f t="array" ref="K26">IF(22&gt;$S$1204,"",INDEX($T$5:$AJ$1204,MATCH(22,$S$5:$S$1204,0),11))</f>
        <v/>
      </c>
      <c r="L26" s="45" t="str">
        <f t="array" ref="L26">IF(22&gt;$S$1204,"",INDEX($T$5:$AJ$1204,MATCH(22,$S$5:$S$1204,0),12))</f>
        <v/>
      </c>
      <c r="M26" s="45" t="str">
        <f t="array" ref="M26">IF(22&gt;$S$1204,"",INDEX($T$5:$AJ$1204,MATCH(22,$S$5:$S$1204,0),13))</f>
        <v/>
      </c>
      <c r="N26" s="45" t="str">
        <f t="array" ref="N26">IF(22&gt;$S$1204,"",INDEX($T$5:$AJ$1204,MATCH(22,$S$5:$S$1204,0),14))</f>
        <v/>
      </c>
      <c r="O26" s="48" t="str">
        <f t="array" ref="O26">IF(22&gt;$S$1204,"",INDEX($T$5:$AJ$1204,MATCH(22,$S$5:$S$1204,0),15))</f>
        <v/>
      </c>
      <c r="P26" s="45" t="str">
        <f t="array" ref="P26">IF(22&gt;$S$1204,"",INDEX($T$5:$AJ$1204,MATCH(22,$S$5:$S$1204,0),16))</f>
        <v/>
      </c>
      <c r="Q26" s="45" t="str">
        <f t="array" ref="Q26">IF(22&gt;$S$1204,"",INDEX($T$5:$AJ$1204,MATCH(22,$S$5:$S$1204,0),17))</f>
        <v/>
      </c>
      <c r="R26" s="17"/>
      <c r="S26" s="17">
        <f>S25+IF(M1_Administrativo!A30="",0,1)</f>
        <v>0</v>
      </c>
      <c r="T26" s="17" t="str">
        <f>IF(M1_Administrativo!A30="","",IF(M1_Administrativo!A30="","",M1_Administrativo!A30))</f>
        <v/>
      </c>
      <c r="U26" s="17" t="str">
        <f>IF(M1_Administrativo!A30="","",IF(M1_Administrativo!R30="","",M1_Administrativo!R30))</f>
        <v/>
      </c>
      <c r="V26" s="17" t="str">
        <f>IF(M1_Administrativo!A30="","",IF(M1_Administrativo!D30="","",M1_Administrativo!D30))</f>
        <v/>
      </c>
      <c r="W26" s="17" t="str">
        <f>IF(M1_Administrativo!A30="","",IF(M1_Administrativo!B30="","",M1_Administrativo!B30))</f>
        <v/>
      </c>
      <c r="X26" s="17" t="str">
        <f>IF(M1_Administrativo!A30="","",IF(M1_Administrativo!C30="","",M1_Administrativo!C30))</f>
        <v/>
      </c>
      <c r="Y26" s="17" t="str">
        <f>IF(M1_Administrativo!A30="","",IF(M1_Administrativo!E30="","",M1_Administrativo!E30))</f>
        <v/>
      </c>
      <c r="Z26" s="17" t="str">
        <f>IF(M1_Administrativo!A30="","",IF(M1_Administrativo!F30="","",M1_Administrativo!F30))</f>
        <v/>
      </c>
      <c r="AA26" s="17" t="str">
        <f>IF(M1_Administrativo!A30="","","M1 Administrativo")</f>
        <v/>
      </c>
      <c r="AB26" s="17" t="str">
        <f>IF(M1_Administrativo!A30="","",IF(M1_Administrativo!G30="","",M1_Administrativo!G30))</f>
        <v/>
      </c>
      <c r="AC26" s="17" t="str">
        <f>IF(M1_Administrativo!A30="","",IF(M1_Administrativo!M30="","",M1_Administrativo!M30))</f>
        <v/>
      </c>
      <c r="AD26" s="17" t="str">
        <f>IF(M1_Administrativo!A30="","","RA")</f>
        <v/>
      </c>
      <c r="AE26" s="17" t="str">
        <f>IF(M1_Administrativo!A30="","",IF(M1_Administrativo!O30="","",M1_Administrativo!O30))</f>
        <v/>
      </c>
      <c r="AF26" s="17" t="str">
        <f>IF(M1_Administrativo!A30="","",IF(M1_Administrativo!P30="","",M1_Administrativo!P30))</f>
        <v/>
      </c>
      <c r="AG26" s="17" t="str">
        <f>IF(M1_Administrativo!A30="","",IF(M1_Administrativo!Q30="","",M1_Administrativo!Q30))</f>
        <v/>
      </c>
      <c r="AH26" s="17" t="str">
        <f>IF(M1_Administrativo!A30="","","")</f>
        <v/>
      </c>
      <c r="AI26" s="17" t="str">
        <f>IF(M1_Administrativo!A30="","","M1_Administrativo!30")</f>
        <v/>
      </c>
      <c r="AJ26" s="17" t="str">
        <f>IF(M1_Administrativo!A30="","",IF(M1_Administrativo!M30="","Pendiente de resultado","Disponible"))</f>
        <v/>
      </c>
    </row>
    <row r="27" spans="1:36" ht="55.5" customHeight="1">
      <c r="A27" s="44" t="str">
        <f t="array" ref="A27">IF(23&gt;$S$1204,"",INDEX($T$5:$AJ$1204,MATCH(23,$S$5:$S$1204,0),1))</f>
        <v/>
      </c>
      <c r="B27" s="45" t="str">
        <f t="array" ref="B27">IF(23&gt;$S$1204,"",INDEX($T$5:$AJ$1204,MATCH(23,$S$5:$S$1204,0),2))</f>
        <v/>
      </c>
      <c r="C27" s="46" t="str">
        <f t="array" ref="C27">IF(23&gt;$S$1204,"",INDEX($T$5:$AJ$1204,MATCH(23,$S$5:$S$1204,0),3))</f>
        <v/>
      </c>
      <c r="D27" s="45" t="str">
        <f t="array" ref="D27">IF(23&gt;$S$1204,"",INDEX($T$5:$AJ$1204,MATCH(23,$S$5:$S$1204,0),4))</f>
        <v/>
      </c>
      <c r="E27" s="45" t="str">
        <f t="array" ref="E27">IF(23&gt;$S$1204,"",INDEX($T$5:$AJ$1204,MATCH(23,$S$5:$S$1204,0),5))</f>
        <v/>
      </c>
      <c r="F27" s="45" t="str">
        <f t="array" ref="F27">IF(23&gt;$S$1204,"",INDEX($T$5:$AJ$1204,MATCH(23,$S$5:$S$1204,0),6))</f>
        <v/>
      </c>
      <c r="G27" s="45" t="str">
        <f t="array" ref="G27">IF(23&gt;$S$1204,"",INDEX($T$5:$AJ$1204,MATCH(23,$S$5:$S$1204,0),7))</f>
        <v/>
      </c>
      <c r="H27" s="45" t="str">
        <f t="array" ref="H27">IF(23&gt;$S$1204,"",INDEX($T$5:$AJ$1204,MATCH(23,$S$5:$S$1204,0),8))</f>
        <v/>
      </c>
      <c r="I27" s="45" t="str">
        <f t="array" ref="I27">IF(23&gt;$S$1204,"",INDEX($T$5:$AJ$1204,MATCH(23,$S$5:$S$1204,0),9))</f>
        <v/>
      </c>
      <c r="J27" s="47" t="str">
        <f t="array" ref="J27">IF(23&gt;$S$1204,"",INDEX($T$5:$AJ$1204,MATCH(23,$S$5:$S$1204,0),10))</f>
        <v/>
      </c>
      <c r="K27" s="45" t="str">
        <f t="array" ref="K27">IF(23&gt;$S$1204,"",INDEX($T$5:$AJ$1204,MATCH(23,$S$5:$S$1204,0),11))</f>
        <v/>
      </c>
      <c r="L27" s="45" t="str">
        <f t="array" ref="L27">IF(23&gt;$S$1204,"",INDEX($T$5:$AJ$1204,MATCH(23,$S$5:$S$1204,0),12))</f>
        <v/>
      </c>
      <c r="M27" s="45" t="str">
        <f t="array" ref="M27">IF(23&gt;$S$1204,"",INDEX($T$5:$AJ$1204,MATCH(23,$S$5:$S$1204,0),13))</f>
        <v/>
      </c>
      <c r="N27" s="45" t="str">
        <f t="array" ref="N27">IF(23&gt;$S$1204,"",INDEX($T$5:$AJ$1204,MATCH(23,$S$5:$S$1204,0),14))</f>
        <v/>
      </c>
      <c r="O27" s="48" t="str">
        <f t="array" ref="O27">IF(23&gt;$S$1204,"",INDEX($T$5:$AJ$1204,MATCH(23,$S$5:$S$1204,0),15))</f>
        <v/>
      </c>
      <c r="P27" s="45" t="str">
        <f t="array" ref="P27">IF(23&gt;$S$1204,"",INDEX($T$5:$AJ$1204,MATCH(23,$S$5:$S$1204,0),16))</f>
        <v/>
      </c>
      <c r="Q27" s="45" t="str">
        <f t="array" ref="Q27">IF(23&gt;$S$1204,"",INDEX($T$5:$AJ$1204,MATCH(23,$S$5:$S$1204,0),17))</f>
        <v/>
      </c>
      <c r="R27" s="17"/>
      <c r="S27" s="17">
        <f>S26+IF(M1_Administrativo!A31="",0,1)</f>
        <v>0</v>
      </c>
      <c r="T27" s="17" t="str">
        <f>IF(M1_Administrativo!A31="","",IF(M1_Administrativo!A31="","",M1_Administrativo!A31))</f>
        <v/>
      </c>
      <c r="U27" s="17" t="str">
        <f>IF(M1_Administrativo!A31="","",IF(M1_Administrativo!R31="","",M1_Administrativo!R31))</f>
        <v/>
      </c>
      <c r="V27" s="17" t="str">
        <f>IF(M1_Administrativo!A31="","",IF(M1_Administrativo!D31="","",M1_Administrativo!D31))</f>
        <v/>
      </c>
      <c r="W27" s="17" t="str">
        <f>IF(M1_Administrativo!A31="","",IF(M1_Administrativo!B31="","",M1_Administrativo!B31))</f>
        <v/>
      </c>
      <c r="X27" s="17" t="str">
        <f>IF(M1_Administrativo!A31="","",IF(M1_Administrativo!C31="","",M1_Administrativo!C31))</f>
        <v/>
      </c>
      <c r="Y27" s="17" t="str">
        <f>IF(M1_Administrativo!A31="","",IF(M1_Administrativo!E31="","",M1_Administrativo!E31))</f>
        <v/>
      </c>
      <c r="Z27" s="17" t="str">
        <f>IF(M1_Administrativo!A31="","",IF(M1_Administrativo!F31="","",M1_Administrativo!F31))</f>
        <v/>
      </c>
      <c r="AA27" s="17" t="str">
        <f>IF(M1_Administrativo!A31="","","M1 Administrativo")</f>
        <v/>
      </c>
      <c r="AB27" s="17" t="str">
        <f>IF(M1_Administrativo!A31="","",IF(M1_Administrativo!G31="","",M1_Administrativo!G31))</f>
        <v/>
      </c>
      <c r="AC27" s="17" t="str">
        <f>IF(M1_Administrativo!A31="","",IF(M1_Administrativo!M31="","",M1_Administrativo!M31))</f>
        <v/>
      </c>
      <c r="AD27" s="17" t="str">
        <f>IF(M1_Administrativo!A31="","","RA")</f>
        <v/>
      </c>
      <c r="AE27" s="17" t="str">
        <f>IF(M1_Administrativo!A31="","",IF(M1_Administrativo!O31="","",M1_Administrativo!O31))</f>
        <v/>
      </c>
      <c r="AF27" s="17" t="str">
        <f>IF(M1_Administrativo!A31="","",IF(M1_Administrativo!P31="","",M1_Administrativo!P31))</f>
        <v/>
      </c>
      <c r="AG27" s="17" t="str">
        <f>IF(M1_Administrativo!A31="","",IF(M1_Administrativo!Q31="","",M1_Administrativo!Q31))</f>
        <v/>
      </c>
      <c r="AH27" s="17" t="str">
        <f>IF(M1_Administrativo!A31="","","")</f>
        <v/>
      </c>
      <c r="AI27" s="17" t="str">
        <f>IF(M1_Administrativo!A31="","","M1_Administrativo!31")</f>
        <v/>
      </c>
      <c r="AJ27" s="17" t="str">
        <f>IF(M1_Administrativo!A31="","",IF(M1_Administrativo!M31="","Pendiente de resultado","Disponible"))</f>
        <v/>
      </c>
    </row>
    <row r="28" spans="1:36" ht="55.5" customHeight="1">
      <c r="A28" s="44" t="str">
        <f t="array" ref="A28">IF(24&gt;$S$1204,"",INDEX($T$5:$AJ$1204,MATCH(24,$S$5:$S$1204,0),1))</f>
        <v/>
      </c>
      <c r="B28" s="45" t="str">
        <f t="array" ref="B28">IF(24&gt;$S$1204,"",INDEX($T$5:$AJ$1204,MATCH(24,$S$5:$S$1204,0),2))</f>
        <v/>
      </c>
      <c r="C28" s="46" t="str">
        <f t="array" ref="C28">IF(24&gt;$S$1204,"",INDEX($T$5:$AJ$1204,MATCH(24,$S$5:$S$1204,0),3))</f>
        <v/>
      </c>
      <c r="D28" s="45" t="str">
        <f t="array" ref="D28">IF(24&gt;$S$1204,"",INDEX($T$5:$AJ$1204,MATCH(24,$S$5:$S$1204,0),4))</f>
        <v/>
      </c>
      <c r="E28" s="45" t="str">
        <f t="array" ref="E28">IF(24&gt;$S$1204,"",INDEX($T$5:$AJ$1204,MATCH(24,$S$5:$S$1204,0),5))</f>
        <v/>
      </c>
      <c r="F28" s="45" t="str">
        <f t="array" ref="F28">IF(24&gt;$S$1204,"",INDEX($T$5:$AJ$1204,MATCH(24,$S$5:$S$1204,0),6))</f>
        <v/>
      </c>
      <c r="G28" s="45" t="str">
        <f t="array" ref="G28">IF(24&gt;$S$1204,"",INDEX($T$5:$AJ$1204,MATCH(24,$S$5:$S$1204,0),7))</f>
        <v/>
      </c>
      <c r="H28" s="45" t="str">
        <f t="array" ref="H28">IF(24&gt;$S$1204,"",INDEX($T$5:$AJ$1204,MATCH(24,$S$5:$S$1204,0),8))</f>
        <v/>
      </c>
      <c r="I28" s="45" t="str">
        <f t="array" ref="I28">IF(24&gt;$S$1204,"",INDEX($T$5:$AJ$1204,MATCH(24,$S$5:$S$1204,0),9))</f>
        <v/>
      </c>
      <c r="J28" s="47" t="str">
        <f t="array" ref="J28">IF(24&gt;$S$1204,"",INDEX($T$5:$AJ$1204,MATCH(24,$S$5:$S$1204,0),10))</f>
        <v/>
      </c>
      <c r="K28" s="45" t="str">
        <f t="array" ref="K28">IF(24&gt;$S$1204,"",INDEX($T$5:$AJ$1204,MATCH(24,$S$5:$S$1204,0),11))</f>
        <v/>
      </c>
      <c r="L28" s="45" t="str">
        <f t="array" ref="L28">IF(24&gt;$S$1204,"",INDEX($T$5:$AJ$1204,MATCH(24,$S$5:$S$1204,0),12))</f>
        <v/>
      </c>
      <c r="M28" s="45" t="str">
        <f t="array" ref="M28">IF(24&gt;$S$1204,"",INDEX($T$5:$AJ$1204,MATCH(24,$S$5:$S$1204,0),13))</f>
        <v/>
      </c>
      <c r="N28" s="45" t="str">
        <f t="array" ref="N28">IF(24&gt;$S$1204,"",INDEX($T$5:$AJ$1204,MATCH(24,$S$5:$S$1204,0),14))</f>
        <v/>
      </c>
      <c r="O28" s="48" t="str">
        <f t="array" ref="O28">IF(24&gt;$S$1204,"",INDEX($T$5:$AJ$1204,MATCH(24,$S$5:$S$1204,0),15))</f>
        <v/>
      </c>
      <c r="P28" s="45" t="str">
        <f t="array" ref="P28">IF(24&gt;$S$1204,"",INDEX($T$5:$AJ$1204,MATCH(24,$S$5:$S$1204,0),16))</f>
        <v/>
      </c>
      <c r="Q28" s="45" t="str">
        <f t="array" ref="Q28">IF(24&gt;$S$1204,"",INDEX($T$5:$AJ$1204,MATCH(24,$S$5:$S$1204,0),17))</f>
        <v/>
      </c>
      <c r="R28" s="17"/>
      <c r="S28" s="17">
        <f>S27+IF(M1_Administrativo!A32="",0,1)</f>
        <v>0</v>
      </c>
      <c r="T28" s="17" t="str">
        <f>IF(M1_Administrativo!A32="","",IF(M1_Administrativo!A32="","",M1_Administrativo!A32))</f>
        <v/>
      </c>
      <c r="U28" s="17" t="str">
        <f>IF(M1_Administrativo!A32="","",IF(M1_Administrativo!R32="","",M1_Administrativo!R32))</f>
        <v/>
      </c>
      <c r="V28" s="17" t="str">
        <f>IF(M1_Administrativo!A32="","",IF(M1_Administrativo!D32="","",M1_Administrativo!D32))</f>
        <v/>
      </c>
      <c r="W28" s="17" t="str">
        <f>IF(M1_Administrativo!A32="","",IF(M1_Administrativo!B32="","",M1_Administrativo!B32))</f>
        <v/>
      </c>
      <c r="X28" s="17" t="str">
        <f>IF(M1_Administrativo!A32="","",IF(M1_Administrativo!C32="","",M1_Administrativo!C32))</f>
        <v/>
      </c>
      <c r="Y28" s="17" t="str">
        <f>IF(M1_Administrativo!A32="","",IF(M1_Administrativo!E32="","",M1_Administrativo!E32))</f>
        <v/>
      </c>
      <c r="Z28" s="17" t="str">
        <f>IF(M1_Administrativo!A32="","",IF(M1_Administrativo!F32="","",M1_Administrativo!F32))</f>
        <v/>
      </c>
      <c r="AA28" s="17" t="str">
        <f>IF(M1_Administrativo!A32="","","M1 Administrativo")</f>
        <v/>
      </c>
      <c r="AB28" s="17" t="str">
        <f>IF(M1_Administrativo!A32="","",IF(M1_Administrativo!G32="","",M1_Administrativo!G32))</f>
        <v/>
      </c>
      <c r="AC28" s="17" t="str">
        <f>IF(M1_Administrativo!A32="","",IF(M1_Administrativo!M32="","",M1_Administrativo!M32))</f>
        <v/>
      </c>
      <c r="AD28" s="17" t="str">
        <f>IF(M1_Administrativo!A32="","","RA")</f>
        <v/>
      </c>
      <c r="AE28" s="17" t="str">
        <f>IF(M1_Administrativo!A32="","",IF(M1_Administrativo!O32="","",M1_Administrativo!O32))</f>
        <v/>
      </c>
      <c r="AF28" s="17" t="str">
        <f>IF(M1_Administrativo!A32="","",IF(M1_Administrativo!P32="","",M1_Administrativo!P32))</f>
        <v/>
      </c>
      <c r="AG28" s="17" t="str">
        <f>IF(M1_Administrativo!A32="","",IF(M1_Administrativo!Q32="","",M1_Administrativo!Q32))</f>
        <v/>
      </c>
      <c r="AH28" s="17" t="str">
        <f>IF(M1_Administrativo!A32="","","")</f>
        <v/>
      </c>
      <c r="AI28" s="17" t="str">
        <f>IF(M1_Administrativo!A32="","","M1_Administrativo!32")</f>
        <v/>
      </c>
      <c r="AJ28" s="17" t="str">
        <f>IF(M1_Administrativo!A32="","",IF(M1_Administrativo!M32="","Pendiente de resultado","Disponible"))</f>
        <v/>
      </c>
    </row>
    <row r="29" spans="1:36" ht="55.5" customHeight="1">
      <c r="A29" s="44" t="str">
        <f t="array" ref="A29">IF(25&gt;$S$1204,"",INDEX($T$5:$AJ$1204,MATCH(25,$S$5:$S$1204,0),1))</f>
        <v/>
      </c>
      <c r="B29" s="45" t="str">
        <f t="array" ref="B29">IF(25&gt;$S$1204,"",INDEX($T$5:$AJ$1204,MATCH(25,$S$5:$S$1204,0),2))</f>
        <v/>
      </c>
      <c r="C29" s="46" t="str">
        <f t="array" ref="C29">IF(25&gt;$S$1204,"",INDEX($T$5:$AJ$1204,MATCH(25,$S$5:$S$1204,0),3))</f>
        <v/>
      </c>
      <c r="D29" s="45" t="str">
        <f t="array" ref="D29">IF(25&gt;$S$1204,"",INDEX($T$5:$AJ$1204,MATCH(25,$S$5:$S$1204,0),4))</f>
        <v/>
      </c>
      <c r="E29" s="45" t="str">
        <f t="array" ref="E29">IF(25&gt;$S$1204,"",INDEX($T$5:$AJ$1204,MATCH(25,$S$5:$S$1204,0),5))</f>
        <v/>
      </c>
      <c r="F29" s="45" t="str">
        <f t="array" ref="F29">IF(25&gt;$S$1204,"",INDEX($T$5:$AJ$1204,MATCH(25,$S$5:$S$1204,0),6))</f>
        <v/>
      </c>
      <c r="G29" s="45" t="str">
        <f t="array" ref="G29">IF(25&gt;$S$1204,"",INDEX($T$5:$AJ$1204,MATCH(25,$S$5:$S$1204,0),7))</f>
        <v/>
      </c>
      <c r="H29" s="45" t="str">
        <f t="array" ref="H29">IF(25&gt;$S$1204,"",INDEX($T$5:$AJ$1204,MATCH(25,$S$5:$S$1204,0),8))</f>
        <v/>
      </c>
      <c r="I29" s="45" t="str">
        <f t="array" ref="I29">IF(25&gt;$S$1204,"",INDEX($T$5:$AJ$1204,MATCH(25,$S$5:$S$1204,0),9))</f>
        <v/>
      </c>
      <c r="J29" s="47" t="str">
        <f t="array" ref="J29">IF(25&gt;$S$1204,"",INDEX($T$5:$AJ$1204,MATCH(25,$S$5:$S$1204,0),10))</f>
        <v/>
      </c>
      <c r="K29" s="45" t="str">
        <f t="array" ref="K29">IF(25&gt;$S$1204,"",INDEX($T$5:$AJ$1204,MATCH(25,$S$5:$S$1204,0),11))</f>
        <v/>
      </c>
      <c r="L29" s="45" t="str">
        <f t="array" ref="L29">IF(25&gt;$S$1204,"",INDEX($T$5:$AJ$1204,MATCH(25,$S$5:$S$1204,0),12))</f>
        <v/>
      </c>
      <c r="M29" s="45" t="str">
        <f t="array" ref="M29">IF(25&gt;$S$1204,"",INDEX($T$5:$AJ$1204,MATCH(25,$S$5:$S$1204,0),13))</f>
        <v/>
      </c>
      <c r="N29" s="45" t="str">
        <f t="array" ref="N29">IF(25&gt;$S$1204,"",INDEX($T$5:$AJ$1204,MATCH(25,$S$5:$S$1204,0),14))</f>
        <v/>
      </c>
      <c r="O29" s="48" t="str">
        <f t="array" ref="O29">IF(25&gt;$S$1204,"",INDEX($T$5:$AJ$1204,MATCH(25,$S$5:$S$1204,0),15))</f>
        <v/>
      </c>
      <c r="P29" s="45" t="str">
        <f t="array" ref="P29">IF(25&gt;$S$1204,"",INDEX($T$5:$AJ$1204,MATCH(25,$S$5:$S$1204,0),16))</f>
        <v/>
      </c>
      <c r="Q29" s="45" t="str">
        <f t="array" ref="Q29">IF(25&gt;$S$1204,"",INDEX($T$5:$AJ$1204,MATCH(25,$S$5:$S$1204,0),17))</f>
        <v/>
      </c>
      <c r="R29" s="17"/>
      <c r="S29" s="17">
        <f>S28+IF(M1_Administrativo!A33="",0,1)</f>
        <v>0</v>
      </c>
      <c r="T29" s="17" t="str">
        <f>IF(M1_Administrativo!A33="","",IF(M1_Administrativo!A33="","",M1_Administrativo!A33))</f>
        <v/>
      </c>
      <c r="U29" s="17" t="str">
        <f>IF(M1_Administrativo!A33="","",IF(M1_Administrativo!R33="","",M1_Administrativo!R33))</f>
        <v/>
      </c>
      <c r="V29" s="17" t="str">
        <f>IF(M1_Administrativo!A33="","",IF(M1_Administrativo!D33="","",M1_Administrativo!D33))</f>
        <v/>
      </c>
      <c r="W29" s="17" t="str">
        <f>IF(M1_Administrativo!A33="","",IF(M1_Administrativo!B33="","",M1_Administrativo!B33))</f>
        <v/>
      </c>
      <c r="X29" s="17" t="str">
        <f>IF(M1_Administrativo!A33="","",IF(M1_Administrativo!C33="","",M1_Administrativo!C33))</f>
        <v/>
      </c>
      <c r="Y29" s="17" t="str">
        <f>IF(M1_Administrativo!A33="","",IF(M1_Administrativo!E33="","",M1_Administrativo!E33))</f>
        <v/>
      </c>
      <c r="Z29" s="17" t="str">
        <f>IF(M1_Administrativo!A33="","",IF(M1_Administrativo!F33="","",M1_Administrativo!F33))</f>
        <v/>
      </c>
      <c r="AA29" s="17" t="str">
        <f>IF(M1_Administrativo!A33="","","M1 Administrativo")</f>
        <v/>
      </c>
      <c r="AB29" s="17" t="str">
        <f>IF(M1_Administrativo!A33="","",IF(M1_Administrativo!G33="","",M1_Administrativo!G33))</f>
        <v/>
      </c>
      <c r="AC29" s="17" t="str">
        <f>IF(M1_Administrativo!A33="","",IF(M1_Administrativo!M33="","",M1_Administrativo!M33))</f>
        <v/>
      </c>
      <c r="AD29" s="17" t="str">
        <f>IF(M1_Administrativo!A33="","","RA")</f>
        <v/>
      </c>
      <c r="AE29" s="17" t="str">
        <f>IF(M1_Administrativo!A33="","",IF(M1_Administrativo!O33="","",M1_Administrativo!O33))</f>
        <v/>
      </c>
      <c r="AF29" s="17" t="str">
        <f>IF(M1_Administrativo!A33="","",IF(M1_Administrativo!P33="","",M1_Administrativo!P33))</f>
        <v/>
      </c>
      <c r="AG29" s="17" t="str">
        <f>IF(M1_Administrativo!A33="","",IF(M1_Administrativo!Q33="","",M1_Administrativo!Q33))</f>
        <v/>
      </c>
      <c r="AH29" s="17" t="str">
        <f>IF(M1_Administrativo!A33="","","")</f>
        <v/>
      </c>
      <c r="AI29" s="17" t="str">
        <f>IF(M1_Administrativo!A33="","","M1_Administrativo!33")</f>
        <v/>
      </c>
      <c r="AJ29" s="17" t="str">
        <f>IF(M1_Administrativo!A33="","",IF(M1_Administrativo!M33="","Pendiente de resultado","Disponible"))</f>
        <v/>
      </c>
    </row>
    <row r="30" spans="1:36" ht="55.5" customHeight="1">
      <c r="A30" s="44" t="str">
        <f t="array" ref="A30">IF(26&gt;$S$1204,"",INDEX($T$5:$AJ$1204,MATCH(26,$S$5:$S$1204,0),1))</f>
        <v/>
      </c>
      <c r="B30" s="45" t="str">
        <f t="array" ref="B30">IF(26&gt;$S$1204,"",INDEX($T$5:$AJ$1204,MATCH(26,$S$5:$S$1204,0),2))</f>
        <v/>
      </c>
      <c r="C30" s="46" t="str">
        <f t="array" ref="C30">IF(26&gt;$S$1204,"",INDEX($T$5:$AJ$1204,MATCH(26,$S$5:$S$1204,0),3))</f>
        <v/>
      </c>
      <c r="D30" s="45" t="str">
        <f t="array" ref="D30">IF(26&gt;$S$1204,"",INDEX($T$5:$AJ$1204,MATCH(26,$S$5:$S$1204,0),4))</f>
        <v/>
      </c>
      <c r="E30" s="45" t="str">
        <f t="array" ref="E30">IF(26&gt;$S$1204,"",INDEX($T$5:$AJ$1204,MATCH(26,$S$5:$S$1204,0),5))</f>
        <v/>
      </c>
      <c r="F30" s="45" t="str">
        <f t="array" ref="F30">IF(26&gt;$S$1204,"",INDEX($T$5:$AJ$1204,MATCH(26,$S$5:$S$1204,0),6))</f>
        <v/>
      </c>
      <c r="G30" s="45" t="str">
        <f t="array" ref="G30">IF(26&gt;$S$1204,"",INDEX($T$5:$AJ$1204,MATCH(26,$S$5:$S$1204,0),7))</f>
        <v/>
      </c>
      <c r="H30" s="45" t="str">
        <f t="array" ref="H30">IF(26&gt;$S$1204,"",INDEX($T$5:$AJ$1204,MATCH(26,$S$5:$S$1204,0),8))</f>
        <v/>
      </c>
      <c r="I30" s="45" t="str">
        <f t="array" ref="I30">IF(26&gt;$S$1204,"",INDEX($T$5:$AJ$1204,MATCH(26,$S$5:$S$1204,0),9))</f>
        <v/>
      </c>
      <c r="J30" s="47" t="str">
        <f t="array" ref="J30">IF(26&gt;$S$1204,"",INDEX($T$5:$AJ$1204,MATCH(26,$S$5:$S$1204,0),10))</f>
        <v/>
      </c>
      <c r="K30" s="45" t="str">
        <f t="array" ref="K30">IF(26&gt;$S$1204,"",INDEX($T$5:$AJ$1204,MATCH(26,$S$5:$S$1204,0),11))</f>
        <v/>
      </c>
      <c r="L30" s="45" t="str">
        <f t="array" ref="L30">IF(26&gt;$S$1204,"",INDEX($T$5:$AJ$1204,MATCH(26,$S$5:$S$1204,0),12))</f>
        <v/>
      </c>
      <c r="M30" s="45" t="str">
        <f t="array" ref="M30">IF(26&gt;$S$1204,"",INDEX($T$5:$AJ$1204,MATCH(26,$S$5:$S$1204,0),13))</f>
        <v/>
      </c>
      <c r="N30" s="45" t="str">
        <f t="array" ref="N30">IF(26&gt;$S$1204,"",INDEX($T$5:$AJ$1204,MATCH(26,$S$5:$S$1204,0),14))</f>
        <v/>
      </c>
      <c r="O30" s="48" t="str">
        <f t="array" ref="O30">IF(26&gt;$S$1204,"",INDEX($T$5:$AJ$1204,MATCH(26,$S$5:$S$1204,0),15))</f>
        <v/>
      </c>
      <c r="P30" s="45" t="str">
        <f t="array" ref="P30">IF(26&gt;$S$1204,"",INDEX($T$5:$AJ$1204,MATCH(26,$S$5:$S$1204,0),16))</f>
        <v/>
      </c>
      <c r="Q30" s="45" t="str">
        <f t="array" ref="Q30">IF(26&gt;$S$1204,"",INDEX($T$5:$AJ$1204,MATCH(26,$S$5:$S$1204,0),17))</f>
        <v/>
      </c>
      <c r="R30" s="17"/>
      <c r="S30" s="17">
        <f>S29+IF(M1_Administrativo!A34="",0,1)</f>
        <v>0</v>
      </c>
      <c r="T30" s="17" t="str">
        <f>IF(M1_Administrativo!A34="","",IF(M1_Administrativo!A34="","",M1_Administrativo!A34))</f>
        <v/>
      </c>
      <c r="U30" s="17" t="str">
        <f>IF(M1_Administrativo!A34="","",IF(M1_Administrativo!R34="","",M1_Administrativo!R34))</f>
        <v/>
      </c>
      <c r="V30" s="17" t="str">
        <f>IF(M1_Administrativo!A34="","",IF(M1_Administrativo!D34="","",M1_Administrativo!D34))</f>
        <v/>
      </c>
      <c r="W30" s="17" t="str">
        <f>IF(M1_Administrativo!A34="","",IF(M1_Administrativo!B34="","",M1_Administrativo!B34))</f>
        <v/>
      </c>
      <c r="X30" s="17" t="str">
        <f>IF(M1_Administrativo!A34="","",IF(M1_Administrativo!C34="","",M1_Administrativo!C34))</f>
        <v/>
      </c>
      <c r="Y30" s="17" t="str">
        <f>IF(M1_Administrativo!A34="","",IF(M1_Administrativo!E34="","",M1_Administrativo!E34))</f>
        <v/>
      </c>
      <c r="Z30" s="17" t="str">
        <f>IF(M1_Administrativo!A34="","",IF(M1_Administrativo!F34="","",M1_Administrativo!F34))</f>
        <v/>
      </c>
      <c r="AA30" s="17" t="str">
        <f>IF(M1_Administrativo!A34="","","M1 Administrativo")</f>
        <v/>
      </c>
      <c r="AB30" s="17" t="str">
        <f>IF(M1_Administrativo!A34="","",IF(M1_Administrativo!G34="","",M1_Administrativo!G34))</f>
        <v/>
      </c>
      <c r="AC30" s="17" t="str">
        <f>IF(M1_Administrativo!A34="","",IF(M1_Administrativo!M34="","",M1_Administrativo!M34))</f>
        <v/>
      </c>
      <c r="AD30" s="17" t="str">
        <f>IF(M1_Administrativo!A34="","","RA")</f>
        <v/>
      </c>
      <c r="AE30" s="17" t="str">
        <f>IF(M1_Administrativo!A34="","",IF(M1_Administrativo!O34="","",M1_Administrativo!O34))</f>
        <v/>
      </c>
      <c r="AF30" s="17" t="str">
        <f>IF(M1_Administrativo!A34="","",IF(M1_Administrativo!P34="","",M1_Administrativo!P34))</f>
        <v/>
      </c>
      <c r="AG30" s="17" t="str">
        <f>IF(M1_Administrativo!A34="","",IF(M1_Administrativo!Q34="","",M1_Administrativo!Q34))</f>
        <v/>
      </c>
      <c r="AH30" s="17" t="str">
        <f>IF(M1_Administrativo!A34="","","")</f>
        <v/>
      </c>
      <c r="AI30" s="17" t="str">
        <f>IF(M1_Administrativo!A34="","","M1_Administrativo!34")</f>
        <v/>
      </c>
      <c r="AJ30" s="17" t="str">
        <f>IF(M1_Administrativo!A34="","",IF(M1_Administrativo!M34="","Pendiente de resultado","Disponible"))</f>
        <v/>
      </c>
    </row>
    <row r="31" spans="1:36" ht="55.5" customHeight="1">
      <c r="A31" s="44" t="str">
        <f t="array" ref="A31">IF(27&gt;$S$1204,"",INDEX($T$5:$AJ$1204,MATCH(27,$S$5:$S$1204,0),1))</f>
        <v/>
      </c>
      <c r="B31" s="45" t="str">
        <f t="array" ref="B31">IF(27&gt;$S$1204,"",INDEX($T$5:$AJ$1204,MATCH(27,$S$5:$S$1204,0),2))</f>
        <v/>
      </c>
      <c r="C31" s="46" t="str">
        <f t="array" ref="C31">IF(27&gt;$S$1204,"",INDEX($T$5:$AJ$1204,MATCH(27,$S$5:$S$1204,0),3))</f>
        <v/>
      </c>
      <c r="D31" s="45" t="str">
        <f t="array" ref="D31">IF(27&gt;$S$1204,"",INDEX($T$5:$AJ$1204,MATCH(27,$S$5:$S$1204,0),4))</f>
        <v/>
      </c>
      <c r="E31" s="45" t="str">
        <f t="array" ref="E31">IF(27&gt;$S$1204,"",INDEX($T$5:$AJ$1204,MATCH(27,$S$5:$S$1204,0),5))</f>
        <v/>
      </c>
      <c r="F31" s="45" t="str">
        <f t="array" ref="F31">IF(27&gt;$S$1204,"",INDEX($T$5:$AJ$1204,MATCH(27,$S$5:$S$1204,0),6))</f>
        <v/>
      </c>
      <c r="G31" s="45" t="str">
        <f t="array" ref="G31">IF(27&gt;$S$1204,"",INDEX($T$5:$AJ$1204,MATCH(27,$S$5:$S$1204,0),7))</f>
        <v/>
      </c>
      <c r="H31" s="45" t="str">
        <f t="array" ref="H31">IF(27&gt;$S$1204,"",INDEX($T$5:$AJ$1204,MATCH(27,$S$5:$S$1204,0),8))</f>
        <v/>
      </c>
      <c r="I31" s="45" t="str">
        <f t="array" ref="I31">IF(27&gt;$S$1204,"",INDEX($T$5:$AJ$1204,MATCH(27,$S$5:$S$1204,0),9))</f>
        <v/>
      </c>
      <c r="J31" s="47" t="str">
        <f t="array" ref="J31">IF(27&gt;$S$1204,"",INDEX($T$5:$AJ$1204,MATCH(27,$S$5:$S$1204,0),10))</f>
        <v/>
      </c>
      <c r="K31" s="45" t="str">
        <f t="array" ref="K31">IF(27&gt;$S$1204,"",INDEX($T$5:$AJ$1204,MATCH(27,$S$5:$S$1204,0),11))</f>
        <v/>
      </c>
      <c r="L31" s="45" t="str">
        <f t="array" ref="L31">IF(27&gt;$S$1204,"",INDEX($T$5:$AJ$1204,MATCH(27,$S$5:$S$1204,0),12))</f>
        <v/>
      </c>
      <c r="M31" s="45" t="str">
        <f t="array" ref="M31">IF(27&gt;$S$1204,"",INDEX($T$5:$AJ$1204,MATCH(27,$S$5:$S$1204,0),13))</f>
        <v/>
      </c>
      <c r="N31" s="45" t="str">
        <f t="array" ref="N31">IF(27&gt;$S$1204,"",INDEX($T$5:$AJ$1204,MATCH(27,$S$5:$S$1204,0),14))</f>
        <v/>
      </c>
      <c r="O31" s="48" t="str">
        <f t="array" ref="O31">IF(27&gt;$S$1204,"",INDEX($T$5:$AJ$1204,MATCH(27,$S$5:$S$1204,0),15))</f>
        <v/>
      </c>
      <c r="P31" s="45" t="str">
        <f t="array" ref="P31">IF(27&gt;$S$1204,"",INDEX($T$5:$AJ$1204,MATCH(27,$S$5:$S$1204,0),16))</f>
        <v/>
      </c>
      <c r="Q31" s="45" t="str">
        <f t="array" ref="Q31">IF(27&gt;$S$1204,"",INDEX($T$5:$AJ$1204,MATCH(27,$S$5:$S$1204,0),17))</f>
        <v/>
      </c>
      <c r="R31" s="17"/>
      <c r="S31" s="17">
        <f>S30+IF(M1_Administrativo!A35="",0,1)</f>
        <v>0</v>
      </c>
      <c r="T31" s="17" t="str">
        <f>IF(M1_Administrativo!A35="","",IF(M1_Administrativo!A35="","",M1_Administrativo!A35))</f>
        <v/>
      </c>
      <c r="U31" s="17" t="str">
        <f>IF(M1_Administrativo!A35="","",IF(M1_Administrativo!R35="","",M1_Administrativo!R35))</f>
        <v/>
      </c>
      <c r="V31" s="17" t="str">
        <f>IF(M1_Administrativo!A35="","",IF(M1_Administrativo!D35="","",M1_Administrativo!D35))</f>
        <v/>
      </c>
      <c r="W31" s="17" t="str">
        <f>IF(M1_Administrativo!A35="","",IF(M1_Administrativo!B35="","",M1_Administrativo!B35))</f>
        <v/>
      </c>
      <c r="X31" s="17" t="str">
        <f>IF(M1_Administrativo!A35="","",IF(M1_Administrativo!C35="","",M1_Administrativo!C35))</f>
        <v/>
      </c>
      <c r="Y31" s="17" t="str">
        <f>IF(M1_Administrativo!A35="","",IF(M1_Administrativo!E35="","",M1_Administrativo!E35))</f>
        <v/>
      </c>
      <c r="Z31" s="17" t="str">
        <f>IF(M1_Administrativo!A35="","",IF(M1_Administrativo!F35="","",M1_Administrativo!F35))</f>
        <v/>
      </c>
      <c r="AA31" s="17" t="str">
        <f>IF(M1_Administrativo!A35="","","M1 Administrativo")</f>
        <v/>
      </c>
      <c r="AB31" s="17" t="str">
        <f>IF(M1_Administrativo!A35="","",IF(M1_Administrativo!G35="","",M1_Administrativo!G35))</f>
        <v/>
      </c>
      <c r="AC31" s="17" t="str">
        <f>IF(M1_Administrativo!A35="","",IF(M1_Administrativo!M35="","",M1_Administrativo!M35))</f>
        <v/>
      </c>
      <c r="AD31" s="17" t="str">
        <f>IF(M1_Administrativo!A35="","","RA")</f>
        <v/>
      </c>
      <c r="AE31" s="17" t="str">
        <f>IF(M1_Administrativo!A35="","",IF(M1_Administrativo!O35="","",M1_Administrativo!O35))</f>
        <v/>
      </c>
      <c r="AF31" s="17" t="str">
        <f>IF(M1_Administrativo!A35="","",IF(M1_Administrativo!P35="","",M1_Administrativo!P35))</f>
        <v/>
      </c>
      <c r="AG31" s="17" t="str">
        <f>IF(M1_Administrativo!A35="","",IF(M1_Administrativo!Q35="","",M1_Administrativo!Q35))</f>
        <v/>
      </c>
      <c r="AH31" s="17" t="str">
        <f>IF(M1_Administrativo!A35="","","")</f>
        <v/>
      </c>
      <c r="AI31" s="17" t="str">
        <f>IF(M1_Administrativo!A35="","","M1_Administrativo!35")</f>
        <v/>
      </c>
      <c r="AJ31" s="17" t="str">
        <f>IF(M1_Administrativo!A35="","",IF(M1_Administrativo!M35="","Pendiente de resultado","Disponible"))</f>
        <v/>
      </c>
    </row>
    <row r="32" spans="1:36" ht="55.5" customHeight="1">
      <c r="A32" s="44" t="str">
        <f t="array" ref="A32">IF(28&gt;$S$1204,"",INDEX($T$5:$AJ$1204,MATCH(28,$S$5:$S$1204,0),1))</f>
        <v/>
      </c>
      <c r="B32" s="45" t="str">
        <f t="array" ref="B32">IF(28&gt;$S$1204,"",INDEX($T$5:$AJ$1204,MATCH(28,$S$5:$S$1204,0),2))</f>
        <v/>
      </c>
      <c r="C32" s="46" t="str">
        <f t="array" ref="C32">IF(28&gt;$S$1204,"",INDEX($T$5:$AJ$1204,MATCH(28,$S$5:$S$1204,0),3))</f>
        <v/>
      </c>
      <c r="D32" s="45" t="str">
        <f t="array" ref="D32">IF(28&gt;$S$1204,"",INDEX($T$5:$AJ$1204,MATCH(28,$S$5:$S$1204,0),4))</f>
        <v/>
      </c>
      <c r="E32" s="45" t="str">
        <f t="array" ref="E32">IF(28&gt;$S$1204,"",INDEX($T$5:$AJ$1204,MATCH(28,$S$5:$S$1204,0),5))</f>
        <v/>
      </c>
      <c r="F32" s="45" t="str">
        <f t="array" ref="F32">IF(28&gt;$S$1204,"",INDEX($T$5:$AJ$1204,MATCH(28,$S$5:$S$1204,0),6))</f>
        <v/>
      </c>
      <c r="G32" s="45" t="str">
        <f t="array" ref="G32">IF(28&gt;$S$1204,"",INDEX($T$5:$AJ$1204,MATCH(28,$S$5:$S$1204,0),7))</f>
        <v/>
      </c>
      <c r="H32" s="45" t="str">
        <f t="array" ref="H32">IF(28&gt;$S$1204,"",INDEX($T$5:$AJ$1204,MATCH(28,$S$5:$S$1204,0),8))</f>
        <v/>
      </c>
      <c r="I32" s="45" t="str">
        <f t="array" ref="I32">IF(28&gt;$S$1204,"",INDEX($T$5:$AJ$1204,MATCH(28,$S$5:$S$1204,0),9))</f>
        <v/>
      </c>
      <c r="J32" s="47" t="str">
        <f t="array" ref="J32">IF(28&gt;$S$1204,"",INDEX($T$5:$AJ$1204,MATCH(28,$S$5:$S$1204,0),10))</f>
        <v/>
      </c>
      <c r="K32" s="45" t="str">
        <f t="array" ref="K32">IF(28&gt;$S$1204,"",INDEX($T$5:$AJ$1204,MATCH(28,$S$5:$S$1204,0),11))</f>
        <v/>
      </c>
      <c r="L32" s="45" t="str">
        <f t="array" ref="L32">IF(28&gt;$S$1204,"",INDEX($T$5:$AJ$1204,MATCH(28,$S$5:$S$1204,0),12))</f>
        <v/>
      </c>
      <c r="M32" s="45" t="str">
        <f t="array" ref="M32">IF(28&gt;$S$1204,"",INDEX($T$5:$AJ$1204,MATCH(28,$S$5:$S$1204,0),13))</f>
        <v/>
      </c>
      <c r="N32" s="45" t="str">
        <f t="array" ref="N32">IF(28&gt;$S$1204,"",INDEX($T$5:$AJ$1204,MATCH(28,$S$5:$S$1204,0),14))</f>
        <v/>
      </c>
      <c r="O32" s="48" t="str">
        <f t="array" ref="O32">IF(28&gt;$S$1204,"",INDEX($T$5:$AJ$1204,MATCH(28,$S$5:$S$1204,0),15))</f>
        <v/>
      </c>
      <c r="P32" s="45" t="str">
        <f t="array" ref="P32">IF(28&gt;$S$1204,"",INDEX($T$5:$AJ$1204,MATCH(28,$S$5:$S$1204,0),16))</f>
        <v/>
      </c>
      <c r="Q32" s="45" t="str">
        <f t="array" ref="Q32">IF(28&gt;$S$1204,"",INDEX($T$5:$AJ$1204,MATCH(28,$S$5:$S$1204,0),17))</f>
        <v/>
      </c>
      <c r="R32" s="17"/>
      <c r="S32" s="17">
        <f>S31+IF(M1_Administrativo!A36="",0,1)</f>
        <v>0</v>
      </c>
      <c r="T32" s="17" t="str">
        <f>IF(M1_Administrativo!A36="","",IF(M1_Administrativo!A36="","",M1_Administrativo!A36))</f>
        <v/>
      </c>
      <c r="U32" s="17" t="str">
        <f>IF(M1_Administrativo!A36="","",IF(M1_Administrativo!R36="","",M1_Administrativo!R36))</f>
        <v/>
      </c>
      <c r="V32" s="17" t="str">
        <f>IF(M1_Administrativo!A36="","",IF(M1_Administrativo!D36="","",M1_Administrativo!D36))</f>
        <v/>
      </c>
      <c r="W32" s="17" t="str">
        <f>IF(M1_Administrativo!A36="","",IF(M1_Administrativo!B36="","",M1_Administrativo!B36))</f>
        <v/>
      </c>
      <c r="X32" s="17" t="str">
        <f>IF(M1_Administrativo!A36="","",IF(M1_Administrativo!C36="","",M1_Administrativo!C36))</f>
        <v/>
      </c>
      <c r="Y32" s="17" t="str">
        <f>IF(M1_Administrativo!A36="","",IF(M1_Administrativo!E36="","",M1_Administrativo!E36))</f>
        <v/>
      </c>
      <c r="Z32" s="17" t="str">
        <f>IF(M1_Administrativo!A36="","",IF(M1_Administrativo!F36="","",M1_Administrativo!F36))</f>
        <v/>
      </c>
      <c r="AA32" s="17" t="str">
        <f>IF(M1_Administrativo!A36="","","M1 Administrativo")</f>
        <v/>
      </c>
      <c r="AB32" s="17" t="str">
        <f>IF(M1_Administrativo!A36="","",IF(M1_Administrativo!G36="","",M1_Administrativo!G36))</f>
        <v/>
      </c>
      <c r="AC32" s="17" t="str">
        <f>IF(M1_Administrativo!A36="","",IF(M1_Administrativo!M36="","",M1_Administrativo!M36))</f>
        <v/>
      </c>
      <c r="AD32" s="17" t="str">
        <f>IF(M1_Administrativo!A36="","","RA")</f>
        <v/>
      </c>
      <c r="AE32" s="17" t="str">
        <f>IF(M1_Administrativo!A36="","",IF(M1_Administrativo!O36="","",M1_Administrativo!O36))</f>
        <v/>
      </c>
      <c r="AF32" s="17" t="str">
        <f>IF(M1_Administrativo!A36="","",IF(M1_Administrativo!P36="","",M1_Administrativo!P36))</f>
        <v/>
      </c>
      <c r="AG32" s="17" t="str">
        <f>IF(M1_Administrativo!A36="","",IF(M1_Administrativo!Q36="","",M1_Administrativo!Q36))</f>
        <v/>
      </c>
      <c r="AH32" s="17" t="str">
        <f>IF(M1_Administrativo!A36="","","")</f>
        <v/>
      </c>
      <c r="AI32" s="17" t="str">
        <f>IF(M1_Administrativo!A36="","","M1_Administrativo!36")</f>
        <v/>
      </c>
      <c r="AJ32" s="17" t="str">
        <f>IF(M1_Administrativo!A36="","",IF(M1_Administrativo!M36="","Pendiente de resultado","Disponible"))</f>
        <v/>
      </c>
    </row>
    <row r="33" spans="1:36" ht="55.5" customHeight="1">
      <c r="A33" s="44" t="str">
        <f t="array" ref="A33">IF(29&gt;$S$1204,"",INDEX($T$5:$AJ$1204,MATCH(29,$S$5:$S$1204,0),1))</f>
        <v/>
      </c>
      <c r="B33" s="45" t="str">
        <f t="array" ref="B33">IF(29&gt;$S$1204,"",INDEX($T$5:$AJ$1204,MATCH(29,$S$5:$S$1204,0),2))</f>
        <v/>
      </c>
      <c r="C33" s="46" t="str">
        <f t="array" ref="C33">IF(29&gt;$S$1204,"",INDEX($T$5:$AJ$1204,MATCH(29,$S$5:$S$1204,0),3))</f>
        <v/>
      </c>
      <c r="D33" s="45" t="str">
        <f t="array" ref="D33">IF(29&gt;$S$1204,"",INDEX($T$5:$AJ$1204,MATCH(29,$S$5:$S$1204,0),4))</f>
        <v/>
      </c>
      <c r="E33" s="45" t="str">
        <f t="array" ref="E33">IF(29&gt;$S$1204,"",INDEX($T$5:$AJ$1204,MATCH(29,$S$5:$S$1204,0),5))</f>
        <v/>
      </c>
      <c r="F33" s="45" t="str">
        <f t="array" ref="F33">IF(29&gt;$S$1204,"",INDEX($T$5:$AJ$1204,MATCH(29,$S$5:$S$1204,0),6))</f>
        <v/>
      </c>
      <c r="G33" s="45" t="str">
        <f t="array" ref="G33">IF(29&gt;$S$1204,"",INDEX($T$5:$AJ$1204,MATCH(29,$S$5:$S$1204,0),7))</f>
        <v/>
      </c>
      <c r="H33" s="45" t="str">
        <f t="array" ref="H33">IF(29&gt;$S$1204,"",INDEX($T$5:$AJ$1204,MATCH(29,$S$5:$S$1204,0),8))</f>
        <v/>
      </c>
      <c r="I33" s="45" t="str">
        <f t="array" ref="I33">IF(29&gt;$S$1204,"",INDEX($T$5:$AJ$1204,MATCH(29,$S$5:$S$1204,0),9))</f>
        <v/>
      </c>
      <c r="J33" s="47" t="str">
        <f t="array" ref="J33">IF(29&gt;$S$1204,"",INDEX($T$5:$AJ$1204,MATCH(29,$S$5:$S$1204,0),10))</f>
        <v/>
      </c>
      <c r="K33" s="45" t="str">
        <f t="array" ref="K33">IF(29&gt;$S$1204,"",INDEX($T$5:$AJ$1204,MATCH(29,$S$5:$S$1204,0),11))</f>
        <v/>
      </c>
      <c r="L33" s="45" t="str">
        <f t="array" ref="L33">IF(29&gt;$S$1204,"",INDEX($T$5:$AJ$1204,MATCH(29,$S$5:$S$1204,0),12))</f>
        <v/>
      </c>
      <c r="M33" s="45" t="str">
        <f t="array" ref="M33">IF(29&gt;$S$1204,"",INDEX($T$5:$AJ$1204,MATCH(29,$S$5:$S$1204,0),13))</f>
        <v/>
      </c>
      <c r="N33" s="45" t="str">
        <f t="array" ref="N33">IF(29&gt;$S$1204,"",INDEX($T$5:$AJ$1204,MATCH(29,$S$5:$S$1204,0),14))</f>
        <v/>
      </c>
      <c r="O33" s="48" t="str">
        <f t="array" ref="O33">IF(29&gt;$S$1204,"",INDEX($T$5:$AJ$1204,MATCH(29,$S$5:$S$1204,0),15))</f>
        <v/>
      </c>
      <c r="P33" s="45" t="str">
        <f t="array" ref="P33">IF(29&gt;$S$1204,"",INDEX($T$5:$AJ$1204,MATCH(29,$S$5:$S$1204,0),16))</f>
        <v/>
      </c>
      <c r="Q33" s="45" t="str">
        <f t="array" ref="Q33">IF(29&gt;$S$1204,"",INDEX($T$5:$AJ$1204,MATCH(29,$S$5:$S$1204,0),17))</f>
        <v/>
      </c>
      <c r="R33" s="17"/>
      <c r="S33" s="17">
        <f>S32+IF(M1_Administrativo!A37="",0,1)</f>
        <v>0</v>
      </c>
      <c r="T33" s="17" t="str">
        <f>IF(M1_Administrativo!A37="","",IF(M1_Administrativo!A37="","",M1_Administrativo!A37))</f>
        <v/>
      </c>
      <c r="U33" s="17" t="str">
        <f>IF(M1_Administrativo!A37="","",IF(M1_Administrativo!R37="","",M1_Administrativo!R37))</f>
        <v/>
      </c>
      <c r="V33" s="17" t="str">
        <f>IF(M1_Administrativo!A37="","",IF(M1_Administrativo!D37="","",M1_Administrativo!D37))</f>
        <v/>
      </c>
      <c r="W33" s="17" t="str">
        <f>IF(M1_Administrativo!A37="","",IF(M1_Administrativo!B37="","",M1_Administrativo!B37))</f>
        <v/>
      </c>
      <c r="X33" s="17" t="str">
        <f>IF(M1_Administrativo!A37="","",IF(M1_Administrativo!C37="","",M1_Administrativo!C37))</f>
        <v/>
      </c>
      <c r="Y33" s="17" t="str">
        <f>IF(M1_Administrativo!A37="","",IF(M1_Administrativo!E37="","",M1_Administrativo!E37))</f>
        <v/>
      </c>
      <c r="Z33" s="17" t="str">
        <f>IF(M1_Administrativo!A37="","",IF(M1_Administrativo!F37="","",M1_Administrativo!F37))</f>
        <v/>
      </c>
      <c r="AA33" s="17" t="str">
        <f>IF(M1_Administrativo!A37="","","M1 Administrativo")</f>
        <v/>
      </c>
      <c r="AB33" s="17" t="str">
        <f>IF(M1_Administrativo!A37="","",IF(M1_Administrativo!G37="","",M1_Administrativo!G37))</f>
        <v/>
      </c>
      <c r="AC33" s="17" t="str">
        <f>IF(M1_Administrativo!A37="","",IF(M1_Administrativo!M37="","",M1_Administrativo!M37))</f>
        <v/>
      </c>
      <c r="AD33" s="17" t="str">
        <f>IF(M1_Administrativo!A37="","","RA")</f>
        <v/>
      </c>
      <c r="AE33" s="17" t="str">
        <f>IF(M1_Administrativo!A37="","",IF(M1_Administrativo!O37="","",M1_Administrativo!O37))</f>
        <v/>
      </c>
      <c r="AF33" s="17" t="str">
        <f>IF(M1_Administrativo!A37="","",IF(M1_Administrativo!P37="","",M1_Administrativo!P37))</f>
        <v/>
      </c>
      <c r="AG33" s="17" t="str">
        <f>IF(M1_Administrativo!A37="","",IF(M1_Administrativo!Q37="","",M1_Administrativo!Q37))</f>
        <v/>
      </c>
      <c r="AH33" s="17" t="str">
        <f>IF(M1_Administrativo!A37="","","")</f>
        <v/>
      </c>
      <c r="AI33" s="17" t="str">
        <f>IF(M1_Administrativo!A37="","","M1_Administrativo!37")</f>
        <v/>
      </c>
      <c r="AJ33" s="17" t="str">
        <f>IF(M1_Administrativo!A37="","",IF(M1_Administrativo!M37="","Pendiente de resultado","Disponible"))</f>
        <v/>
      </c>
    </row>
    <row r="34" spans="1:36" ht="55.5" customHeight="1">
      <c r="A34" s="44" t="str">
        <f t="array" ref="A34">IF(30&gt;$S$1204,"",INDEX($T$5:$AJ$1204,MATCH(30,$S$5:$S$1204,0),1))</f>
        <v/>
      </c>
      <c r="B34" s="45" t="str">
        <f t="array" ref="B34">IF(30&gt;$S$1204,"",INDEX($T$5:$AJ$1204,MATCH(30,$S$5:$S$1204,0),2))</f>
        <v/>
      </c>
      <c r="C34" s="46" t="str">
        <f t="array" ref="C34">IF(30&gt;$S$1204,"",INDEX($T$5:$AJ$1204,MATCH(30,$S$5:$S$1204,0),3))</f>
        <v/>
      </c>
      <c r="D34" s="45" t="str">
        <f t="array" ref="D34">IF(30&gt;$S$1204,"",INDEX($T$5:$AJ$1204,MATCH(30,$S$5:$S$1204,0),4))</f>
        <v/>
      </c>
      <c r="E34" s="45" t="str">
        <f t="array" ref="E34">IF(30&gt;$S$1204,"",INDEX($T$5:$AJ$1204,MATCH(30,$S$5:$S$1204,0),5))</f>
        <v/>
      </c>
      <c r="F34" s="45" t="str">
        <f t="array" ref="F34">IF(30&gt;$S$1204,"",INDEX($T$5:$AJ$1204,MATCH(30,$S$5:$S$1204,0),6))</f>
        <v/>
      </c>
      <c r="G34" s="45" t="str">
        <f t="array" ref="G34">IF(30&gt;$S$1204,"",INDEX($T$5:$AJ$1204,MATCH(30,$S$5:$S$1204,0),7))</f>
        <v/>
      </c>
      <c r="H34" s="45" t="str">
        <f t="array" ref="H34">IF(30&gt;$S$1204,"",INDEX($T$5:$AJ$1204,MATCH(30,$S$5:$S$1204,0),8))</f>
        <v/>
      </c>
      <c r="I34" s="45" t="str">
        <f t="array" ref="I34">IF(30&gt;$S$1204,"",INDEX($T$5:$AJ$1204,MATCH(30,$S$5:$S$1204,0),9))</f>
        <v/>
      </c>
      <c r="J34" s="47" t="str">
        <f t="array" ref="J34">IF(30&gt;$S$1204,"",INDEX($T$5:$AJ$1204,MATCH(30,$S$5:$S$1204,0),10))</f>
        <v/>
      </c>
      <c r="K34" s="45" t="str">
        <f t="array" ref="K34">IF(30&gt;$S$1204,"",INDEX($T$5:$AJ$1204,MATCH(30,$S$5:$S$1204,0),11))</f>
        <v/>
      </c>
      <c r="L34" s="45" t="str">
        <f t="array" ref="L34">IF(30&gt;$S$1204,"",INDEX($T$5:$AJ$1204,MATCH(30,$S$5:$S$1204,0),12))</f>
        <v/>
      </c>
      <c r="M34" s="45" t="str">
        <f t="array" ref="M34">IF(30&gt;$S$1204,"",INDEX($T$5:$AJ$1204,MATCH(30,$S$5:$S$1204,0),13))</f>
        <v/>
      </c>
      <c r="N34" s="45" t="str">
        <f t="array" ref="N34">IF(30&gt;$S$1204,"",INDEX($T$5:$AJ$1204,MATCH(30,$S$5:$S$1204,0),14))</f>
        <v/>
      </c>
      <c r="O34" s="48" t="str">
        <f t="array" ref="O34">IF(30&gt;$S$1204,"",INDEX($T$5:$AJ$1204,MATCH(30,$S$5:$S$1204,0),15))</f>
        <v/>
      </c>
      <c r="P34" s="45" t="str">
        <f t="array" ref="P34">IF(30&gt;$S$1204,"",INDEX($T$5:$AJ$1204,MATCH(30,$S$5:$S$1204,0),16))</f>
        <v/>
      </c>
      <c r="Q34" s="45" t="str">
        <f t="array" ref="Q34">IF(30&gt;$S$1204,"",INDEX($T$5:$AJ$1204,MATCH(30,$S$5:$S$1204,0),17))</f>
        <v/>
      </c>
      <c r="R34" s="17"/>
      <c r="S34" s="17">
        <f>S33+IF(M1_Administrativo!A38="",0,1)</f>
        <v>0</v>
      </c>
      <c r="T34" s="17" t="str">
        <f>IF(M1_Administrativo!A38="","",IF(M1_Administrativo!A38="","",M1_Administrativo!A38))</f>
        <v/>
      </c>
      <c r="U34" s="17" t="str">
        <f>IF(M1_Administrativo!A38="","",IF(M1_Administrativo!R38="","",M1_Administrativo!R38))</f>
        <v/>
      </c>
      <c r="V34" s="17" t="str">
        <f>IF(M1_Administrativo!A38="","",IF(M1_Administrativo!D38="","",M1_Administrativo!D38))</f>
        <v/>
      </c>
      <c r="W34" s="17" t="str">
        <f>IF(M1_Administrativo!A38="","",IF(M1_Administrativo!B38="","",M1_Administrativo!B38))</f>
        <v/>
      </c>
      <c r="X34" s="17" t="str">
        <f>IF(M1_Administrativo!A38="","",IF(M1_Administrativo!C38="","",M1_Administrativo!C38))</f>
        <v/>
      </c>
      <c r="Y34" s="17" t="str">
        <f>IF(M1_Administrativo!A38="","",IF(M1_Administrativo!E38="","",M1_Administrativo!E38))</f>
        <v/>
      </c>
      <c r="Z34" s="17" t="str">
        <f>IF(M1_Administrativo!A38="","",IF(M1_Administrativo!F38="","",M1_Administrativo!F38))</f>
        <v/>
      </c>
      <c r="AA34" s="17" t="str">
        <f>IF(M1_Administrativo!A38="","","M1 Administrativo")</f>
        <v/>
      </c>
      <c r="AB34" s="17" t="str">
        <f>IF(M1_Administrativo!A38="","",IF(M1_Administrativo!G38="","",M1_Administrativo!G38))</f>
        <v/>
      </c>
      <c r="AC34" s="17" t="str">
        <f>IF(M1_Administrativo!A38="","",IF(M1_Administrativo!M38="","",M1_Administrativo!M38))</f>
        <v/>
      </c>
      <c r="AD34" s="17" t="str">
        <f>IF(M1_Administrativo!A38="","","RA")</f>
        <v/>
      </c>
      <c r="AE34" s="17" t="str">
        <f>IF(M1_Administrativo!A38="","",IF(M1_Administrativo!O38="","",M1_Administrativo!O38))</f>
        <v/>
      </c>
      <c r="AF34" s="17" t="str">
        <f>IF(M1_Administrativo!A38="","",IF(M1_Administrativo!P38="","",M1_Administrativo!P38))</f>
        <v/>
      </c>
      <c r="AG34" s="17" t="str">
        <f>IF(M1_Administrativo!A38="","",IF(M1_Administrativo!Q38="","",M1_Administrativo!Q38))</f>
        <v/>
      </c>
      <c r="AH34" s="17" t="str">
        <f>IF(M1_Administrativo!A38="","","")</f>
        <v/>
      </c>
      <c r="AI34" s="17" t="str">
        <f>IF(M1_Administrativo!A38="","","M1_Administrativo!38")</f>
        <v/>
      </c>
      <c r="AJ34" s="17" t="str">
        <f>IF(M1_Administrativo!A38="","",IF(M1_Administrativo!M38="","Pendiente de resultado","Disponible"))</f>
        <v/>
      </c>
    </row>
    <row r="35" spans="1:36" ht="55.5" customHeight="1">
      <c r="A35" s="44" t="str">
        <f t="array" ref="A35">IF(31&gt;$S$1204,"",INDEX($T$5:$AJ$1204,MATCH(31,$S$5:$S$1204,0),1))</f>
        <v/>
      </c>
      <c r="B35" s="45" t="str">
        <f t="array" ref="B35">IF(31&gt;$S$1204,"",INDEX($T$5:$AJ$1204,MATCH(31,$S$5:$S$1204,0),2))</f>
        <v/>
      </c>
      <c r="C35" s="46" t="str">
        <f t="array" ref="C35">IF(31&gt;$S$1204,"",INDEX($T$5:$AJ$1204,MATCH(31,$S$5:$S$1204,0),3))</f>
        <v/>
      </c>
      <c r="D35" s="45" t="str">
        <f t="array" ref="D35">IF(31&gt;$S$1204,"",INDEX($T$5:$AJ$1204,MATCH(31,$S$5:$S$1204,0),4))</f>
        <v/>
      </c>
      <c r="E35" s="45" t="str">
        <f t="array" ref="E35">IF(31&gt;$S$1204,"",INDEX($T$5:$AJ$1204,MATCH(31,$S$5:$S$1204,0),5))</f>
        <v/>
      </c>
      <c r="F35" s="45" t="str">
        <f t="array" ref="F35">IF(31&gt;$S$1204,"",INDEX($T$5:$AJ$1204,MATCH(31,$S$5:$S$1204,0),6))</f>
        <v/>
      </c>
      <c r="G35" s="45" t="str">
        <f t="array" ref="G35">IF(31&gt;$S$1204,"",INDEX($T$5:$AJ$1204,MATCH(31,$S$5:$S$1204,0),7))</f>
        <v/>
      </c>
      <c r="H35" s="45" t="str">
        <f t="array" ref="H35">IF(31&gt;$S$1204,"",INDEX($T$5:$AJ$1204,MATCH(31,$S$5:$S$1204,0),8))</f>
        <v/>
      </c>
      <c r="I35" s="45" t="str">
        <f t="array" ref="I35">IF(31&gt;$S$1204,"",INDEX($T$5:$AJ$1204,MATCH(31,$S$5:$S$1204,0),9))</f>
        <v/>
      </c>
      <c r="J35" s="47" t="str">
        <f t="array" ref="J35">IF(31&gt;$S$1204,"",INDEX($T$5:$AJ$1204,MATCH(31,$S$5:$S$1204,0),10))</f>
        <v/>
      </c>
      <c r="K35" s="45" t="str">
        <f t="array" ref="K35">IF(31&gt;$S$1204,"",INDEX($T$5:$AJ$1204,MATCH(31,$S$5:$S$1204,0),11))</f>
        <v/>
      </c>
      <c r="L35" s="45" t="str">
        <f t="array" ref="L35">IF(31&gt;$S$1204,"",INDEX($T$5:$AJ$1204,MATCH(31,$S$5:$S$1204,0),12))</f>
        <v/>
      </c>
      <c r="M35" s="45" t="str">
        <f t="array" ref="M35">IF(31&gt;$S$1204,"",INDEX($T$5:$AJ$1204,MATCH(31,$S$5:$S$1204,0),13))</f>
        <v/>
      </c>
      <c r="N35" s="45" t="str">
        <f t="array" ref="N35">IF(31&gt;$S$1204,"",INDEX($T$5:$AJ$1204,MATCH(31,$S$5:$S$1204,0),14))</f>
        <v/>
      </c>
      <c r="O35" s="48" t="str">
        <f t="array" ref="O35">IF(31&gt;$S$1204,"",INDEX($T$5:$AJ$1204,MATCH(31,$S$5:$S$1204,0),15))</f>
        <v/>
      </c>
      <c r="P35" s="45" t="str">
        <f t="array" ref="P35">IF(31&gt;$S$1204,"",INDEX($T$5:$AJ$1204,MATCH(31,$S$5:$S$1204,0),16))</f>
        <v/>
      </c>
      <c r="Q35" s="45" t="str">
        <f t="array" ref="Q35">IF(31&gt;$S$1204,"",INDEX($T$5:$AJ$1204,MATCH(31,$S$5:$S$1204,0),17))</f>
        <v/>
      </c>
      <c r="R35" s="17"/>
      <c r="S35" s="17">
        <f>S34+IF(M1_Administrativo!A39="",0,1)</f>
        <v>0</v>
      </c>
      <c r="T35" s="17" t="str">
        <f>IF(M1_Administrativo!A39="","",IF(M1_Administrativo!A39="","",M1_Administrativo!A39))</f>
        <v/>
      </c>
      <c r="U35" s="17" t="str">
        <f>IF(M1_Administrativo!A39="","",IF(M1_Administrativo!R39="","",M1_Administrativo!R39))</f>
        <v/>
      </c>
      <c r="V35" s="17" t="str">
        <f>IF(M1_Administrativo!A39="","",IF(M1_Administrativo!D39="","",M1_Administrativo!D39))</f>
        <v/>
      </c>
      <c r="W35" s="17" t="str">
        <f>IF(M1_Administrativo!A39="","",IF(M1_Administrativo!B39="","",M1_Administrativo!B39))</f>
        <v/>
      </c>
      <c r="X35" s="17" t="str">
        <f>IF(M1_Administrativo!A39="","",IF(M1_Administrativo!C39="","",M1_Administrativo!C39))</f>
        <v/>
      </c>
      <c r="Y35" s="17" t="str">
        <f>IF(M1_Administrativo!A39="","",IF(M1_Administrativo!E39="","",M1_Administrativo!E39))</f>
        <v/>
      </c>
      <c r="Z35" s="17" t="str">
        <f>IF(M1_Administrativo!A39="","",IF(M1_Administrativo!F39="","",M1_Administrativo!F39))</f>
        <v/>
      </c>
      <c r="AA35" s="17" t="str">
        <f>IF(M1_Administrativo!A39="","","M1 Administrativo")</f>
        <v/>
      </c>
      <c r="AB35" s="17" t="str">
        <f>IF(M1_Administrativo!A39="","",IF(M1_Administrativo!G39="","",M1_Administrativo!G39))</f>
        <v/>
      </c>
      <c r="AC35" s="17" t="str">
        <f>IF(M1_Administrativo!A39="","",IF(M1_Administrativo!M39="","",M1_Administrativo!M39))</f>
        <v/>
      </c>
      <c r="AD35" s="17" t="str">
        <f>IF(M1_Administrativo!A39="","","RA")</f>
        <v/>
      </c>
      <c r="AE35" s="17" t="str">
        <f>IF(M1_Administrativo!A39="","",IF(M1_Administrativo!O39="","",M1_Administrativo!O39))</f>
        <v/>
      </c>
      <c r="AF35" s="17" t="str">
        <f>IF(M1_Administrativo!A39="","",IF(M1_Administrativo!P39="","",M1_Administrativo!P39))</f>
        <v/>
      </c>
      <c r="AG35" s="17" t="str">
        <f>IF(M1_Administrativo!A39="","",IF(M1_Administrativo!Q39="","",M1_Administrativo!Q39))</f>
        <v/>
      </c>
      <c r="AH35" s="17" t="str">
        <f>IF(M1_Administrativo!A39="","","")</f>
        <v/>
      </c>
      <c r="AI35" s="17" t="str">
        <f>IF(M1_Administrativo!A39="","","M1_Administrativo!39")</f>
        <v/>
      </c>
      <c r="AJ35" s="17" t="str">
        <f>IF(M1_Administrativo!A39="","",IF(M1_Administrativo!M39="","Pendiente de resultado","Disponible"))</f>
        <v/>
      </c>
    </row>
    <row r="36" spans="1:36" ht="55.5" customHeight="1">
      <c r="A36" s="44" t="str">
        <f t="array" ref="A36">IF(32&gt;$S$1204,"",INDEX($T$5:$AJ$1204,MATCH(32,$S$5:$S$1204,0),1))</f>
        <v/>
      </c>
      <c r="B36" s="45" t="str">
        <f t="array" ref="B36">IF(32&gt;$S$1204,"",INDEX($T$5:$AJ$1204,MATCH(32,$S$5:$S$1204,0),2))</f>
        <v/>
      </c>
      <c r="C36" s="46" t="str">
        <f t="array" ref="C36">IF(32&gt;$S$1204,"",INDEX($T$5:$AJ$1204,MATCH(32,$S$5:$S$1204,0),3))</f>
        <v/>
      </c>
      <c r="D36" s="45" t="str">
        <f t="array" ref="D36">IF(32&gt;$S$1204,"",INDEX($T$5:$AJ$1204,MATCH(32,$S$5:$S$1204,0),4))</f>
        <v/>
      </c>
      <c r="E36" s="45" t="str">
        <f t="array" ref="E36">IF(32&gt;$S$1204,"",INDEX($T$5:$AJ$1204,MATCH(32,$S$5:$S$1204,0),5))</f>
        <v/>
      </c>
      <c r="F36" s="45" t="str">
        <f t="array" ref="F36">IF(32&gt;$S$1204,"",INDEX($T$5:$AJ$1204,MATCH(32,$S$5:$S$1204,0),6))</f>
        <v/>
      </c>
      <c r="G36" s="45" t="str">
        <f t="array" ref="G36">IF(32&gt;$S$1204,"",INDEX($T$5:$AJ$1204,MATCH(32,$S$5:$S$1204,0),7))</f>
        <v/>
      </c>
      <c r="H36" s="45" t="str">
        <f t="array" ref="H36">IF(32&gt;$S$1204,"",INDEX($T$5:$AJ$1204,MATCH(32,$S$5:$S$1204,0),8))</f>
        <v/>
      </c>
      <c r="I36" s="45" t="str">
        <f t="array" ref="I36">IF(32&gt;$S$1204,"",INDEX($T$5:$AJ$1204,MATCH(32,$S$5:$S$1204,0),9))</f>
        <v/>
      </c>
      <c r="J36" s="47" t="str">
        <f t="array" ref="J36">IF(32&gt;$S$1204,"",INDEX($T$5:$AJ$1204,MATCH(32,$S$5:$S$1204,0),10))</f>
        <v/>
      </c>
      <c r="K36" s="45" t="str">
        <f t="array" ref="K36">IF(32&gt;$S$1204,"",INDEX($T$5:$AJ$1204,MATCH(32,$S$5:$S$1204,0),11))</f>
        <v/>
      </c>
      <c r="L36" s="45" t="str">
        <f t="array" ref="L36">IF(32&gt;$S$1204,"",INDEX($T$5:$AJ$1204,MATCH(32,$S$5:$S$1204,0),12))</f>
        <v/>
      </c>
      <c r="M36" s="45" t="str">
        <f t="array" ref="M36">IF(32&gt;$S$1204,"",INDEX($T$5:$AJ$1204,MATCH(32,$S$5:$S$1204,0),13))</f>
        <v/>
      </c>
      <c r="N36" s="45" t="str">
        <f t="array" ref="N36">IF(32&gt;$S$1204,"",INDEX($T$5:$AJ$1204,MATCH(32,$S$5:$S$1204,0),14))</f>
        <v/>
      </c>
      <c r="O36" s="48" t="str">
        <f t="array" ref="O36">IF(32&gt;$S$1204,"",INDEX($T$5:$AJ$1204,MATCH(32,$S$5:$S$1204,0),15))</f>
        <v/>
      </c>
      <c r="P36" s="45" t="str">
        <f t="array" ref="P36">IF(32&gt;$S$1204,"",INDEX($T$5:$AJ$1204,MATCH(32,$S$5:$S$1204,0),16))</f>
        <v/>
      </c>
      <c r="Q36" s="45" t="str">
        <f t="array" ref="Q36">IF(32&gt;$S$1204,"",INDEX($T$5:$AJ$1204,MATCH(32,$S$5:$S$1204,0),17))</f>
        <v/>
      </c>
      <c r="R36" s="17"/>
      <c r="S36" s="17">
        <f>S35+IF(M1_Administrativo!A40="",0,1)</f>
        <v>0</v>
      </c>
      <c r="T36" s="17" t="str">
        <f>IF(M1_Administrativo!A40="","",IF(M1_Administrativo!A40="","",M1_Administrativo!A40))</f>
        <v/>
      </c>
      <c r="U36" s="17" t="str">
        <f>IF(M1_Administrativo!A40="","",IF(M1_Administrativo!R40="","",M1_Administrativo!R40))</f>
        <v/>
      </c>
      <c r="V36" s="17" t="str">
        <f>IF(M1_Administrativo!A40="","",IF(M1_Administrativo!D40="","",M1_Administrativo!D40))</f>
        <v/>
      </c>
      <c r="W36" s="17" t="str">
        <f>IF(M1_Administrativo!A40="","",IF(M1_Administrativo!B40="","",M1_Administrativo!B40))</f>
        <v/>
      </c>
      <c r="X36" s="17" t="str">
        <f>IF(M1_Administrativo!A40="","",IF(M1_Administrativo!C40="","",M1_Administrativo!C40))</f>
        <v/>
      </c>
      <c r="Y36" s="17" t="str">
        <f>IF(M1_Administrativo!A40="","",IF(M1_Administrativo!E40="","",M1_Administrativo!E40))</f>
        <v/>
      </c>
      <c r="Z36" s="17" t="str">
        <f>IF(M1_Administrativo!A40="","",IF(M1_Administrativo!F40="","",M1_Administrativo!F40))</f>
        <v/>
      </c>
      <c r="AA36" s="17" t="str">
        <f>IF(M1_Administrativo!A40="","","M1 Administrativo")</f>
        <v/>
      </c>
      <c r="AB36" s="17" t="str">
        <f>IF(M1_Administrativo!A40="","",IF(M1_Administrativo!G40="","",M1_Administrativo!G40))</f>
        <v/>
      </c>
      <c r="AC36" s="17" t="str">
        <f>IF(M1_Administrativo!A40="","",IF(M1_Administrativo!M40="","",M1_Administrativo!M40))</f>
        <v/>
      </c>
      <c r="AD36" s="17" t="str">
        <f>IF(M1_Administrativo!A40="","","RA")</f>
        <v/>
      </c>
      <c r="AE36" s="17" t="str">
        <f>IF(M1_Administrativo!A40="","",IF(M1_Administrativo!O40="","",M1_Administrativo!O40))</f>
        <v/>
      </c>
      <c r="AF36" s="17" t="str">
        <f>IF(M1_Administrativo!A40="","",IF(M1_Administrativo!P40="","",M1_Administrativo!P40))</f>
        <v/>
      </c>
      <c r="AG36" s="17" t="str">
        <f>IF(M1_Administrativo!A40="","",IF(M1_Administrativo!Q40="","",M1_Administrativo!Q40))</f>
        <v/>
      </c>
      <c r="AH36" s="17" t="str">
        <f>IF(M1_Administrativo!A40="","","")</f>
        <v/>
      </c>
      <c r="AI36" s="17" t="str">
        <f>IF(M1_Administrativo!A40="","","M1_Administrativo!40")</f>
        <v/>
      </c>
      <c r="AJ36" s="17" t="str">
        <f>IF(M1_Administrativo!A40="","",IF(M1_Administrativo!M40="","Pendiente de resultado","Disponible"))</f>
        <v/>
      </c>
    </row>
    <row r="37" spans="1:36" ht="55.5" customHeight="1">
      <c r="A37" s="44" t="str">
        <f t="array" ref="A37">IF(33&gt;$S$1204,"",INDEX($T$5:$AJ$1204,MATCH(33,$S$5:$S$1204,0),1))</f>
        <v/>
      </c>
      <c r="B37" s="45" t="str">
        <f t="array" ref="B37">IF(33&gt;$S$1204,"",INDEX($T$5:$AJ$1204,MATCH(33,$S$5:$S$1204,0),2))</f>
        <v/>
      </c>
      <c r="C37" s="46" t="str">
        <f t="array" ref="C37">IF(33&gt;$S$1204,"",INDEX($T$5:$AJ$1204,MATCH(33,$S$5:$S$1204,0),3))</f>
        <v/>
      </c>
      <c r="D37" s="45" t="str">
        <f t="array" ref="D37">IF(33&gt;$S$1204,"",INDEX($T$5:$AJ$1204,MATCH(33,$S$5:$S$1204,0),4))</f>
        <v/>
      </c>
      <c r="E37" s="45" t="str">
        <f t="array" ref="E37">IF(33&gt;$S$1204,"",INDEX($T$5:$AJ$1204,MATCH(33,$S$5:$S$1204,0),5))</f>
        <v/>
      </c>
      <c r="F37" s="45" t="str">
        <f t="array" ref="F37">IF(33&gt;$S$1204,"",INDEX($T$5:$AJ$1204,MATCH(33,$S$5:$S$1204,0),6))</f>
        <v/>
      </c>
      <c r="G37" s="45" t="str">
        <f t="array" ref="G37">IF(33&gt;$S$1204,"",INDEX($T$5:$AJ$1204,MATCH(33,$S$5:$S$1204,0),7))</f>
        <v/>
      </c>
      <c r="H37" s="45" t="str">
        <f t="array" ref="H37">IF(33&gt;$S$1204,"",INDEX($T$5:$AJ$1204,MATCH(33,$S$5:$S$1204,0),8))</f>
        <v/>
      </c>
      <c r="I37" s="45" t="str">
        <f t="array" ref="I37">IF(33&gt;$S$1204,"",INDEX($T$5:$AJ$1204,MATCH(33,$S$5:$S$1204,0),9))</f>
        <v/>
      </c>
      <c r="J37" s="47" t="str">
        <f t="array" ref="J37">IF(33&gt;$S$1204,"",INDEX($T$5:$AJ$1204,MATCH(33,$S$5:$S$1204,0),10))</f>
        <v/>
      </c>
      <c r="K37" s="45" t="str">
        <f t="array" ref="K37">IF(33&gt;$S$1204,"",INDEX($T$5:$AJ$1204,MATCH(33,$S$5:$S$1204,0),11))</f>
        <v/>
      </c>
      <c r="L37" s="45" t="str">
        <f t="array" ref="L37">IF(33&gt;$S$1204,"",INDEX($T$5:$AJ$1204,MATCH(33,$S$5:$S$1204,0),12))</f>
        <v/>
      </c>
      <c r="M37" s="45" t="str">
        <f t="array" ref="M37">IF(33&gt;$S$1204,"",INDEX($T$5:$AJ$1204,MATCH(33,$S$5:$S$1204,0),13))</f>
        <v/>
      </c>
      <c r="N37" s="45" t="str">
        <f t="array" ref="N37">IF(33&gt;$S$1204,"",INDEX($T$5:$AJ$1204,MATCH(33,$S$5:$S$1204,0),14))</f>
        <v/>
      </c>
      <c r="O37" s="48" t="str">
        <f t="array" ref="O37">IF(33&gt;$S$1204,"",INDEX($T$5:$AJ$1204,MATCH(33,$S$5:$S$1204,0),15))</f>
        <v/>
      </c>
      <c r="P37" s="45" t="str">
        <f t="array" ref="P37">IF(33&gt;$S$1204,"",INDEX($T$5:$AJ$1204,MATCH(33,$S$5:$S$1204,0),16))</f>
        <v/>
      </c>
      <c r="Q37" s="45" t="str">
        <f t="array" ref="Q37">IF(33&gt;$S$1204,"",INDEX($T$5:$AJ$1204,MATCH(33,$S$5:$S$1204,0),17))</f>
        <v/>
      </c>
      <c r="R37" s="17"/>
      <c r="S37" s="17">
        <f>S36+IF(M1_Administrativo!A41="",0,1)</f>
        <v>0</v>
      </c>
      <c r="T37" s="17" t="str">
        <f>IF(M1_Administrativo!A41="","",IF(M1_Administrativo!A41="","",M1_Administrativo!A41))</f>
        <v/>
      </c>
      <c r="U37" s="17" t="str">
        <f>IF(M1_Administrativo!A41="","",IF(M1_Administrativo!R41="","",M1_Administrativo!R41))</f>
        <v/>
      </c>
      <c r="V37" s="17" t="str">
        <f>IF(M1_Administrativo!A41="","",IF(M1_Administrativo!D41="","",M1_Administrativo!D41))</f>
        <v/>
      </c>
      <c r="W37" s="17" t="str">
        <f>IF(M1_Administrativo!A41="","",IF(M1_Administrativo!B41="","",M1_Administrativo!B41))</f>
        <v/>
      </c>
      <c r="X37" s="17" t="str">
        <f>IF(M1_Administrativo!A41="","",IF(M1_Administrativo!C41="","",M1_Administrativo!C41))</f>
        <v/>
      </c>
      <c r="Y37" s="17" t="str">
        <f>IF(M1_Administrativo!A41="","",IF(M1_Administrativo!E41="","",M1_Administrativo!E41))</f>
        <v/>
      </c>
      <c r="Z37" s="17" t="str">
        <f>IF(M1_Administrativo!A41="","",IF(M1_Administrativo!F41="","",M1_Administrativo!F41))</f>
        <v/>
      </c>
      <c r="AA37" s="17" t="str">
        <f>IF(M1_Administrativo!A41="","","M1 Administrativo")</f>
        <v/>
      </c>
      <c r="AB37" s="17" t="str">
        <f>IF(M1_Administrativo!A41="","",IF(M1_Administrativo!G41="","",M1_Administrativo!G41))</f>
        <v/>
      </c>
      <c r="AC37" s="17" t="str">
        <f>IF(M1_Administrativo!A41="","",IF(M1_Administrativo!M41="","",M1_Administrativo!M41))</f>
        <v/>
      </c>
      <c r="AD37" s="17" t="str">
        <f>IF(M1_Administrativo!A41="","","RA")</f>
        <v/>
      </c>
      <c r="AE37" s="17" t="str">
        <f>IF(M1_Administrativo!A41="","",IF(M1_Administrativo!O41="","",M1_Administrativo!O41))</f>
        <v/>
      </c>
      <c r="AF37" s="17" t="str">
        <f>IF(M1_Administrativo!A41="","",IF(M1_Administrativo!P41="","",M1_Administrativo!P41))</f>
        <v/>
      </c>
      <c r="AG37" s="17" t="str">
        <f>IF(M1_Administrativo!A41="","",IF(M1_Administrativo!Q41="","",M1_Administrativo!Q41))</f>
        <v/>
      </c>
      <c r="AH37" s="17" t="str">
        <f>IF(M1_Administrativo!A41="","","")</f>
        <v/>
      </c>
      <c r="AI37" s="17" t="str">
        <f>IF(M1_Administrativo!A41="","","M1_Administrativo!41")</f>
        <v/>
      </c>
      <c r="AJ37" s="17" t="str">
        <f>IF(M1_Administrativo!A41="","",IF(M1_Administrativo!M41="","Pendiente de resultado","Disponible"))</f>
        <v/>
      </c>
    </row>
    <row r="38" spans="1:36" ht="55.5" customHeight="1">
      <c r="A38" s="44" t="str">
        <f t="array" ref="A38">IF(34&gt;$S$1204,"",INDEX($T$5:$AJ$1204,MATCH(34,$S$5:$S$1204,0),1))</f>
        <v/>
      </c>
      <c r="B38" s="45" t="str">
        <f t="array" ref="B38">IF(34&gt;$S$1204,"",INDEX($T$5:$AJ$1204,MATCH(34,$S$5:$S$1204,0),2))</f>
        <v/>
      </c>
      <c r="C38" s="46" t="str">
        <f t="array" ref="C38">IF(34&gt;$S$1204,"",INDEX($T$5:$AJ$1204,MATCH(34,$S$5:$S$1204,0),3))</f>
        <v/>
      </c>
      <c r="D38" s="45" t="str">
        <f t="array" ref="D38">IF(34&gt;$S$1204,"",INDEX($T$5:$AJ$1204,MATCH(34,$S$5:$S$1204,0),4))</f>
        <v/>
      </c>
      <c r="E38" s="45" t="str">
        <f t="array" ref="E38">IF(34&gt;$S$1204,"",INDEX($T$5:$AJ$1204,MATCH(34,$S$5:$S$1204,0),5))</f>
        <v/>
      </c>
      <c r="F38" s="45" t="str">
        <f t="array" ref="F38">IF(34&gt;$S$1204,"",INDEX($T$5:$AJ$1204,MATCH(34,$S$5:$S$1204,0),6))</f>
        <v/>
      </c>
      <c r="G38" s="45" t="str">
        <f t="array" ref="G38">IF(34&gt;$S$1204,"",INDEX($T$5:$AJ$1204,MATCH(34,$S$5:$S$1204,0),7))</f>
        <v/>
      </c>
      <c r="H38" s="45" t="str">
        <f t="array" ref="H38">IF(34&gt;$S$1204,"",INDEX($T$5:$AJ$1204,MATCH(34,$S$5:$S$1204,0),8))</f>
        <v/>
      </c>
      <c r="I38" s="45" t="str">
        <f t="array" ref="I38">IF(34&gt;$S$1204,"",INDEX($T$5:$AJ$1204,MATCH(34,$S$5:$S$1204,0),9))</f>
        <v/>
      </c>
      <c r="J38" s="47" t="str">
        <f t="array" ref="J38">IF(34&gt;$S$1204,"",INDEX($T$5:$AJ$1204,MATCH(34,$S$5:$S$1204,0),10))</f>
        <v/>
      </c>
      <c r="K38" s="45" t="str">
        <f t="array" ref="K38">IF(34&gt;$S$1204,"",INDEX($T$5:$AJ$1204,MATCH(34,$S$5:$S$1204,0),11))</f>
        <v/>
      </c>
      <c r="L38" s="45" t="str">
        <f t="array" ref="L38">IF(34&gt;$S$1204,"",INDEX($T$5:$AJ$1204,MATCH(34,$S$5:$S$1204,0),12))</f>
        <v/>
      </c>
      <c r="M38" s="45" t="str">
        <f t="array" ref="M38">IF(34&gt;$S$1204,"",INDEX($T$5:$AJ$1204,MATCH(34,$S$5:$S$1204,0),13))</f>
        <v/>
      </c>
      <c r="N38" s="45" t="str">
        <f t="array" ref="N38">IF(34&gt;$S$1204,"",INDEX($T$5:$AJ$1204,MATCH(34,$S$5:$S$1204,0),14))</f>
        <v/>
      </c>
      <c r="O38" s="48" t="str">
        <f t="array" ref="O38">IF(34&gt;$S$1204,"",INDEX($T$5:$AJ$1204,MATCH(34,$S$5:$S$1204,0),15))</f>
        <v/>
      </c>
      <c r="P38" s="45" t="str">
        <f t="array" ref="P38">IF(34&gt;$S$1204,"",INDEX($T$5:$AJ$1204,MATCH(34,$S$5:$S$1204,0),16))</f>
        <v/>
      </c>
      <c r="Q38" s="45" t="str">
        <f t="array" ref="Q38">IF(34&gt;$S$1204,"",INDEX($T$5:$AJ$1204,MATCH(34,$S$5:$S$1204,0),17))</f>
        <v/>
      </c>
      <c r="R38" s="17"/>
      <c r="S38" s="17">
        <f>S37+IF(M1_Administrativo!A42="",0,1)</f>
        <v>0</v>
      </c>
      <c r="T38" s="17" t="str">
        <f>IF(M1_Administrativo!A42="","",IF(M1_Administrativo!A42="","",M1_Administrativo!A42))</f>
        <v/>
      </c>
      <c r="U38" s="17" t="str">
        <f>IF(M1_Administrativo!A42="","",IF(M1_Administrativo!R42="","",M1_Administrativo!R42))</f>
        <v/>
      </c>
      <c r="V38" s="17" t="str">
        <f>IF(M1_Administrativo!A42="","",IF(M1_Administrativo!D42="","",M1_Administrativo!D42))</f>
        <v/>
      </c>
      <c r="W38" s="17" t="str">
        <f>IF(M1_Administrativo!A42="","",IF(M1_Administrativo!B42="","",M1_Administrativo!B42))</f>
        <v/>
      </c>
      <c r="X38" s="17" t="str">
        <f>IF(M1_Administrativo!A42="","",IF(M1_Administrativo!C42="","",M1_Administrativo!C42))</f>
        <v/>
      </c>
      <c r="Y38" s="17" t="str">
        <f>IF(M1_Administrativo!A42="","",IF(M1_Administrativo!E42="","",M1_Administrativo!E42))</f>
        <v/>
      </c>
      <c r="Z38" s="17" t="str">
        <f>IF(M1_Administrativo!A42="","",IF(M1_Administrativo!F42="","",M1_Administrativo!F42))</f>
        <v/>
      </c>
      <c r="AA38" s="17" t="str">
        <f>IF(M1_Administrativo!A42="","","M1 Administrativo")</f>
        <v/>
      </c>
      <c r="AB38" s="17" t="str">
        <f>IF(M1_Administrativo!A42="","",IF(M1_Administrativo!G42="","",M1_Administrativo!G42))</f>
        <v/>
      </c>
      <c r="AC38" s="17" t="str">
        <f>IF(M1_Administrativo!A42="","",IF(M1_Administrativo!M42="","",M1_Administrativo!M42))</f>
        <v/>
      </c>
      <c r="AD38" s="17" t="str">
        <f>IF(M1_Administrativo!A42="","","RA")</f>
        <v/>
      </c>
      <c r="AE38" s="17" t="str">
        <f>IF(M1_Administrativo!A42="","",IF(M1_Administrativo!O42="","",M1_Administrativo!O42))</f>
        <v/>
      </c>
      <c r="AF38" s="17" t="str">
        <f>IF(M1_Administrativo!A42="","",IF(M1_Administrativo!P42="","",M1_Administrativo!P42))</f>
        <v/>
      </c>
      <c r="AG38" s="17" t="str">
        <f>IF(M1_Administrativo!A42="","",IF(M1_Administrativo!Q42="","",M1_Administrativo!Q42))</f>
        <v/>
      </c>
      <c r="AH38" s="17" t="str">
        <f>IF(M1_Administrativo!A42="","","")</f>
        <v/>
      </c>
      <c r="AI38" s="17" t="str">
        <f>IF(M1_Administrativo!A42="","","M1_Administrativo!42")</f>
        <v/>
      </c>
      <c r="AJ38" s="17" t="str">
        <f>IF(M1_Administrativo!A42="","",IF(M1_Administrativo!M42="","Pendiente de resultado","Disponible"))</f>
        <v/>
      </c>
    </row>
    <row r="39" spans="1:36" ht="55.5" customHeight="1">
      <c r="A39" s="44" t="str">
        <f t="array" ref="A39">IF(35&gt;$S$1204,"",INDEX($T$5:$AJ$1204,MATCH(35,$S$5:$S$1204,0),1))</f>
        <v/>
      </c>
      <c r="B39" s="45" t="str">
        <f t="array" ref="B39">IF(35&gt;$S$1204,"",INDEX($T$5:$AJ$1204,MATCH(35,$S$5:$S$1204,0),2))</f>
        <v/>
      </c>
      <c r="C39" s="46" t="str">
        <f t="array" ref="C39">IF(35&gt;$S$1204,"",INDEX($T$5:$AJ$1204,MATCH(35,$S$5:$S$1204,0),3))</f>
        <v/>
      </c>
      <c r="D39" s="45" t="str">
        <f t="array" ref="D39">IF(35&gt;$S$1204,"",INDEX($T$5:$AJ$1204,MATCH(35,$S$5:$S$1204,0),4))</f>
        <v/>
      </c>
      <c r="E39" s="45" t="str">
        <f t="array" ref="E39">IF(35&gt;$S$1204,"",INDEX($T$5:$AJ$1204,MATCH(35,$S$5:$S$1204,0),5))</f>
        <v/>
      </c>
      <c r="F39" s="45" t="str">
        <f t="array" ref="F39">IF(35&gt;$S$1204,"",INDEX($T$5:$AJ$1204,MATCH(35,$S$5:$S$1204,0),6))</f>
        <v/>
      </c>
      <c r="G39" s="45" t="str">
        <f t="array" ref="G39">IF(35&gt;$S$1204,"",INDEX($T$5:$AJ$1204,MATCH(35,$S$5:$S$1204,0),7))</f>
        <v/>
      </c>
      <c r="H39" s="45" t="str">
        <f t="array" ref="H39">IF(35&gt;$S$1204,"",INDEX($T$5:$AJ$1204,MATCH(35,$S$5:$S$1204,0),8))</f>
        <v/>
      </c>
      <c r="I39" s="45" t="str">
        <f t="array" ref="I39">IF(35&gt;$S$1204,"",INDEX($T$5:$AJ$1204,MATCH(35,$S$5:$S$1204,0),9))</f>
        <v/>
      </c>
      <c r="J39" s="47" t="str">
        <f t="array" ref="J39">IF(35&gt;$S$1204,"",INDEX($T$5:$AJ$1204,MATCH(35,$S$5:$S$1204,0),10))</f>
        <v/>
      </c>
      <c r="K39" s="45" t="str">
        <f t="array" ref="K39">IF(35&gt;$S$1204,"",INDEX($T$5:$AJ$1204,MATCH(35,$S$5:$S$1204,0),11))</f>
        <v/>
      </c>
      <c r="L39" s="45" t="str">
        <f t="array" ref="L39">IF(35&gt;$S$1204,"",INDEX($T$5:$AJ$1204,MATCH(35,$S$5:$S$1204,0),12))</f>
        <v/>
      </c>
      <c r="M39" s="45" t="str">
        <f t="array" ref="M39">IF(35&gt;$S$1204,"",INDEX($T$5:$AJ$1204,MATCH(35,$S$5:$S$1204,0),13))</f>
        <v/>
      </c>
      <c r="N39" s="45" t="str">
        <f t="array" ref="N39">IF(35&gt;$S$1204,"",INDEX($T$5:$AJ$1204,MATCH(35,$S$5:$S$1204,0),14))</f>
        <v/>
      </c>
      <c r="O39" s="48" t="str">
        <f t="array" ref="O39">IF(35&gt;$S$1204,"",INDEX($T$5:$AJ$1204,MATCH(35,$S$5:$S$1204,0),15))</f>
        <v/>
      </c>
      <c r="P39" s="45" t="str">
        <f t="array" ref="P39">IF(35&gt;$S$1204,"",INDEX($T$5:$AJ$1204,MATCH(35,$S$5:$S$1204,0),16))</f>
        <v/>
      </c>
      <c r="Q39" s="45" t="str">
        <f t="array" ref="Q39">IF(35&gt;$S$1204,"",INDEX($T$5:$AJ$1204,MATCH(35,$S$5:$S$1204,0),17))</f>
        <v/>
      </c>
      <c r="R39" s="17"/>
      <c r="S39" s="17">
        <f>S38+IF(M1_Administrativo!A43="",0,1)</f>
        <v>0</v>
      </c>
      <c r="T39" s="17" t="str">
        <f>IF(M1_Administrativo!A43="","",IF(M1_Administrativo!A43="","",M1_Administrativo!A43))</f>
        <v/>
      </c>
      <c r="U39" s="17" t="str">
        <f>IF(M1_Administrativo!A43="","",IF(M1_Administrativo!R43="","",M1_Administrativo!R43))</f>
        <v/>
      </c>
      <c r="V39" s="17" t="str">
        <f>IF(M1_Administrativo!A43="","",IF(M1_Administrativo!D43="","",M1_Administrativo!D43))</f>
        <v/>
      </c>
      <c r="W39" s="17" t="str">
        <f>IF(M1_Administrativo!A43="","",IF(M1_Administrativo!B43="","",M1_Administrativo!B43))</f>
        <v/>
      </c>
      <c r="X39" s="17" t="str">
        <f>IF(M1_Administrativo!A43="","",IF(M1_Administrativo!C43="","",M1_Administrativo!C43))</f>
        <v/>
      </c>
      <c r="Y39" s="17" t="str">
        <f>IF(M1_Administrativo!A43="","",IF(M1_Administrativo!E43="","",M1_Administrativo!E43))</f>
        <v/>
      </c>
      <c r="Z39" s="17" t="str">
        <f>IF(M1_Administrativo!A43="","",IF(M1_Administrativo!F43="","",M1_Administrativo!F43))</f>
        <v/>
      </c>
      <c r="AA39" s="17" t="str">
        <f>IF(M1_Administrativo!A43="","","M1 Administrativo")</f>
        <v/>
      </c>
      <c r="AB39" s="17" t="str">
        <f>IF(M1_Administrativo!A43="","",IF(M1_Administrativo!G43="","",M1_Administrativo!G43))</f>
        <v/>
      </c>
      <c r="AC39" s="17" t="str">
        <f>IF(M1_Administrativo!A43="","",IF(M1_Administrativo!M43="","",M1_Administrativo!M43))</f>
        <v/>
      </c>
      <c r="AD39" s="17" t="str">
        <f>IF(M1_Administrativo!A43="","","RA")</f>
        <v/>
      </c>
      <c r="AE39" s="17" t="str">
        <f>IF(M1_Administrativo!A43="","",IF(M1_Administrativo!O43="","",M1_Administrativo!O43))</f>
        <v/>
      </c>
      <c r="AF39" s="17" t="str">
        <f>IF(M1_Administrativo!A43="","",IF(M1_Administrativo!P43="","",M1_Administrativo!P43))</f>
        <v/>
      </c>
      <c r="AG39" s="17" t="str">
        <f>IF(M1_Administrativo!A43="","",IF(M1_Administrativo!Q43="","",M1_Administrativo!Q43))</f>
        <v/>
      </c>
      <c r="AH39" s="17" t="str">
        <f>IF(M1_Administrativo!A43="","","")</f>
        <v/>
      </c>
      <c r="AI39" s="17" t="str">
        <f>IF(M1_Administrativo!A43="","","M1_Administrativo!43")</f>
        <v/>
      </c>
      <c r="AJ39" s="17" t="str">
        <f>IF(M1_Administrativo!A43="","",IF(M1_Administrativo!M43="","Pendiente de resultado","Disponible"))</f>
        <v/>
      </c>
    </row>
    <row r="40" spans="1:36" ht="55.5" customHeight="1">
      <c r="A40" s="44" t="str">
        <f t="array" ref="A40">IF(36&gt;$S$1204,"",INDEX($T$5:$AJ$1204,MATCH(36,$S$5:$S$1204,0),1))</f>
        <v/>
      </c>
      <c r="B40" s="45" t="str">
        <f t="array" ref="B40">IF(36&gt;$S$1204,"",INDEX($T$5:$AJ$1204,MATCH(36,$S$5:$S$1204,0),2))</f>
        <v/>
      </c>
      <c r="C40" s="46" t="str">
        <f t="array" ref="C40">IF(36&gt;$S$1204,"",INDEX($T$5:$AJ$1204,MATCH(36,$S$5:$S$1204,0),3))</f>
        <v/>
      </c>
      <c r="D40" s="45" t="str">
        <f t="array" ref="D40">IF(36&gt;$S$1204,"",INDEX($T$5:$AJ$1204,MATCH(36,$S$5:$S$1204,0),4))</f>
        <v/>
      </c>
      <c r="E40" s="45" t="str">
        <f t="array" ref="E40">IF(36&gt;$S$1204,"",INDEX($T$5:$AJ$1204,MATCH(36,$S$5:$S$1204,0),5))</f>
        <v/>
      </c>
      <c r="F40" s="45" t="str">
        <f t="array" ref="F40">IF(36&gt;$S$1204,"",INDEX($T$5:$AJ$1204,MATCH(36,$S$5:$S$1204,0),6))</f>
        <v/>
      </c>
      <c r="G40" s="45" t="str">
        <f t="array" ref="G40">IF(36&gt;$S$1204,"",INDEX($T$5:$AJ$1204,MATCH(36,$S$5:$S$1204,0),7))</f>
        <v/>
      </c>
      <c r="H40" s="45" t="str">
        <f t="array" ref="H40">IF(36&gt;$S$1204,"",INDEX($T$5:$AJ$1204,MATCH(36,$S$5:$S$1204,0),8))</f>
        <v/>
      </c>
      <c r="I40" s="45" t="str">
        <f t="array" ref="I40">IF(36&gt;$S$1204,"",INDEX($T$5:$AJ$1204,MATCH(36,$S$5:$S$1204,0),9))</f>
        <v/>
      </c>
      <c r="J40" s="47" t="str">
        <f t="array" ref="J40">IF(36&gt;$S$1204,"",INDEX($T$5:$AJ$1204,MATCH(36,$S$5:$S$1204,0),10))</f>
        <v/>
      </c>
      <c r="K40" s="45" t="str">
        <f t="array" ref="K40">IF(36&gt;$S$1204,"",INDEX($T$5:$AJ$1204,MATCH(36,$S$5:$S$1204,0),11))</f>
        <v/>
      </c>
      <c r="L40" s="45" t="str">
        <f t="array" ref="L40">IF(36&gt;$S$1204,"",INDEX($T$5:$AJ$1204,MATCH(36,$S$5:$S$1204,0),12))</f>
        <v/>
      </c>
      <c r="M40" s="45" t="str">
        <f t="array" ref="M40">IF(36&gt;$S$1204,"",INDEX($T$5:$AJ$1204,MATCH(36,$S$5:$S$1204,0),13))</f>
        <v/>
      </c>
      <c r="N40" s="45" t="str">
        <f t="array" ref="N40">IF(36&gt;$S$1204,"",INDEX($T$5:$AJ$1204,MATCH(36,$S$5:$S$1204,0),14))</f>
        <v/>
      </c>
      <c r="O40" s="48" t="str">
        <f t="array" ref="O40">IF(36&gt;$S$1204,"",INDEX($T$5:$AJ$1204,MATCH(36,$S$5:$S$1204,0),15))</f>
        <v/>
      </c>
      <c r="P40" s="45" t="str">
        <f t="array" ref="P40">IF(36&gt;$S$1204,"",INDEX($T$5:$AJ$1204,MATCH(36,$S$5:$S$1204,0),16))</f>
        <v/>
      </c>
      <c r="Q40" s="45" t="str">
        <f t="array" ref="Q40">IF(36&gt;$S$1204,"",INDEX($T$5:$AJ$1204,MATCH(36,$S$5:$S$1204,0),17))</f>
        <v/>
      </c>
      <c r="R40" s="17"/>
      <c r="S40" s="17">
        <f>S39+IF(M1_Administrativo!A44="",0,1)</f>
        <v>0</v>
      </c>
      <c r="T40" s="17" t="str">
        <f>IF(M1_Administrativo!A44="","",IF(M1_Administrativo!A44="","",M1_Administrativo!A44))</f>
        <v/>
      </c>
      <c r="U40" s="17" t="str">
        <f>IF(M1_Administrativo!A44="","",IF(M1_Administrativo!R44="","",M1_Administrativo!R44))</f>
        <v/>
      </c>
      <c r="V40" s="17" t="str">
        <f>IF(M1_Administrativo!A44="","",IF(M1_Administrativo!D44="","",M1_Administrativo!D44))</f>
        <v/>
      </c>
      <c r="W40" s="17" t="str">
        <f>IF(M1_Administrativo!A44="","",IF(M1_Administrativo!B44="","",M1_Administrativo!B44))</f>
        <v/>
      </c>
      <c r="X40" s="17" t="str">
        <f>IF(M1_Administrativo!A44="","",IF(M1_Administrativo!C44="","",M1_Administrativo!C44))</f>
        <v/>
      </c>
      <c r="Y40" s="17" t="str">
        <f>IF(M1_Administrativo!A44="","",IF(M1_Administrativo!E44="","",M1_Administrativo!E44))</f>
        <v/>
      </c>
      <c r="Z40" s="17" t="str">
        <f>IF(M1_Administrativo!A44="","",IF(M1_Administrativo!F44="","",M1_Administrativo!F44))</f>
        <v/>
      </c>
      <c r="AA40" s="17" t="str">
        <f>IF(M1_Administrativo!A44="","","M1 Administrativo")</f>
        <v/>
      </c>
      <c r="AB40" s="17" t="str">
        <f>IF(M1_Administrativo!A44="","",IF(M1_Administrativo!G44="","",M1_Administrativo!G44))</f>
        <v/>
      </c>
      <c r="AC40" s="17" t="str">
        <f>IF(M1_Administrativo!A44="","",IF(M1_Administrativo!M44="","",M1_Administrativo!M44))</f>
        <v/>
      </c>
      <c r="AD40" s="17" t="str">
        <f>IF(M1_Administrativo!A44="","","RA")</f>
        <v/>
      </c>
      <c r="AE40" s="17" t="str">
        <f>IF(M1_Administrativo!A44="","",IF(M1_Administrativo!O44="","",M1_Administrativo!O44))</f>
        <v/>
      </c>
      <c r="AF40" s="17" t="str">
        <f>IF(M1_Administrativo!A44="","",IF(M1_Administrativo!P44="","",M1_Administrativo!P44))</f>
        <v/>
      </c>
      <c r="AG40" s="17" t="str">
        <f>IF(M1_Administrativo!A44="","",IF(M1_Administrativo!Q44="","",M1_Administrativo!Q44))</f>
        <v/>
      </c>
      <c r="AH40" s="17" t="str">
        <f>IF(M1_Administrativo!A44="","","")</f>
        <v/>
      </c>
      <c r="AI40" s="17" t="str">
        <f>IF(M1_Administrativo!A44="","","M1_Administrativo!44")</f>
        <v/>
      </c>
      <c r="AJ40" s="17" t="str">
        <f>IF(M1_Administrativo!A44="","",IF(M1_Administrativo!M44="","Pendiente de resultado","Disponible"))</f>
        <v/>
      </c>
    </row>
    <row r="41" spans="1:36" ht="55.5" customHeight="1">
      <c r="A41" s="44" t="str">
        <f t="array" ref="A41">IF(37&gt;$S$1204,"",INDEX($T$5:$AJ$1204,MATCH(37,$S$5:$S$1204,0),1))</f>
        <v/>
      </c>
      <c r="B41" s="45" t="str">
        <f t="array" ref="B41">IF(37&gt;$S$1204,"",INDEX($T$5:$AJ$1204,MATCH(37,$S$5:$S$1204,0),2))</f>
        <v/>
      </c>
      <c r="C41" s="46" t="str">
        <f t="array" ref="C41">IF(37&gt;$S$1204,"",INDEX($T$5:$AJ$1204,MATCH(37,$S$5:$S$1204,0),3))</f>
        <v/>
      </c>
      <c r="D41" s="45" t="str">
        <f t="array" ref="D41">IF(37&gt;$S$1204,"",INDEX($T$5:$AJ$1204,MATCH(37,$S$5:$S$1204,0),4))</f>
        <v/>
      </c>
      <c r="E41" s="45" t="str">
        <f t="array" ref="E41">IF(37&gt;$S$1204,"",INDEX($T$5:$AJ$1204,MATCH(37,$S$5:$S$1204,0),5))</f>
        <v/>
      </c>
      <c r="F41" s="45" t="str">
        <f t="array" ref="F41">IF(37&gt;$S$1204,"",INDEX($T$5:$AJ$1204,MATCH(37,$S$5:$S$1204,0),6))</f>
        <v/>
      </c>
      <c r="G41" s="45" t="str">
        <f t="array" ref="G41">IF(37&gt;$S$1204,"",INDEX($T$5:$AJ$1204,MATCH(37,$S$5:$S$1204,0),7))</f>
        <v/>
      </c>
      <c r="H41" s="45" t="str">
        <f t="array" ref="H41">IF(37&gt;$S$1204,"",INDEX($T$5:$AJ$1204,MATCH(37,$S$5:$S$1204,0),8))</f>
        <v/>
      </c>
      <c r="I41" s="45" t="str">
        <f t="array" ref="I41">IF(37&gt;$S$1204,"",INDEX($T$5:$AJ$1204,MATCH(37,$S$5:$S$1204,0),9))</f>
        <v/>
      </c>
      <c r="J41" s="47" t="str">
        <f t="array" ref="J41">IF(37&gt;$S$1204,"",INDEX($T$5:$AJ$1204,MATCH(37,$S$5:$S$1204,0),10))</f>
        <v/>
      </c>
      <c r="K41" s="45" t="str">
        <f t="array" ref="K41">IF(37&gt;$S$1204,"",INDEX($T$5:$AJ$1204,MATCH(37,$S$5:$S$1204,0),11))</f>
        <v/>
      </c>
      <c r="L41" s="45" t="str">
        <f t="array" ref="L41">IF(37&gt;$S$1204,"",INDEX($T$5:$AJ$1204,MATCH(37,$S$5:$S$1204,0),12))</f>
        <v/>
      </c>
      <c r="M41" s="45" t="str">
        <f t="array" ref="M41">IF(37&gt;$S$1204,"",INDEX($T$5:$AJ$1204,MATCH(37,$S$5:$S$1204,0),13))</f>
        <v/>
      </c>
      <c r="N41" s="45" t="str">
        <f t="array" ref="N41">IF(37&gt;$S$1204,"",INDEX($T$5:$AJ$1204,MATCH(37,$S$5:$S$1204,0),14))</f>
        <v/>
      </c>
      <c r="O41" s="48" t="str">
        <f t="array" ref="O41">IF(37&gt;$S$1204,"",INDEX($T$5:$AJ$1204,MATCH(37,$S$5:$S$1204,0),15))</f>
        <v/>
      </c>
      <c r="P41" s="45" t="str">
        <f t="array" ref="P41">IF(37&gt;$S$1204,"",INDEX($T$5:$AJ$1204,MATCH(37,$S$5:$S$1204,0),16))</f>
        <v/>
      </c>
      <c r="Q41" s="45" t="str">
        <f t="array" ref="Q41">IF(37&gt;$S$1204,"",INDEX($T$5:$AJ$1204,MATCH(37,$S$5:$S$1204,0),17))</f>
        <v/>
      </c>
      <c r="R41" s="17"/>
      <c r="S41" s="17">
        <f>S40+IF(M1_Administrativo!A45="",0,1)</f>
        <v>0</v>
      </c>
      <c r="T41" s="17" t="str">
        <f>IF(M1_Administrativo!A45="","",IF(M1_Administrativo!A45="","",M1_Administrativo!A45))</f>
        <v/>
      </c>
      <c r="U41" s="17" t="str">
        <f>IF(M1_Administrativo!A45="","",IF(M1_Administrativo!R45="","",M1_Administrativo!R45))</f>
        <v/>
      </c>
      <c r="V41" s="17" t="str">
        <f>IF(M1_Administrativo!A45="","",IF(M1_Administrativo!D45="","",M1_Administrativo!D45))</f>
        <v/>
      </c>
      <c r="W41" s="17" t="str">
        <f>IF(M1_Administrativo!A45="","",IF(M1_Administrativo!B45="","",M1_Administrativo!B45))</f>
        <v/>
      </c>
      <c r="X41" s="17" t="str">
        <f>IF(M1_Administrativo!A45="","",IF(M1_Administrativo!C45="","",M1_Administrativo!C45))</f>
        <v/>
      </c>
      <c r="Y41" s="17" t="str">
        <f>IF(M1_Administrativo!A45="","",IF(M1_Administrativo!E45="","",M1_Administrativo!E45))</f>
        <v/>
      </c>
      <c r="Z41" s="17" t="str">
        <f>IF(M1_Administrativo!A45="","",IF(M1_Administrativo!F45="","",M1_Administrativo!F45))</f>
        <v/>
      </c>
      <c r="AA41" s="17" t="str">
        <f>IF(M1_Administrativo!A45="","","M1 Administrativo")</f>
        <v/>
      </c>
      <c r="AB41" s="17" t="str">
        <f>IF(M1_Administrativo!A45="","",IF(M1_Administrativo!G45="","",M1_Administrativo!G45))</f>
        <v/>
      </c>
      <c r="AC41" s="17" t="str">
        <f>IF(M1_Administrativo!A45="","",IF(M1_Administrativo!M45="","",M1_Administrativo!M45))</f>
        <v/>
      </c>
      <c r="AD41" s="17" t="str">
        <f>IF(M1_Administrativo!A45="","","RA")</f>
        <v/>
      </c>
      <c r="AE41" s="17" t="str">
        <f>IF(M1_Administrativo!A45="","",IF(M1_Administrativo!O45="","",M1_Administrativo!O45))</f>
        <v/>
      </c>
      <c r="AF41" s="17" t="str">
        <f>IF(M1_Administrativo!A45="","",IF(M1_Administrativo!P45="","",M1_Administrativo!P45))</f>
        <v/>
      </c>
      <c r="AG41" s="17" t="str">
        <f>IF(M1_Administrativo!A45="","",IF(M1_Administrativo!Q45="","",M1_Administrativo!Q45))</f>
        <v/>
      </c>
      <c r="AH41" s="17" t="str">
        <f>IF(M1_Administrativo!A45="","","")</f>
        <v/>
      </c>
      <c r="AI41" s="17" t="str">
        <f>IF(M1_Administrativo!A45="","","M1_Administrativo!45")</f>
        <v/>
      </c>
      <c r="AJ41" s="17" t="str">
        <f>IF(M1_Administrativo!A45="","",IF(M1_Administrativo!M45="","Pendiente de resultado","Disponible"))</f>
        <v/>
      </c>
    </row>
    <row r="42" spans="1:36" ht="55.5" customHeight="1">
      <c r="A42" s="6" t="str">
        <f t="array" ref="A42">IF(38&gt;$S$1204,"",INDEX($T$5:$AJ$1204,MATCH(38,$S$5:$S$1204,0),1))</f>
        <v/>
      </c>
      <c r="B42" s="8" t="str">
        <f t="array" ref="B42">IF(38&gt;$S$1204,"",INDEX($T$5:$AJ$1204,MATCH(38,$S$5:$S$1204,0),2))</f>
        <v/>
      </c>
      <c r="C42" s="10" t="str">
        <f t="array" ref="C42">IF(38&gt;$S$1204,"",INDEX($T$5:$AJ$1204,MATCH(38,$S$5:$S$1204,0),3))</f>
        <v/>
      </c>
      <c r="D42" s="8" t="str">
        <f t="array" ref="D42">IF(38&gt;$S$1204,"",INDEX($T$5:$AJ$1204,MATCH(38,$S$5:$S$1204,0),4))</f>
        <v/>
      </c>
      <c r="E42" s="8" t="str">
        <f t="array" ref="E42">IF(38&gt;$S$1204,"",INDEX($T$5:$AJ$1204,MATCH(38,$S$5:$S$1204,0),5))</f>
        <v/>
      </c>
      <c r="F42" s="8" t="str">
        <f t="array" ref="F42">IF(38&gt;$S$1204,"",INDEX($T$5:$AJ$1204,MATCH(38,$S$5:$S$1204,0),6))</f>
        <v/>
      </c>
      <c r="G42" s="8" t="str">
        <f t="array" ref="G42">IF(38&gt;$S$1204,"",INDEX($T$5:$AJ$1204,MATCH(38,$S$5:$S$1204,0),7))</f>
        <v/>
      </c>
      <c r="H42" s="8" t="str">
        <f t="array" ref="H42">IF(38&gt;$S$1204,"",INDEX($T$5:$AJ$1204,MATCH(38,$S$5:$S$1204,0),8))</f>
        <v/>
      </c>
      <c r="I42" s="8" t="str">
        <f t="array" ref="I42">IF(38&gt;$S$1204,"",INDEX($T$5:$AJ$1204,MATCH(38,$S$5:$S$1204,0),9))</f>
        <v/>
      </c>
      <c r="J42" s="14" t="str">
        <f t="array" ref="J42">IF(38&gt;$S$1204,"",INDEX($T$5:$AJ$1204,MATCH(38,$S$5:$S$1204,0),10))</f>
        <v/>
      </c>
      <c r="K42" s="8" t="str">
        <f t="array" ref="K42">IF(38&gt;$S$1204,"",INDEX($T$5:$AJ$1204,MATCH(38,$S$5:$S$1204,0),11))</f>
        <v/>
      </c>
      <c r="L42" s="8" t="str">
        <f t="array" ref="L42">IF(38&gt;$S$1204,"",INDEX($T$5:$AJ$1204,MATCH(38,$S$5:$S$1204,0),12))</f>
        <v/>
      </c>
      <c r="M42" s="8" t="str">
        <f t="array" ref="M42">IF(38&gt;$S$1204,"",INDEX($T$5:$AJ$1204,MATCH(38,$S$5:$S$1204,0),13))</f>
        <v/>
      </c>
      <c r="N42" s="8" t="str">
        <f t="array" ref="N42">IF(38&gt;$S$1204,"",INDEX($T$5:$AJ$1204,MATCH(38,$S$5:$S$1204,0),14))</f>
        <v/>
      </c>
      <c r="O42" s="15" t="str">
        <f t="array" ref="O42">IF(38&gt;$S$1204,"",INDEX($T$5:$AJ$1204,MATCH(38,$S$5:$S$1204,0),15))</f>
        <v/>
      </c>
      <c r="P42" s="8" t="str">
        <f t="array" ref="P42">IF(38&gt;$S$1204,"",INDEX($T$5:$AJ$1204,MATCH(38,$S$5:$S$1204,0),16))</f>
        <v/>
      </c>
      <c r="Q42" s="8" t="str">
        <f t="array" ref="Q42">IF(38&gt;$S$1204,"",INDEX($T$5:$AJ$1204,MATCH(38,$S$5:$S$1204,0),17))</f>
        <v/>
      </c>
      <c r="R42" s="17"/>
      <c r="S42" s="17">
        <f>S41+IF(M1_Administrativo!A46="",0,1)</f>
        <v>0</v>
      </c>
      <c r="T42" s="17" t="str">
        <f>IF(M1_Administrativo!A46="","",IF(M1_Administrativo!A46="","",M1_Administrativo!A46))</f>
        <v/>
      </c>
      <c r="U42" s="17" t="str">
        <f>IF(M1_Administrativo!A46="","",IF(M1_Administrativo!R46="","",M1_Administrativo!R46))</f>
        <v/>
      </c>
      <c r="V42" s="17" t="str">
        <f>IF(M1_Administrativo!A46="","",IF(M1_Administrativo!D46="","",M1_Administrativo!D46))</f>
        <v/>
      </c>
      <c r="W42" s="17" t="str">
        <f>IF(M1_Administrativo!A46="","",IF(M1_Administrativo!B46="","",M1_Administrativo!B46))</f>
        <v/>
      </c>
      <c r="X42" s="17" t="str">
        <f>IF(M1_Administrativo!A46="","",IF(M1_Administrativo!C46="","",M1_Administrativo!C46))</f>
        <v/>
      </c>
      <c r="Y42" s="17" t="str">
        <f>IF(M1_Administrativo!A46="","",IF(M1_Administrativo!E46="","",M1_Administrativo!E46))</f>
        <v/>
      </c>
      <c r="Z42" s="17" t="str">
        <f>IF(M1_Administrativo!A46="","",IF(M1_Administrativo!F46="","",M1_Administrativo!F46))</f>
        <v/>
      </c>
      <c r="AA42" s="17" t="str">
        <f>IF(M1_Administrativo!A46="","","M1 Administrativo")</f>
        <v/>
      </c>
      <c r="AB42" s="17" t="str">
        <f>IF(M1_Administrativo!A46="","",IF(M1_Administrativo!G46="","",M1_Administrativo!G46))</f>
        <v/>
      </c>
      <c r="AC42" s="17" t="str">
        <f>IF(M1_Administrativo!A46="","",IF(M1_Administrativo!M46="","",M1_Administrativo!M46))</f>
        <v/>
      </c>
      <c r="AD42" s="17" t="str">
        <f>IF(M1_Administrativo!A46="","","RA")</f>
        <v/>
      </c>
      <c r="AE42" s="17" t="str">
        <f>IF(M1_Administrativo!A46="","",IF(M1_Administrativo!O46="","",M1_Administrativo!O46))</f>
        <v/>
      </c>
      <c r="AF42" s="17" t="str">
        <f>IF(M1_Administrativo!A46="","",IF(M1_Administrativo!P46="","",M1_Administrativo!P46))</f>
        <v/>
      </c>
      <c r="AG42" s="17" t="str">
        <f>IF(M1_Administrativo!A46="","",IF(M1_Administrativo!Q46="","",M1_Administrativo!Q46))</f>
        <v/>
      </c>
      <c r="AH42" s="17" t="str">
        <f>IF(M1_Administrativo!A46="","","")</f>
        <v/>
      </c>
      <c r="AI42" s="17" t="str">
        <f>IF(M1_Administrativo!A46="","","M1_Administrativo!46")</f>
        <v/>
      </c>
      <c r="AJ42" s="17" t="str">
        <f>IF(M1_Administrativo!A46="","",IF(M1_Administrativo!M46="","Pendiente de resultado","Disponible"))</f>
        <v/>
      </c>
    </row>
    <row r="43" spans="1:36" ht="55.5" customHeight="1">
      <c r="A43" s="6" t="str">
        <f t="array" ref="A43">IF(39&gt;$S$1204,"",INDEX($T$5:$AJ$1204,MATCH(39,$S$5:$S$1204,0),1))</f>
        <v/>
      </c>
      <c r="B43" s="8" t="str">
        <f t="array" ref="B43">IF(39&gt;$S$1204,"",INDEX($T$5:$AJ$1204,MATCH(39,$S$5:$S$1204,0),2))</f>
        <v/>
      </c>
      <c r="C43" s="10" t="str">
        <f t="array" ref="C43">IF(39&gt;$S$1204,"",INDEX($T$5:$AJ$1204,MATCH(39,$S$5:$S$1204,0),3))</f>
        <v/>
      </c>
      <c r="D43" s="8" t="str">
        <f t="array" ref="D43">IF(39&gt;$S$1204,"",INDEX($T$5:$AJ$1204,MATCH(39,$S$5:$S$1204,0),4))</f>
        <v/>
      </c>
      <c r="E43" s="8" t="str">
        <f t="array" ref="E43">IF(39&gt;$S$1204,"",INDEX($T$5:$AJ$1204,MATCH(39,$S$5:$S$1204,0),5))</f>
        <v/>
      </c>
      <c r="F43" s="8" t="str">
        <f t="array" ref="F43">IF(39&gt;$S$1204,"",INDEX($T$5:$AJ$1204,MATCH(39,$S$5:$S$1204,0),6))</f>
        <v/>
      </c>
      <c r="G43" s="8" t="str">
        <f t="array" ref="G43">IF(39&gt;$S$1204,"",INDEX($T$5:$AJ$1204,MATCH(39,$S$5:$S$1204,0),7))</f>
        <v/>
      </c>
      <c r="H43" s="8" t="str">
        <f t="array" ref="H43">IF(39&gt;$S$1204,"",INDEX($T$5:$AJ$1204,MATCH(39,$S$5:$S$1204,0),8))</f>
        <v/>
      </c>
      <c r="I43" s="8" t="str">
        <f t="array" ref="I43">IF(39&gt;$S$1204,"",INDEX($T$5:$AJ$1204,MATCH(39,$S$5:$S$1204,0),9))</f>
        <v/>
      </c>
      <c r="J43" s="14" t="str">
        <f t="array" ref="J43">IF(39&gt;$S$1204,"",INDEX($T$5:$AJ$1204,MATCH(39,$S$5:$S$1204,0),10))</f>
        <v/>
      </c>
      <c r="K43" s="8" t="str">
        <f t="array" ref="K43">IF(39&gt;$S$1204,"",INDEX($T$5:$AJ$1204,MATCH(39,$S$5:$S$1204,0),11))</f>
        <v/>
      </c>
      <c r="L43" s="8" t="str">
        <f t="array" ref="L43">IF(39&gt;$S$1204,"",INDEX($T$5:$AJ$1204,MATCH(39,$S$5:$S$1204,0),12))</f>
        <v/>
      </c>
      <c r="M43" s="8" t="str">
        <f t="array" ref="M43">IF(39&gt;$S$1204,"",INDEX($T$5:$AJ$1204,MATCH(39,$S$5:$S$1204,0),13))</f>
        <v/>
      </c>
      <c r="N43" s="8" t="str">
        <f t="array" ref="N43">IF(39&gt;$S$1204,"",INDEX($T$5:$AJ$1204,MATCH(39,$S$5:$S$1204,0),14))</f>
        <v/>
      </c>
      <c r="O43" s="15" t="str">
        <f t="array" ref="O43">IF(39&gt;$S$1204,"",INDEX($T$5:$AJ$1204,MATCH(39,$S$5:$S$1204,0),15))</f>
        <v/>
      </c>
      <c r="P43" s="8" t="str">
        <f t="array" ref="P43">IF(39&gt;$S$1204,"",INDEX($T$5:$AJ$1204,MATCH(39,$S$5:$S$1204,0),16))</f>
        <v/>
      </c>
      <c r="Q43" s="8" t="str">
        <f t="array" ref="Q43">IF(39&gt;$S$1204,"",INDEX($T$5:$AJ$1204,MATCH(39,$S$5:$S$1204,0),17))</f>
        <v/>
      </c>
      <c r="R43" s="17"/>
      <c r="S43" s="17">
        <f>S42+IF(M1_Administrativo!A47="",0,1)</f>
        <v>0</v>
      </c>
      <c r="T43" s="17" t="str">
        <f>IF(M1_Administrativo!A47="","",IF(M1_Administrativo!A47="","",M1_Administrativo!A47))</f>
        <v/>
      </c>
      <c r="U43" s="17" t="str">
        <f>IF(M1_Administrativo!A47="","",IF(M1_Administrativo!R47="","",M1_Administrativo!R47))</f>
        <v/>
      </c>
      <c r="V43" s="17" t="str">
        <f>IF(M1_Administrativo!A47="","",IF(M1_Administrativo!D47="","",M1_Administrativo!D47))</f>
        <v/>
      </c>
      <c r="W43" s="17" t="str">
        <f>IF(M1_Administrativo!A47="","",IF(M1_Administrativo!B47="","",M1_Administrativo!B47))</f>
        <v/>
      </c>
      <c r="X43" s="17" t="str">
        <f>IF(M1_Administrativo!A47="","",IF(M1_Administrativo!C47="","",M1_Administrativo!C47))</f>
        <v/>
      </c>
      <c r="Y43" s="17" t="str">
        <f>IF(M1_Administrativo!A47="","",IF(M1_Administrativo!E47="","",M1_Administrativo!E47))</f>
        <v/>
      </c>
      <c r="Z43" s="17" t="str">
        <f>IF(M1_Administrativo!A47="","",IF(M1_Administrativo!F47="","",M1_Administrativo!F47))</f>
        <v/>
      </c>
      <c r="AA43" s="17" t="str">
        <f>IF(M1_Administrativo!A47="","","M1 Administrativo")</f>
        <v/>
      </c>
      <c r="AB43" s="17" t="str">
        <f>IF(M1_Administrativo!A47="","",IF(M1_Administrativo!G47="","",M1_Administrativo!G47))</f>
        <v/>
      </c>
      <c r="AC43" s="17" t="str">
        <f>IF(M1_Administrativo!A47="","",IF(M1_Administrativo!M47="","",M1_Administrativo!M47))</f>
        <v/>
      </c>
      <c r="AD43" s="17" t="str">
        <f>IF(M1_Administrativo!A47="","","RA")</f>
        <v/>
      </c>
      <c r="AE43" s="17" t="str">
        <f>IF(M1_Administrativo!A47="","",IF(M1_Administrativo!O47="","",M1_Administrativo!O47))</f>
        <v/>
      </c>
      <c r="AF43" s="17" t="str">
        <f>IF(M1_Administrativo!A47="","",IF(M1_Administrativo!P47="","",M1_Administrativo!P47))</f>
        <v/>
      </c>
      <c r="AG43" s="17" t="str">
        <f>IF(M1_Administrativo!A47="","",IF(M1_Administrativo!Q47="","",M1_Administrativo!Q47))</f>
        <v/>
      </c>
      <c r="AH43" s="17" t="str">
        <f>IF(M1_Administrativo!A47="","","")</f>
        <v/>
      </c>
      <c r="AI43" s="17" t="str">
        <f>IF(M1_Administrativo!A47="","","M1_Administrativo!47")</f>
        <v/>
      </c>
      <c r="AJ43" s="17" t="str">
        <f>IF(M1_Administrativo!A47="","",IF(M1_Administrativo!M47="","Pendiente de resultado","Disponible"))</f>
        <v/>
      </c>
    </row>
    <row r="44" spans="1:36" ht="55.5" customHeight="1">
      <c r="A44" s="6" t="str">
        <f t="array" ref="A44">IF(40&gt;$S$1204,"",INDEX($T$5:$AJ$1204,MATCH(40,$S$5:$S$1204,0),1))</f>
        <v/>
      </c>
      <c r="B44" s="8" t="str">
        <f t="array" ref="B44">IF(40&gt;$S$1204,"",INDEX($T$5:$AJ$1204,MATCH(40,$S$5:$S$1204,0),2))</f>
        <v/>
      </c>
      <c r="C44" s="10" t="str">
        <f t="array" ref="C44">IF(40&gt;$S$1204,"",INDEX($T$5:$AJ$1204,MATCH(40,$S$5:$S$1204,0),3))</f>
        <v/>
      </c>
      <c r="D44" s="8" t="str">
        <f t="array" ref="D44">IF(40&gt;$S$1204,"",INDEX($T$5:$AJ$1204,MATCH(40,$S$5:$S$1204,0),4))</f>
        <v/>
      </c>
      <c r="E44" s="8" t="str">
        <f t="array" ref="E44">IF(40&gt;$S$1204,"",INDEX($T$5:$AJ$1204,MATCH(40,$S$5:$S$1204,0),5))</f>
        <v/>
      </c>
      <c r="F44" s="8" t="str">
        <f t="array" ref="F44">IF(40&gt;$S$1204,"",INDEX($T$5:$AJ$1204,MATCH(40,$S$5:$S$1204,0),6))</f>
        <v/>
      </c>
      <c r="G44" s="8" t="str">
        <f t="array" ref="G44">IF(40&gt;$S$1204,"",INDEX($T$5:$AJ$1204,MATCH(40,$S$5:$S$1204,0),7))</f>
        <v/>
      </c>
      <c r="H44" s="8" t="str">
        <f t="array" ref="H44">IF(40&gt;$S$1204,"",INDEX($T$5:$AJ$1204,MATCH(40,$S$5:$S$1204,0),8))</f>
        <v/>
      </c>
      <c r="I44" s="8" t="str">
        <f t="array" ref="I44">IF(40&gt;$S$1204,"",INDEX($T$5:$AJ$1204,MATCH(40,$S$5:$S$1204,0),9))</f>
        <v/>
      </c>
      <c r="J44" s="14" t="str">
        <f t="array" ref="J44">IF(40&gt;$S$1204,"",INDEX($T$5:$AJ$1204,MATCH(40,$S$5:$S$1204,0),10))</f>
        <v/>
      </c>
      <c r="K44" s="8" t="str">
        <f t="array" ref="K44">IF(40&gt;$S$1204,"",INDEX($T$5:$AJ$1204,MATCH(40,$S$5:$S$1204,0),11))</f>
        <v/>
      </c>
      <c r="L44" s="8" t="str">
        <f t="array" ref="L44">IF(40&gt;$S$1204,"",INDEX($T$5:$AJ$1204,MATCH(40,$S$5:$S$1204,0),12))</f>
        <v/>
      </c>
      <c r="M44" s="8" t="str">
        <f t="array" ref="M44">IF(40&gt;$S$1204,"",INDEX($T$5:$AJ$1204,MATCH(40,$S$5:$S$1204,0),13))</f>
        <v/>
      </c>
      <c r="N44" s="8" t="str">
        <f t="array" ref="N44">IF(40&gt;$S$1204,"",INDEX($T$5:$AJ$1204,MATCH(40,$S$5:$S$1204,0),14))</f>
        <v/>
      </c>
      <c r="O44" s="15" t="str">
        <f t="array" ref="O44">IF(40&gt;$S$1204,"",INDEX($T$5:$AJ$1204,MATCH(40,$S$5:$S$1204,0),15))</f>
        <v/>
      </c>
      <c r="P44" s="8" t="str">
        <f t="array" ref="P44">IF(40&gt;$S$1204,"",INDEX($T$5:$AJ$1204,MATCH(40,$S$5:$S$1204,0),16))</f>
        <v/>
      </c>
      <c r="Q44" s="8" t="str">
        <f t="array" ref="Q44">IF(40&gt;$S$1204,"",INDEX($T$5:$AJ$1204,MATCH(40,$S$5:$S$1204,0),17))</f>
        <v/>
      </c>
      <c r="R44" s="17"/>
      <c r="S44" s="17">
        <f>S43+IF(M1_Administrativo!A48="",0,1)</f>
        <v>0</v>
      </c>
      <c r="T44" s="17" t="str">
        <f>IF(M1_Administrativo!A48="","",IF(M1_Administrativo!A48="","",M1_Administrativo!A48))</f>
        <v/>
      </c>
      <c r="U44" s="17" t="str">
        <f>IF(M1_Administrativo!A48="","",IF(M1_Administrativo!R48="","",M1_Administrativo!R48))</f>
        <v/>
      </c>
      <c r="V44" s="17" t="str">
        <f>IF(M1_Administrativo!A48="","",IF(M1_Administrativo!D48="","",M1_Administrativo!D48))</f>
        <v/>
      </c>
      <c r="W44" s="17" t="str">
        <f>IF(M1_Administrativo!A48="","",IF(M1_Administrativo!B48="","",M1_Administrativo!B48))</f>
        <v/>
      </c>
      <c r="X44" s="17" t="str">
        <f>IF(M1_Administrativo!A48="","",IF(M1_Administrativo!C48="","",M1_Administrativo!C48))</f>
        <v/>
      </c>
      <c r="Y44" s="17" t="str">
        <f>IF(M1_Administrativo!A48="","",IF(M1_Administrativo!E48="","",M1_Administrativo!E48))</f>
        <v/>
      </c>
      <c r="Z44" s="17" t="str">
        <f>IF(M1_Administrativo!A48="","",IF(M1_Administrativo!F48="","",M1_Administrativo!F48))</f>
        <v/>
      </c>
      <c r="AA44" s="17" t="str">
        <f>IF(M1_Administrativo!A48="","","M1 Administrativo")</f>
        <v/>
      </c>
      <c r="AB44" s="17" t="str">
        <f>IF(M1_Administrativo!A48="","",IF(M1_Administrativo!G48="","",M1_Administrativo!G48))</f>
        <v/>
      </c>
      <c r="AC44" s="17" t="str">
        <f>IF(M1_Administrativo!A48="","",IF(M1_Administrativo!M48="","",M1_Administrativo!M48))</f>
        <v/>
      </c>
      <c r="AD44" s="17" t="str">
        <f>IF(M1_Administrativo!A48="","","RA")</f>
        <v/>
      </c>
      <c r="AE44" s="17" t="str">
        <f>IF(M1_Administrativo!A48="","",IF(M1_Administrativo!O48="","",M1_Administrativo!O48))</f>
        <v/>
      </c>
      <c r="AF44" s="17" t="str">
        <f>IF(M1_Administrativo!A48="","",IF(M1_Administrativo!P48="","",M1_Administrativo!P48))</f>
        <v/>
      </c>
      <c r="AG44" s="17" t="str">
        <f>IF(M1_Administrativo!A48="","",IF(M1_Administrativo!Q48="","",M1_Administrativo!Q48))</f>
        <v/>
      </c>
      <c r="AH44" s="17" t="str">
        <f>IF(M1_Administrativo!A48="","","")</f>
        <v/>
      </c>
      <c r="AI44" s="17" t="str">
        <f>IF(M1_Administrativo!A48="","","M1_Administrativo!48")</f>
        <v/>
      </c>
      <c r="AJ44" s="17" t="str">
        <f>IF(M1_Administrativo!A48="","",IF(M1_Administrativo!M48="","Pendiente de resultado","Disponible"))</f>
        <v/>
      </c>
    </row>
    <row r="45" spans="1:36" ht="55.5" customHeight="1">
      <c r="A45" s="6" t="str">
        <f t="array" ref="A45">IF(41&gt;$S$1204,"",INDEX($T$5:$AJ$1204,MATCH(41,$S$5:$S$1204,0),1))</f>
        <v/>
      </c>
      <c r="B45" s="8" t="str">
        <f t="array" ref="B45">IF(41&gt;$S$1204,"",INDEX($T$5:$AJ$1204,MATCH(41,$S$5:$S$1204,0),2))</f>
        <v/>
      </c>
      <c r="C45" s="10" t="str">
        <f t="array" ref="C45">IF(41&gt;$S$1204,"",INDEX($T$5:$AJ$1204,MATCH(41,$S$5:$S$1204,0),3))</f>
        <v/>
      </c>
      <c r="D45" s="8" t="str">
        <f t="array" ref="D45">IF(41&gt;$S$1204,"",INDEX($T$5:$AJ$1204,MATCH(41,$S$5:$S$1204,0),4))</f>
        <v/>
      </c>
      <c r="E45" s="8" t="str">
        <f t="array" ref="E45">IF(41&gt;$S$1204,"",INDEX($T$5:$AJ$1204,MATCH(41,$S$5:$S$1204,0),5))</f>
        <v/>
      </c>
      <c r="F45" s="8" t="str">
        <f t="array" ref="F45">IF(41&gt;$S$1204,"",INDEX($T$5:$AJ$1204,MATCH(41,$S$5:$S$1204,0),6))</f>
        <v/>
      </c>
      <c r="G45" s="8" t="str">
        <f t="array" ref="G45">IF(41&gt;$S$1204,"",INDEX($T$5:$AJ$1204,MATCH(41,$S$5:$S$1204,0),7))</f>
        <v/>
      </c>
      <c r="H45" s="8" t="str">
        <f t="array" ref="H45">IF(41&gt;$S$1204,"",INDEX($T$5:$AJ$1204,MATCH(41,$S$5:$S$1204,0),8))</f>
        <v/>
      </c>
      <c r="I45" s="8" t="str">
        <f t="array" ref="I45">IF(41&gt;$S$1204,"",INDEX($T$5:$AJ$1204,MATCH(41,$S$5:$S$1204,0),9))</f>
        <v/>
      </c>
      <c r="J45" s="14" t="str">
        <f t="array" ref="J45">IF(41&gt;$S$1204,"",INDEX($T$5:$AJ$1204,MATCH(41,$S$5:$S$1204,0),10))</f>
        <v/>
      </c>
      <c r="K45" s="8" t="str">
        <f t="array" ref="K45">IF(41&gt;$S$1204,"",INDEX($T$5:$AJ$1204,MATCH(41,$S$5:$S$1204,0),11))</f>
        <v/>
      </c>
      <c r="L45" s="8" t="str">
        <f t="array" ref="L45">IF(41&gt;$S$1204,"",INDEX($T$5:$AJ$1204,MATCH(41,$S$5:$S$1204,0),12))</f>
        <v/>
      </c>
      <c r="M45" s="8" t="str">
        <f t="array" ref="M45">IF(41&gt;$S$1204,"",INDEX($T$5:$AJ$1204,MATCH(41,$S$5:$S$1204,0),13))</f>
        <v/>
      </c>
      <c r="N45" s="8" t="str">
        <f t="array" ref="N45">IF(41&gt;$S$1204,"",INDEX($T$5:$AJ$1204,MATCH(41,$S$5:$S$1204,0),14))</f>
        <v/>
      </c>
      <c r="O45" s="15" t="str">
        <f t="array" ref="O45">IF(41&gt;$S$1204,"",INDEX($T$5:$AJ$1204,MATCH(41,$S$5:$S$1204,0),15))</f>
        <v/>
      </c>
      <c r="P45" s="8" t="str">
        <f t="array" ref="P45">IF(41&gt;$S$1204,"",INDEX($T$5:$AJ$1204,MATCH(41,$S$5:$S$1204,0),16))</f>
        <v/>
      </c>
      <c r="Q45" s="8" t="str">
        <f t="array" ref="Q45">IF(41&gt;$S$1204,"",INDEX($T$5:$AJ$1204,MATCH(41,$S$5:$S$1204,0),17))</f>
        <v/>
      </c>
      <c r="R45" s="17"/>
      <c r="S45" s="17">
        <f>S44+IF(M1_Administrativo!A49="",0,1)</f>
        <v>0</v>
      </c>
      <c r="T45" s="17" t="str">
        <f>IF(M1_Administrativo!A49="","",IF(M1_Administrativo!A49="","",M1_Administrativo!A49))</f>
        <v/>
      </c>
      <c r="U45" s="17" t="str">
        <f>IF(M1_Administrativo!A49="","",IF(M1_Administrativo!R49="","",M1_Administrativo!R49))</f>
        <v/>
      </c>
      <c r="V45" s="17" t="str">
        <f>IF(M1_Administrativo!A49="","",IF(M1_Administrativo!D49="","",M1_Administrativo!D49))</f>
        <v/>
      </c>
      <c r="W45" s="17" t="str">
        <f>IF(M1_Administrativo!A49="","",IF(M1_Administrativo!B49="","",M1_Administrativo!B49))</f>
        <v/>
      </c>
      <c r="X45" s="17" t="str">
        <f>IF(M1_Administrativo!A49="","",IF(M1_Administrativo!C49="","",M1_Administrativo!C49))</f>
        <v/>
      </c>
      <c r="Y45" s="17" t="str">
        <f>IF(M1_Administrativo!A49="","",IF(M1_Administrativo!E49="","",M1_Administrativo!E49))</f>
        <v/>
      </c>
      <c r="Z45" s="17" t="str">
        <f>IF(M1_Administrativo!A49="","",IF(M1_Administrativo!F49="","",M1_Administrativo!F49))</f>
        <v/>
      </c>
      <c r="AA45" s="17" t="str">
        <f>IF(M1_Administrativo!A49="","","M1 Administrativo")</f>
        <v/>
      </c>
      <c r="AB45" s="17" t="str">
        <f>IF(M1_Administrativo!A49="","",IF(M1_Administrativo!G49="","",M1_Administrativo!G49))</f>
        <v/>
      </c>
      <c r="AC45" s="17" t="str">
        <f>IF(M1_Administrativo!A49="","",IF(M1_Administrativo!M49="","",M1_Administrativo!M49))</f>
        <v/>
      </c>
      <c r="AD45" s="17" t="str">
        <f>IF(M1_Administrativo!A49="","","RA")</f>
        <v/>
      </c>
      <c r="AE45" s="17" t="str">
        <f>IF(M1_Administrativo!A49="","",IF(M1_Administrativo!O49="","",M1_Administrativo!O49))</f>
        <v/>
      </c>
      <c r="AF45" s="17" t="str">
        <f>IF(M1_Administrativo!A49="","",IF(M1_Administrativo!P49="","",M1_Administrativo!P49))</f>
        <v/>
      </c>
      <c r="AG45" s="17" t="str">
        <f>IF(M1_Administrativo!A49="","",IF(M1_Administrativo!Q49="","",M1_Administrativo!Q49))</f>
        <v/>
      </c>
      <c r="AH45" s="17" t="str">
        <f>IF(M1_Administrativo!A49="","","")</f>
        <v/>
      </c>
      <c r="AI45" s="17" t="str">
        <f>IF(M1_Administrativo!A49="","","M1_Administrativo!49")</f>
        <v/>
      </c>
      <c r="AJ45" s="17" t="str">
        <f>IF(M1_Administrativo!A49="","",IF(M1_Administrativo!M49="","Pendiente de resultado","Disponible"))</f>
        <v/>
      </c>
    </row>
    <row r="46" spans="1:36" ht="55.5" customHeight="1">
      <c r="A46" s="6" t="str">
        <f t="array" ref="A46">IF(42&gt;$S$1204,"",INDEX($T$5:$AJ$1204,MATCH(42,$S$5:$S$1204,0),1))</f>
        <v/>
      </c>
      <c r="B46" s="8" t="str">
        <f t="array" ref="B46">IF(42&gt;$S$1204,"",INDEX($T$5:$AJ$1204,MATCH(42,$S$5:$S$1204,0),2))</f>
        <v/>
      </c>
      <c r="C46" s="10" t="str">
        <f t="array" ref="C46">IF(42&gt;$S$1204,"",INDEX($T$5:$AJ$1204,MATCH(42,$S$5:$S$1204,0),3))</f>
        <v/>
      </c>
      <c r="D46" s="8" t="str">
        <f t="array" ref="D46">IF(42&gt;$S$1204,"",INDEX($T$5:$AJ$1204,MATCH(42,$S$5:$S$1204,0),4))</f>
        <v/>
      </c>
      <c r="E46" s="8" t="str">
        <f t="array" ref="E46">IF(42&gt;$S$1204,"",INDEX($T$5:$AJ$1204,MATCH(42,$S$5:$S$1204,0),5))</f>
        <v/>
      </c>
      <c r="F46" s="8" t="str">
        <f t="array" ref="F46">IF(42&gt;$S$1204,"",INDEX($T$5:$AJ$1204,MATCH(42,$S$5:$S$1204,0),6))</f>
        <v/>
      </c>
      <c r="G46" s="8" t="str">
        <f t="array" ref="G46">IF(42&gt;$S$1204,"",INDEX($T$5:$AJ$1204,MATCH(42,$S$5:$S$1204,0),7))</f>
        <v/>
      </c>
      <c r="H46" s="8" t="str">
        <f t="array" ref="H46">IF(42&gt;$S$1204,"",INDEX($T$5:$AJ$1204,MATCH(42,$S$5:$S$1204,0),8))</f>
        <v/>
      </c>
      <c r="I46" s="8" t="str">
        <f t="array" ref="I46">IF(42&gt;$S$1204,"",INDEX($T$5:$AJ$1204,MATCH(42,$S$5:$S$1204,0),9))</f>
        <v/>
      </c>
      <c r="J46" s="14" t="str">
        <f t="array" ref="J46">IF(42&gt;$S$1204,"",INDEX($T$5:$AJ$1204,MATCH(42,$S$5:$S$1204,0),10))</f>
        <v/>
      </c>
      <c r="K46" s="8" t="str">
        <f t="array" ref="K46">IF(42&gt;$S$1204,"",INDEX($T$5:$AJ$1204,MATCH(42,$S$5:$S$1204,0),11))</f>
        <v/>
      </c>
      <c r="L46" s="8" t="str">
        <f t="array" ref="L46">IF(42&gt;$S$1204,"",INDEX($T$5:$AJ$1204,MATCH(42,$S$5:$S$1204,0),12))</f>
        <v/>
      </c>
      <c r="M46" s="8" t="str">
        <f t="array" ref="M46">IF(42&gt;$S$1204,"",INDEX($T$5:$AJ$1204,MATCH(42,$S$5:$S$1204,0),13))</f>
        <v/>
      </c>
      <c r="N46" s="8" t="str">
        <f t="array" ref="N46">IF(42&gt;$S$1204,"",INDEX($T$5:$AJ$1204,MATCH(42,$S$5:$S$1204,0),14))</f>
        <v/>
      </c>
      <c r="O46" s="15" t="str">
        <f t="array" ref="O46">IF(42&gt;$S$1204,"",INDEX($T$5:$AJ$1204,MATCH(42,$S$5:$S$1204,0),15))</f>
        <v/>
      </c>
      <c r="P46" s="8" t="str">
        <f t="array" ref="P46">IF(42&gt;$S$1204,"",INDEX($T$5:$AJ$1204,MATCH(42,$S$5:$S$1204,0),16))</f>
        <v/>
      </c>
      <c r="Q46" s="8" t="str">
        <f t="array" ref="Q46">IF(42&gt;$S$1204,"",INDEX($T$5:$AJ$1204,MATCH(42,$S$5:$S$1204,0),17))</f>
        <v/>
      </c>
      <c r="R46" s="17"/>
      <c r="S46" s="17">
        <f>S45+IF(M1_Administrativo!A50="",0,1)</f>
        <v>0</v>
      </c>
      <c r="T46" s="17" t="str">
        <f>IF(M1_Administrativo!A50="","",IF(M1_Administrativo!A50="","",M1_Administrativo!A50))</f>
        <v/>
      </c>
      <c r="U46" s="17" t="str">
        <f>IF(M1_Administrativo!A50="","",IF(M1_Administrativo!R50="","",M1_Administrativo!R50))</f>
        <v/>
      </c>
      <c r="V46" s="17" t="str">
        <f>IF(M1_Administrativo!A50="","",IF(M1_Administrativo!D50="","",M1_Administrativo!D50))</f>
        <v/>
      </c>
      <c r="W46" s="17" t="str">
        <f>IF(M1_Administrativo!A50="","",IF(M1_Administrativo!B50="","",M1_Administrativo!B50))</f>
        <v/>
      </c>
      <c r="X46" s="17" t="str">
        <f>IF(M1_Administrativo!A50="","",IF(M1_Administrativo!C50="","",M1_Administrativo!C50))</f>
        <v/>
      </c>
      <c r="Y46" s="17" t="str">
        <f>IF(M1_Administrativo!A50="","",IF(M1_Administrativo!E50="","",M1_Administrativo!E50))</f>
        <v/>
      </c>
      <c r="Z46" s="17" t="str">
        <f>IF(M1_Administrativo!A50="","",IF(M1_Administrativo!F50="","",M1_Administrativo!F50))</f>
        <v/>
      </c>
      <c r="AA46" s="17" t="str">
        <f>IF(M1_Administrativo!A50="","","M1 Administrativo")</f>
        <v/>
      </c>
      <c r="AB46" s="17" t="str">
        <f>IF(M1_Administrativo!A50="","",IF(M1_Administrativo!G50="","",M1_Administrativo!G50))</f>
        <v/>
      </c>
      <c r="AC46" s="17" t="str">
        <f>IF(M1_Administrativo!A50="","",IF(M1_Administrativo!M50="","",M1_Administrativo!M50))</f>
        <v/>
      </c>
      <c r="AD46" s="17" t="str">
        <f>IF(M1_Administrativo!A50="","","RA")</f>
        <v/>
      </c>
      <c r="AE46" s="17" t="str">
        <f>IF(M1_Administrativo!A50="","",IF(M1_Administrativo!O50="","",M1_Administrativo!O50))</f>
        <v/>
      </c>
      <c r="AF46" s="17" t="str">
        <f>IF(M1_Administrativo!A50="","",IF(M1_Administrativo!P50="","",M1_Administrativo!P50))</f>
        <v/>
      </c>
      <c r="AG46" s="17" t="str">
        <f>IF(M1_Administrativo!A50="","",IF(M1_Administrativo!Q50="","",M1_Administrativo!Q50))</f>
        <v/>
      </c>
      <c r="AH46" s="17" t="str">
        <f>IF(M1_Administrativo!A50="","","")</f>
        <v/>
      </c>
      <c r="AI46" s="17" t="str">
        <f>IF(M1_Administrativo!A50="","","M1_Administrativo!50")</f>
        <v/>
      </c>
      <c r="AJ46" s="17" t="str">
        <f>IF(M1_Administrativo!A50="","",IF(M1_Administrativo!M50="","Pendiente de resultado","Disponible"))</f>
        <v/>
      </c>
    </row>
    <row r="47" spans="1:36" ht="55.5" customHeight="1">
      <c r="A47" s="6" t="str">
        <f t="array" ref="A47">IF(43&gt;$S$1204,"",INDEX($T$5:$AJ$1204,MATCH(43,$S$5:$S$1204,0),1))</f>
        <v/>
      </c>
      <c r="B47" s="8" t="str">
        <f t="array" ref="B47">IF(43&gt;$S$1204,"",INDEX($T$5:$AJ$1204,MATCH(43,$S$5:$S$1204,0),2))</f>
        <v/>
      </c>
      <c r="C47" s="10" t="str">
        <f t="array" ref="C47">IF(43&gt;$S$1204,"",INDEX($T$5:$AJ$1204,MATCH(43,$S$5:$S$1204,0),3))</f>
        <v/>
      </c>
      <c r="D47" s="8" t="str">
        <f t="array" ref="D47">IF(43&gt;$S$1204,"",INDEX($T$5:$AJ$1204,MATCH(43,$S$5:$S$1204,0),4))</f>
        <v/>
      </c>
      <c r="E47" s="8" t="str">
        <f t="array" ref="E47">IF(43&gt;$S$1204,"",INDEX($T$5:$AJ$1204,MATCH(43,$S$5:$S$1204,0),5))</f>
        <v/>
      </c>
      <c r="F47" s="8" t="str">
        <f t="array" ref="F47">IF(43&gt;$S$1204,"",INDEX($T$5:$AJ$1204,MATCH(43,$S$5:$S$1204,0),6))</f>
        <v/>
      </c>
      <c r="G47" s="8" t="str">
        <f t="array" ref="G47">IF(43&gt;$S$1204,"",INDEX($T$5:$AJ$1204,MATCH(43,$S$5:$S$1204,0),7))</f>
        <v/>
      </c>
      <c r="H47" s="8" t="str">
        <f t="array" ref="H47">IF(43&gt;$S$1204,"",INDEX($T$5:$AJ$1204,MATCH(43,$S$5:$S$1204,0),8))</f>
        <v/>
      </c>
      <c r="I47" s="8" t="str">
        <f t="array" ref="I47">IF(43&gt;$S$1204,"",INDEX($T$5:$AJ$1204,MATCH(43,$S$5:$S$1204,0),9))</f>
        <v/>
      </c>
      <c r="J47" s="14" t="str">
        <f t="array" ref="J47">IF(43&gt;$S$1204,"",INDEX($T$5:$AJ$1204,MATCH(43,$S$5:$S$1204,0),10))</f>
        <v/>
      </c>
      <c r="K47" s="8" t="str">
        <f t="array" ref="K47">IF(43&gt;$S$1204,"",INDEX($T$5:$AJ$1204,MATCH(43,$S$5:$S$1204,0),11))</f>
        <v/>
      </c>
      <c r="L47" s="8" t="str">
        <f t="array" ref="L47">IF(43&gt;$S$1204,"",INDEX($T$5:$AJ$1204,MATCH(43,$S$5:$S$1204,0),12))</f>
        <v/>
      </c>
      <c r="M47" s="8" t="str">
        <f t="array" ref="M47">IF(43&gt;$S$1204,"",INDEX($T$5:$AJ$1204,MATCH(43,$S$5:$S$1204,0),13))</f>
        <v/>
      </c>
      <c r="N47" s="8" t="str">
        <f t="array" ref="N47">IF(43&gt;$S$1204,"",INDEX($T$5:$AJ$1204,MATCH(43,$S$5:$S$1204,0),14))</f>
        <v/>
      </c>
      <c r="O47" s="15" t="str">
        <f t="array" ref="O47">IF(43&gt;$S$1204,"",INDEX($T$5:$AJ$1204,MATCH(43,$S$5:$S$1204,0),15))</f>
        <v/>
      </c>
      <c r="P47" s="8" t="str">
        <f t="array" ref="P47">IF(43&gt;$S$1204,"",INDEX($T$5:$AJ$1204,MATCH(43,$S$5:$S$1204,0),16))</f>
        <v/>
      </c>
      <c r="Q47" s="8" t="str">
        <f t="array" ref="Q47">IF(43&gt;$S$1204,"",INDEX($T$5:$AJ$1204,MATCH(43,$S$5:$S$1204,0),17))</f>
        <v/>
      </c>
      <c r="R47" s="17"/>
      <c r="S47" s="17">
        <f>S46+IF(M1_Administrativo!A51="",0,1)</f>
        <v>0</v>
      </c>
      <c r="T47" s="17" t="str">
        <f>IF(M1_Administrativo!A51="","",IF(M1_Administrativo!A51="","",M1_Administrativo!A51))</f>
        <v/>
      </c>
      <c r="U47" s="17" t="str">
        <f>IF(M1_Administrativo!A51="","",IF(M1_Administrativo!R51="","",M1_Administrativo!R51))</f>
        <v/>
      </c>
      <c r="V47" s="17" t="str">
        <f>IF(M1_Administrativo!A51="","",IF(M1_Administrativo!D51="","",M1_Administrativo!D51))</f>
        <v/>
      </c>
      <c r="W47" s="17" t="str">
        <f>IF(M1_Administrativo!A51="","",IF(M1_Administrativo!B51="","",M1_Administrativo!B51))</f>
        <v/>
      </c>
      <c r="X47" s="17" t="str">
        <f>IF(M1_Administrativo!A51="","",IF(M1_Administrativo!C51="","",M1_Administrativo!C51))</f>
        <v/>
      </c>
      <c r="Y47" s="17" t="str">
        <f>IF(M1_Administrativo!A51="","",IF(M1_Administrativo!E51="","",M1_Administrativo!E51))</f>
        <v/>
      </c>
      <c r="Z47" s="17" t="str">
        <f>IF(M1_Administrativo!A51="","",IF(M1_Administrativo!F51="","",M1_Administrativo!F51))</f>
        <v/>
      </c>
      <c r="AA47" s="17" t="str">
        <f>IF(M1_Administrativo!A51="","","M1 Administrativo")</f>
        <v/>
      </c>
      <c r="AB47" s="17" t="str">
        <f>IF(M1_Administrativo!A51="","",IF(M1_Administrativo!G51="","",M1_Administrativo!G51))</f>
        <v/>
      </c>
      <c r="AC47" s="17" t="str">
        <f>IF(M1_Administrativo!A51="","",IF(M1_Administrativo!M51="","",M1_Administrativo!M51))</f>
        <v/>
      </c>
      <c r="AD47" s="17" t="str">
        <f>IF(M1_Administrativo!A51="","","RA")</f>
        <v/>
      </c>
      <c r="AE47" s="17" t="str">
        <f>IF(M1_Administrativo!A51="","",IF(M1_Administrativo!O51="","",M1_Administrativo!O51))</f>
        <v/>
      </c>
      <c r="AF47" s="17" t="str">
        <f>IF(M1_Administrativo!A51="","",IF(M1_Administrativo!P51="","",M1_Administrativo!P51))</f>
        <v/>
      </c>
      <c r="AG47" s="17" t="str">
        <f>IF(M1_Administrativo!A51="","",IF(M1_Administrativo!Q51="","",M1_Administrativo!Q51))</f>
        <v/>
      </c>
      <c r="AH47" s="17" t="str">
        <f>IF(M1_Administrativo!A51="","","")</f>
        <v/>
      </c>
      <c r="AI47" s="17" t="str">
        <f>IF(M1_Administrativo!A51="","","M1_Administrativo!51")</f>
        <v/>
      </c>
      <c r="AJ47" s="17" t="str">
        <f>IF(M1_Administrativo!A51="","",IF(M1_Administrativo!M51="","Pendiente de resultado","Disponible"))</f>
        <v/>
      </c>
    </row>
    <row r="48" spans="1:36" ht="55.5" customHeight="1">
      <c r="A48" s="6" t="str">
        <f t="array" ref="A48">IF(44&gt;$S$1204,"",INDEX($T$5:$AJ$1204,MATCH(44,$S$5:$S$1204,0),1))</f>
        <v/>
      </c>
      <c r="B48" s="8" t="str">
        <f t="array" ref="B48">IF(44&gt;$S$1204,"",INDEX($T$5:$AJ$1204,MATCH(44,$S$5:$S$1204,0),2))</f>
        <v/>
      </c>
      <c r="C48" s="10" t="str">
        <f t="array" ref="C48">IF(44&gt;$S$1204,"",INDEX($T$5:$AJ$1204,MATCH(44,$S$5:$S$1204,0),3))</f>
        <v/>
      </c>
      <c r="D48" s="8" t="str">
        <f t="array" ref="D48">IF(44&gt;$S$1204,"",INDEX($T$5:$AJ$1204,MATCH(44,$S$5:$S$1204,0),4))</f>
        <v/>
      </c>
      <c r="E48" s="8" t="str">
        <f t="array" ref="E48">IF(44&gt;$S$1204,"",INDEX($T$5:$AJ$1204,MATCH(44,$S$5:$S$1204,0),5))</f>
        <v/>
      </c>
      <c r="F48" s="8" t="str">
        <f t="array" ref="F48">IF(44&gt;$S$1204,"",INDEX($T$5:$AJ$1204,MATCH(44,$S$5:$S$1204,0),6))</f>
        <v/>
      </c>
      <c r="G48" s="8" t="str">
        <f t="array" ref="G48">IF(44&gt;$S$1204,"",INDEX($T$5:$AJ$1204,MATCH(44,$S$5:$S$1204,0),7))</f>
        <v/>
      </c>
      <c r="H48" s="8" t="str">
        <f t="array" ref="H48">IF(44&gt;$S$1204,"",INDEX($T$5:$AJ$1204,MATCH(44,$S$5:$S$1204,0),8))</f>
        <v/>
      </c>
      <c r="I48" s="8" t="str">
        <f t="array" ref="I48">IF(44&gt;$S$1204,"",INDEX($T$5:$AJ$1204,MATCH(44,$S$5:$S$1204,0),9))</f>
        <v/>
      </c>
      <c r="J48" s="14" t="str">
        <f t="array" ref="J48">IF(44&gt;$S$1204,"",INDEX($T$5:$AJ$1204,MATCH(44,$S$5:$S$1204,0),10))</f>
        <v/>
      </c>
      <c r="K48" s="8" t="str">
        <f t="array" ref="K48">IF(44&gt;$S$1204,"",INDEX($T$5:$AJ$1204,MATCH(44,$S$5:$S$1204,0),11))</f>
        <v/>
      </c>
      <c r="L48" s="8" t="str">
        <f t="array" ref="L48">IF(44&gt;$S$1204,"",INDEX($T$5:$AJ$1204,MATCH(44,$S$5:$S$1204,0),12))</f>
        <v/>
      </c>
      <c r="M48" s="8" t="str">
        <f t="array" ref="M48">IF(44&gt;$S$1204,"",INDEX($T$5:$AJ$1204,MATCH(44,$S$5:$S$1204,0),13))</f>
        <v/>
      </c>
      <c r="N48" s="8" t="str">
        <f t="array" ref="N48">IF(44&gt;$S$1204,"",INDEX($T$5:$AJ$1204,MATCH(44,$S$5:$S$1204,0),14))</f>
        <v/>
      </c>
      <c r="O48" s="15" t="str">
        <f t="array" ref="O48">IF(44&gt;$S$1204,"",INDEX($T$5:$AJ$1204,MATCH(44,$S$5:$S$1204,0),15))</f>
        <v/>
      </c>
      <c r="P48" s="8" t="str">
        <f t="array" ref="P48">IF(44&gt;$S$1204,"",INDEX($T$5:$AJ$1204,MATCH(44,$S$5:$S$1204,0),16))</f>
        <v/>
      </c>
      <c r="Q48" s="8" t="str">
        <f t="array" ref="Q48">IF(44&gt;$S$1204,"",INDEX($T$5:$AJ$1204,MATCH(44,$S$5:$S$1204,0),17))</f>
        <v/>
      </c>
      <c r="R48" s="17"/>
      <c r="S48" s="17">
        <f>S47+IF(M1_Administrativo!A52="",0,1)</f>
        <v>0</v>
      </c>
      <c r="T48" s="17" t="str">
        <f>IF(M1_Administrativo!A52="","",IF(M1_Administrativo!A52="","",M1_Administrativo!A52))</f>
        <v/>
      </c>
      <c r="U48" s="17" t="str">
        <f>IF(M1_Administrativo!A52="","",IF(M1_Administrativo!R52="","",M1_Administrativo!R52))</f>
        <v/>
      </c>
      <c r="V48" s="17" t="str">
        <f>IF(M1_Administrativo!A52="","",IF(M1_Administrativo!D52="","",M1_Administrativo!D52))</f>
        <v/>
      </c>
      <c r="W48" s="17" t="str">
        <f>IF(M1_Administrativo!A52="","",IF(M1_Administrativo!B52="","",M1_Administrativo!B52))</f>
        <v/>
      </c>
      <c r="X48" s="17" t="str">
        <f>IF(M1_Administrativo!A52="","",IF(M1_Administrativo!C52="","",M1_Administrativo!C52))</f>
        <v/>
      </c>
      <c r="Y48" s="17" t="str">
        <f>IF(M1_Administrativo!A52="","",IF(M1_Administrativo!E52="","",M1_Administrativo!E52))</f>
        <v/>
      </c>
      <c r="Z48" s="17" t="str">
        <f>IF(M1_Administrativo!A52="","",IF(M1_Administrativo!F52="","",M1_Administrativo!F52))</f>
        <v/>
      </c>
      <c r="AA48" s="17" t="str">
        <f>IF(M1_Administrativo!A52="","","M1 Administrativo")</f>
        <v/>
      </c>
      <c r="AB48" s="17" t="str">
        <f>IF(M1_Administrativo!A52="","",IF(M1_Administrativo!G52="","",M1_Administrativo!G52))</f>
        <v/>
      </c>
      <c r="AC48" s="17" t="str">
        <f>IF(M1_Administrativo!A52="","",IF(M1_Administrativo!M52="","",M1_Administrativo!M52))</f>
        <v/>
      </c>
      <c r="AD48" s="17" t="str">
        <f>IF(M1_Administrativo!A52="","","RA")</f>
        <v/>
      </c>
      <c r="AE48" s="17" t="str">
        <f>IF(M1_Administrativo!A52="","",IF(M1_Administrativo!O52="","",M1_Administrativo!O52))</f>
        <v/>
      </c>
      <c r="AF48" s="17" t="str">
        <f>IF(M1_Administrativo!A52="","",IF(M1_Administrativo!P52="","",M1_Administrativo!P52))</f>
        <v/>
      </c>
      <c r="AG48" s="17" t="str">
        <f>IF(M1_Administrativo!A52="","",IF(M1_Administrativo!Q52="","",M1_Administrativo!Q52))</f>
        <v/>
      </c>
      <c r="AH48" s="17" t="str">
        <f>IF(M1_Administrativo!A52="","","")</f>
        <v/>
      </c>
      <c r="AI48" s="17" t="str">
        <f>IF(M1_Administrativo!A52="","","M1_Administrativo!52")</f>
        <v/>
      </c>
      <c r="AJ48" s="17" t="str">
        <f>IF(M1_Administrativo!A52="","",IF(M1_Administrativo!M52="","Pendiente de resultado","Disponible"))</f>
        <v/>
      </c>
    </row>
    <row r="49" spans="1:36" ht="55.5" customHeight="1">
      <c r="A49" s="6" t="str">
        <f t="array" ref="A49">IF(45&gt;$S$1204,"",INDEX($T$5:$AJ$1204,MATCH(45,$S$5:$S$1204,0),1))</f>
        <v/>
      </c>
      <c r="B49" s="8" t="str">
        <f t="array" ref="B49">IF(45&gt;$S$1204,"",INDEX($T$5:$AJ$1204,MATCH(45,$S$5:$S$1204,0),2))</f>
        <v/>
      </c>
      <c r="C49" s="10" t="str">
        <f t="array" ref="C49">IF(45&gt;$S$1204,"",INDEX($T$5:$AJ$1204,MATCH(45,$S$5:$S$1204,0),3))</f>
        <v/>
      </c>
      <c r="D49" s="8" t="str">
        <f t="array" ref="D49">IF(45&gt;$S$1204,"",INDEX($T$5:$AJ$1204,MATCH(45,$S$5:$S$1204,0),4))</f>
        <v/>
      </c>
      <c r="E49" s="8" t="str">
        <f t="array" ref="E49">IF(45&gt;$S$1204,"",INDEX($T$5:$AJ$1204,MATCH(45,$S$5:$S$1204,0),5))</f>
        <v/>
      </c>
      <c r="F49" s="8" t="str">
        <f t="array" ref="F49">IF(45&gt;$S$1204,"",INDEX($T$5:$AJ$1204,MATCH(45,$S$5:$S$1204,0),6))</f>
        <v/>
      </c>
      <c r="G49" s="8" t="str">
        <f t="array" ref="G49">IF(45&gt;$S$1204,"",INDEX($T$5:$AJ$1204,MATCH(45,$S$5:$S$1204,0),7))</f>
        <v/>
      </c>
      <c r="H49" s="8" t="str">
        <f t="array" ref="H49">IF(45&gt;$S$1204,"",INDEX($T$5:$AJ$1204,MATCH(45,$S$5:$S$1204,0),8))</f>
        <v/>
      </c>
      <c r="I49" s="8" t="str">
        <f t="array" ref="I49">IF(45&gt;$S$1204,"",INDEX($T$5:$AJ$1204,MATCH(45,$S$5:$S$1204,0),9))</f>
        <v/>
      </c>
      <c r="J49" s="14" t="str">
        <f t="array" ref="J49">IF(45&gt;$S$1204,"",INDEX($T$5:$AJ$1204,MATCH(45,$S$5:$S$1204,0),10))</f>
        <v/>
      </c>
      <c r="K49" s="8" t="str">
        <f t="array" ref="K49">IF(45&gt;$S$1204,"",INDEX($T$5:$AJ$1204,MATCH(45,$S$5:$S$1204,0),11))</f>
        <v/>
      </c>
      <c r="L49" s="8" t="str">
        <f t="array" ref="L49">IF(45&gt;$S$1204,"",INDEX($T$5:$AJ$1204,MATCH(45,$S$5:$S$1204,0),12))</f>
        <v/>
      </c>
      <c r="M49" s="8" t="str">
        <f t="array" ref="M49">IF(45&gt;$S$1204,"",INDEX($T$5:$AJ$1204,MATCH(45,$S$5:$S$1204,0),13))</f>
        <v/>
      </c>
      <c r="N49" s="8" t="str">
        <f t="array" ref="N49">IF(45&gt;$S$1204,"",INDEX($T$5:$AJ$1204,MATCH(45,$S$5:$S$1204,0),14))</f>
        <v/>
      </c>
      <c r="O49" s="15" t="str">
        <f t="array" ref="O49">IF(45&gt;$S$1204,"",INDEX($T$5:$AJ$1204,MATCH(45,$S$5:$S$1204,0),15))</f>
        <v/>
      </c>
      <c r="P49" s="8" t="str">
        <f t="array" ref="P49">IF(45&gt;$S$1204,"",INDEX($T$5:$AJ$1204,MATCH(45,$S$5:$S$1204,0),16))</f>
        <v/>
      </c>
      <c r="Q49" s="8" t="str">
        <f t="array" ref="Q49">IF(45&gt;$S$1204,"",INDEX($T$5:$AJ$1204,MATCH(45,$S$5:$S$1204,0),17))</f>
        <v/>
      </c>
      <c r="R49" s="17"/>
      <c r="S49" s="17">
        <f>S48+IF(M1_Administrativo!A53="",0,1)</f>
        <v>0</v>
      </c>
      <c r="T49" s="17" t="str">
        <f>IF(M1_Administrativo!A53="","",IF(M1_Administrativo!A53="","",M1_Administrativo!A53))</f>
        <v/>
      </c>
      <c r="U49" s="17" t="str">
        <f>IF(M1_Administrativo!A53="","",IF(M1_Administrativo!R53="","",M1_Administrativo!R53))</f>
        <v/>
      </c>
      <c r="V49" s="17" t="str">
        <f>IF(M1_Administrativo!A53="","",IF(M1_Administrativo!D53="","",M1_Administrativo!D53))</f>
        <v/>
      </c>
      <c r="W49" s="17" t="str">
        <f>IF(M1_Administrativo!A53="","",IF(M1_Administrativo!B53="","",M1_Administrativo!B53))</f>
        <v/>
      </c>
      <c r="X49" s="17" t="str">
        <f>IF(M1_Administrativo!A53="","",IF(M1_Administrativo!C53="","",M1_Administrativo!C53))</f>
        <v/>
      </c>
      <c r="Y49" s="17" t="str">
        <f>IF(M1_Administrativo!A53="","",IF(M1_Administrativo!E53="","",M1_Administrativo!E53))</f>
        <v/>
      </c>
      <c r="Z49" s="17" t="str">
        <f>IF(M1_Administrativo!A53="","",IF(M1_Administrativo!F53="","",M1_Administrativo!F53))</f>
        <v/>
      </c>
      <c r="AA49" s="17" t="str">
        <f>IF(M1_Administrativo!A53="","","M1 Administrativo")</f>
        <v/>
      </c>
      <c r="AB49" s="17" t="str">
        <f>IF(M1_Administrativo!A53="","",IF(M1_Administrativo!G53="","",M1_Administrativo!G53))</f>
        <v/>
      </c>
      <c r="AC49" s="17" t="str">
        <f>IF(M1_Administrativo!A53="","",IF(M1_Administrativo!M53="","",M1_Administrativo!M53))</f>
        <v/>
      </c>
      <c r="AD49" s="17" t="str">
        <f>IF(M1_Administrativo!A53="","","RA")</f>
        <v/>
      </c>
      <c r="AE49" s="17" t="str">
        <f>IF(M1_Administrativo!A53="","",IF(M1_Administrativo!O53="","",M1_Administrativo!O53))</f>
        <v/>
      </c>
      <c r="AF49" s="17" t="str">
        <f>IF(M1_Administrativo!A53="","",IF(M1_Administrativo!P53="","",M1_Administrativo!P53))</f>
        <v/>
      </c>
      <c r="AG49" s="17" t="str">
        <f>IF(M1_Administrativo!A53="","",IF(M1_Administrativo!Q53="","",M1_Administrativo!Q53))</f>
        <v/>
      </c>
      <c r="AH49" s="17" t="str">
        <f>IF(M1_Administrativo!A53="","","")</f>
        <v/>
      </c>
      <c r="AI49" s="17" t="str">
        <f>IF(M1_Administrativo!A53="","","M1_Administrativo!53")</f>
        <v/>
      </c>
      <c r="AJ49" s="17" t="str">
        <f>IF(M1_Administrativo!A53="","",IF(M1_Administrativo!M53="","Pendiente de resultado","Disponible"))</f>
        <v/>
      </c>
    </row>
    <row r="50" spans="1:36" ht="55.5" customHeight="1">
      <c r="A50" s="6" t="str">
        <f t="array" ref="A50">IF(46&gt;$S$1204,"",INDEX($T$5:$AJ$1204,MATCH(46,$S$5:$S$1204,0),1))</f>
        <v/>
      </c>
      <c r="B50" s="8" t="str">
        <f t="array" ref="B50">IF(46&gt;$S$1204,"",INDEX($T$5:$AJ$1204,MATCH(46,$S$5:$S$1204,0),2))</f>
        <v/>
      </c>
      <c r="C50" s="10" t="str">
        <f t="array" ref="C50">IF(46&gt;$S$1204,"",INDEX($T$5:$AJ$1204,MATCH(46,$S$5:$S$1204,0),3))</f>
        <v/>
      </c>
      <c r="D50" s="8" t="str">
        <f t="array" ref="D50">IF(46&gt;$S$1204,"",INDEX($T$5:$AJ$1204,MATCH(46,$S$5:$S$1204,0),4))</f>
        <v/>
      </c>
      <c r="E50" s="8" t="str">
        <f t="array" ref="E50">IF(46&gt;$S$1204,"",INDEX($T$5:$AJ$1204,MATCH(46,$S$5:$S$1204,0),5))</f>
        <v/>
      </c>
      <c r="F50" s="8" t="str">
        <f t="array" ref="F50">IF(46&gt;$S$1204,"",INDEX($T$5:$AJ$1204,MATCH(46,$S$5:$S$1204,0),6))</f>
        <v/>
      </c>
      <c r="G50" s="8" t="str">
        <f t="array" ref="G50">IF(46&gt;$S$1204,"",INDEX($T$5:$AJ$1204,MATCH(46,$S$5:$S$1204,0),7))</f>
        <v/>
      </c>
      <c r="H50" s="8" t="str">
        <f t="array" ref="H50">IF(46&gt;$S$1204,"",INDEX($T$5:$AJ$1204,MATCH(46,$S$5:$S$1204,0),8))</f>
        <v/>
      </c>
      <c r="I50" s="8" t="str">
        <f t="array" ref="I50">IF(46&gt;$S$1204,"",INDEX($T$5:$AJ$1204,MATCH(46,$S$5:$S$1204,0),9))</f>
        <v/>
      </c>
      <c r="J50" s="14" t="str">
        <f t="array" ref="J50">IF(46&gt;$S$1204,"",INDEX($T$5:$AJ$1204,MATCH(46,$S$5:$S$1204,0),10))</f>
        <v/>
      </c>
      <c r="K50" s="8" t="str">
        <f t="array" ref="K50">IF(46&gt;$S$1204,"",INDEX($T$5:$AJ$1204,MATCH(46,$S$5:$S$1204,0),11))</f>
        <v/>
      </c>
      <c r="L50" s="8" t="str">
        <f t="array" ref="L50">IF(46&gt;$S$1204,"",INDEX($T$5:$AJ$1204,MATCH(46,$S$5:$S$1204,0),12))</f>
        <v/>
      </c>
      <c r="M50" s="8" t="str">
        <f t="array" ref="M50">IF(46&gt;$S$1204,"",INDEX($T$5:$AJ$1204,MATCH(46,$S$5:$S$1204,0),13))</f>
        <v/>
      </c>
      <c r="N50" s="8" t="str">
        <f t="array" ref="N50">IF(46&gt;$S$1204,"",INDEX($T$5:$AJ$1204,MATCH(46,$S$5:$S$1204,0),14))</f>
        <v/>
      </c>
      <c r="O50" s="15" t="str">
        <f t="array" ref="O50">IF(46&gt;$S$1204,"",INDEX($T$5:$AJ$1204,MATCH(46,$S$5:$S$1204,0),15))</f>
        <v/>
      </c>
      <c r="P50" s="8" t="str">
        <f t="array" ref="P50">IF(46&gt;$S$1204,"",INDEX($T$5:$AJ$1204,MATCH(46,$S$5:$S$1204,0),16))</f>
        <v/>
      </c>
      <c r="Q50" s="8" t="str">
        <f t="array" ref="Q50">IF(46&gt;$S$1204,"",INDEX($T$5:$AJ$1204,MATCH(46,$S$5:$S$1204,0),17))</f>
        <v/>
      </c>
      <c r="R50" s="17"/>
      <c r="S50" s="17">
        <f>S49+IF(M1_Administrativo!A54="",0,1)</f>
        <v>0</v>
      </c>
      <c r="T50" s="17" t="str">
        <f>IF(M1_Administrativo!A54="","",IF(M1_Administrativo!A54="","",M1_Administrativo!A54))</f>
        <v/>
      </c>
      <c r="U50" s="17" t="str">
        <f>IF(M1_Administrativo!A54="","",IF(M1_Administrativo!R54="","",M1_Administrativo!R54))</f>
        <v/>
      </c>
      <c r="V50" s="17" t="str">
        <f>IF(M1_Administrativo!A54="","",IF(M1_Administrativo!D54="","",M1_Administrativo!D54))</f>
        <v/>
      </c>
      <c r="W50" s="17" t="str">
        <f>IF(M1_Administrativo!A54="","",IF(M1_Administrativo!B54="","",M1_Administrativo!B54))</f>
        <v/>
      </c>
      <c r="X50" s="17" t="str">
        <f>IF(M1_Administrativo!A54="","",IF(M1_Administrativo!C54="","",M1_Administrativo!C54))</f>
        <v/>
      </c>
      <c r="Y50" s="17" t="str">
        <f>IF(M1_Administrativo!A54="","",IF(M1_Administrativo!E54="","",M1_Administrativo!E54))</f>
        <v/>
      </c>
      <c r="Z50" s="17" t="str">
        <f>IF(M1_Administrativo!A54="","",IF(M1_Administrativo!F54="","",M1_Administrativo!F54))</f>
        <v/>
      </c>
      <c r="AA50" s="17" t="str">
        <f>IF(M1_Administrativo!A54="","","M1 Administrativo")</f>
        <v/>
      </c>
      <c r="AB50" s="17" t="str">
        <f>IF(M1_Administrativo!A54="","",IF(M1_Administrativo!G54="","",M1_Administrativo!G54))</f>
        <v/>
      </c>
      <c r="AC50" s="17" t="str">
        <f>IF(M1_Administrativo!A54="","",IF(M1_Administrativo!M54="","",M1_Administrativo!M54))</f>
        <v/>
      </c>
      <c r="AD50" s="17" t="str">
        <f>IF(M1_Administrativo!A54="","","RA")</f>
        <v/>
      </c>
      <c r="AE50" s="17" t="str">
        <f>IF(M1_Administrativo!A54="","",IF(M1_Administrativo!O54="","",M1_Administrativo!O54))</f>
        <v/>
      </c>
      <c r="AF50" s="17" t="str">
        <f>IF(M1_Administrativo!A54="","",IF(M1_Administrativo!P54="","",M1_Administrativo!P54))</f>
        <v/>
      </c>
      <c r="AG50" s="17" t="str">
        <f>IF(M1_Administrativo!A54="","",IF(M1_Administrativo!Q54="","",M1_Administrativo!Q54))</f>
        <v/>
      </c>
      <c r="AH50" s="17" t="str">
        <f>IF(M1_Administrativo!A54="","","")</f>
        <v/>
      </c>
      <c r="AI50" s="17" t="str">
        <f>IF(M1_Administrativo!A54="","","M1_Administrativo!54")</f>
        <v/>
      </c>
      <c r="AJ50" s="17" t="str">
        <f>IF(M1_Administrativo!A54="","",IF(M1_Administrativo!M54="","Pendiente de resultado","Disponible"))</f>
        <v/>
      </c>
    </row>
    <row r="51" spans="1:36" ht="55.5" customHeight="1">
      <c r="A51" s="6" t="str">
        <f t="array" ref="A51">IF(47&gt;$S$1204,"",INDEX($T$5:$AJ$1204,MATCH(47,$S$5:$S$1204,0),1))</f>
        <v/>
      </c>
      <c r="B51" s="8" t="str">
        <f t="array" ref="B51">IF(47&gt;$S$1204,"",INDEX($T$5:$AJ$1204,MATCH(47,$S$5:$S$1204,0),2))</f>
        <v/>
      </c>
      <c r="C51" s="10" t="str">
        <f t="array" ref="C51">IF(47&gt;$S$1204,"",INDEX($T$5:$AJ$1204,MATCH(47,$S$5:$S$1204,0),3))</f>
        <v/>
      </c>
      <c r="D51" s="8" t="str">
        <f t="array" ref="D51">IF(47&gt;$S$1204,"",INDEX($T$5:$AJ$1204,MATCH(47,$S$5:$S$1204,0),4))</f>
        <v/>
      </c>
      <c r="E51" s="8" t="str">
        <f t="array" ref="E51">IF(47&gt;$S$1204,"",INDEX($T$5:$AJ$1204,MATCH(47,$S$5:$S$1204,0),5))</f>
        <v/>
      </c>
      <c r="F51" s="8" t="str">
        <f t="array" ref="F51">IF(47&gt;$S$1204,"",INDEX($T$5:$AJ$1204,MATCH(47,$S$5:$S$1204,0),6))</f>
        <v/>
      </c>
      <c r="G51" s="8" t="str">
        <f t="array" ref="G51">IF(47&gt;$S$1204,"",INDEX($T$5:$AJ$1204,MATCH(47,$S$5:$S$1204,0),7))</f>
        <v/>
      </c>
      <c r="H51" s="8" t="str">
        <f t="array" ref="H51">IF(47&gt;$S$1204,"",INDEX($T$5:$AJ$1204,MATCH(47,$S$5:$S$1204,0),8))</f>
        <v/>
      </c>
      <c r="I51" s="8" t="str">
        <f t="array" ref="I51">IF(47&gt;$S$1204,"",INDEX($T$5:$AJ$1204,MATCH(47,$S$5:$S$1204,0),9))</f>
        <v/>
      </c>
      <c r="J51" s="14" t="str">
        <f t="array" ref="J51">IF(47&gt;$S$1204,"",INDEX($T$5:$AJ$1204,MATCH(47,$S$5:$S$1204,0),10))</f>
        <v/>
      </c>
      <c r="K51" s="8" t="str">
        <f t="array" ref="K51">IF(47&gt;$S$1204,"",INDEX($T$5:$AJ$1204,MATCH(47,$S$5:$S$1204,0),11))</f>
        <v/>
      </c>
      <c r="L51" s="8" t="str">
        <f t="array" ref="L51">IF(47&gt;$S$1204,"",INDEX($T$5:$AJ$1204,MATCH(47,$S$5:$S$1204,0),12))</f>
        <v/>
      </c>
      <c r="M51" s="8" t="str">
        <f t="array" ref="M51">IF(47&gt;$S$1204,"",INDEX($T$5:$AJ$1204,MATCH(47,$S$5:$S$1204,0),13))</f>
        <v/>
      </c>
      <c r="N51" s="8" t="str">
        <f t="array" ref="N51">IF(47&gt;$S$1204,"",INDEX($T$5:$AJ$1204,MATCH(47,$S$5:$S$1204,0),14))</f>
        <v/>
      </c>
      <c r="O51" s="15" t="str">
        <f t="array" ref="O51">IF(47&gt;$S$1204,"",INDEX($T$5:$AJ$1204,MATCH(47,$S$5:$S$1204,0),15))</f>
        <v/>
      </c>
      <c r="P51" s="8" t="str">
        <f t="array" ref="P51">IF(47&gt;$S$1204,"",INDEX($T$5:$AJ$1204,MATCH(47,$S$5:$S$1204,0),16))</f>
        <v/>
      </c>
      <c r="Q51" s="8" t="str">
        <f t="array" ref="Q51">IF(47&gt;$S$1204,"",INDEX($T$5:$AJ$1204,MATCH(47,$S$5:$S$1204,0),17))</f>
        <v/>
      </c>
      <c r="R51" s="17"/>
      <c r="S51" s="17">
        <f>S50+IF(M1_Administrativo!A55="",0,1)</f>
        <v>0</v>
      </c>
      <c r="T51" s="17" t="str">
        <f>IF(M1_Administrativo!A55="","",IF(M1_Administrativo!A55="","",M1_Administrativo!A55))</f>
        <v/>
      </c>
      <c r="U51" s="17" t="str">
        <f>IF(M1_Administrativo!A55="","",IF(M1_Administrativo!R55="","",M1_Administrativo!R55))</f>
        <v/>
      </c>
      <c r="V51" s="17" t="str">
        <f>IF(M1_Administrativo!A55="","",IF(M1_Administrativo!D55="","",M1_Administrativo!D55))</f>
        <v/>
      </c>
      <c r="W51" s="17" t="str">
        <f>IF(M1_Administrativo!A55="","",IF(M1_Administrativo!B55="","",M1_Administrativo!B55))</f>
        <v/>
      </c>
      <c r="X51" s="17" t="str">
        <f>IF(M1_Administrativo!A55="","",IF(M1_Administrativo!C55="","",M1_Administrativo!C55))</f>
        <v/>
      </c>
      <c r="Y51" s="17" t="str">
        <f>IF(M1_Administrativo!A55="","",IF(M1_Administrativo!E55="","",M1_Administrativo!E55))</f>
        <v/>
      </c>
      <c r="Z51" s="17" t="str">
        <f>IF(M1_Administrativo!A55="","",IF(M1_Administrativo!F55="","",M1_Administrativo!F55))</f>
        <v/>
      </c>
      <c r="AA51" s="17" t="str">
        <f>IF(M1_Administrativo!A55="","","M1 Administrativo")</f>
        <v/>
      </c>
      <c r="AB51" s="17" t="str">
        <f>IF(M1_Administrativo!A55="","",IF(M1_Administrativo!G55="","",M1_Administrativo!G55))</f>
        <v/>
      </c>
      <c r="AC51" s="17" t="str">
        <f>IF(M1_Administrativo!A55="","",IF(M1_Administrativo!M55="","",M1_Administrativo!M55))</f>
        <v/>
      </c>
      <c r="AD51" s="17" t="str">
        <f>IF(M1_Administrativo!A55="","","RA")</f>
        <v/>
      </c>
      <c r="AE51" s="17" t="str">
        <f>IF(M1_Administrativo!A55="","",IF(M1_Administrativo!O55="","",M1_Administrativo!O55))</f>
        <v/>
      </c>
      <c r="AF51" s="17" t="str">
        <f>IF(M1_Administrativo!A55="","",IF(M1_Administrativo!P55="","",M1_Administrativo!P55))</f>
        <v/>
      </c>
      <c r="AG51" s="17" t="str">
        <f>IF(M1_Administrativo!A55="","",IF(M1_Administrativo!Q55="","",M1_Administrativo!Q55))</f>
        <v/>
      </c>
      <c r="AH51" s="17" t="str">
        <f>IF(M1_Administrativo!A55="","","")</f>
        <v/>
      </c>
      <c r="AI51" s="17" t="str">
        <f>IF(M1_Administrativo!A55="","","M1_Administrativo!55")</f>
        <v/>
      </c>
      <c r="AJ51" s="17" t="str">
        <f>IF(M1_Administrativo!A55="","",IF(M1_Administrativo!M55="","Pendiente de resultado","Disponible"))</f>
        <v/>
      </c>
    </row>
    <row r="52" spans="1:36" ht="55.5" customHeight="1">
      <c r="A52" s="6" t="str">
        <f t="array" ref="A52">IF(48&gt;$S$1204,"",INDEX($T$5:$AJ$1204,MATCH(48,$S$5:$S$1204,0),1))</f>
        <v/>
      </c>
      <c r="B52" s="8" t="str">
        <f t="array" ref="B52">IF(48&gt;$S$1204,"",INDEX($T$5:$AJ$1204,MATCH(48,$S$5:$S$1204,0),2))</f>
        <v/>
      </c>
      <c r="C52" s="10" t="str">
        <f t="array" ref="C52">IF(48&gt;$S$1204,"",INDEX($T$5:$AJ$1204,MATCH(48,$S$5:$S$1204,0),3))</f>
        <v/>
      </c>
      <c r="D52" s="8" t="str">
        <f t="array" ref="D52">IF(48&gt;$S$1204,"",INDEX($T$5:$AJ$1204,MATCH(48,$S$5:$S$1204,0),4))</f>
        <v/>
      </c>
      <c r="E52" s="8" t="str">
        <f t="array" ref="E52">IF(48&gt;$S$1204,"",INDEX($T$5:$AJ$1204,MATCH(48,$S$5:$S$1204,0),5))</f>
        <v/>
      </c>
      <c r="F52" s="8" t="str">
        <f t="array" ref="F52">IF(48&gt;$S$1204,"",INDEX($T$5:$AJ$1204,MATCH(48,$S$5:$S$1204,0),6))</f>
        <v/>
      </c>
      <c r="G52" s="8" t="str">
        <f t="array" ref="G52">IF(48&gt;$S$1204,"",INDEX($T$5:$AJ$1204,MATCH(48,$S$5:$S$1204,0),7))</f>
        <v/>
      </c>
      <c r="H52" s="8" t="str">
        <f t="array" ref="H52">IF(48&gt;$S$1204,"",INDEX($T$5:$AJ$1204,MATCH(48,$S$5:$S$1204,0),8))</f>
        <v/>
      </c>
      <c r="I52" s="8" t="str">
        <f t="array" ref="I52">IF(48&gt;$S$1204,"",INDEX($T$5:$AJ$1204,MATCH(48,$S$5:$S$1204,0),9))</f>
        <v/>
      </c>
      <c r="J52" s="14" t="str">
        <f t="array" ref="J52">IF(48&gt;$S$1204,"",INDEX($T$5:$AJ$1204,MATCH(48,$S$5:$S$1204,0),10))</f>
        <v/>
      </c>
      <c r="K52" s="8" t="str">
        <f t="array" ref="K52">IF(48&gt;$S$1204,"",INDEX($T$5:$AJ$1204,MATCH(48,$S$5:$S$1204,0),11))</f>
        <v/>
      </c>
      <c r="L52" s="8" t="str">
        <f t="array" ref="L52">IF(48&gt;$S$1204,"",INDEX($T$5:$AJ$1204,MATCH(48,$S$5:$S$1204,0),12))</f>
        <v/>
      </c>
      <c r="M52" s="8" t="str">
        <f t="array" ref="M52">IF(48&gt;$S$1204,"",INDEX($T$5:$AJ$1204,MATCH(48,$S$5:$S$1204,0),13))</f>
        <v/>
      </c>
      <c r="N52" s="8" t="str">
        <f t="array" ref="N52">IF(48&gt;$S$1204,"",INDEX($T$5:$AJ$1204,MATCH(48,$S$5:$S$1204,0),14))</f>
        <v/>
      </c>
      <c r="O52" s="15" t="str">
        <f t="array" ref="O52">IF(48&gt;$S$1204,"",INDEX($T$5:$AJ$1204,MATCH(48,$S$5:$S$1204,0),15))</f>
        <v/>
      </c>
      <c r="P52" s="8" t="str">
        <f t="array" ref="P52">IF(48&gt;$S$1204,"",INDEX($T$5:$AJ$1204,MATCH(48,$S$5:$S$1204,0),16))</f>
        <v/>
      </c>
      <c r="Q52" s="8" t="str">
        <f t="array" ref="Q52">IF(48&gt;$S$1204,"",INDEX($T$5:$AJ$1204,MATCH(48,$S$5:$S$1204,0),17))</f>
        <v/>
      </c>
      <c r="R52" s="17"/>
      <c r="S52" s="17">
        <f>S51+IF(M1_Administrativo!A56="",0,1)</f>
        <v>0</v>
      </c>
      <c r="T52" s="17" t="str">
        <f>IF(M1_Administrativo!A56="","",IF(M1_Administrativo!A56="","",M1_Administrativo!A56))</f>
        <v/>
      </c>
      <c r="U52" s="17" t="str">
        <f>IF(M1_Administrativo!A56="","",IF(M1_Administrativo!R56="","",M1_Administrativo!R56))</f>
        <v/>
      </c>
      <c r="V52" s="17" t="str">
        <f>IF(M1_Administrativo!A56="","",IF(M1_Administrativo!D56="","",M1_Administrativo!D56))</f>
        <v/>
      </c>
      <c r="W52" s="17" t="str">
        <f>IF(M1_Administrativo!A56="","",IF(M1_Administrativo!B56="","",M1_Administrativo!B56))</f>
        <v/>
      </c>
      <c r="X52" s="17" t="str">
        <f>IF(M1_Administrativo!A56="","",IF(M1_Administrativo!C56="","",M1_Administrativo!C56))</f>
        <v/>
      </c>
      <c r="Y52" s="17" t="str">
        <f>IF(M1_Administrativo!A56="","",IF(M1_Administrativo!E56="","",M1_Administrativo!E56))</f>
        <v/>
      </c>
      <c r="Z52" s="17" t="str">
        <f>IF(M1_Administrativo!A56="","",IF(M1_Administrativo!F56="","",M1_Administrativo!F56))</f>
        <v/>
      </c>
      <c r="AA52" s="17" t="str">
        <f>IF(M1_Administrativo!A56="","","M1 Administrativo")</f>
        <v/>
      </c>
      <c r="AB52" s="17" t="str">
        <f>IF(M1_Administrativo!A56="","",IF(M1_Administrativo!G56="","",M1_Administrativo!G56))</f>
        <v/>
      </c>
      <c r="AC52" s="17" t="str">
        <f>IF(M1_Administrativo!A56="","",IF(M1_Administrativo!M56="","",M1_Administrativo!M56))</f>
        <v/>
      </c>
      <c r="AD52" s="17" t="str">
        <f>IF(M1_Administrativo!A56="","","RA")</f>
        <v/>
      </c>
      <c r="AE52" s="17" t="str">
        <f>IF(M1_Administrativo!A56="","",IF(M1_Administrativo!O56="","",M1_Administrativo!O56))</f>
        <v/>
      </c>
      <c r="AF52" s="17" t="str">
        <f>IF(M1_Administrativo!A56="","",IF(M1_Administrativo!P56="","",M1_Administrativo!P56))</f>
        <v/>
      </c>
      <c r="AG52" s="17" t="str">
        <f>IF(M1_Administrativo!A56="","",IF(M1_Administrativo!Q56="","",M1_Administrativo!Q56))</f>
        <v/>
      </c>
      <c r="AH52" s="17" t="str">
        <f>IF(M1_Administrativo!A56="","","")</f>
        <v/>
      </c>
      <c r="AI52" s="17" t="str">
        <f>IF(M1_Administrativo!A56="","","M1_Administrativo!56")</f>
        <v/>
      </c>
      <c r="AJ52" s="17" t="str">
        <f>IF(M1_Administrativo!A56="","",IF(M1_Administrativo!M56="","Pendiente de resultado","Disponible"))</f>
        <v/>
      </c>
    </row>
    <row r="53" spans="1:36" ht="55.5" customHeight="1">
      <c r="A53" s="6" t="str">
        <f t="array" ref="A53">IF(49&gt;$S$1204,"",INDEX($T$5:$AJ$1204,MATCH(49,$S$5:$S$1204,0),1))</f>
        <v/>
      </c>
      <c r="B53" s="8" t="str">
        <f t="array" ref="B53">IF(49&gt;$S$1204,"",INDEX($T$5:$AJ$1204,MATCH(49,$S$5:$S$1204,0),2))</f>
        <v/>
      </c>
      <c r="C53" s="10" t="str">
        <f t="array" ref="C53">IF(49&gt;$S$1204,"",INDEX($T$5:$AJ$1204,MATCH(49,$S$5:$S$1204,0),3))</f>
        <v/>
      </c>
      <c r="D53" s="8" t="str">
        <f t="array" ref="D53">IF(49&gt;$S$1204,"",INDEX($T$5:$AJ$1204,MATCH(49,$S$5:$S$1204,0),4))</f>
        <v/>
      </c>
      <c r="E53" s="8" t="str">
        <f t="array" ref="E53">IF(49&gt;$S$1204,"",INDEX($T$5:$AJ$1204,MATCH(49,$S$5:$S$1204,0),5))</f>
        <v/>
      </c>
      <c r="F53" s="8" t="str">
        <f t="array" ref="F53">IF(49&gt;$S$1204,"",INDEX($T$5:$AJ$1204,MATCH(49,$S$5:$S$1204,0),6))</f>
        <v/>
      </c>
      <c r="G53" s="8" t="str">
        <f t="array" ref="G53">IF(49&gt;$S$1204,"",INDEX($T$5:$AJ$1204,MATCH(49,$S$5:$S$1204,0),7))</f>
        <v/>
      </c>
      <c r="H53" s="8" t="str">
        <f t="array" ref="H53">IF(49&gt;$S$1204,"",INDEX($T$5:$AJ$1204,MATCH(49,$S$5:$S$1204,0),8))</f>
        <v/>
      </c>
      <c r="I53" s="8" t="str">
        <f t="array" ref="I53">IF(49&gt;$S$1204,"",INDEX($T$5:$AJ$1204,MATCH(49,$S$5:$S$1204,0),9))</f>
        <v/>
      </c>
      <c r="J53" s="14" t="str">
        <f t="array" ref="J53">IF(49&gt;$S$1204,"",INDEX($T$5:$AJ$1204,MATCH(49,$S$5:$S$1204,0),10))</f>
        <v/>
      </c>
      <c r="K53" s="8" t="str">
        <f t="array" ref="K53">IF(49&gt;$S$1204,"",INDEX($T$5:$AJ$1204,MATCH(49,$S$5:$S$1204,0),11))</f>
        <v/>
      </c>
      <c r="L53" s="8" t="str">
        <f t="array" ref="L53">IF(49&gt;$S$1204,"",INDEX($T$5:$AJ$1204,MATCH(49,$S$5:$S$1204,0),12))</f>
        <v/>
      </c>
      <c r="M53" s="8" t="str">
        <f t="array" ref="M53">IF(49&gt;$S$1204,"",INDEX($T$5:$AJ$1204,MATCH(49,$S$5:$S$1204,0),13))</f>
        <v/>
      </c>
      <c r="N53" s="8" t="str">
        <f t="array" ref="N53">IF(49&gt;$S$1204,"",INDEX($T$5:$AJ$1204,MATCH(49,$S$5:$S$1204,0),14))</f>
        <v/>
      </c>
      <c r="O53" s="15" t="str">
        <f t="array" ref="O53">IF(49&gt;$S$1204,"",INDEX($T$5:$AJ$1204,MATCH(49,$S$5:$S$1204,0),15))</f>
        <v/>
      </c>
      <c r="P53" s="8" t="str">
        <f t="array" ref="P53">IF(49&gt;$S$1204,"",INDEX($T$5:$AJ$1204,MATCH(49,$S$5:$S$1204,0),16))</f>
        <v/>
      </c>
      <c r="Q53" s="8" t="str">
        <f t="array" ref="Q53">IF(49&gt;$S$1204,"",INDEX($T$5:$AJ$1204,MATCH(49,$S$5:$S$1204,0),17))</f>
        <v/>
      </c>
      <c r="R53" s="17"/>
      <c r="S53" s="17">
        <f>S52+IF(M1_Administrativo!A57="",0,1)</f>
        <v>0</v>
      </c>
      <c r="T53" s="17" t="str">
        <f>IF(M1_Administrativo!A57="","",IF(M1_Administrativo!A57="","",M1_Administrativo!A57))</f>
        <v/>
      </c>
      <c r="U53" s="17" t="str">
        <f>IF(M1_Administrativo!A57="","",IF(M1_Administrativo!R57="","",M1_Administrativo!R57))</f>
        <v/>
      </c>
      <c r="V53" s="17" t="str">
        <f>IF(M1_Administrativo!A57="","",IF(M1_Administrativo!D57="","",M1_Administrativo!D57))</f>
        <v/>
      </c>
      <c r="W53" s="17" t="str">
        <f>IF(M1_Administrativo!A57="","",IF(M1_Administrativo!B57="","",M1_Administrativo!B57))</f>
        <v/>
      </c>
      <c r="X53" s="17" t="str">
        <f>IF(M1_Administrativo!A57="","",IF(M1_Administrativo!C57="","",M1_Administrativo!C57))</f>
        <v/>
      </c>
      <c r="Y53" s="17" t="str">
        <f>IF(M1_Administrativo!A57="","",IF(M1_Administrativo!E57="","",M1_Administrativo!E57))</f>
        <v/>
      </c>
      <c r="Z53" s="17" t="str">
        <f>IF(M1_Administrativo!A57="","",IF(M1_Administrativo!F57="","",M1_Administrativo!F57))</f>
        <v/>
      </c>
      <c r="AA53" s="17" t="str">
        <f>IF(M1_Administrativo!A57="","","M1 Administrativo")</f>
        <v/>
      </c>
      <c r="AB53" s="17" t="str">
        <f>IF(M1_Administrativo!A57="","",IF(M1_Administrativo!G57="","",M1_Administrativo!G57))</f>
        <v/>
      </c>
      <c r="AC53" s="17" t="str">
        <f>IF(M1_Administrativo!A57="","",IF(M1_Administrativo!M57="","",M1_Administrativo!M57))</f>
        <v/>
      </c>
      <c r="AD53" s="17" t="str">
        <f>IF(M1_Administrativo!A57="","","RA")</f>
        <v/>
      </c>
      <c r="AE53" s="17" t="str">
        <f>IF(M1_Administrativo!A57="","",IF(M1_Administrativo!O57="","",M1_Administrativo!O57))</f>
        <v/>
      </c>
      <c r="AF53" s="17" t="str">
        <f>IF(M1_Administrativo!A57="","",IF(M1_Administrativo!P57="","",M1_Administrativo!P57))</f>
        <v/>
      </c>
      <c r="AG53" s="17" t="str">
        <f>IF(M1_Administrativo!A57="","",IF(M1_Administrativo!Q57="","",M1_Administrativo!Q57))</f>
        <v/>
      </c>
      <c r="AH53" s="17" t="str">
        <f>IF(M1_Administrativo!A57="","","")</f>
        <v/>
      </c>
      <c r="AI53" s="17" t="str">
        <f>IF(M1_Administrativo!A57="","","M1_Administrativo!57")</f>
        <v/>
      </c>
      <c r="AJ53" s="17" t="str">
        <f>IF(M1_Administrativo!A57="","",IF(M1_Administrativo!M57="","Pendiente de resultado","Disponible"))</f>
        <v/>
      </c>
    </row>
    <row r="54" spans="1:36" ht="55.5" customHeight="1">
      <c r="A54" s="6" t="str">
        <f t="array" ref="A54">IF(50&gt;$S$1204,"",INDEX($T$5:$AJ$1204,MATCH(50,$S$5:$S$1204,0),1))</f>
        <v/>
      </c>
      <c r="B54" s="8" t="str">
        <f t="array" ref="B54">IF(50&gt;$S$1204,"",INDEX($T$5:$AJ$1204,MATCH(50,$S$5:$S$1204,0),2))</f>
        <v/>
      </c>
      <c r="C54" s="10" t="str">
        <f t="array" ref="C54">IF(50&gt;$S$1204,"",INDEX($T$5:$AJ$1204,MATCH(50,$S$5:$S$1204,0),3))</f>
        <v/>
      </c>
      <c r="D54" s="8" t="str">
        <f t="array" ref="D54">IF(50&gt;$S$1204,"",INDEX($T$5:$AJ$1204,MATCH(50,$S$5:$S$1204,0),4))</f>
        <v/>
      </c>
      <c r="E54" s="8" t="str">
        <f t="array" ref="E54">IF(50&gt;$S$1204,"",INDEX($T$5:$AJ$1204,MATCH(50,$S$5:$S$1204,0),5))</f>
        <v/>
      </c>
      <c r="F54" s="8" t="str">
        <f t="array" ref="F54">IF(50&gt;$S$1204,"",INDEX($T$5:$AJ$1204,MATCH(50,$S$5:$S$1204,0),6))</f>
        <v/>
      </c>
      <c r="G54" s="8" t="str">
        <f t="array" ref="G54">IF(50&gt;$S$1204,"",INDEX($T$5:$AJ$1204,MATCH(50,$S$5:$S$1204,0),7))</f>
        <v/>
      </c>
      <c r="H54" s="8" t="str">
        <f t="array" ref="H54">IF(50&gt;$S$1204,"",INDEX($T$5:$AJ$1204,MATCH(50,$S$5:$S$1204,0),8))</f>
        <v/>
      </c>
      <c r="I54" s="8" t="str">
        <f t="array" ref="I54">IF(50&gt;$S$1204,"",INDEX($T$5:$AJ$1204,MATCH(50,$S$5:$S$1204,0),9))</f>
        <v/>
      </c>
      <c r="J54" s="14" t="str">
        <f t="array" ref="J54">IF(50&gt;$S$1204,"",INDEX($T$5:$AJ$1204,MATCH(50,$S$5:$S$1204,0),10))</f>
        <v/>
      </c>
      <c r="K54" s="8" t="str">
        <f t="array" ref="K54">IF(50&gt;$S$1204,"",INDEX($T$5:$AJ$1204,MATCH(50,$S$5:$S$1204,0),11))</f>
        <v/>
      </c>
      <c r="L54" s="8" t="str">
        <f t="array" ref="L54">IF(50&gt;$S$1204,"",INDEX($T$5:$AJ$1204,MATCH(50,$S$5:$S$1204,0),12))</f>
        <v/>
      </c>
      <c r="M54" s="8" t="str">
        <f t="array" ref="M54">IF(50&gt;$S$1204,"",INDEX($T$5:$AJ$1204,MATCH(50,$S$5:$S$1204,0),13))</f>
        <v/>
      </c>
      <c r="N54" s="8" t="str">
        <f t="array" ref="N54">IF(50&gt;$S$1204,"",INDEX($T$5:$AJ$1204,MATCH(50,$S$5:$S$1204,0),14))</f>
        <v/>
      </c>
      <c r="O54" s="15" t="str">
        <f t="array" ref="O54">IF(50&gt;$S$1204,"",INDEX($T$5:$AJ$1204,MATCH(50,$S$5:$S$1204,0),15))</f>
        <v/>
      </c>
      <c r="P54" s="8" t="str">
        <f t="array" ref="P54">IF(50&gt;$S$1204,"",INDEX($T$5:$AJ$1204,MATCH(50,$S$5:$S$1204,0),16))</f>
        <v/>
      </c>
      <c r="Q54" s="8" t="str">
        <f t="array" ref="Q54">IF(50&gt;$S$1204,"",INDEX($T$5:$AJ$1204,MATCH(50,$S$5:$S$1204,0),17))</f>
        <v/>
      </c>
      <c r="R54" s="17"/>
      <c r="S54" s="17">
        <f>S53+IF(M1_Administrativo!A58="",0,1)</f>
        <v>0</v>
      </c>
      <c r="T54" s="17" t="str">
        <f>IF(M1_Administrativo!A58="","",IF(M1_Administrativo!A58="","",M1_Administrativo!A58))</f>
        <v/>
      </c>
      <c r="U54" s="17" t="str">
        <f>IF(M1_Administrativo!A58="","",IF(M1_Administrativo!R58="","",M1_Administrativo!R58))</f>
        <v/>
      </c>
      <c r="V54" s="17" t="str">
        <f>IF(M1_Administrativo!A58="","",IF(M1_Administrativo!D58="","",M1_Administrativo!D58))</f>
        <v/>
      </c>
      <c r="W54" s="17" t="str">
        <f>IF(M1_Administrativo!A58="","",IF(M1_Administrativo!B58="","",M1_Administrativo!B58))</f>
        <v/>
      </c>
      <c r="X54" s="17" t="str">
        <f>IF(M1_Administrativo!A58="","",IF(M1_Administrativo!C58="","",M1_Administrativo!C58))</f>
        <v/>
      </c>
      <c r="Y54" s="17" t="str">
        <f>IF(M1_Administrativo!A58="","",IF(M1_Administrativo!E58="","",M1_Administrativo!E58))</f>
        <v/>
      </c>
      <c r="Z54" s="17" t="str">
        <f>IF(M1_Administrativo!A58="","",IF(M1_Administrativo!F58="","",M1_Administrativo!F58))</f>
        <v/>
      </c>
      <c r="AA54" s="17" t="str">
        <f>IF(M1_Administrativo!A58="","","M1 Administrativo")</f>
        <v/>
      </c>
      <c r="AB54" s="17" t="str">
        <f>IF(M1_Administrativo!A58="","",IF(M1_Administrativo!G58="","",M1_Administrativo!G58))</f>
        <v/>
      </c>
      <c r="AC54" s="17" t="str">
        <f>IF(M1_Administrativo!A58="","",IF(M1_Administrativo!M58="","",M1_Administrativo!M58))</f>
        <v/>
      </c>
      <c r="AD54" s="17" t="str">
        <f>IF(M1_Administrativo!A58="","","RA")</f>
        <v/>
      </c>
      <c r="AE54" s="17" t="str">
        <f>IF(M1_Administrativo!A58="","",IF(M1_Administrativo!O58="","",M1_Administrativo!O58))</f>
        <v/>
      </c>
      <c r="AF54" s="17" t="str">
        <f>IF(M1_Administrativo!A58="","",IF(M1_Administrativo!P58="","",M1_Administrativo!P58))</f>
        <v/>
      </c>
      <c r="AG54" s="17" t="str">
        <f>IF(M1_Administrativo!A58="","",IF(M1_Administrativo!Q58="","",M1_Administrativo!Q58))</f>
        <v/>
      </c>
      <c r="AH54" s="17" t="str">
        <f>IF(M1_Administrativo!A58="","","")</f>
        <v/>
      </c>
      <c r="AI54" s="17" t="str">
        <f>IF(M1_Administrativo!A58="","","M1_Administrativo!58")</f>
        <v/>
      </c>
      <c r="AJ54" s="17" t="str">
        <f>IF(M1_Administrativo!A58="","",IF(M1_Administrativo!M58="","Pendiente de resultado","Disponible"))</f>
        <v/>
      </c>
    </row>
    <row r="55" spans="1:36" ht="55.5" customHeight="1">
      <c r="A55" s="6" t="str">
        <f t="array" ref="A55">IF(51&gt;$S$1204,"",INDEX($T$5:$AJ$1204,MATCH(51,$S$5:$S$1204,0),1))</f>
        <v/>
      </c>
      <c r="B55" s="8" t="str">
        <f t="array" ref="B55">IF(51&gt;$S$1204,"",INDEX($T$5:$AJ$1204,MATCH(51,$S$5:$S$1204,0),2))</f>
        <v/>
      </c>
      <c r="C55" s="10" t="str">
        <f t="array" ref="C55">IF(51&gt;$S$1204,"",INDEX($T$5:$AJ$1204,MATCH(51,$S$5:$S$1204,0),3))</f>
        <v/>
      </c>
      <c r="D55" s="8" t="str">
        <f t="array" ref="D55">IF(51&gt;$S$1204,"",INDEX($T$5:$AJ$1204,MATCH(51,$S$5:$S$1204,0),4))</f>
        <v/>
      </c>
      <c r="E55" s="8" t="str">
        <f t="array" ref="E55">IF(51&gt;$S$1204,"",INDEX($T$5:$AJ$1204,MATCH(51,$S$5:$S$1204,0),5))</f>
        <v/>
      </c>
      <c r="F55" s="8" t="str">
        <f t="array" ref="F55">IF(51&gt;$S$1204,"",INDEX($T$5:$AJ$1204,MATCH(51,$S$5:$S$1204,0),6))</f>
        <v/>
      </c>
      <c r="G55" s="8" t="str">
        <f t="array" ref="G55">IF(51&gt;$S$1204,"",INDEX($T$5:$AJ$1204,MATCH(51,$S$5:$S$1204,0),7))</f>
        <v/>
      </c>
      <c r="H55" s="8" t="str">
        <f t="array" ref="H55">IF(51&gt;$S$1204,"",INDEX($T$5:$AJ$1204,MATCH(51,$S$5:$S$1204,0),8))</f>
        <v/>
      </c>
      <c r="I55" s="8" t="str">
        <f t="array" ref="I55">IF(51&gt;$S$1204,"",INDEX($T$5:$AJ$1204,MATCH(51,$S$5:$S$1204,0),9))</f>
        <v/>
      </c>
      <c r="J55" s="14" t="str">
        <f t="array" ref="J55">IF(51&gt;$S$1204,"",INDEX($T$5:$AJ$1204,MATCH(51,$S$5:$S$1204,0),10))</f>
        <v/>
      </c>
      <c r="K55" s="8" t="str">
        <f t="array" ref="K55">IF(51&gt;$S$1204,"",INDEX($T$5:$AJ$1204,MATCH(51,$S$5:$S$1204,0),11))</f>
        <v/>
      </c>
      <c r="L55" s="8" t="str">
        <f t="array" ref="L55">IF(51&gt;$S$1204,"",INDEX($T$5:$AJ$1204,MATCH(51,$S$5:$S$1204,0),12))</f>
        <v/>
      </c>
      <c r="M55" s="8" t="str">
        <f t="array" ref="M55">IF(51&gt;$S$1204,"",INDEX($T$5:$AJ$1204,MATCH(51,$S$5:$S$1204,0),13))</f>
        <v/>
      </c>
      <c r="N55" s="8" t="str">
        <f t="array" ref="N55">IF(51&gt;$S$1204,"",INDEX($T$5:$AJ$1204,MATCH(51,$S$5:$S$1204,0),14))</f>
        <v/>
      </c>
      <c r="O55" s="15" t="str">
        <f t="array" ref="O55">IF(51&gt;$S$1204,"",INDEX($T$5:$AJ$1204,MATCH(51,$S$5:$S$1204,0),15))</f>
        <v/>
      </c>
      <c r="P55" s="8" t="str">
        <f t="array" ref="P55">IF(51&gt;$S$1204,"",INDEX($T$5:$AJ$1204,MATCH(51,$S$5:$S$1204,0),16))</f>
        <v/>
      </c>
      <c r="Q55" s="8" t="str">
        <f t="array" ref="Q55">IF(51&gt;$S$1204,"",INDEX($T$5:$AJ$1204,MATCH(51,$S$5:$S$1204,0),17))</f>
        <v/>
      </c>
      <c r="R55" s="17"/>
      <c r="S55" s="17">
        <f>S54+IF(M1_Administrativo!A59="",0,1)</f>
        <v>0</v>
      </c>
      <c r="T55" s="17" t="str">
        <f>IF(M1_Administrativo!A59="","",IF(M1_Administrativo!A59="","",M1_Administrativo!A59))</f>
        <v/>
      </c>
      <c r="U55" s="17" t="str">
        <f>IF(M1_Administrativo!A59="","",IF(M1_Administrativo!R59="","",M1_Administrativo!R59))</f>
        <v/>
      </c>
      <c r="V55" s="17" t="str">
        <f>IF(M1_Administrativo!A59="","",IF(M1_Administrativo!D59="","",M1_Administrativo!D59))</f>
        <v/>
      </c>
      <c r="W55" s="17" t="str">
        <f>IF(M1_Administrativo!A59="","",IF(M1_Administrativo!B59="","",M1_Administrativo!B59))</f>
        <v/>
      </c>
      <c r="X55" s="17" t="str">
        <f>IF(M1_Administrativo!A59="","",IF(M1_Administrativo!C59="","",M1_Administrativo!C59))</f>
        <v/>
      </c>
      <c r="Y55" s="17" t="str">
        <f>IF(M1_Administrativo!A59="","",IF(M1_Administrativo!E59="","",M1_Administrativo!E59))</f>
        <v/>
      </c>
      <c r="Z55" s="17" t="str">
        <f>IF(M1_Administrativo!A59="","",IF(M1_Administrativo!F59="","",M1_Administrativo!F59))</f>
        <v/>
      </c>
      <c r="AA55" s="17" t="str">
        <f>IF(M1_Administrativo!A59="","","M1 Administrativo")</f>
        <v/>
      </c>
      <c r="AB55" s="17" t="str">
        <f>IF(M1_Administrativo!A59="","",IF(M1_Administrativo!G59="","",M1_Administrativo!G59))</f>
        <v/>
      </c>
      <c r="AC55" s="17" t="str">
        <f>IF(M1_Administrativo!A59="","",IF(M1_Administrativo!M59="","",M1_Administrativo!M59))</f>
        <v/>
      </c>
      <c r="AD55" s="17" t="str">
        <f>IF(M1_Administrativo!A59="","","RA")</f>
        <v/>
      </c>
      <c r="AE55" s="17" t="str">
        <f>IF(M1_Administrativo!A59="","",IF(M1_Administrativo!O59="","",M1_Administrativo!O59))</f>
        <v/>
      </c>
      <c r="AF55" s="17" t="str">
        <f>IF(M1_Administrativo!A59="","",IF(M1_Administrativo!P59="","",M1_Administrativo!P59))</f>
        <v/>
      </c>
      <c r="AG55" s="17" t="str">
        <f>IF(M1_Administrativo!A59="","",IF(M1_Administrativo!Q59="","",M1_Administrativo!Q59))</f>
        <v/>
      </c>
      <c r="AH55" s="17" t="str">
        <f>IF(M1_Administrativo!A59="","","")</f>
        <v/>
      </c>
      <c r="AI55" s="17" t="str">
        <f>IF(M1_Administrativo!A59="","","M1_Administrativo!59")</f>
        <v/>
      </c>
      <c r="AJ55" s="17" t="str">
        <f>IF(M1_Administrativo!A59="","",IF(M1_Administrativo!M59="","Pendiente de resultado","Disponible"))</f>
        <v/>
      </c>
    </row>
    <row r="56" spans="1:36" ht="55.5" customHeight="1">
      <c r="A56" s="6" t="str">
        <f t="array" ref="A56">IF(52&gt;$S$1204,"",INDEX($T$5:$AJ$1204,MATCH(52,$S$5:$S$1204,0),1))</f>
        <v/>
      </c>
      <c r="B56" s="8" t="str">
        <f t="array" ref="B56">IF(52&gt;$S$1204,"",INDEX($T$5:$AJ$1204,MATCH(52,$S$5:$S$1204,0),2))</f>
        <v/>
      </c>
      <c r="C56" s="10" t="str">
        <f t="array" ref="C56">IF(52&gt;$S$1204,"",INDEX($T$5:$AJ$1204,MATCH(52,$S$5:$S$1204,0),3))</f>
        <v/>
      </c>
      <c r="D56" s="8" t="str">
        <f t="array" ref="D56">IF(52&gt;$S$1204,"",INDEX($T$5:$AJ$1204,MATCH(52,$S$5:$S$1204,0),4))</f>
        <v/>
      </c>
      <c r="E56" s="8" t="str">
        <f t="array" ref="E56">IF(52&gt;$S$1204,"",INDEX($T$5:$AJ$1204,MATCH(52,$S$5:$S$1204,0),5))</f>
        <v/>
      </c>
      <c r="F56" s="8" t="str">
        <f t="array" ref="F56">IF(52&gt;$S$1204,"",INDEX($T$5:$AJ$1204,MATCH(52,$S$5:$S$1204,0),6))</f>
        <v/>
      </c>
      <c r="G56" s="8" t="str">
        <f t="array" ref="G56">IF(52&gt;$S$1204,"",INDEX($T$5:$AJ$1204,MATCH(52,$S$5:$S$1204,0),7))</f>
        <v/>
      </c>
      <c r="H56" s="8" t="str">
        <f t="array" ref="H56">IF(52&gt;$S$1204,"",INDEX($T$5:$AJ$1204,MATCH(52,$S$5:$S$1204,0),8))</f>
        <v/>
      </c>
      <c r="I56" s="8" t="str">
        <f t="array" ref="I56">IF(52&gt;$S$1204,"",INDEX($T$5:$AJ$1204,MATCH(52,$S$5:$S$1204,0),9))</f>
        <v/>
      </c>
      <c r="J56" s="14" t="str">
        <f t="array" ref="J56">IF(52&gt;$S$1204,"",INDEX($T$5:$AJ$1204,MATCH(52,$S$5:$S$1204,0),10))</f>
        <v/>
      </c>
      <c r="K56" s="8" t="str">
        <f t="array" ref="K56">IF(52&gt;$S$1204,"",INDEX($T$5:$AJ$1204,MATCH(52,$S$5:$S$1204,0),11))</f>
        <v/>
      </c>
      <c r="L56" s="8" t="str">
        <f t="array" ref="L56">IF(52&gt;$S$1204,"",INDEX($T$5:$AJ$1204,MATCH(52,$S$5:$S$1204,0),12))</f>
        <v/>
      </c>
      <c r="M56" s="8" t="str">
        <f t="array" ref="M56">IF(52&gt;$S$1204,"",INDEX($T$5:$AJ$1204,MATCH(52,$S$5:$S$1204,0),13))</f>
        <v/>
      </c>
      <c r="N56" s="8" t="str">
        <f t="array" ref="N56">IF(52&gt;$S$1204,"",INDEX($T$5:$AJ$1204,MATCH(52,$S$5:$S$1204,0),14))</f>
        <v/>
      </c>
      <c r="O56" s="15" t="str">
        <f t="array" ref="O56">IF(52&gt;$S$1204,"",INDEX($T$5:$AJ$1204,MATCH(52,$S$5:$S$1204,0),15))</f>
        <v/>
      </c>
      <c r="P56" s="8" t="str">
        <f t="array" ref="P56">IF(52&gt;$S$1204,"",INDEX($T$5:$AJ$1204,MATCH(52,$S$5:$S$1204,0),16))</f>
        <v/>
      </c>
      <c r="Q56" s="8" t="str">
        <f t="array" ref="Q56">IF(52&gt;$S$1204,"",INDEX($T$5:$AJ$1204,MATCH(52,$S$5:$S$1204,0),17))</f>
        <v/>
      </c>
      <c r="R56" s="17"/>
      <c r="S56" s="17">
        <f>S55+IF(M1_Administrativo!A60="",0,1)</f>
        <v>0</v>
      </c>
      <c r="T56" s="17" t="str">
        <f>IF(M1_Administrativo!A60="","",IF(M1_Administrativo!A60="","",M1_Administrativo!A60))</f>
        <v/>
      </c>
      <c r="U56" s="17" t="str">
        <f>IF(M1_Administrativo!A60="","",IF(M1_Administrativo!R60="","",M1_Administrativo!R60))</f>
        <v/>
      </c>
      <c r="V56" s="17" t="str">
        <f>IF(M1_Administrativo!A60="","",IF(M1_Administrativo!D60="","",M1_Administrativo!D60))</f>
        <v/>
      </c>
      <c r="W56" s="17" t="str">
        <f>IF(M1_Administrativo!A60="","",IF(M1_Administrativo!B60="","",M1_Administrativo!B60))</f>
        <v/>
      </c>
      <c r="X56" s="17" t="str">
        <f>IF(M1_Administrativo!A60="","",IF(M1_Administrativo!C60="","",M1_Administrativo!C60))</f>
        <v/>
      </c>
      <c r="Y56" s="17" t="str">
        <f>IF(M1_Administrativo!A60="","",IF(M1_Administrativo!E60="","",M1_Administrativo!E60))</f>
        <v/>
      </c>
      <c r="Z56" s="17" t="str">
        <f>IF(M1_Administrativo!A60="","",IF(M1_Administrativo!F60="","",M1_Administrativo!F60))</f>
        <v/>
      </c>
      <c r="AA56" s="17" t="str">
        <f>IF(M1_Administrativo!A60="","","M1 Administrativo")</f>
        <v/>
      </c>
      <c r="AB56" s="17" t="str">
        <f>IF(M1_Administrativo!A60="","",IF(M1_Administrativo!G60="","",M1_Administrativo!G60))</f>
        <v/>
      </c>
      <c r="AC56" s="17" t="str">
        <f>IF(M1_Administrativo!A60="","",IF(M1_Administrativo!M60="","",M1_Administrativo!M60))</f>
        <v/>
      </c>
      <c r="AD56" s="17" t="str">
        <f>IF(M1_Administrativo!A60="","","RA")</f>
        <v/>
      </c>
      <c r="AE56" s="17" t="str">
        <f>IF(M1_Administrativo!A60="","",IF(M1_Administrativo!O60="","",M1_Administrativo!O60))</f>
        <v/>
      </c>
      <c r="AF56" s="17" t="str">
        <f>IF(M1_Administrativo!A60="","",IF(M1_Administrativo!P60="","",M1_Administrativo!P60))</f>
        <v/>
      </c>
      <c r="AG56" s="17" t="str">
        <f>IF(M1_Administrativo!A60="","",IF(M1_Administrativo!Q60="","",M1_Administrativo!Q60))</f>
        <v/>
      </c>
      <c r="AH56" s="17" t="str">
        <f>IF(M1_Administrativo!A60="","","")</f>
        <v/>
      </c>
      <c r="AI56" s="17" t="str">
        <f>IF(M1_Administrativo!A60="","","M1_Administrativo!60")</f>
        <v/>
      </c>
      <c r="AJ56" s="17" t="str">
        <f>IF(M1_Administrativo!A60="","",IF(M1_Administrativo!M60="","Pendiente de resultado","Disponible"))</f>
        <v/>
      </c>
    </row>
    <row r="57" spans="1:36" ht="55.5" customHeight="1">
      <c r="A57" s="6" t="str">
        <f t="array" ref="A57">IF(53&gt;$S$1204,"",INDEX($T$5:$AJ$1204,MATCH(53,$S$5:$S$1204,0),1))</f>
        <v/>
      </c>
      <c r="B57" s="8" t="str">
        <f t="array" ref="B57">IF(53&gt;$S$1204,"",INDEX($T$5:$AJ$1204,MATCH(53,$S$5:$S$1204,0),2))</f>
        <v/>
      </c>
      <c r="C57" s="10" t="str">
        <f t="array" ref="C57">IF(53&gt;$S$1204,"",INDEX($T$5:$AJ$1204,MATCH(53,$S$5:$S$1204,0),3))</f>
        <v/>
      </c>
      <c r="D57" s="8" t="str">
        <f t="array" ref="D57">IF(53&gt;$S$1204,"",INDEX($T$5:$AJ$1204,MATCH(53,$S$5:$S$1204,0),4))</f>
        <v/>
      </c>
      <c r="E57" s="8" t="str">
        <f t="array" ref="E57">IF(53&gt;$S$1204,"",INDEX($T$5:$AJ$1204,MATCH(53,$S$5:$S$1204,0),5))</f>
        <v/>
      </c>
      <c r="F57" s="8" t="str">
        <f t="array" ref="F57">IF(53&gt;$S$1204,"",INDEX($T$5:$AJ$1204,MATCH(53,$S$5:$S$1204,0),6))</f>
        <v/>
      </c>
      <c r="G57" s="8" t="str">
        <f t="array" ref="G57">IF(53&gt;$S$1204,"",INDEX($T$5:$AJ$1204,MATCH(53,$S$5:$S$1204,0),7))</f>
        <v/>
      </c>
      <c r="H57" s="8" t="str">
        <f t="array" ref="H57">IF(53&gt;$S$1204,"",INDEX($T$5:$AJ$1204,MATCH(53,$S$5:$S$1204,0),8))</f>
        <v/>
      </c>
      <c r="I57" s="8" t="str">
        <f t="array" ref="I57">IF(53&gt;$S$1204,"",INDEX($T$5:$AJ$1204,MATCH(53,$S$5:$S$1204,0),9))</f>
        <v/>
      </c>
      <c r="J57" s="14" t="str">
        <f t="array" ref="J57">IF(53&gt;$S$1204,"",INDEX($T$5:$AJ$1204,MATCH(53,$S$5:$S$1204,0),10))</f>
        <v/>
      </c>
      <c r="K57" s="8" t="str">
        <f t="array" ref="K57">IF(53&gt;$S$1204,"",INDEX($T$5:$AJ$1204,MATCH(53,$S$5:$S$1204,0),11))</f>
        <v/>
      </c>
      <c r="L57" s="8" t="str">
        <f t="array" ref="L57">IF(53&gt;$S$1204,"",INDEX($T$5:$AJ$1204,MATCH(53,$S$5:$S$1204,0),12))</f>
        <v/>
      </c>
      <c r="M57" s="8" t="str">
        <f t="array" ref="M57">IF(53&gt;$S$1204,"",INDEX($T$5:$AJ$1204,MATCH(53,$S$5:$S$1204,0),13))</f>
        <v/>
      </c>
      <c r="N57" s="8" t="str">
        <f t="array" ref="N57">IF(53&gt;$S$1204,"",INDEX($T$5:$AJ$1204,MATCH(53,$S$5:$S$1204,0),14))</f>
        <v/>
      </c>
      <c r="O57" s="15" t="str">
        <f t="array" ref="O57">IF(53&gt;$S$1204,"",INDEX($T$5:$AJ$1204,MATCH(53,$S$5:$S$1204,0),15))</f>
        <v/>
      </c>
      <c r="P57" s="8" t="str">
        <f t="array" ref="P57">IF(53&gt;$S$1204,"",INDEX($T$5:$AJ$1204,MATCH(53,$S$5:$S$1204,0),16))</f>
        <v/>
      </c>
      <c r="Q57" s="8" t="str">
        <f t="array" ref="Q57">IF(53&gt;$S$1204,"",INDEX($T$5:$AJ$1204,MATCH(53,$S$5:$S$1204,0),17))</f>
        <v/>
      </c>
      <c r="R57" s="17"/>
      <c r="S57" s="17">
        <f>S56+IF(M1_Administrativo!A61="",0,1)</f>
        <v>0</v>
      </c>
      <c r="T57" s="17" t="str">
        <f>IF(M1_Administrativo!A61="","",IF(M1_Administrativo!A61="","",M1_Administrativo!A61))</f>
        <v/>
      </c>
      <c r="U57" s="17" t="str">
        <f>IF(M1_Administrativo!A61="","",IF(M1_Administrativo!R61="","",M1_Administrativo!R61))</f>
        <v/>
      </c>
      <c r="V57" s="17" t="str">
        <f>IF(M1_Administrativo!A61="","",IF(M1_Administrativo!D61="","",M1_Administrativo!D61))</f>
        <v/>
      </c>
      <c r="W57" s="17" t="str">
        <f>IF(M1_Administrativo!A61="","",IF(M1_Administrativo!B61="","",M1_Administrativo!B61))</f>
        <v/>
      </c>
      <c r="X57" s="17" t="str">
        <f>IF(M1_Administrativo!A61="","",IF(M1_Administrativo!C61="","",M1_Administrativo!C61))</f>
        <v/>
      </c>
      <c r="Y57" s="17" t="str">
        <f>IF(M1_Administrativo!A61="","",IF(M1_Administrativo!E61="","",M1_Administrativo!E61))</f>
        <v/>
      </c>
      <c r="Z57" s="17" t="str">
        <f>IF(M1_Administrativo!A61="","",IF(M1_Administrativo!F61="","",M1_Administrativo!F61))</f>
        <v/>
      </c>
      <c r="AA57" s="17" t="str">
        <f>IF(M1_Administrativo!A61="","","M1 Administrativo")</f>
        <v/>
      </c>
      <c r="AB57" s="17" t="str">
        <f>IF(M1_Administrativo!A61="","",IF(M1_Administrativo!G61="","",M1_Administrativo!G61))</f>
        <v/>
      </c>
      <c r="AC57" s="17" t="str">
        <f>IF(M1_Administrativo!A61="","",IF(M1_Administrativo!M61="","",M1_Administrativo!M61))</f>
        <v/>
      </c>
      <c r="AD57" s="17" t="str">
        <f>IF(M1_Administrativo!A61="","","RA")</f>
        <v/>
      </c>
      <c r="AE57" s="17" t="str">
        <f>IF(M1_Administrativo!A61="","",IF(M1_Administrativo!O61="","",M1_Administrativo!O61))</f>
        <v/>
      </c>
      <c r="AF57" s="17" t="str">
        <f>IF(M1_Administrativo!A61="","",IF(M1_Administrativo!P61="","",M1_Administrativo!P61))</f>
        <v/>
      </c>
      <c r="AG57" s="17" t="str">
        <f>IF(M1_Administrativo!A61="","",IF(M1_Administrativo!Q61="","",M1_Administrativo!Q61))</f>
        <v/>
      </c>
      <c r="AH57" s="17" t="str">
        <f>IF(M1_Administrativo!A61="","","")</f>
        <v/>
      </c>
      <c r="AI57" s="17" t="str">
        <f>IF(M1_Administrativo!A61="","","M1_Administrativo!61")</f>
        <v/>
      </c>
      <c r="AJ57" s="17" t="str">
        <f>IF(M1_Administrativo!A61="","",IF(M1_Administrativo!M61="","Pendiente de resultado","Disponible"))</f>
        <v/>
      </c>
    </row>
    <row r="58" spans="1:36" ht="55.5" customHeight="1">
      <c r="A58" s="6" t="str">
        <f t="array" ref="A58">IF(54&gt;$S$1204,"",INDEX($T$5:$AJ$1204,MATCH(54,$S$5:$S$1204,0),1))</f>
        <v/>
      </c>
      <c r="B58" s="8" t="str">
        <f t="array" ref="B58">IF(54&gt;$S$1204,"",INDEX($T$5:$AJ$1204,MATCH(54,$S$5:$S$1204,0),2))</f>
        <v/>
      </c>
      <c r="C58" s="10" t="str">
        <f t="array" ref="C58">IF(54&gt;$S$1204,"",INDEX($T$5:$AJ$1204,MATCH(54,$S$5:$S$1204,0),3))</f>
        <v/>
      </c>
      <c r="D58" s="8" t="str">
        <f t="array" ref="D58">IF(54&gt;$S$1204,"",INDEX($T$5:$AJ$1204,MATCH(54,$S$5:$S$1204,0),4))</f>
        <v/>
      </c>
      <c r="E58" s="8" t="str">
        <f t="array" ref="E58">IF(54&gt;$S$1204,"",INDEX($T$5:$AJ$1204,MATCH(54,$S$5:$S$1204,0),5))</f>
        <v/>
      </c>
      <c r="F58" s="8" t="str">
        <f t="array" ref="F58">IF(54&gt;$S$1204,"",INDEX($T$5:$AJ$1204,MATCH(54,$S$5:$S$1204,0),6))</f>
        <v/>
      </c>
      <c r="G58" s="8" t="str">
        <f t="array" ref="G58">IF(54&gt;$S$1204,"",INDEX($T$5:$AJ$1204,MATCH(54,$S$5:$S$1204,0),7))</f>
        <v/>
      </c>
      <c r="H58" s="8" t="str">
        <f t="array" ref="H58">IF(54&gt;$S$1204,"",INDEX($T$5:$AJ$1204,MATCH(54,$S$5:$S$1204,0),8))</f>
        <v/>
      </c>
      <c r="I58" s="8" t="str">
        <f t="array" ref="I58">IF(54&gt;$S$1204,"",INDEX($T$5:$AJ$1204,MATCH(54,$S$5:$S$1204,0),9))</f>
        <v/>
      </c>
      <c r="J58" s="14" t="str">
        <f t="array" ref="J58">IF(54&gt;$S$1204,"",INDEX($T$5:$AJ$1204,MATCH(54,$S$5:$S$1204,0),10))</f>
        <v/>
      </c>
      <c r="K58" s="8" t="str">
        <f t="array" ref="K58">IF(54&gt;$S$1204,"",INDEX($T$5:$AJ$1204,MATCH(54,$S$5:$S$1204,0),11))</f>
        <v/>
      </c>
      <c r="L58" s="8" t="str">
        <f t="array" ref="L58">IF(54&gt;$S$1204,"",INDEX($T$5:$AJ$1204,MATCH(54,$S$5:$S$1204,0),12))</f>
        <v/>
      </c>
      <c r="M58" s="8" t="str">
        <f t="array" ref="M58">IF(54&gt;$S$1204,"",INDEX($T$5:$AJ$1204,MATCH(54,$S$5:$S$1204,0),13))</f>
        <v/>
      </c>
      <c r="N58" s="8" t="str">
        <f t="array" ref="N58">IF(54&gt;$S$1204,"",INDEX($T$5:$AJ$1204,MATCH(54,$S$5:$S$1204,0),14))</f>
        <v/>
      </c>
      <c r="O58" s="15" t="str">
        <f t="array" ref="O58">IF(54&gt;$S$1204,"",INDEX($T$5:$AJ$1204,MATCH(54,$S$5:$S$1204,0),15))</f>
        <v/>
      </c>
      <c r="P58" s="8" t="str">
        <f t="array" ref="P58">IF(54&gt;$S$1204,"",INDEX($T$5:$AJ$1204,MATCH(54,$S$5:$S$1204,0),16))</f>
        <v/>
      </c>
      <c r="Q58" s="8" t="str">
        <f t="array" ref="Q58">IF(54&gt;$S$1204,"",INDEX($T$5:$AJ$1204,MATCH(54,$S$5:$S$1204,0),17))</f>
        <v/>
      </c>
      <c r="R58" s="17"/>
      <c r="S58" s="17">
        <f>S57+IF(M1_Administrativo!A62="",0,1)</f>
        <v>0</v>
      </c>
      <c r="T58" s="17" t="str">
        <f>IF(M1_Administrativo!A62="","",IF(M1_Administrativo!A62="","",M1_Administrativo!A62))</f>
        <v/>
      </c>
      <c r="U58" s="17" t="str">
        <f>IF(M1_Administrativo!A62="","",IF(M1_Administrativo!R62="","",M1_Administrativo!R62))</f>
        <v/>
      </c>
      <c r="V58" s="17" t="str">
        <f>IF(M1_Administrativo!A62="","",IF(M1_Administrativo!D62="","",M1_Administrativo!D62))</f>
        <v/>
      </c>
      <c r="W58" s="17" t="str">
        <f>IF(M1_Administrativo!A62="","",IF(M1_Administrativo!B62="","",M1_Administrativo!B62))</f>
        <v/>
      </c>
      <c r="X58" s="17" t="str">
        <f>IF(M1_Administrativo!A62="","",IF(M1_Administrativo!C62="","",M1_Administrativo!C62))</f>
        <v/>
      </c>
      <c r="Y58" s="17" t="str">
        <f>IF(M1_Administrativo!A62="","",IF(M1_Administrativo!E62="","",M1_Administrativo!E62))</f>
        <v/>
      </c>
      <c r="Z58" s="17" t="str">
        <f>IF(M1_Administrativo!A62="","",IF(M1_Administrativo!F62="","",M1_Administrativo!F62))</f>
        <v/>
      </c>
      <c r="AA58" s="17" t="str">
        <f>IF(M1_Administrativo!A62="","","M1 Administrativo")</f>
        <v/>
      </c>
      <c r="AB58" s="17" t="str">
        <f>IF(M1_Administrativo!A62="","",IF(M1_Administrativo!G62="","",M1_Administrativo!G62))</f>
        <v/>
      </c>
      <c r="AC58" s="17" t="str">
        <f>IF(M1_Administrativo!A62="","",IF(M1_Administrativo!M62="","",M1_Administrativo!M62))</f>
        <v/>
      </c>
      <c r="AD58" s="17" t="str">
        <f>IF(M1_Administrativo!A62="","","RA")</f>
        <v/>
      </c>
      <c r="AE58" s="17" t="str">
        <f>IF(M1_Administrativo!A62="","",IF(M1_Administrativo!O62="","",M1_Administrativo!O62))</f>
        <v/>
      </c>
      <c r="AF58" s="17" t="str">
        <f>IF(M1_Administrativo!A62="","",IF(M1_Administrativo!P62="","",M1_Administrativo!P62))</f>
        <v/>
      </c>
      <c r="AG58" s="17" t="str">
        <f>IF(M1_Administrativo!A62="","",IF(M1_Administrativo!Q62="","",M1_Administrativo!Q62))</f>
        <v/>
      </c>
      <c r="AH58" s="17" t="str">
        <f>IF(M1_Administrativo!A62="","","")</f>
        <v/>
      </c>
      <c r="AI58" s="17" t="str">
        <f>IF(M1_Administrativo!A62="","","M1_Administrativo!62")</f>
        <v/>
      </c>
      <c r="AJ58" s="17" t="str">
        <f>IF(M1_Administrativo!A62="","",IF(M1_Administrativo!M62="","Pendiente de resultado","Disponible"))</f>
        <v/>
      </c>
    </row>
    <row r="59" spans="1:36" ht="55.5" customHeight="1">
      <c r="A59" s="6" t="str">
        <f t="array" ref="A59">IF(55&gt;$S$1204,"",INDEX($T$5:$AJ$1204,MATCH(55,$S$5:$S$1204,0),1))</f>
        <v/>
      </c>
      <c r="B59" s="8" t="str">
        <f t="array" ref="B59">IF(55&gt;$S$1204,"",INDEX($T$5:$AJ$1204,MATCH(55,$S$5:$S$1204,0),2))</f>
        <v/>
      </c>
      <c r="C59" s="10" t="str">
        <f t="array" ref="C59">IF(55&gt;$S$1204,"",INDEX($T$5:$AJ$1204,MATCH(55,$S$5:$S$1204,0),3))</f>
        <v/>
      </c>
      <c r="D59" s="8" t="str">
        <f t="array" ref="D59">IF(55&gt;$S$1204,"",INDEX($T$5:$AJ$1204,MATCH(55,$S$5:$S$1204,0),4))</f>
        <v/>
      </c>
      <c r="E59" s="8" t="str">
        <f t="array" ref="E59">IF(55&gt;$S$1204,"",INDEX($T$5:$AJ$1204,MATCH(55,$S$5:$S$1204,0),5))</f>
        <v/>
      </c>
      <c r="F59" s="8" t="str">
        <f t="array" ref="F59">IF(55&gt;$S$1204,"",INDEX($T$5:$AJ$1204,MATCH(55,$S$5:$S$1204,0),6))</f>
        <v/>
      </c>
      <c r="G59" s="8" t="str">
        <f t="array" ref="G59">IF(55&gt;$S$1204,"",INDEX($T$5:$AJ$1204,MATCH(55,$S$5:$S$1204,0),7))</f>
        <v/>
      </c>
      <c r="H59" s="8" t="str">
        <f t="array" ref="H59">IF(55&gt;$S$1204,"",INDEX($T$5:$AJ$1204,MATCH(55,$S$5:$S$1204,0),8))</f>
        <v/>
      </c>
      <c r="I59" s="8" t="str">
        <f t="array" ref="I59">IF(55&gt;$S$1204,"",INDEX($T$5:$AJ$1204,MATCH(55,$S$5:$S$1204,0),9))</f>
        <v/>
      </c>
      <c r="J59" s="14" t="str">
        <f t="array" ref="J59">IF(55&gt;$S$1204,"",INDEX($T$5:$AJ$1204,MATCH(55,$S$5:$S$1204,0),10))</f>
        <v/>
      </c>
      <c r="K59" s="8" t="str">
        <f t="array" ref="K59">IF(55&gt;$S$1204,"",INDEX($T$5:$AJ$1204,MATCH(55,$S$5:$S$1204,0),11))</f>
        <v/>
      </c>
      <c r="L59" s="8" t="str">
        <f t="array" ref="L59">IF(55&gt;$S$1204,"",INDEX($T$5:$AJ$1204,MATCH(55,$S$5:$S$1204,0),12))</f>
        <v/>
      </c>
      <c r="M59" s="8" t="str">
        <f t="array" ref="M59">IF(55&gt;$S$1204,"",INDEX($T$5:$AJ$1204,MATCH(55,$S$5:$S$1204,0),13))</f>
        <v/>
      </c>
      <c r="N59" s="8" t="str">
        <f t="array" ref="N59">IF(55&gt;$S$1204,"",INDEX($T$5:$AJ$1204,MATCH(55,$S$5:$S$1204,0),14))</f>
        <v/>
      </c>
      <c r="O59" s="15" t="str">
        <f t="array" ref="O59">IF(55&gt;$S$1204,"",INDEX($T$5:$AJ$1204,MATCH(55,$S$5:$S$1204,0),15))</f>
        <v/>
      </c>
      <c r="P59" s="8" t="str">
        <f t="array" ref="P59">IF(55&gt;$S$1204,"",INDEX($T$5:$AJ$1204,MATCH(55,$S$5:$S$1204,0),16))</f>
        <v/>
      </c>
      <c r="Q59" s="8" t="str">
        <f t="array" ref="Q59">IF(55&gt;$S$1204,"",INDEX($T$5:$AJ$1204,MATCH(55,$S$5:$S$1204,0),17))</f>
        <v/>
      </c>
      <c r="R59" s="17"/>
      <c r="S59" s="17">
        <f>S58+IF(M1_Administrativo!A63="",0,1)</f>
        <v>0</v>
      </c>
      <c r="T59" s="17" t="str">
        <f>IF(M1_Administrativo!A63="","",IF(M1_Administrativo!A63="","",M1_Administrativo!A63))</f>
        <v/>
      </c>
      <c r="U59" s="17" t="str">
        <f>IF(M1_Administrativo!A63="","",IF(M1_Administrativo!R63="","",M1_Administrativo!R63))</f>
        <v/>
      </c>
      <c r="V59" s="17" t="str">
        <f>IF(M1_Administrativo!A63="","",IF(M1_Administrativo!D63="","",M1_Administrativo!D63))</f>
        <v/>
      </c>
      <c r="W59" s="17" t="str">
        <f>IF(M1_Administrativo!A63="","",IF(M1_Administrativo!B63="","",M1_Administrativo!B63))</f>
        <v/>
      </c>
      <c r="X59" s="17" t="str">
        <f>IF(M1_Administrativo!A63="","",IF(M1_Administrativo!C63="","",M1_Administrativo!C63))</f>
        <v/>
      </c>
      <c r="Y59" s="17" t="str">
        <f>IF(M1_Administrativo!A63="","",IF(M1_Administrativo!E63="","",M1_Administrativo!E63))</f>
        <v/>
      </c>
      <c r="Z59" s="17" t="str">
        <f>IF(M1_Administrativo!A63="","",IF(M1_Administrativo!F63="","",M1_Administrativo!F63))</f>
        <v/>
      </c>
      <c r="AA59" s="17" t="str">
        <f>IF(M1_Administrativo!A63="","","M1 Administrativo")</f>
        <v/>
      </c>
      <c r="AB59" s="17" t="str">
        <f>IF(M1_Administrativo!A63="","",IF(M1_Administrativo!G63="","",M1_Administrativo!G63))</f>
        <v/>
      </c>
      <c r="AC59" s="17" t="str">
        <f>IF(M1_Administrativo!A63="","",IF(M1_Administrativo!M63="","",M1_Administrativo!M63))</f>
        <v/>
      </c>
      <c r="AD59" s="17" t="str">
        <f>IF(M1_Administrativo!A63="","","RA")</f>
        <v/>
      </c>
      <c r="AE59" s="17" t="str">
        <f>IF(M1_Administrativo!A63="","",IF(M1_Administrativo!O63="","",M1_Administrativo!O63))</f>
        <v/>
      </c>
      <c r="AF59" s="17" t="str">
        <f>IF(M1_Administrativo!A63="","",IF(M1_Administrativo!P63="","",M1_Administrativo!P63))</f>
        <v/>
      </c>
      <c r="AG59" s="17" t="str">
        <f>IF(M1_Administrativo!A63="","",IF(M1_Administrativo!Q63="","",M1_Administrativo!Q63))</f>
        <v/>
      </c>
      <c r="AH59" s="17" t="str">
        <f>IF(M1_Administrativo!A63="","","")</f>
        <v/>
      </c>
      <c r="AI59" s="17" t="str">
        <f>IF(M1_Administrativo!A63="","","M1_Administrativo!63")</f>
        <v/>
      </c>
      <c r="AJ59" s="17" t="str">
        <f>IF(M1_Administrativo!A63="","",IF(M1_Administrativo!M63="","Pendiente de resultado","Disponible"))</f>
        <v/>
      </c>
    </row>
    <row r="60" spans="1:36" ht="55.5" customHeight="1">
      <c r="A60" s="6" t="str">
        <f t="array" ref="A60">IF(56&gt;$S$1204,"",INDEX($T$5:$AJ$1204,MATCH(56,$S$5:$S$1204,0),1))</f>
        <v/>
      </c>
      <c r="B60" s="8" t="str">
        <f t="array" ref="B60">IF(56&gt;$S$1204,"",INDEX($T$5:$AJ$1204,MATCH(56,$S$5:$S$1204,0),2))</f>
        <v/>
      </c>
      <c r="C60" s="10" t="str">
        <f t="array" ref="C60">IF(56&gt;$S$1204,"",INDEX($T$5:$AJ$1204,MATCH(56,$S$5:$S$1204,0),3))</f>
        <v/>
      </c>
      <c r="D60" s="8" t="str">
        <f t="array" ref="D60">IF(56&gt;$S$1204,"",INDEX($T$5:$AJ$1204,MATCH(56,$S$5:$S$1204,0),4))</f>
        <v/>
      </c>
      <c r="E60" s="8" t="str">
        <f t="array" ref="E60">IF(56&gt;$S$1204,"",INDEX($T$5:$AJ$1204,MATCH(56,$S$5:$S$1204,0),5))</f>
        <v/>
      </c>
      <c r="F60" s="8" t="str">
        <f t="array" ref="F60">IF(56&gt;$S$1204,"",INDEX($T$5:$AJ$1204,MATCH(56,$S$5:$S$1204,0),6))</f>
        <v/>
      </c>
      <c r="G60" s="8" t="str">
        <f t="array" ref="G60">IF(56&gt;$S$1204,"",INDEX($T$5:$AJ$1204,MATCH(56,$S$5:$S$1204,0),7))</f>
        <v/>
      </c>
      <c r="H60" s="8" t="str">
        <f t="array" ref="H60">IF(56&gt;$S$1204,"",INDEX($T$5:$AJ$1204,MATCH(56,$S$5:$S$1204,0),8))</f>
        <v/>
      </c>
      <c r="I60" s="8" t="str">
        <f t="array" ref="I60">IF(56&gt;$S$1204,"",INDEX($T$5:$AJ$1204,MATCH(56,$S$5:$S$1204,0),9))</f>
        <v/>
      </c>
      <c r="J60" s="14" t="str">
        <f t="array" ref="J60">IF(56&gt;$S$1204,"",INDEX($T$5:$AJ$1204,MATCH(56,$S$5:$S$1204,0),10))</f>
        <v/>
      </c>
      <c r="K60" s="8" t="str">
        <f t="array" ref="K60">IF(56&gt;$S$1204,"",INDEX($T$5:$AJ$1204,MATCH(56,$S$5:$S$1204,0),11))</f>
        <v/>
      </c>
      <c r="L60" s="8" t="str">
        <f t="array" ref="L60">IF(56&gt;$S$1204,"",INDEX($T$5:$AJ$1204,MATCH(56,$S$5:$S$1204,0),12))</f>
        <v/>
      </c>
      <c r="M60" s="8" t="str">
        <f t="array" ref="M60">IF(56&gt;$S$1204,"",INDEX($T$5:$AJ$1204,MATCH(56,$S$5:$S$1204,0),13))</f>
        <v/>
      </c>
      <c r="N60" s="8" t="str">
        <f t="array" ref="N60">IF(56&gt;$S$1204,"",INDEX($T$5:$AJ$1204,MATCH(56,$S$5:$S$1204,0),14))</f>
        <v/>
      </c>
      <c r="O60" s="15" t="str">
        <f t="array" ref="O60">IF(56&gt;$S$1204,"",INDEX($T$5:$AJ$1204,MATCH(56,$S$5:$S$1204,0),15))</f>
        <v/>
      </c>
      <c r="P60" s="8" t="str">
        <f t="array" ref="P60">IF(56&gt;$S$1204,"",INDEX($T$5:$AJ$1204,MATCH(56,$S$5:$S$1204,0),16))</f>
        <v/>
      </c>
      <c r="Q60" s="8" t="str">
        <f t="array" ref="Q60">IF(56&gt;$S$1204,"",INDEX($T$5:$AJ$1204,MATCH(56,$S$5:$S$1204,0),17))</f>
        <v/>
      </c>
      <c r="R60" s="17"/>
      <c r="S60" s="17">
        <f>S59+IF(M1_Administrativo!A64="",0,1)</f>
        <v>0</v>
      </c>
      <c r="T60" s="17" t="str">
        <f>IF(M1_Administrativo!A64="","",IF(M1_Administrativo!A64="","",M1_Administrativo!A64))</f>
        <v/>
      </c>
      <c r="U60" s="17" t="str">
        <f>IF(M1_Administrativo!A64="","",IF(M1_Administrativo!R64="","",M1_Administrativo!R64))</f>
        <v/>
      </c>
      <c r="V60" s="17" t="str">
        <f>IF(M1_Administrativo!A64="","",IF(M1_Administrativo!D64="","",M1_Administrativo!D64))</f>
        <v/>
      </c>
      <c r="W60" s="17" t="str">
        <f>IF(M1_Administrativo!A64="","",IF(M1_Administrativo!B64="","",M1_Administrativo!B64))</f>
        <v/>
      </c>
      <c r="X60" s="17" t="str">
        <f>IF(M1_Administrativo!A64="","",IF(M1_Administrativo!C64="","",M1_Administrativo!C64))</f>
        <v/>
      </c>
      <c r="Y60" s="17" t="str">
        <f>IF(M1_Administrativo!A64="","",IF(M1_Administrativo!E64="","",M1_Administrativo!E64))</f>
        <v/>
      </c>
      <c r="Z60" s="17" t="str">
        <f>IF(M1_Administrativo!A64="","",IF(M1_Administrativo!F64="","",M1_Administrativo!F64))</f>
        <v/>
      </c>
      <c r="AA60" s="17" t="str">
        <f>IF(M1_Administrativo!A64="","","M1 Administrativo")</f>
        <v/>
      </c>
      <c r="AB60" s="17" t="str">
        <f>IF(M1_Administrativo!A64="","",IF(M1_Administrativo!G64="","",M1_Administrativo!G64))</f>
        <v/>
      </c>
      <c r="AC60" s="17" t="str">
        <f>IF(M1_Administrativo!A64="","",IF(M1_Administrativo!M64="","",M1_Administrativo!M64))</f>
        <v/>
      </c>
      <c r="AD60" s="17" t="str">
        <f>IF(M1_Administrativo!A64="","","RA")</f>
        <v/>
      </c>
      <c r="AE60" s="17" t="str">
        <f>IF(M1_Administrativo!A64="","",IF(M1_Administrativo!O64="","",M1_Administrativo!O64))</f>
        <v/>
      </c>
      <c r="AF60" s="17" t="str">
        <f>IF(M1_Administrativo!A64="","",IF(M1_Administrativo!P64="","",M1_Administrativo!P64))</f>
        <v/>
      </c>
      <c r="AG60" s="17" t="str">
        <f>IF(M1_Administrativo!A64="","",IF(M1_Administrativo!Q64="","",M1_Administrativo!Q64))</f>
        <v/>
      </c>
      <c r="AH60" s="17" t="str">
        <f>IF(M1_Administrativo!A64="","","")</f>
        <v/>
      </c>
      <c r="AI60" s="17" t="str">
        <f>IF(M1_Administrativo!A64="","","M1_Administrativo!64")</f>
        <v/>
      </c>
      <c r="AJ60" s="17" t="str">
        <f>IF(M1_Administrativo!A64="","",IF(M1_Administrativo!M64="","Pendiente de resultado","Disponible"))</f>
        <v/>
      </c>
    </row>
    <row r="61" spans="1:36" ht="55.5" customHeight="1">
      <c r="A61" s="6" t="str">
        <f t="array" ref="A61">IF(57&gt;$S$1204,"",INDEX($T$5:$AJ$1204,MATCH(57,$S$5:$S$1204,0),1))</f>
        <v/>
      </c>
      <c r="B61" s="8" t="str">
        <f t="array" ref="B61">IF(57&gt;$S$1204,"",INDEX($T$5:$AJ$1204,MATCH(57,$S$5:$S$1204,0),2))</f>
        <v/>
      </c>
      <c r="C61" s="10" t="str">
        <f t="array" ref="C61">IF(57&gt;$S$1204,"",INDEX($T$5:$AJ$1204,MATCH(57,$S$5:$S$1204,0),3))</f>
        <v/>
      </c>
      <c r="D61" s="8" t="str">
        <f t="array" ref="D61">IF(57&gt;$S$1204,"",INDEX($T$5:$AJ$1204,MATCH(57,$S$5:$S$1204,0),4))</f>
        <v/>
      </c>
      <c r="E61" s="8" t="str">
        <f t="array" ref="E61">IF(57&gt;$S$1204,"",INDEX($T$5:$AJ$1204,MATCH(57,$S$5:$S$1204,0),5))</f>
        <v/>
      </c>
      <c r="F61" s="8" t="str">
        <f t="array" ref="F61">IF(57&gt;$S$1204,"",INDEX($T$5:$AJ$1204,MATCH(57,$S$5:$S$1204,0),6))</f>
        <v/>
      </c>
      <c r="G61" s="8" t="str">
        <f t="array" ref="G61">IF(57&gt;$S$1204,"",INDEX($T$5:$AJ$1204,MATCH(57,$S$5:$S$1204,0),7))</f>
        <v/>
      </c>
      <c r="H61" s="8" t="str">
        <f t="array" ref="H61">IF(57&gt;$S$1204,"",INDEX($T$5:$AJ$1204,MATCH(57,$S$5:$S$1204,0),8))</f>
        <v/>
      </c>
      <c r="I61" s="8" t="str">
        <f t="array" ref="I61">IF(57&gt;$S$1204,"",INDEX($T$5:$AJ$1204,MATCH(57,$S$5:$S$1204,0),9))</f>
        <v/>
      </c>
      <c r="J61" s="14" t="str">
        <f t="array" ref="J61">IF(57&gt;$S$1204,"",INDEX($T$5:$AJ$1204,MATCH(57,$S$5:$S$1204,0),10))</f>
        <v/>
      </c>
      <c r="K61" s="8" t="str">
        <f t="array" ref="K61">IF(57&gt;$S$1204,"",INDEX($T$5:$AJ$1204,MATCH(57,$S$5:$S$1204,0),11))</f>
        <v/>
      </c>
      <c r="L61" s="8" t="str">
        <f t="array" ref="L61">IF(57&gt;$S$1204,"",INDEX($T$5:$AJ$1204,MATCH(57,$S$5:$S$1204,0),12))</f>
        <v/>
      </c>
      <c r="M61" s="8" t="str">
        <f t="array" ref="M61">IF(57&gt;$S$1204,"",INDEX($T$5:$AJ$1204,MATCH(57,$S$5:$S$1204,0),13))</f>
        <v/>
      </c>
      <c r="N61" s="8" t="str">
        <f t="array" ref="N61">IF(57&gt;$S$1204,"",INDEX($T$5:$AJ$1204,MATCH(57,$S$5:$S$1204,0),14))</f>
        <v/>
      </c>
      <c r="O61" s="15" t="str">
        <f t="array" ref="O61">IF(57&gt;$S$1204,"",INDEX($T$5:$AJ$1204,MATCH(57,$S$5:$S$1204,0),15))</f>
        <v/>
      </c>
      <c r="P61" s="8" t="str">
        <f t="array" ref="P61">IF(57&gt;$S$1204,"",INDEX($T$5:$AJ$1204,MATCH(57,$S$5:$S$1204,0),16))</f>
        <v/>
      </c>
      <c r="Q61" s="8" t="str">
        <f t="array" ref="Q61">IF(57&gt;$S$1204,"",INDEX($T$5:$AJ$1204,MATCH(57,$S$5:$S$1204,0),17))</f>
        <v/>
      </c>
      <c r="R61" s="17"/>
      <c r="S61" s="17">
        <f>S60+IF(M1_Administrativo!A65="",0,1)</f>
        <v>0</v>
      </c>
      <c r="T61" s="17" t="str">
        <f>IF(M1_Administrativo!A65="","",IF(M1_Administrativo!A65="","",M1_Administrativo!A65))</f>
        <v/>
      </c>
      <c r="U61" s="17" t="str">
        <f>IF(M1_Administrativo!A65="","",IF(M1_Administrativo!R65="","",M1_Administrativo!R65))</f>
        <v/>
      </c>
      <c r="V61" s="17" t="str">
        <f>IF(M1_Administrativo!A65="","",IF(M1_Administrativo!D65="","",M1_Administrativo!D65))</f>
        <v/>
      </c>
      <c r="W61" s="17" t="str">
        <f>IF(M1_Administrativo!A65="","",IF(M1_Administrativo!B65="","",M1_Administrativo!B65))</f>
        <v/>
      </c>
      <c r="X61" s="17" t="str">
        <f>IF(M1_Administrativo!A65="","",IF(M1_Administrativo!C65="","",M1_Administrativo!C65))</f>
        <v/>
      </c>
      <c r="Y61" s="17" t="str">
        <f>IF(M1_Administrativo!A65="","",IF(M1_Administrativo!E65="","",M1_Administrativo!E65))</f>
        <v/>
      </c>
      <c r="Z61" s="17" t="str">
        <f>IF(M1_Administrativo!A65="","",IF(M1_Administrativo!F65="","",M1_Administrativo!F65))</f>
        <v/>
      </c>
      <c r="AA61" s="17" t="str">
        <f>IF(M1_Administrativo!A65="","","M1 Administrativo")</f>
        <v/>
      </c>
      <c r="AB61" s="17" t="str">
        <f>IF(M1_Administrativo!A65="","",IF(M1_Administrativo!G65="","",M1_Administrativo!G65))</f>
        <v/>
      </c>
      <c r="AC61" s="17" t="str">
        <f>IF(M1_Administrativo!A65="","",IF(M1_Administrativo!M65="","",M1_Administrativo!M65))</f>
        <v/>
      </c>
      <c r="AD61" s="17" t="str">
        <f>IF(M1_Administrativo!A65="","","RA")</f>
        <v/>
      </c>
      <c r="AE61" s="17" t="str">
        <f>IF(M1_Administrativo!A65="","",IF(M1_Administrativo!O65="","",M1_Administrativo!O65))</f>
        <v/>
      </c>
      <c r="AF61" s="17" t="str">
        <f>IF(M1_Administrativo!A65="","",IF(M1_Administrativo!P65="","",M1_Administrativo!P65))</f>
        <v/>
      </c>
      <c r="AG61" s="17" t="str">
        <f>IF(M1_Administrativo!A65="","",IF(M1_Administrativo!Q65="","",M1_Administrativo!Q65))</f>
        <v/>
      </c>
      <c r="AH61" s="17" t="str">
        <f>IF(M1_Administrativo!A65="","","")</f>
        <v/>
      </c>
      <c r="AI61" s="17" t="str">
        <f>IF(M1_Administrativo!A65="","","M1_Administrativo!65")</f>
        <v/>
      </c>
      <c r="AJ61" s="17" t="str">
        <f>IF(M1_Administrativo!A65="","",IF(M1_Administrativo!M65="","Pendiente de resultado","Disponible"))</f>
        <v/>
      </c>
    </row>
    <row r="62" spans="1:36" ht="55.5" customHeight="1">
      <c r="A62" s="6" t="str">
        <f t="array" ref="A62">IF(58&gt;$S$1204,"",INDEX($T$5:$AJ$1204,MATCH(58,$S$5:$S$1204,0),1))</f>
        <v/>
      </c>
      <c r="B62" s="8" t="str">
        <f t="array" ref="B62">IF(58&gt;$S$1204,"",INDEX($T$5:$AJ$1204,MATCH(58,$S$5:$S$1204,0),2))</f>
        <v/>
      </c>
      <c r="C62" s="10" t="str">
        <f t="array" ref="C62">IF(58&gt;$S$1204,"",INDEX($T$5:$AJ$1204,MATCH(58,$S$5:$S$1204,0),3))</f>
        <v/>
      </c>
      <c r="D62" s="8" t="str">
        <f t="array" ref="D62">IF(58&gt;$S$1204,"",INDEX($T$5:$AJ$1204,MATCH(58,$S$5:$S$1204,0),4))</f>
        <v/>
      </c>
      <c r="E62" s="8" t="str">
        <f t="array" ref="E62">IF(58&gt;$S$1204,"",INDEX($T$5:$AJ$1204,MATCH(58,$S$5:$S$1204,0),5))</f>
        <v/>
      </c>
      <c r="F62" s="8" t="str">
        <f t="array" ref="F62">IF(58&gt;$S$1204,"",INDEX($T$5:$AJ$1204,MATCH(58,$S$5:$S$1204,0),6))</f>
        <v/>
      </c>
      <c r="G62" s="8" t="str">
        <f t="array" ref="G62">IF(58&gt;$S$1204,"",INDEX($T$5:$AJ$1204,MATCH(58,$S$5:$S$1204,0),7))</f>
        <v/>
      </c>
      <c r="H62" s="8" t="str">
        <f t="array" ref="H62">IF(58&gt;$S$1204,"",INDEX($T$5:$AJ$1204,MATCH(58,$S$5:$S$1204,0),8))</f>
        <v/>
      </c>
      <c r="I62" s="8" t="str">
        <f t="array" ref="I62">IF(58&gt;$S$1204,"",INDEX($T$5:$AJ$1204,MATCH(58,$S$5:$S$1204,0),9))</f>
        <v/>
      </c>
      <c r="J62" s="14" t="str">
        <f t="array" ref="J62">IF(58&gt;$S$1204,"",INDEX($T$5:$AJ$1204,MATCH(58,$S$5:$S$1204,0),10))</f>
        <v/>
      </c>
      <c r="K62" s="8" t="str">
        <f t="array" ref="K62">IF(58&gt;$S$1204,"",INDEX($T$5:$AJ$1204,MATCH(58,$S$5:$S$1204,0),11))</f>
        <v/>
      </c>
      <c r="L62" s="8" t="str">
        <f t="array" ref="L62">IF(58&gt;$S$1204,"",INDEX($T$5:$AJ$1204,MATCH(58,$S$5:$S$1204,0),12))</f>
        <v/>
      </c>
      <c r="M62" s="8" t="str">
        <f t="array" ref="M62">IF(58&gt;$S$1204,"",INDEX($T$5:$AJ$1204,MATCH(58,$S$5:$S$1204,0),13))</f>
        <v/>
      </c>
      <c r="N62" s="8" t="str">
        <f t="array" ref="N62">IF(58&gt;$S$1204,"",INDEX($T$5:$AJ$1204,MATCH(58,$S$5:$S$1204,0),14))</f>
        <v/>
      </c>
      <c r="O62" s="15" t="str">
        <f t="array" ref="O62">IF(58&gt;$S$1204,"",INDEX($T$5:$AJ$1204,MATCH(58,$S$5:$S$1204,0),15))</f>
        <v/>
      </c>
      <c r="P62" s="8" t="str">
        <f t="array" ref="P62">IF(58&gt;$S$1204,"",INDEX($T$5:$AJ$1204,MATCH(58,$S$5:$S$1204,0),16))</f>
        <v/>
      </c>
      <c r="Q62" s="8" t="str">
        <f t="array" ref="Q62">IF(58&gt;$S$1204,"",INDEX($T$5:$AJ$1204,MATCH(58,$S$5:$S$1204,0),17))</f>
        <v/>
      </c>
      <c r="R62" s="17"/>
      <c r="S62" s="17">
        <f>S61+IF(M1_Administrativo!A66="",0,1)</f>
        <v>0</v>
      </c>
      <c r="T62" s="17" t="str">
        <f>IF(M1_Administrativo!A66="","",IF(M1_Administrativo!A66="","",M1_Administrativo!A66))</f>
        <v/>
      </c>
      <c r="U62" s="17" t="str">
        <f>IF(M1_Administrativo!A66="","",IF(M1_Administrativo!R66="","",M1_Administrativo!R66))</f>
        <v/>
      </c>
      <c r="V62" s="17" t="str">
        <f>IF(M1_Administrativo!A66="","",IF(M1_Administrativo!D66="","",M1_Administrativo!D66))</f>
        <v/>
      </c>
      <c r="W62" s="17" t="str">
        <f>IF(M1_Administrativo!A66="","",IF(M1_Administrativo!B66="","",M1_Administrativo!B66))</f>
        <v/>
      </c>
      <c r="X62" s="17" t="str">
        <f>IF(M1_Administrativo!A66="","",IF(M1_Administrativo!C66="","",M1_Administrativo!C66))</f>
        <v/>
      </c>
      <c r="Y62" s="17" t="str">
        <f>IF(M1_Administrativo!A66="","",IF(M1_Administrativo!E66="","",M1_Administrativo!E66))</f>
        <v/>
      </c>
      <c r="Z62" s="17" t="str">
        <f>IF(M1_Administrativo!A66="","",IF(M1_Administrativo!F66="","",M1_Administrativo!F66))</f>
        <v/>
      </c>
      <c r="AA62" s="17" t="str">
        <f>IF(M1_Administrativo!A66="","","M1 Administrativo")</f>
        <v/>
      </c>
      <c r="AB62" s="17" t="str">
        <f>IF(M1_Administrativo!A66="","",IF(M1_Administrativo!G66="","",M1_Administrativo!G66))</f>
        <v/>
      </c>
      <c r="AC62" s="17" t="str">
        <f>IF(M1_Administrativo!A66="","",IF(M1_Administrativo!M66="","",M1_Administrativo!M66))</f>
        <v/>
      </c>
      <c r="AD62" s="17" t="str">
        <f>IF(M1_Administrativo!A66="","","RA")</f>
        <v/>
      </c>
      <c r="AE62" s="17" t="str">
        <f>IF(M1_Administrativo!A66="","",IF(M1_Administrativo!O66="","",M1_Administrativo!O66))</f>
        <v/>
      </c>
      <c r="AF62" s="17" t="str">
        <f>IF(M1_Administrativo!A66="","",IF(M1_Administrativo!P66="","",M1_Administrativo!P66))</f>
        <v/>
      </c>
      <c r="AG62" s="17" t="str">
        <f>IF(M1_Administrativo!A66="","",IF(M1_Administrativo!Q66="","",M1_Administrativo!Q66))</f>
        <v/>
      </c>
      <c r="AH62" s="17" t="str">
        <f>IF(M1_Administrativo!A66="","","")</f>
        <v/>
      </c>
      <c r="AI62" s="17" t="str">
        <f>IF(M1_Administrativo!A66="","","M1_Administrativo!66")</f>
        <v/>
      </c>
      <c r="AJ62" s="17" t="str">
        <f>IF(M1_Administrativo!A66="","",IF(M1_Administrativo!M66="","Pendiente de resultado","Disponible"))</f>
        <v/>
      </c>
    </row>
    <row r="63" spans="1:36" ht="55.5" customHeight="1">
      <c r="A63" s="6" t="str">
        <f t="array" ref="A63">IF(59&gt;$S$1204,"",INDEX($T$5:$AJ$1204,MATCH(59,$S$5:$S$1204,0),1))</f>
        <v/>
      </c>
      <c r="B63" s="8" t="str">
        <f t="array" ref="B63">IF(59&gt;$S$1204,"",INDEX($T$5:$AJ$1204,MATCH(59,$S$5:$S$1204,0),2))</f>
        <v/>
      </c>
      <c r="C63" s="10" t="str">
        <f t="array" ref="C63">IF(59&gt;$S$1204,"",INDEX($T$5:$AJ$1204,MATCH(59,$S$5:$S$1204,0),3))</f>
        <v/>
      </c>
      <c r="D63" s="8" t="str">
        <f t="array" ref="D63">IF(59&gt;$S$1204,"",INDEX($T$5:$AJ$1204,MATCH(59,$S$5:$S$1204,0),4))</f>
        <v/>
      </c>
      <c r="E63" s="8" t="str">
        <f t="array" ref="E63">IF(59&gt;$S$1204,"",INDEX($T$5:$AJ$1204,MATCH(59,$S$5:$S$1204,0),5))</f>
        <v/>
      </c>
      <c r="F63" s="8" t="str">
        <f t="array" ref="F63">IF(59&gt;$S$1204,"",INDEX($T$5:$AJ$1204,MATCH(59,$S$5:$S$1204,0),6))</f>
        <v/>
      </c>
      <c r="G63" s="8" t="str">
        <f t="array" ref="G63">IF(59&gt;$S$1204,"",INDEX($T$5:$AJ$1204,MATCH(59,$S$5:$S$1204,0),7))</f>
        <v/>
      </c>
      <c r="H63" s="8" t="str">
        <f t="array" ref="H63">IF(59&gt;$S$1204,"",INDEX($T$5:$AJ$1204,MATCH(59,$S$5:$S$1204,0),8))</f>
        <v/>
      </c>
      <c r="I63" s="8" t="str">
        <f t="array" ref="I63">IF(59&gt;$S$1204,"",INDEX($T$5:$AJ$1204,MATCH(59,$S$5:$S$1204,0),9))</f>
        <v/>
      </c>
      <c r="J63" s="14" t="str">
        <f t="array" ref="J63">IF(59&gt;$S$1204,"",INDEX($T$5:$AJ$1204,MATCH(59,$S$5:$S$1204,0),10))</f>
        <v/>
      </c>
      <c r="K63" s="8" t="str">
        <f t="array" ref="K63">IF(59&gt;$S$1204,"",INDEX($T$5:$AJ$1204,MATCH(59,$S$5:$S$1204,0),11))</f>
        <v/>
      </c>
      <c r="L63" s="8" t="str">
        <f t="array" ref="L63">IF(59&gt;$S$1204,"",INDEX($T$5:$AJ$1204,MATCH(59,$S$5:$S$1204,0),12))</f>
        <v/>
      </c>
      <c r="M63" s="8" t="str">
        <f t="array" ref="M63">IF(59&gt;$S$1204,"",INDEX($T$5:$AJ$1204,MATCH(59,$S$5:$S$1204,0),13))</f>
        <v/>
      </c>
      <c r="N63" s="8" t="str">
        <f t="array" ref="N63">IF(59&gt;$S$1204,"",INDEX($T$5:$AJ$1204,MATCH(59,$S$5:$S$1204,0),14))</f>
        <v/>
      </c>
      <c r="O63" s="15" t="str">
        <f t="array" ref="O63">IF(59&gt;$S$1204,"",INDEX($T$5:$AJ$1204,MATCH(59,$S$5:$S$1204,0),15))</f>
        <v/>
      </c>
      <c r="P63" s="8" t="str">
        <f t="array" ref="P63">IF(59&gt;$S$1204,"",INDEX($T$5:$AJ$1204,MATCH(59,$S$5:$S$1204,0),16))</f>
        <v/>
      </c>
      <c r="Q63" s="8" t="str">
        <f t="array" ref="Q63">IF(59&gt;$S$1204,"",INDEX($T$5:$AJ$1204,MATCH(59,$S$5:$S$1204,0),17))</f>
        <v/>
      </c>
      <c r="R63" s="17"/>
      <c r="S63" s="17">
        <f>S62+IF(M1_Administrativo!A67="",0,1)</f>
        <v>0</v>
      </c>
      <c r="T63" s="17" t="str">
        <f>IF(M1_Administrativo!A67="","",IF(M1_Administrativo!A67="","",M1_Administrativo!A67))</f>
        <v/>
      </c>
      <c r="U63" s="17" t="str">
        <f>IF(M1_Administrativo!A67="","",IF(M1_Administrativo!R67="","",M1_Administrativo!R67))</f>
        <v/>
      </c>
      <c r="V63" s="17" t="str">
        <f>IF(M1_Administrativo!A67="","",IF(M1_Administrativo!D67="","",M1_Administrativo!D67))</f>
        <v/>
      </c>
      <c r="W63" s="17" t="str">
        <f>IF(M1_Administrativo!A67="","",IF(M1_Administrativo!B67="","",M1_Administrativo!B67))</f>
        <v/>
      </c>
      <c r="X63" s="17" t="str">
        <f>IF(M1_Administrativo!A67="","",IF(M1_Administrativo!C67="","",M1_Administrativo!C67))</f>
        <v/>
      </c>
      <c r="Y63" s="17" t="str">
        <f>IF(M1_Administrativo!A67="","",IF(M1_Administrativo!E67="","",M1_Administrativo!E67))</f>
        <v/>
      </c>
      <c r="Z63" s="17" t="str">
        <f>IF(M1_Administrativo!A67="","",IF(M1_Administrativo!F67="","",M1_Administrativo!F67))</f>
        <v/>
      </c>
      <c r="AA63" s="17" t="str">
        <f>IF(M1_Administrativo!A67="","","M1 Administrativo")</f>
        <v/>
      </c>
      <c r="AB63" s="17" t="str">
        <f>IF(M1_Administrativo!A67="","",IF(M1_Administrativo!G67="","",M1_Administrativo!G67))</f>
        <v/>
      </c>
      <c r="AC63" s="17" t="str">
        <f>IF(M1_Administrativo!A67="","",IF(M1_Administrativo!M67="","",M1_Administrativo!M67))</f>
        <v/>
      </c>
      <c r="AD63" s="17" t="str">
        <f>IF(M1_Administrativo!A67="","","RA")</f>
        <v/>
      </c>
      <c r="AE63" s="17" t="str">
        <f>IF(M1_Administrativo!A67="","",IF(M1_Administrativo!O67="","",M1_Administrativo!O67))</f>
        <v/>
      </c>
      <c r="AF63" s="17" t="str">
        <f>IF(M1_Administrativo!A67="","",IF(M1_Administrativo!P67="","",M1_Administrativo!P67))</f>
        <v/>
      </c>
      <c r="AG63" s="17" t="str">
        <f>IF(M1_Administrativo!A67="","",IF(M1_Administrativo!Q67="","",M1_Administrativo!Q67))</f>
        <v/>
      </c>
      <c r="AH63" s="17" t="str">
        <f>IF(M1_Administrativo!A67="","","")</f>
        <v/>
      </c>
      <c r="AI63" s="17" t="str">
        <f>IF(M1_Administrativo!A67="","","M1_Administrativo!67")</f>
        <v/>
      </c>
      <c r="AJ63" s="17" t="str">
        <f>IF(M1_Administrativo!A67="","",IF(M1_Administrativo!M67="","Pendiente de resultado","Disponible"))</f>
        <v/>
      </c>
    </row>
    <row r="64" spans="1:36" ht="55.5" customHeight="1">
      <c r="A64" s="6" t="str">
        <f t="array" ref="A64">IF(60&gt;$S$1204,"",INDEX($T$5:$AJ$1204,MATCH(60,$S$5:$S$1204,0),1))</f>
        <v/>
      </c>
      <c r="B64" s="8" t="str">
        <f t="array" ref="B64">IF(60&gt;$S$1204,"",INDEX($T$5:$AJ$1204,MATCH(60,$S$5:$S$1204,0),2))</f>
        <v/>
      </c>
      <c r="C64" s="10" t="str">
        <f t="array" ref="C64">IF(60&gt;$S$1204,"",INDEX($T$5:$AJ$1204,MATCH(60,$S$5:$S$1204,0),3))</f>
        <v/>
      </c>
      <c r="D64" s="8" t="str">
        <f t="array" ref="D64">IF(60&gt;$S$1204,"",INDEX($T$5:$AJ$1204,MATCH(60,$S$5:$S$1204,0),4))</f>
        <v/>
      </c>
      <c r="E64" s="8" t="str">
        <f t="array" ref="E64">IF(60&gt;$S$1204,"",INDEX($T$5:$AJ$1204,MATCH(60,$S$5:$S$1204,0),5))</f>
        <v/>
      </c>
      <c r="F64" s="8" t="str">
        <f t="array" ref="F64">IF(60&gt;$S$1204,"",INDEX($T$5:$AJ$1204,MATCH(60,$S$5:$S$1204,0),6))</f>
        <v/>
      </c>
      <c r="G64" s="8" t="str">
        <f t="array" ref="G64">IF(60&gt;$S$1204,"",INDEX($T$5:$AJ$1204,MATCH(60,$S$5:$S$1204,0),7))</f>
        <v/>
      </c>
      <c r="H64" s="8" t="str">
        <f t="array" ref="H64">IF(60&gt;$S$1204,"",INDEX($T$5:$AJ$1204,MATCH(60,$S$5:$S$1204,0),8))</f>
        <v/>
      </c>
      <c r="I64" s="8" t="str">
        <f t="array" ref="I64">IF(60&gt;$S$1204,"",INDEX($T$5:$AJ$1204,MATCH(60,$S$5:$S$1204,0),9))</f>
        <v/>
      </c>
      <c r="J64" s="14" t="str">
        <f t="array" ref="J64">IF(60&gt;$S$1204,"",INDEX($T$5:$AJ$1204,MATCH(60,$S$5:$S$1204,0),10))</f>
        <v/>
      </c>
      <c r="K64" s="8" t="str">
        <f t="array" ref="K64">IF(60&gt;$S$1204,"",INDEX($T$5:$AJ$1204,MATCH(60,$S$5:$S$1204,0),11))</f>
        <v/>
      </c>
      <c r="L64" s="8" t="str">
        <f t="array" ref="L64">IF(60&gt;$S$1204,"",INDEX($T$5:$AJ$1204,MATCH(60,$S$5:$S$1204,0),12))</f>
        <v/>
      </c>
      <c r="M64" s="8" t="str">
        <f t="array" ref="M64">IF(60&gt;$S$1204,"",INDEX($T$5:$AJ$1204,MATCH(60,$S$5:$S$1204,0),13))</f>
        <v/>
      </c>
      <c r="N64" s="8" t="str">
        <f t="array" ref="N64">IF(60&gt;$S$1204,"",INDEX($T$5:$AJ$1204,MATCH(60,$S$5:$S$1204,0),14))</f>
        <v/>
      </c>
      <c r="O64" s="15" t="str">
        <f t="array" ref="O64">IF(60&gt;$S$1204,"",INDEX($T$5:$AJ$1204,MATCH(60,$S$5:$S$1204,0),15))</f>
        <v/>
      </c>
      <c r="P64" s="8" t="str">
        <f t="array" ref="P64">IF(60&gt;$S$1204,"",INDEX($T$5:$AJ$1204,MATCH(60,$S$5:$S$1204,0),16))</f>
        <v/>
      </c>
      <c r="Q64" s="8" t="str">
        <f t="array" ref="Q64">IF(60&gt;$S$1204,"",INDEX($T$5:$AJ$1204,MATCH(60,$S$5:$S$1204,0),17))</f>
        <v/>
      </c>
      <c r="R64" s="17"/>
      <c r="S64" s="17">
        <f>S63+IF(M1_Administrativo!A68="",0,1)</f>
        <v>0</v>
      </c>
      <c r="T64" s="17" t="str">
        <f>IF(M1_Administrativo!A68="","",IF(M1_Administrativo!A68="","",M1_Administrativo!A68))</f>
        <v/>
      </c>
      <c r="U64" s="17" t="str">
        <f>IF(M1_Administrativo!A68="","",IF(M1_Administrativo!R68="","",M1_Administrativo!R68))</f>
        <v/>
      </c>
      <c r="V64" s="17" t="str">
        <f>IF(M1_Administrativo!A68="","",IF(M1_Administrativo!D68="","",M1_Administrativo!D68))</f>
        <v/>
      </c>
      <c r="W64" s="17" t="str">
        <f>IF(M1_Administrativo!A68="","",IF(M1_Administrativo!B68="","",M1_Administrativo!B68))</f>
        <v/>
      </c>
      <c r="X64" s="17" t="str">
        <f>IF(M1_Administrativo!A68="","",IF(M1_Administrativo!C68="","",M1_Administrativo!C68))</f>
        <v/>
      </c>
      <c r="Y64" s="17" t="str">
        <f>IF(M1_Administrativo!A68="","",IF(M1_Administrativo!E68="","",M1_Administrativo!E68))</f>
        <v/>
      </c>
      <c r="Z64" s="17" t="str">
        <f>IF(M1_Administrativo!A68="","",IF(M1_Administrativo!F68="","",M1_Administrativo!F68))</f>
        <v/>
      </c>
      <c r="AA64" s="17" t="str">
        <f>IF(M1_Administrativo!A68="","","M1 Administrativo")</f>
        <v/>
      </c>
      <c r="AB64" s="17" t="str">
        <f>IF(M1_Administrativo!A68="","",IF(M1_Administrativo!G68="","",M1_Administrativo!G68))</f>
        <v/>
      </c>
      <c r="AC64" s="17" t="str">
        <f>IF(M1_Administrativo!A68="","",IF(M1_Administrativo!M68="","",M1_Administrativo!M68))</f>
        <v/>
      </c>
      <c r="AD64" s="17" t="str">
        <f>IF(M1_Administrativo!A68="","","RA")</f>
        <v/>
      </c>
      <c r="AE64" s="17" t="str">
        <f>IF(M1_Administrativo!A68="","",IF(M1_Administrativo!O68="","",M1_Administrativo!O68))</f>
        <v/>
      </c>
      <c r="AF64" s="17" t="str">
        <f>IF(M1_Administrativo!A68="","",IF(M1_Administrativo!P68="","",M1_Administrativo!P68))</f>
        <v/>
      </c>
      <c r="AG64" s="17" t="str">
        <f>IF(M1_Administrativo!A68="","",IF(M1_Administrativo!Q68="","",M1_Administrativo!Q68))</f>
        <v/>
      </c>
      <c r="AH64" s="17" t="str">
        <f>IF(M1_Administrativo!A68="","","")</f>
        <v/>
      </c>
      <c r="AI64" s="17" t="str">
        <f>IF(M1_Administrativo!A68="","","M1_Administrativo!68")</f>
        <v/>
      </c>
      <c r="AJ64" s="17" t="str">
        <f>IF(M1_Administrativo!A68="","",IF(M1_Administrativo!M68="","Pendiente de resultado","Disponible"))</f>
        <v/>
      </c>
    </row>
    <row r="65" spans="1:36" ht="55.5" customHeight="1">
      <c r="A65" s="6" t="str">
        <f t="array" ref="A65">IF(61&gt;$S$1204,"",INDEX($T$5:$AJ$1204,MATCH(61,$S$5:$S$1204,0),1))</f>
        <v/>
      </c>
      <c r="B65" s="8" t="str">
        <f t="array" ref="B65">IF(61&gt;$S$1204,"",INDEX($T$5:$AJ$1204,MATCH(61,$S$5:$S$1204,0),2))</f>
        <v/>
      </c>
      <c r="C65" s="10" t="str">
        <f t="array" ref="C65">IF(61&gt;$S$1204,"",INDEX($T$5:$AJ$1204,MATCH(61,$S$5:$S$1204,0),3))</f>
        <v/>
      </c>
      <c r="D65" s="8" t="str">
        <f t="array" ref="D65">IF(61&gt;$S$1204,"",INDEX($T$5:$AJ$1204,MATCH(61,$S$5:$S$1204,0),4))</f>
        <v/>
      </c>
      <c r="E65" s="8" t="str">
        <f t="array" ref="E65">IF(61&gt;$S$1204,"",INDEX($T$5:$AJ$1204,MATCH(61,$S$5:$S$1204,0),5))</f>
        <v/>
      </c>
      <c r="F65" s="8" t="str">
        <f t="array" ref="F65">IF(61&gt;$S$1204,"",INDEX($T$5:$AJ$1204,MATCH(61,$S$5:$S$1204,0),6))</f>
        <v/>
      </c>
      <c r="G65" s="8" t="str">
        <f t="array" ref="G65">IF(61&gt;$S$1204,"",INDEX($T$5:$AJ$1204,MATCH(61,$S$5:$S$1204,0),7))</f>
        <v/>
      </c>
      <c r="H65" s="8" t="str">
        <f t="array" ref="H65">IF(61&gt;$S$1204,"",INDEX($T$5:$AJ$1204,MATCH(61,$S$5:$S$1204,0),8))</f>
        <v/>
      </c>
      <c r="I65" s="8" t="str">
        <f t="array" ref="I65">IF(61&gt;$S$1204,"",INDEX($T$5:$AJ$1204,MATCH(61,$S$5:$S$1204,0),9))</f>
        <v/>
      </c>
      <c r="J65" s="14" t="str">
        <f t="array" ref="J65">IF(61&gt;$S$1204,"",INDEX($T$5:$AJ$1204,MATCH(61,$S$5:$S$1204,0),10))</f>
        <v/>
      </c>
      <c r="K65" s="8" t="str">
        <f t="array" ref="K65">IF(61&gt;$S$1204,"",INDEX($T$5:$AJ$1204,MATCH(61,$S$5:$S$1204,0),11))</f>
        <v/>
      </c>
      <c r="L65" s="8" t="str">
        <f t="array" ref="L65">IF(61&gt;$S$1204,"",INDEX($T$5:$AJ$1204,MATCH(61,$S$5:$S$1204,0),12))</f>
        <v/>
      </c>
      <c r="M65" s="8" t="str">
        <f t="array" ref="M65">IF(61&gt;$S$1204,"",INDEX($T$5:$AJ$1204,MATCH(61,$S$5:$S$1204,0),13))</f>
        <v/>
      </c>
      <c r="N65" s="8" t="str">
        <f t="array" ref="N65">IF(61&gt;$S$1204,"",INDEX($T$5:$AJ$1204,MATCH(61,$S$5:$S$1204,0),14))</f>
        <v/>
      </c>
      <c r="O65" s="15" t="str">
        <f t="array" ref="O65">IF(61&gt;$S$1204,"",INDEX($T$5:$AJ$1204,MATCH(61,$S$5:$S$1204,0),15))</f>
        <v/>
      </c>
      <c r="P65" s="8" t="str">
        <f t="array" ref="P65">IF(61&gt;$S$1204,"",INDEX($T$5:$AJ$1204,MATCH(61,$S$5:$S$1204,0),16))</f>
        <v/>
      </c>
      <c r="Q65" s="8" t="str">
        <f t="array" ref="Q65">IF(61&gt;$S$1204,"",INDEX($T$5:$AJ$1204,MATCH(61,$S$5:$S$1204,0),17))</f>
        <v/>
      </c>
      <c r="R65" s="17"/>
      <c r="S65" s="17">
        <f>S64+IF(M1_Administrativo!A69="",0,1)</f>
        <v>0</v>
      </c>
      <c r="T65" s="17" t="str">
        <f>IF(M1_Administrativo!A69="","",IF(M1_Administrativo!A69="","",M1_Administrativo!A69))</f>
        <v/>
      </c>
      <c r="U65" s="17" t="str">
        <f>IF(M1_Administrativo!A69="","",IF(M1_Administrativo!R69="","",M1_Administrativo!R69))</f>
        <v/>
      </c>
      <c r="V65" s="17" t="str">
        <f>IF(M1_Administrativo!A69="","",IF(M1_Administrativo!D69="","",M1_Administrativo!D69))</f>
        <v/>
      </c>
      <c r="W65" s="17" t="str">
        <f>IF(M1_Administrativo!A69="","",IF(M1_Administrativo!B69="","",M1_Administrativo!B69))</f>
        <v/>
      </c>
      <c r="X65" s="17" t="str">
        <f>IF(M1_Administrativo!A69="","",IF(M1_Administrativo!C69="","",M1_Administrativo!C69))</f>
        <v/>
      </c>
      <c r="Y65" s="17" t="str">
        <f>IF(M1_Administrativo!A69="","",IF(M1_Administrativo!E69="","",M1_Administrativo!E69))</f>
        <v/>
      </c>
      <c r="Z65" s="17" t="str">
        <f>IF(M1_Administrativo!A69="","",IF(M1_Administrativo!F69="","",M1_Administrativo!F69))</f>
        <v/>
      </c>
      <c r="AA65" s="17" t="str">
        <f>IF(M1_Administrativo!A69="","","M1 Administrativo")</f>
        <v/>
      </c>
      <c r="AB65" s="17" t="str">
        <f>IF(M1_Administrativo!A69="","",IF(M1_Administrativo!G69="","",M1_Administrativo!G69))</f>
        <v/>
      </c>
      <c r="AC65" s="17" t="str">
        <f>IF(M1_Administrativo!A69="","",IF(M1_Administrativo!M69="","",M1_Administrativo!M69))</f>
        <v/>
      </c>
      <c r="AD65" s="17" t="str">
        <f>IF(M1_Administrativo!A69="","","RA")</f>
        <v/>
      </c>
      <c r="AE65" s="17" t="str">
        <f>IF(M1_Administrativo!A69="","",IF(M1_Administrativo!O69="","",M1_Administrativo!O69))</f>
        <v/>
      </c>
      <c r="AF65" s="17" t="str">
        <f>IF(M1_Administrativo!A69="","",IF(M1_Administrativo!P69="","",M1_Administrativo!P69))</f>
        <v/>
      </c>
      <c r="AG65" s="17" t="str">
        <f>IF(M1_Administrativo!A69="","",IF(M1_Administrativo!Q69="","",M1_Administrativo!Q69))</f>
        <v/>
      </c>
      <c r="AH65" s="17" t="str">
        <f>IF(M1_Administrativo!A69="","","")</f>
        <v/>
      </c>
      <c r="AI65" s="17" t="str">
        <f>IF(M1_Administrativo!A69="","","M1_Administrativo!69")</f>
        <v/>
      </c>
      <c r="AJ65" s="17" t="str">
        <f>IF(M1_Administrativo!A69="","",IF(M1_Administrativo!M69="","Pendiente de resultado","Disponible"))</f>
        <v/>
      </c>
    </row>
    <row r="66" spans="1:36" ht="55.5" customHeight="1">
      <c r="A66" s="6" t="str">
        <f t="array" ref="A66">IF(62&gt;$S$1204,"",INDEX($T$5:$AJ$1204,MATCH(62,$S$5:$S$1204,0),1))</f>
        <v/>
      </c>
      <c r="B66" s="8" t="str">
        <f t="array" ref="B66">IF(62&gt;$S$1204,"",INDEX($T$5:$AJ$1204,MATCH(62,$S$5:$S$1204,0),2))</f>
        <v/>
      </c>
      <c r="C66" s="10" t="str">
        <f t="array" ref="C66">IF(62&gt;$S$1204,"",INDEX($T$5:$AJ$1204,MATCH(62,$S$5:$S$1204,0),3))</f>
        <v/>
      </c>
      <c r="D66" s="8" t="str">
        <f t="array" ref="D66">IF(62&gt;$S$1204,"",INDEX($T$5:$AJ$1204,MATCH(62,$S$5:$S$1204,0),4))</f>
        <v/>
      </c>
      <c r="E66" s="8" t="str">
        <f t="array" ref="E66">IF(62&gt;$S$1204,"",INDEX($T$5:$AJ$1204,MATCH(62,$S$5:$S$1204,0),5))</f>
        <v/>
      </c>
      <c r="F66" s="8" t="str">
        <f t="array" ref="F66">IF(62&gt;$S$1204,"",INDEX($T$5:$AJ$1204,MATCH(62,$S$5:$S$1204,0),6))</f>
        <v/>
      </c>
      <c r="G66" s="8" t="str">
        <f t="array" ref="G66">IF(62&gt;$S$1204,"",INDEX($T$5:$AJ$1204,MATCH(62,$S$5:$S$1204,0),7))</f>
        <v/>
      </c>
      <c r="H66" s="8" t="str">
        <f t="array" ref="H66">IF(62&gt;$S$1204,"",INDEX($T$5:$AJ$1204,MATCH(62,$S$5:$S$1204,0),8))</f>
        <v/>
      </c>
      <c r="I66" s="8" t="str">
        <f t="array" ref="I66">IF(62&gt;$S$1204,"",INDEX($T$5:$AJ$1204,MATCH(62,$S$5:$S$1204,0),9))</f>
        <v/>
      </c>
      <c r="J66" s="14" t="str">
        <f t="array" ref="J66">IF(62&gt;$S$1204,"",INDEX($T$5:$AJ$1204,MATCH(62,$S$5:$S$1204,0),10))</f>
        <v/>
      </c>
      <c r="K66" s="8" t="str">
        <f t="array" ref="K66">IF(62&gt;$S$1204,"",INDEX($T$5:$AJ$1204,MATCH(62,$S$5:$S$1204,0),11))</f>
        <v/>
      </c>
      <c r="L66" s="8" t="str">
        <f t="array" ref="L66">IF(62&gt;$S$1204,"",INDEX($T$5:$AJ$1204,MATCH(62,$S$5:$S$1204,0),12))</f>
        <v/>
      </c>
      <c r="M66" s="8" t="str">
        <f t="array" ref="M66">IF(62&gt;$S$1204,"",INDEX($T$5:$AJ$1204,MATCH(62,$S$5:$S$1204,0),13))</f>
        <v/>
      </c>
      <c r="N66" s="8" t="str">
        <f t="array" ref="N66">IF(62&gt;$S$1204,"",INDEX($T$5:$AJ$1204,MATCH(62,$S$5:$S$1204,0),14))</f>
        <v/>
      </c>
      <c r="O66" s="15" t="str">
        <f t="array" ref="O66">IF(62&gt;$S$1204,"",INDEX($T$5:$AJ$1204,MATCH(62,$S$5:$S$1204,0),15))</f>
        <v/>
      </c>
      <c r="P66" s="8" t="str">
        <f t="array" ref="P66">IF(62&gt;$S$1204,"",INDEX($T$5:$AJ$1204,MATCH(62,$S$5:$S$1204,0),16))</f>
        <v/>
      </c>
      <c r="Q66" s="8" t="str">
        <f t="array" ref="Q66">IF(62&gt;$S$1204,"",INDEX($T$5:$AJ$1204,MATCH(62,$S$5:$S$1204,0),17))</f>
        <v/>
      </c>
      <c r="R66" s="17"/>
      <c r="S66" s="17">
        <f>S65+IF(M1_Administrativo!A70="",0,1)</f>
        <v>0</v>
      </c>
      <c r="T66" s="17" t="str">
        <f>IF(M1_Administrativo!A70="","",IF(M1_Administrativo!A70="","",M1_Administrativo!A70))</f>
        <v/>
      </c>
      <c r="U66" s="17" t="str">
        <f>IF(M1_Administrativo!A70="","",IF(M1_Administrativo!R70="","",M1_Administrativo!R70))</f>
        <v/>
      </c>
      <c r="V66" s="17" t="str">
        <f>IF(M1_Administrativo!A70="","",IF(M1_Administrativo!D70="","",M1_Administrativo!D70))</f>
        <v/>
      </c>
      <c r="W66" s="17" t="str">
        <f>IF(M1_Administrativo!A70="","",IF(M1_Administrativo!B70="","",M1_Administrativo!B70))</f>
        <v/>
      </c>
      <c r="X66" s="17" t="str">
        <f>IF(M1_Administrativo!A70="","",IF(M1_Administrativo!C70="","",M1_Administrativo!C70))</f>
        <v/>
      </c>
      <c r="Y66" s="17" t="str">
        <f>IF(M1_Administrativo!A70="","",IF(M1_Administrativo!E70="","",M1_Administrativo!E70))</f>
        <v/>
      </c>
      <c r="Z66" s="17" t="str">
        <f>IF(M1_Administrativo!A70="","",IF(M1_Administrativo!F70="","",M1_Administrativo!F70))</f>
        <v/>
      </c>
      <c r="AA66" s="17" t="str">
        <f>IF(M1_Administrativo!A70="","","M1 Administrativo")</f>
        <v/>
      </c>
      <c r="AB66" s="17" t="str">
        <f>IF(M1_Administrativo!A70="","",IF(M1_Administrativo!G70="","",M1_Administrativo!G70))</f>
        <v/>
      </c>
      <c r="AC66" s="17" t="str">
        <f>IF(M1_Administrativo!A70="","",IF(M1_Administrativo!M70="","",M1_Administrativo!M70))</f>
        <v/>
      </c>
      <c r="AD66" s="17" t="str">
        <f>IF(M1_Administrativo!A70="","","RA")</f>
        <v/>
      </c>
      <c r="AE66" s="17" t="str">
        <f>IF(M1_Administrativo!A70="","",IF(M1_Administrativo!O70="","",M1_Administrativo!O70))</f>
        <v/>
      </c>
      <c r="AF66" s="17" t="str">
        <f>IF(M1_Administrativo!A70="","",IF(M1_Administrativo!P70="","",M1_Administrativo!P70))</f>
        <v/>
      </c>
      <c r="AG66" s="17" t="str">
        <f>IF(M1_Administrativo!A70="","",IF(M1_Administrativo!Q70="","",M1_Administrativo!Q70))</f>
        <v/>
      </c>
      <c r="AH66" s="17" t="str">
        <f>IF(M1_Administrativo!A70="","","")</f>
        <v/>
      </c>
      <c r="AI66" s="17" t="str">
        <f>IF(M1_Administrativo!A70="","","M1_Administrativo!70")</f>
        <v/>
      </c>
      <c r="AJ66" s="17" t="str">
        <f>IF(M1_Administrativo!A70="","",IF(M1_Administrativo!M70="","Pendiente de resultado","Disponible"))</f>
        <v/>
      </c>
    </row>
    <row r="67" spans="1:36" ht="55.5" customHeight="1">
      <c r="A67" s="6" t="str">
        <f t="array" ref="A67">IF(63&gt;$S$1204,"",INDEX($T$5:$AJ$1204,MATCH(63,$S$5:$S$1204,0),1))</f>
        <v/>
      </c>
      <c r="B67" s="8" t="str">
        <f t="array" ref="B67">IF(63&gt;$S$1204,"",INDEX($T$5:$AJ$1204,MATCH(63,$S$5:$S$1204,0),2))</f>
        <v/>
      </c>
      <c r="C67" s="10" t="str">
        <f t="array" ref="C67">IF(63&gt;$S$1204,"",INDEX($T$5:$AJ$1204,MATCH(63,$S$5:$S$1204,0),3))</f>
        <v/>
      </c>
      <c r="D67" s="8" t="str">
        <f t="array" ref="D67">IF(63&gt;$S$1204,"",INDEX($T$5:$AJ$1204,MATCH(63,$S$5:$S$1204,0),4))</f>
        <v/>
      </c>
      <c r="E67" s="8" t="str">
        <f t="array" ref="E67">IF(63&gt;$S$1204,"",INDEX($T$5:$AJ$1204,MATCH(63,$S$5:$S$1204,0),5))</f>
        <v/>
      </c>
      <c r="F67" s="8" t="str">
        <f t="array" ref="F67">IF(63&gt;$S$1204,"",INDEX($T$5:$AJ$1204,MATCH(63,$S$5:$S$1204,0),6))</f>
        <v/>
      </c>
      <c r="G67" s="8" t="str">
        <f t="array" ref="G67">IF(63&gt;$S$1204,"",INDEX($T$5:$AJ$1204,MATCH(63,$S$5:$S$1204,0),7))</f>
        <v/>
      </c>
      <c r="H67" s="8" t="str">
        <f t="array" ref="H67">IF(63&gt;$S$1204,"",INDEX($T$5:$AJ$1204,MATCH(63,$S$5:$S$1204,0),8))</f>
        <v/>
      </c>
      <c r="I67" s="8" t="str">
        <f t="array" ref="I67">IF(63&gt;$S$1204,"",INDEX($T$5:$AJ$1204,MATCH(63,$S$5:$S$1204,0),9))</f>
        <v/>
      </c>
      <c r="J67" s="14" t="str">
        <f t="array" ref="J67">IF(63&gt;$S$1204,"",INDEX($T$5:$AJ$1204,MATCH(63,$S$5:$S$1204,0),10))</f>
        <v/>
      </c>
      <c r="K67" s="8" t="str">
        <f t="array" ref="K67">IF(63&gt;$S$1204,"",INDEX($T$5:$AJ$1204,MATCH(63,$S$5:$S$1204,0),11))</f>
        <v/>
      </c>
      <c r="L67" s="8" t="str">
        <f t="array" ref="L67">IF(63&gt;$S$1204,"",INDEX($T$5:$AJ$1204,MATCH(63,$S$5:$S$1204,0),12))</f>
        <v/>
      </c>
      <c r="M67" s="8" t="str">
        <f t="array" ref="M67">IF(63&gt;$S$1204,"",INDEX($T$5:$AJ$1204,MATCH(63,$S$5:$S$1204,0),13))</f>
        <v/>
      </c>
      <c r="N67" s="8" t="str">
        <f t="array" ref="N67">IF(63&gt;$S$1204,"",INDEX($T$5:$AJ$1204,MATCH(63,$S$5:$S$1204,0),14))</f>
        <v/>
      </c>
      <c r="O67" s="15" t="str">
        <f t="array" ref="O67">IF(63&gt;$S$1204,"",INDEX($T$5:$AJ$1204,MATCH(63,$S$5:$S$1204,0),15))</f>
        <v/>
      </c>
      <c r="P67" s="8" t="str">
        <f t="array" ref="P67">IF(63&gt;$S$1204,"",INDEX($T$5:$AJ$1204,MATCH(63,$S$5:$S$1204,0),16))</f>
        <v/>
      </c>
      <c r="Q67" s="8" t="str">
        <f t="array" ref="Q67">IF(63&gt;$S$1204,"",INDEX($T$5:$AJ$1204,MATCH(63,$S$5:$S$1204,0),17))</f>
        <v/>
      </c>
      <c r="R67" s="17"/>
      <c r="S67" s="17">
        <f>S66+IF(M1_Administrativo!A71="",0,1)</f>
        <v>0</v>
      </c>
      <c r="T67" s="17" t="str">
        <f>IF(M1_Administrativo!A71="","",IF(M1_Administrativo!A71="","",M1_Administrativo!A71))</f>
        <v/>
      </c>
      <c r="U67" s="17" t="str">
        <f>IF(M1_Administrativo!A71="","",IF(M1_Administrativo!R71="","",M1_Administrativo!R71))</f>
        <v/>
      </c>
      <c r="V67" s="17" t="str">
        <f>IF(M1_Administrativo!A71="","",IF(M1_Administrativo!D71="","",M1_Administrativo!D71))</f>
        <v/>
      </c>
      <c r="W67" s="17" t="str">
        <f>IF(M1_Administrativo!A71="","",IF(M1_Administrativo!B71="","",M1_Administrativo!B71))</f>
        <v/>
      </c>
      <c r="X67" s="17" t="str">
        <f>IF(M1_Administrativo!A71="","",IF(M1_Administrativo!C71="","",M1_Administrativo!C71))</f>
        <v/>
      </c>
      <c r="Y67" s="17" t="str">
        <f>IF(M1_Administrativo!A71="","",IF(M1_Administrativo!E71="","",M1_Administrativo!E71))</f>
        <v/>
      </c>
      <c r="Z67" s="17" t="str">
        <f>IF(M1_Administrativo!A71="","",IF(M1_Administrativo!F71="","",M1_Administrativo!F71))</f>
        <v/>
      </c>
      <c r="AA67" s="17" t="str">
        <f>IF(M1_Administrativo!A71="","","M1 Administrativo")</f>
        <v/>
      </c>
      <c r="AB67" s="17" t="str">
        <f>IF(M1_Administrativo!A71="","",IF(M1_Administrativo!G71="","",M1_Administrativo!G71))</f>
        <v/>
      </c>
      <c r="AC67" s="17" t="str">
        <f>IF(M1_Administrativo!A71="","",IF(M1_Administrativo!M71="","",M1_Administrativo!M71))</f>
        <v/>
      </c>
      <c r="AD67" s="17" t="str">
        <f>IF(M1_Administrativo!A71="","","RA")</f>
        <v/>
      </c>
      <c r="AE67" s="17" t="str">
        <f>IF(M1_Administrativo!A71="","",IF(M1_Administrativo!O71="","",M1_Administrativo!O71))</f>
        <v/>
      </c>
      <c r="AF67" s="17" t="str">
        <f>IF(M1_Administrativo!A71="","",IF(M1_Administrativo!P71="","",M1_Administrativo!P71))</f>
        <v/>
      </c>
      <c r="AG67" s="17" t="str">
        <f>IF(M1_Administrativo!A71="","",IF(M1_Administrativo!Q71="","",M1_Administrativo!Q71))</f>
        <v/>
      </c>
      <c r="AH67" s="17" t="str">
        <f>IF(M1_Administrativo!A71="","","")</f>
        <v/>
      </c>
      <c r="AI67" s="17" t="str">
        <f>IF(M1_Administrativo!A71="","","M1_Administrativo!71")</f>
        <v/>
      </c>
      <c r="AJ67" s="17" t="str">
        <f>IF(M1_Administrativo!A71="","",IF(M1_Administrativo!M71="","Pendiente de resultado","Disponible"))</f>
        <v/>
      </c>
    </row>
    <row r="68" spans="1:36" ht="55.5" customHeight="1">
      <c r="A68" s="6" t="str">
        <f t="array" ref="A68">IF(64&gt;$S$1204,"",INDEX($T$5:$AJ$1204,MATCH(64,$S$5:$S$1204,0),1))</f>
        <v/>
      </c>
      <c r="B68" s="8" t="str">
        <f t="array" ref="B68">IF(64&gt;$S$1204,"",INDEX($T$5:$AJ$1204,MATCH(64,$S$5:$S$1204,0),2))</f>
        <v/>
      </c>
      <c r="C68" s="10" t="str">
        <f t="array" ref="C68">IF(64&gt;$S$1204,"",INDEX($T$5:$AJ$1204,MATCH(64,$S$5:$S$1204,0),3))</f>
        <v/>
      </c>
      <c r="D68" s="8" t="str">
        <f t="array" ref="D68">IF(64&gt;$S$1204,"",INDEX($T$5:$AJ$1204,MATCH(64,$S$5:$S$1204,0),4))</f>
        <v/>
      </c>
      <c r="E68" s="8" t="str">
        <f t="array" ref="E68">IF(64&gt;$S$1204,"",INDEX($T$5:$AJ$1204,MATCH(64,$S$5:$S$1204,0),5))</f>
        <v/>
      </c>
      <c r="F68" s="8" t="str">
        <f t="array" ref="F68">IF(64&gt;$S$1204,"",INDEX($T$5:$AJ$1204,MATCH(64,$S$5:$S$1204,0),6))</f>
        <v/>
      </c>
      <c r="G68" s="8" t="str">
        <f t="array" ref="G68">IF(64&gt;$S$1204,"",INDEX($T$5:$AJ$1204,MATCH(64,$S$5:$S$1204,0),7))</f>
        <v/>
      </c>
      <c r="H68" s="8" t="str">
        <f t="array" ref="H68">IF(64&gt;$S$1204,"",INDEX($T$5:$AJ$1204,MATCH(64,$S$5:$S$1204,0),8))</f>
        <v/>
      </c>
      <c r="I68" s="8" t="str">
        <f t="array" ref="I68">IF(64&gt;$S$1204,"",INDEX($T$5:$AJ$1204,MATCH(64,$S$5:$S$1204,0),9))</f>
        <v/>
      </c>
      <c r="J68" s="14" t="str">
        <f t="array" ref="J68">IF(64&gt;$S$1204,"",INDEX($T$5:$AJ$1204,MATCH(64,$S$5:$S$1204,0),10))</f>
        <v/>
      </c>
      <c r="K68" s="8" t="str">
        <f t="array" ref="K68">IF(64&gt;$S$1204,"",INDEX($T$5:$AJ$1204,MATCH(64,$S$5:$S$1204,0),11))</f>
        <v/>
      </c>
      <c r="L68" s="8" t="str">
        <f t="array" ref="L68">IF(64&gt;$S$1204,"",INDEX($T$5:$AJ$1204,MATCH(64,$S$5:$S$1204,0),12))</f>
        <v/>
      </c>
      <c r="M68" s="8" t="str">
        <f t="array" ref="M68">IF(64&gt;$S$1204,"",INDEX($T$5:$AJ$1204,MATCH(64,$S$5:$S$1204,0),13))</f>
        <v/>
      </c>
      <c r="N68" s="8" t="str">
        <f t="array" ref="N68">IF(64&gt;$S$1204,"",INDEX($T$5:$AJ$1204,MATCH(64,$S$5:$S$1204,0),14))</f>
        <v/>
      </c>
      <c r="O68" s="15" t="str">
        <f t="array" ref="O68">IF(64&gt;$S$1204,"",INDEX($T$5:$AJ$1204,MATCH(64,$S$5:$S$1204,0),15))</f>
        <v/>
      </c>
      <c r="P68" s="8" t="str">
        <f t="array" ref="P68">IF(64&gt;$S$1204,"",INDEX($T$5:$AJ$1204,MATCH(64,$S$5:$S$1204,0),16))</f>
        <v/>
      </c>
      <c r="Q68" s="8" t="str">
        <f t="array" ref="Q68">IF(64&gt;$S$1204,"",INDEX($T$5:$AJ$1204,MATCH(64,$S$5:$S$1204,0),17))</f>
        <v/>
      </c>
      <c r="R68" s="17"/>
      <c r="S68" s="17">
        <f>S67+IF(M1_Administrativo!A72="",0,1)</f>
        <v>0</v>
      </c>
      <c r="T68" s="17" t="str">
        <f>IF(M1_Administrativo!A72="","",IF(M1_Administrativo!A72="","",M1_Administrativo!A72))</f>
        <v/>
      </c>
      <c r="U68" s="17" t="str">
        <f>IF(M1_Administrativo!A72="","",IF(M1_Administrativo!R72="","",M1_Administrativo!R72))</f>
        <v/>
      </c>
      <c r="V68" s="17" t="str">
        <f>IF(M1_Administrativo!A72="","",IF(M1_Administrativo!D72="","",M1_Administrativo!D72))</f>
        <v/>
      </c>
      <c r="W68" s="17" t="str">
        <f>IF(M1_Administrativo!A72="","",IF(M1_Administrativo!B72="","",M1_Administrativo!B72))</f>
        <v/>
      </c>
      <c r="X68" s="17" t="str">
        <f>IF(M1_Administrativo!A72="","",IF(M1_Administrativo!C72="","",M1_Administrativo!C72))</f>
        <v/>
      </c>
      <c r="Y68" s="17" t="str">
        <f>IF(M1_Administrativo!A72="","",IF(M1_Administrativo!E72="","",M1_Administrativo!E72))</f>
        <v/>
      </c>
      <c r="Z68" s="17" t="str">
        <f>IF(M1_Administrativo!A72="","",IF(M1_Administrativo!F72="","",M1_Administrativo!F72))</f>
        <v/>
      </c>
      <c r="AA68" s="17" t="str">
        <f>IF(M1_Administrativo!A72="","","M1 Administrativo")</f>
        <v/>
      </c>
      <c r="AB68" s="17" t="str">
        <f>IF(M1_Administrativo!A72="","",IF(M1_Administrativo!G72="","",M1_Administrativo!G72))</f>
        <v/>
      </c>
      <c r="AC68" s="17" t="str">
        <f>IF(M1_Administrativo!A72="","",IF(M1_Administrativo!M72="","",M1_Administrativo!M72))</f>
        <v/>
      </c>
      <c r="AD68" s="17" t="str">
        <f>IF(M1_Administrativo!A72="","","RA")</f>
        <v/>
      </c>
      <c r="AE68" s="17" t="str">
        <f>IF(M1_Administrativo!A72="","",IF(M1_Administrativo!O72="","",M1_Administrativo!O72))</f>
        <v/>
      </c>
      <c r="AF68" s="17" t="str">
        <f>IF(M1_Administrativo!A72="","",IF(M1_Administrativo!P72="","",M1_Administrativo!P72))</f>
        <v/>
      </c>
      <c r="AG68" s="17" t="str">
        <f>IF(M1_Administrativo!A72="","",IF(M1_Administrativo!Q72="","",M1_Administrativo!Q72))</f>
        <v/>
      </c>
      <c r="AH68" s="17" t="str">
        <f>IF(M1_Administrativo!A72="","","")</f>
        <v/>
      </c>
      <c r="AI68" s="17" t="str">
        <f>IF(M1_Administrativo!A72="","","M1_Administrativo!72")</f>
        <v/>
      </c>
      <c r="AJ68" s="17" t="str">
        <f>IF(M1_Administrativo!A72="","",IF(M1_Administrativo!M72="","Pendiente de resultado","Disponible"))</f>
        <v/>
      </c>
    </row>
    <row r="69" spans="1:36" ht="55.5" customHeight="1">
      <c r="A69" s="6" t="str">
        <f t="array" ref="A69">IF(65&gt;$S$1204,"",INDEX($T$5:$AJ$1204,MATCH(65,$S$5:$S$1204,0),1))</f>
        <v/>
      </c>
      <c r="B69" s="8" t="str">
        <f t="array" ref="B69">IF(65&gt;$S$1204,"",INDEX($T$5:$AJ$1204,MATCH(65,$S$5:$S$1204,0),2))</f>
        <v/>
      </c>
      <c r="C69" s="10" t="str">
        <f t="array" ref="C69">IF(65&gt;$S$1204,"",INDEX($T$5:$AJ$1204,MATCH(65,$S$5:$S$1204,0),3))</f>
        <v/>
      </c>
      <c r="D69" s="8" t="str">
        <f t="array" ref="D69">IF(65&gt;$S$1204,"",INDEX($T$5:$AJ$1204,MATCH(65,$S$5:$S$1204,0),4))</f>
        <v/>
      </c>
      <c r="E69" s="8" t="str">
        <f t="array" ref="E69">IF(65&gt;$S$1204,"",INDEX($T$5:$AJ$1204,MATCH(65,$S$5:$S$1204,0),5))</f>
        <v/>
      </c>
      <c r="F69" s="8" t="str">
        <f t="array" ref="F69">IF(65&gt;$S$1204,"",INDEX($T$5:$AJ$1204,MATCH(65,$S$5:$S$1204,0),6))</f>
        <v/>
      </c>
      <c r="G69" s="8" t="str">
        <f t="array" ref="G69">IF(65&gt;$S$1204,"",INDEX($T$5:$AJ$1204,MATCH(65,$S$5:$S$1204,0),7))</f>
        <v/>
      </c>
      <c r="H69" s="8" t="str">
        <f t="array" ref="H69">IF(65&gt;$S$1204,"",INDEX($T$5:$AJ$1204,MATCH(65,$S$5:$S$1204,0),8))</f>
        <v/>
      </c>
      <c r="I69" s="8" t="str">
        <f t="array" ref="I69">IF(65&gt;$S$1204,"",INDEX($T$5:$AJ$1204,MATCH(65,$S$5:$S$1204,0),9))</f>
        <v/>
      </c>
      <c r="J69" s="14" t="str">
        <f t="array" ref="J69">IF(65&gt;$S$1204,"",INDEX($T$5:$AJ$1204,MATCH(65,$S$5:$S$1204,0),10))</f>
        <v/>
      </c>
      <c r="K69" s="8" t="str">
        <f t="array" ref="K69">IF(65&gt;$S$1204,"",INDEX($T$5:$AJ$1204,MATCH(65,$S$5:$S$1204,0),11))</f>
        <v/>
      </c>
      <c r="L69" s="8" t="str">
        <f t="array" ref="L69">IF(65&gt;$S$1204,"",INDEX($T$5:$AJ$1204,MATCH(65,$S$5:$S$1204,0),12))</f>
        <v/>
      </c>
      <c r="M69" s="8" t="str">
        <f t="array" ref="M69">IF(65&gt;$S$1204,"",INDEX($T$5:$AJ$1204,MATCH(65,$S$5:$S$1204,0),13))</f>
        <v/>
      </c>
      <c r="N69" s="8" t="str">
        <f t="array" ref="N69">IF(65&gt;$S$1204,"",INDEX($T$5:$AJ$1204,MATCH(65,$S$5:$S$1204,0),14))</f>
        <v/>
      </c>
      <c r="O69" s="15" t="str">
        <f t="array" ref="O69">IF(65&gt;$S$1204,"",INDEX($T$5:$AJ$1204,MATCH(65,$S$5:$S$1204,0),15))</f>
        <v/>
      </c>
      <c r="P69" s="8" t="str">
        <f t="array" ref="P69">IF(65&gt;$S$1204,"",INDEX($T$5:$AJ$1204,MATCH(65,$S$5:$S$1204,0),16))</f>
        <v/>
      </c>
      <c r="Q69" s="8" t="str">
        <f t="array" ref="Q69">IF(65&gt;$S$1204,"",INDEX($T$5:$AJ$1204,MATCH(65,$S$5:$S$1204,0),17))</f>
        <v/>
      </c>
      <c r="R69" s="17"/>
      <c r="S69" s="17">
        <f>S68+IF(M1_Administrativo!A73="",0,1)</f>
        <v>0</v>
      </c>
      <c r="T69" s="17" t="str">
        <f>IF(M1_Administrativo!A73="","",IF(M1_Administrativo!A73="","",M1_Administrativo!A73))</f>
        <v/>
      </c>
      <c r="U69" s="17" t="str">
        <f>IF(M1_Administrativo!A73="","",IF(M1_Administrativo!R73="","",M1_Administrativo!R73))</f>
        <v/>
      </c>
      <c r="V69" s="17" t="str">
        <f>IF(M1_Administrativo!A73="","",IF(M1_Administrativo!D73="","",M1_Administrativo!D73))</f>
        <v/>
      </c>
      <c r="W69" s="17" t="str">
        <f>IF(M1_Administrativo!A73="","",IF(M1_Administrativo!B73="","",M1_Administrativo!B73))</f>
        <v/>
      </c>
      <c r="X69" s="17" t="str">
        <f>IF(M1_Administrativo!A73="","",IF(M1_Administrativo!C73="","",M1_Administrativo!C73))</f>
        <v/>
      </c>
      <c r="Y69" s="17" t="str">
        <f>IF(M1_Administrativo!A73="","",IF(M1_Administrativo!E73="","",M1_Administrativo!E73))</f>
        <v/>
      </c>
      <c r="Z69" s="17" t="str">
        <f>IF(M1_Administrativo!A73="","",IF(M1_Administrativo!F73="","",M1_Administrativo!F73))</f>
        <v/>
      </c>
      <c r="AA69" s="17" t="str">
        <f>IF(M1_Administrativo!A73="","","M1 Administrativo")</f>
        <v/>
      </c>
      <c r="AB69" s="17" t="str">
        <f>IF(M1_Administrativo!A73="","",IF(M1_Administrativo!G73="","",M1_Administrativo!G73))</f>
        <v/>
      </c>
      <c r="AC69" s="17" t="str">
        <f>IF(M1_Administrativo!A73="","",IF(M1_Administrativo!M73="","",M1_Administrativo!M73))</f>
        <v/>
      </c>
      <c r="AD69" s="17" t="str">
        <f>IF(M1_Administrativo!A73="","","RA")</f>
        <v/>
      </c>
      <c r="AE69" s="17" t="str">
        <f>IF(M1_Administrativo!A73="","",IF(M1_Administrativo!O73="","",M1_Administrativo!O73))</f>
        <v/>
      </c>
      <c r="AF69" s="17" t="str">
        <f>IF(M1_Administrativo!A73="","",IF(M1_Administrativo!P73="","",M1_Administrativo!P73))</f>
        <v/>
      </c>
      <c r="AG69" s="17" t="str">
        <f>IF(M1_Administrativo!A73="","",IF(M1_Administrativo!Q73="","",M1_Administrativo!Q73))</f>
        <v/>
      </c>
      <c r="AH69" s="17" t="str">
        <f>IF(M1_Administrativo!A73="","","")</f>
        <v/>
      </c>
      <c r="AI69" s="17" t="str">
        <f>IF(M1_Administrativo!A73="","","M1_Administrativo!73")</f>
        <v/>
      </c>
      <c r="AJ69" s="17" t="str">
        <f>IF(M1_Administrativo!A73="","",IF(M1_Administrativo!M73="","Pendiente de resultado","Disponible"))</f>
        <v/>
      </c>
    </row>
    <row r="70" spans="1:36" ht="55.5" customHeight="1">
      <c r="A70" s="6" t="str">
        <f t="array" ref="A70">IF(66&gt;$S$1204,"",INDEX($T$5:$AJ$1204,MATCH(66,$S$5:$S$1204,0),1))</f>
        <v/>
      </c>
      <c r="B70" s="8" t="str">
        <f t="array" ref="B70">IF(66&gt;$S$1204,"",INDEX($T$5:$AJ$1204,MATCH(66,$S$5:$S$1204,0),2))</f>
        <v/>
      </c>
      <c r="C70" s="10" t="str">
        <f t="array" ref="C70">IF(66&gt;$S$1204,"",INDEX($T$5:$AJ$1204,MATCH(66,$S$5:$S$1204,0),3))</f>
        <v/>
      </c>
      <c r="D70" s="8" t="str">
        <f t="array" ref="D70">IF(66&gt;$S$1204,"",INDEX($T$5:$AJ$1204,MATCH(66,$S$5:$S$1204,0),4))</f>
        <v/>
      </c>
      <c r="E70" s="8" t="str">
        <f t="array" ref="E70">IF(66&gt;$S$1204,"",INDEX($T$5:$AJ$1204,MATCH(66,$S$5:$S$1204,0),5))</f>
        <v/>
      </c>
      <c r="F70" s="8" t="str">
        <f t="array" ref="F70">IF(66&gt;$S$1204,"",INDEX($T$5:$AJ$1204,MATCH(66,$S$5:$S$1204,0),6))</f>
        <v/>
      </c>
      <c r="G70" s="8" t="str">
        <f t="array" ref="G70">IF(66&gt;$S$1204,"",INDEX($T$5:$AJ$1204,MATCH(66,$S$5:$S$1204,0),7))</f>
        <v/>
      </c>
      <c r="H70" s="8" t="str">
        <f t="array" ref="H70">IF(66&gt;$S$1204,"",INDEX($T$5:$AJ$1204,MATCH(66,$S$5:$S$1204,0),8))</f>
        <v/>
      </c>
      <c r="I70" s="8" t="str">
        <f t="array" ref="I70">IF(66&gt;$S$1204,"",INDEX($T$5:$AJ$1204,MATCH(66,$S$5:$S$1204,0),9))</f>
        <v/>
      </c>
      <c r="J70" s="14" t="str">
        <f t="array" ref="J70">IF(66&gt;$S$1204,"",INDEX($T$5:$AJ$1204,MATCH(66,$S$5:$S$1204,0),10))</f>
        <v/>
      </c>
      <c r="K70" s="8" t="str">
        <f t="array" ref="K70">IF(66&gt;$S$1204,"",INDEX($T$5:$AJ$1204,MATCH(66,$S$5:$S$1204,0),11))</f>
        <v/>
      </c>
      <c r="L70" s="8" t="str">
        <f t="array" ref="L70">IF(66&gt;$S$1204,"",INDEX($T$5:$AJ$1204,MATCH(66,$S$5:$S$1204,0),12))</f>
        <v/>
      </c>
      <c r="M70" s="8" t="str">
        <f t="array" ref="M70">IF(66&gt;$S$1204,"",INDEX($T$5:$AJ$1204,MATCH(66,$S$5:$S$1204,0),13))</f>
        <v/>
      </c>
      <c r="N70" s="8" t="str">
        <f t="array" ref="N70">IF(66&gt;$S$1204,"",INDEX($T$5:$AJ$1204,MATCH(66,$S$5:$S$1204,0),14))</f>
        <v/>
      </c>
      <c r="O70" s="15" t="str">
        <f t="array" ref="O70">IF(66&gt;$S$1204,"",INDEX($T$5:$AJ$1204,MATCH(66,$S$5:$S$1204,0),15))</f>
        <v/>
      </c>
      <c r="P70" s="8" t="str">
        <f t="array" ref="P70">IF(66&gt;$S$1204,"",INDEX($T$5:$AJ$1204,MATCH(66,$S$5:$S$1204,0),16))</f>
        <v/>
      </c>
      <c r="Q70" s="8" t="str">
        <f t="array" ref="Q70">IF(66&gt;$S$1204,"",INDEX($T$5:$AJ$1204,MATCH(66,$S$5:$S$1204,0),17))</f>
        <v/>
      </c>
      <c r="R70" s="17"/>
      <c r="S70" s="17">
        <f>S69+IF(M1_Administrativo!A74="",0,1)</f>
        <v>0</v>
      </c>
      <c r="T70" s="17" t="str">
        <f>IF(M1_Administrativo!A74="","",IF(M1_Administrativo!A74="","",M1_Administrativo!A74))</f>
        <v/>
      </c>
      <c r="U70" s="17" t="str">
        <f>IF(M1_Administrativo!A74="","",IF(M1_Administrativo!R74="","",M1_Administrativo!R74))</f>
        <v/>
      </c>
      <c r="V70" s="17" t="str">
        <f>IF(M1_Administrativo!A74="","",IF(M1_Administrativo!D74="","",M1_Administrativo!D74))</f>
        <v/>
      </c>
      <c r="W70" s="17" t="str">
        <f>IF(M1_Administrativo!A74="","",IF(M1_Administrativo!B74="","",M1_Administrativo!B74))</f>
        <v/>
      </c>
      <c r="X70" s="17" t="str">
        <f>IF(M1_Administrativo!A74="","",IF(M1_Administrativo!C74="","",M1_Administrativo!C74))</f>
        <v/>
      </c>
      <c r="Y70" s="17" t="str">
        <f>IF(M1_Administrativo!A74="","",IF(M1_Administrativo!E74="","",M1_Administrativo!E74))</f>
        <v/>
      </c>
      <c r="Z70" s="17" t="str">
        <f>IF(M1_Administrativo!A74="","",IF(M1_Administrativo!F74="","",M1_Administrativo!F74))</f>
        <v/>
      </c>
      <c r="AA70" s="17" t="str">
        <f>IF(M1_Administrativo!A74="","","M1 Administrativo")</f>
        <v/>
      </c>
      <c r="AB70" s="17" t="str">
        <f>IF(M1_Administrativo!A74="","",IF(M1_Administrativo!G74="","",M1_Administrativo!G74))</f>
        <v/>
      </c>
      <c r="AC70" s="17" t="str">
        <f>IF(M1_Administrativo!A74="","",IF(M1_Administrativo!M74="","",M1_Administrativo!M74))</f>
        <v/>
      </c>
      <c r="AD70" s="17" t="str">
        <f>IF(M1_Administrativo!A74="","","RA")</f>
        <v/>
      </c>
      <c r="AE70" s="17" t="str">
        <f>IF(M1_Administrativo!A74="","",IF(M1_Administrativo!O74="","",M1_Administrativo!O74))</f>
        <v/>
      </c>
      <c r="AF70" s="17" t="str">
        <f>IF(M1_Administrativo!A74="","",IF(M1_Administrativo!P74="","",M1_Administrativo!P74))</f>
        <v/>
      </c>
      <c r="AG70" s="17" t="str">
        <f>IF(M1_Administrativo!A74="","",IF(M1_Administrativo!Q74="","",M1_Administrativo!Q74))</f>
        <v/>
      </c>
      <c r="AH70" s="17" t="str">
        <f>IF(M1_Administrativo!A74="","","")</f>
        <v/>
      </c>
      <c r="AI70" s="17" t="str">
        <f>IF(M1_Administrativo!A74="","","M1_Administrativo!74")</f>
        <v/>
      </c>
      <c r="AJ70" s="17" t="str">
        <f>IF(M1_Administrativo!A74="","",IF(M1_Administrativo!M74="","Pendiente de resultado","Disponible"))</f>
        <v/>
      </c>
    </row>
    <row r="71" spans="1:36" ht="55.5" customHeight="1">
      <c r="A71" s="6" t="str">
        <f t="array" ref="A71">IF(67&gt;$S$1204,"",INDEX($T$5:$AJ$1204,MATCH(67,$S$5:$S$1204,0),1))</f>
        <v/>
      </c>
      <c r="B71" s="8" t="str">
        <f t="array" ref="B71">IF(67&gt;$S$1204,"",INDEX($T$5:$AJ$1204,MATCH(67,$S$5:$S$1204,0),2))</f>
        <v/>
      </c>
      <c r="C71" s="10" t="str">
        <f t="array" ref="C71">IF(67&gt;$S$1204,"",INDEX($T$5:$AJ$1204,MATCH(67,$S$5:$S$1204,0),3))</f>
        <v/>
      </c>
      <c r="D71" s="8" t="str">
        <f t="array" ref="D71">IF(67&gt;$S$1204,"",INDEX($T$5:$AJ$1204,MATCH(67,$S$5:$S$1204,0),4))</f>
        <v/>
      </c>
      <c r="E71" s="8" t="str">
        <f t="array" ref="E71">IF(67&gt;$S$1204,"",INDEX($T$5:$AJ$1204,MATCH(67,$S$5:$S$1204,0),5))</f>
        <v/>
      </c>
      <c r="F71" s="8" t="str">
        <f t="array" ref="F71">IF(67&gt;$S$1204,"",INDEX($T$5:$AJ$1204,MATCH(67,$S$5:$S$1204,0),6))</f>
        <v/>
      </c>
      <c r="G71" s="8" t="str">
        <f t="array" ref="G71">IF(67&gt;$S$1204,"",INDEX($T$5:$AJ$1204,MATCH(67,$S$5:$S$1204,0),7))</f>
        <v/>
      </c>
      <c r="H71" s="8" t="str">
        <f t="array" ref="H71">IF(67&gt;$S$1204,"",INDEX($T$5:$AJ$1204,MATCH(67,$S$5:$S$1204,0),8))</f>
        <v/>
      </c>
      <c r="I71" s="8" t="str">
        <f t="array" ref="I71">IF(67&gt;$S$1204,"",INDEX($T$5:$AJ$1204,MATCH(67,$S$5:$S$1204,0),9))</f>
        <v/>
      </c>
      <c r="J71" s="14" t="str">
        <f t="array" ref="J71">IF(67&gt;$S$1204,"",INDEX($T$5:$AJ$1204,MATCH(67,$S$5:$S$1204,0),10))</f>
        <v/>
      </c>
      <c r="K71" s="8" t="str">
        <f t="array" ref="K71">IF(67&gt;$S$1204,"",INDEX($T$5:$AJ$1204,MATCH(67,$S$5:$S$1204,0),11))</f>
        <v/>
      </c>
      <c r="L71" s="8" t="str">
        <f t="array" ref="L71">IF(67&gt;$S$1204,"",INDEX($T$5:$AJ$1204,MATCH(67,$S$5:$S$1204,0),12))</f>
        <v/>
      </c>
      <c r="M71" s="8" t="str">
        <f t="array" ref="M71">IF(67&gt;$S$1204,"",INDEX($T$5:$AJ$1204,MATCH(67,$S$5:$S$1204,0),13))</f>
        <v/>
      </c>
      <c r="N71" s="8" t="str">
        <f t="array" ref="N71">IF(67&gt;$S$1204,"",INDEX($T$5:$AJ$1204,MATCH(67,$S$5:$S$1204,0),14))</f>
        <v/>
      </c>
      <c r="O71" s="15" t="str">
        <f t="array" ref="O71">IF(67&gt;$S$1204,"",INDEX($T$5:$AJ$1204,MATCH(67,$S$5:$S$1204,0),15))</f>
        <v/>
      </c>
      <c r="P71" s="8" t="str">
        <f t="array" ref="P71">IF(67&gt;$S$1204,"",INDEX($T$5:$AJ$1204,MATCH(67,$S$5:$S$1204,0),16))</f>
        <v/>
      </c>
      <c r="Q71" s="8" t="str">
        <f t="array" ref="Q71">IF(67&gt;$S$1204,"",INDEX($T$5:$AJ$1204,MATCH(67,$S$5:$S$1204,0),17))</f>
        <v/>
      </c>
      <c r="R71" s="17"/>
      <c r="S71" s="17">
        <f>S70+IF(M1_Administrativo!A75="",0,1)</f>
        <v>0</v>
      </c>
      <c r="T71" s="17" t="str">
        <f>IF(M1_Administrativo!A75="","",IF(M1_Administrativo!A75="","",M1_Administrativo!A75))</f>
        <v/>
      </c>
      <c r="U71" s="17" t="str">
        <f>IF(M1_Administrativo!A75="","",IF(M1_Administrativo!R75="","",M1_Administrativo!R75))</f>
        <v/>
      </c>
      <c r="V71" s="17" t="str">
        <f>IF(M1_Administrativo!A75="","",IF(M1_Administrativo!D75="","",M1_Administrativo!D75))</f>
        <v/>
      </c>
      <c r="W71" s="17" t="str">
        <f>IF(M1_Administrativo!A75="","",IF(M1_Administrativo!B75="","",M1_Administrativo!B75))</f>
        <v/>
      </c>
      <c r="X71" s="17" t="str">
        <f>IF(M1_Administrativo!A75="","",IF(M1_Administrativo!C75="","",M1_Administrativo!C75))</f>
        <v/>
      </c>
      <c r="Y71" s="17" t="str">
        <f>IF(M1_Administrativo!A75="","",IF(M1_Administrativo!E75="","",M1_Administrativo!E75))</f>
        <v/>
      </c>
      <c r="Z71" s="17" t="str">
        <f>IF(M1_Administrativo!A75="","",IF(M1_Administrativo!F75="","",M1_Administrativo!F75))</f>
        <v/>
      </c>
      <c r="AA71" s="17" t="str">
        <f>IF(M1_Administrativo!A75="","","M1 Administrativo")</f>
        <v/>
      </c>
      <c r="AB71" s="17" t="str">
        <f>IF(M1_Administrativo!A75="","",IF(M1_Administrativo!G75="","",M1_Administrativo!G75))</f>
        <v/>
      </c>
      <c r="AC71" s="17" t="str">
        <f>IF(M1_Administrativo!A75="","",IF(M1_Administrativo!M75="","",M1_Administrativo!M75))</f>
        <v/>
      </c>
      <c r="AD71" s="17" t="str">
        <f>IF(M1_Administrativo!A75="","","RA")</f>
        <v/>
      </c>
      <c r="AE71" s="17" t="str">
        <f>IF(M1_Administrativo!A75="","",IF(M1_Administrativo!O75="","",M1_Administrativo!O75))</f>
        <v/>
      </c>
      <c r="AF71" s="17" t="str">
        <f>IF(M1_Administrativo!A75="","",IF(M1_Administrativo!P75="","",M1_Administrativo!P75))</f>
        <v/>
      </c>
      <c r="AG71" s="17" t="str">
        <f>IF(M1_Administrativo!A75="","",IF(M1_Administrativo!Q75="","",M1_Administrativo!Q75))</f>
        <v/>
      </c>
      <c r="AH71" s="17" t="str">
        <f>IF(M1_Administrativo!A75="","","")</f>
        <v/>
      </c>
      <c r="AI71" s="17" t="str">
        <f>IF(M1_Administrativo!A75="","","M1_Administrativo!75")</f>
        <v/>
      </c>
      <c r="AJ71" s="17" t="str">
        <f>IF(M1_Administrativo!A75="","",IF(M1_Administrativo!M75="","Pendiente de resultado","Disponible"))</f>
        <v/>
      </c>
    </row>
    <row r="72" spans="1:36" ht="55.5" customHeight="1">
      <c r="A72" s="6" t="str">
        <f t="array" ref="A72">IF(68&gt;$S$1204,"",INDEX($T$5:$AJ$1204,MATCH(68,$S$5:$S$1204,0),1))</f>
        <v/>
      </c>
      <c r="B72" s="8" t="str">
        <f t="array" ref="B72">IF(68&gt;$S$1204,"",INDEX($T$5:$AJ$1204,MATCH(68,$S$5:$S$1204,0),2))</f>
        <v/>
      </c>
      <c r="C72" s="10" t="str">
        <f t="array" ref="C72">IF(68&gt;$S$1204,"",INDEX($T$5:$AJ$1204,MATCH(68,$S$5:$S$1204,0),3))</f>
        <v/>
      </c>
      <c r="D72" s="8" t="str">
        <f t="array" ref="D72">IF(68&gt;$S$1204,"",INDEX($T$5:$AJ$1204,MATCH(68,$S$5:$S$1204,0),4))</f>
        <v/>
      </c>
      <c r="E72" s="8" t="str">
        <f t="array" ref="E72">IF(68&gt;$S$1204,"",INDEX($T$5:$AJ$1204,MATCH(68,$S$5:$S$1204,0),5))</f>
        <v/>
      </c>
      <c r="F72" s="8" t="str">
        <f t="array" ref="F72">IF(68&gt;$S$1204,"",INDEX($T$5:$AJ$1204,MATCH(68,$S$5:$S$1204,0),6))</f>
        <v/>
      </c>
      <c r="G72" s="8" t="str">
        <f t="array" ref="G72">IF(68&gt;$S$1204,"",INDEX($T$5:$AJ$1204,MATCH(68,$S$5:$S$1204,0),7))</f>
        <v/>
      </c>
      <c r="H72" s="8" t="str">
        <f t="array" ref="H72">IF(68&gt;$S$1204,"",INDEX($T$5:$AJ$1204,MATCH(68,$S$5:$S$1204,0),8))</f>
        <v/>
      </c>
      <c r="I72" s="8" t="str">
        <f t="array" ref="I72">IF(68&gt;$S$1204,"",INDEX($T$5:$AJ$1204,MATCH(68,$S$5:$S$1204,0),9))</f>
        <v/>
      </c>
      <c r="J72" s="14" t="str">
        <f t="array" ref="J72">IF(68&gt;$S$1204,"",INDEX($T$5:$AJ$1204,MATCH(68,$S$5:$S$1204,0),10))</f>
        <v/>
      </c>
      <c r="K72" s="8" t="str">
        <f t="array" ref="K72">IF(68&gt;$S$1204,"",INDEX($T$5:$AJ$1204,MATCH(68,$S$5:$S$1204,0),11))</f>
        <v/>
      </c>
      <c r="L72" s="8" t="str">
        <f t="array" ref="L72">IF(68&gt;$S$1204,"",INDEX($T$5:$AJ$1204,MATCH(68,$S$5:$S$1204,0),12))</f>
        <v/>
      </c>
      <c r="M72" s="8" t="str">
        <f t="array" ref="M72">IF(68&gt;$S$1204,"",INDEX($T$5:$AJ$1204,MATCH(68,$S$5:$S$1204,0),13))</f>
        <v/>
      </c>
      <c r="N72" s="8" t="str">
        <f t="array" ref="N72">IF(68&gt;$S$1204,"",INDEX($T$5:$AJ$1204,MATCH(68,$S$5:$S$1204,0),14))</f>
        <v/>
      </c>
      <c r="O72" s="15" t="str">
        <f t="array" ref="O72">IF(68&gt;$S$1204,"",INDEX($T$5:$AJ$1204,MATCH(68,$S$5:$S$1204,0),15))</f>
        <v/>
      </c>
      <c r="P72" s="8" t="str">
        <f t="array" ref="P72">IF(68&gt;$S$1204,"",INDEX($T$5:$AJ$1204,MATCH(68,$S$5:$S$1204,0),16))</f>
        <v/>
      </c>
      <c r="Q72" s="8" t="str">
        <f t="array" ref="Q72">IF(68&gt;$S$1204,"",INDEX($T$5:$AJ$1204,MATCH(68,$S$5:$S$1204,0),17))</f>
        <v/>
      </c>
      <c r="R72" s="17"/>
      <c r="S72" s="17">
        <f>S71+IF(M1_Administrativo!A76="",0,1)</f>
        <v>0</v>
      </c>
      <c r="T72" s="17" t="str">
        <f>IF(M1_Administrativo!A76="","",IF(M1_Administrativo!A76="","",M1_Administrativo!A76))</f>
        <v/>
      </c>
      <c r="U72" s="17" t="str">
        <f>IF(M1_Administrativo!A76="","",IF(M1_Administrativo!R76="","",M1_Administrativo!R76))</f>
        <v/>
      </c>
      <c r="V72" s="17" t="str">
        <f>IF(M1_Administrativo!A76="","",IF(M1_Administrativo!D76="","",M1_Administrativo!D76))</f>
        <v/>
      </c>
      <c r="W72" s="17" t="str">
        <f>IF(M1_Administrativo!A76="","",IF(M1_Administrativo!B76="","",M1_Administrativo!B76))</f>
        <v/>
      </c>
      <c r="X72" s="17" t="str">
        <f>IF(M1_Administrativo!A76="","",IF(M1_Administrativo!C76="","",M1_Administrativo!C76))</f>
        <v/>
      </c>
      <c r="Y72" s="17" t="str">
        <f>IF(M1_Administrativo!A76="","",IF(M1_Administrativo!E76="","",M1_Administrativo!E76))</f>
        <v/>
      </c>
      <c r="Z72" s="17" t="str">
        <f>IF(M1_Administrativo!A76="","",IF(M1_Administrativo!F76="","",M1_Administrativo!F76))</f>
        <v/>
      </c>
      <c r="AA72" s="17" t="str">
        <f>IF(M1_Administrativo!A76="","","M1 Administrativo")</f>
        <v/>
      </c>
      <c r="AB72" s="17" t="str">
        <f>IF(M1_Administrativo!A76="","",IF(M1_Administrativo!G76="","",M1_Administrativo!G76))</f>
        <v/>
      </c>
      <c r="AC72" s="17" t="str">
        <f>IF(M1_Administrativo!A76="","",IF(M1_Administrativo!M76="","",M1_Administrativo!M76))</f>
        <v/>
      </c>
      <c r="AD72" s="17" t="str">
        <f>IF(M1_Administrativo!A76="","","RA")</f>
        <v/>
      </c>
      <c r="AE72" s="17" t="str">
        <f>IF(M1_Administrativo!A76="","",IF(M1_Administrativo!O76="","",M1_Administrativo!O76))</f>
        <v/>
      </c>
      <c r="AF72" s="17" t="str">
        <f>IF(M1_Administrativo!A76="","",IF(M1_Administrativo!P76="","",M1_Administrativo!P76))</f>
        <v/>
      </c>
      <c r="AG72" s="17" t="str">
        <f>IF(M1_Administrativo!A76="","",IF(M1_Administrativo!Q76="","",M1_Administrativo!Q76))</f>
        <v/>
      </c>
      <c r="AH72" s="17" t="str">
        <f>IF(M1_Administrativo!A76="","","")</f>
        <v/>
      </c>
      <c r="AI72" s="17" t="str">
        <f>IF(M1_Administrativo!A76="","","M1_Administrativo!76")</f>
        <v/>
      </c>
      <c r="AJ72" s="17" t="str">
        <f>IF(M1_Administrativo!A76="","",IF(M1_Administrativo!M76="","Pendiente de resultado","Disponible"))</f>
        <v/>
      </c>
    </row>
    <row r="73" spans="1:36" ht="55.5" customHeight="1">
      <c r="A73" s="6" t="str">
        <f t="array" ref="A73">IF(69&gt;$S$1204,"",INDEX($T$5:$AJ$1204,MATCH(69,$S$5:$S$1204,0),1))</f>
        <v/>
      </c>
      <c r="B73" s="8" t="str">
        <f t="array" ref="B73">IF(69&gt;$S$1204,"",INDEX($T$5:$AJ$1204,MATCH(69,$S$5:$S$1204,0),2))</f>
        <v/>
      </c>
      <c r="C73" s="10" t="str">
        <f t="array" ref="C73">IF(69&gt;$S$1204,"",INDEX($T$5:$AJ$1204,MATCH(69,$S$5:$S$1204,0),3))</f>
        <v/>
      </c>
      <c r="D73" s="8" t="str">
        <f t="array" ref="D73">IF(69&gt;$S$1204,"",INDEX($T$5:$AJ$1204,MATCH(69,$S$5:$S$1204,0),4))</f>
        <v/>
      </c>
      <c r="E73" s="8" t="str">
        <f t="array" ref="E73">IF(69&gt;$S$1204,"",INDEX($T$5:$AJ$1204,MATCH(69,$S$5:$S$1204,0),5))</f>
        <v/>
      </c>
      <c r="F73" s="8" t="str">
        <f t="array" ref="F73">IF(69&gt;$S$1204,"",INDEX($T$5:$AJ$1204,MATCH(69,$S$5:$S$1204,0),6))</f>
        <v/>
      </c>
      <c r="G73" s="8" t="str">
        <f t="array" ref="G73">IF(69&gt;$S$1204,"",INDEX($T$5:$AJ$1204,MATCH(69,$S$5:$S$1204,0),7))</f>
        <v/>
      </c>
      <c r="H73" s="8" t="str">
        <f t="array" ref="H73">IF(69&gt;$S$1204,"",INDEX($T$5:$AJ$1204,MATCH(69,$S$5:$S$1204,0),8))</f>
        <v/>
      </c>
      <c r="I73" s="8" t="str">
        <f t="array" ref="I73">IF(69&gt;$S$1204,"",INDEX($T$5:$AJ$1204,MATCH(69,$S$5:$S$1204,0),9))</f>
        <v/>
      </c>
      <c r="J73" s="14" t="str">
        <f t="array" ref="J73">IF(69&gt;$S$1204,"",INDEX($T$5:$AJ$1204,MATCH(69,$S$5:$S$1204,0),10))</f>
        <v/>
      </c>
      <c r="K73" s="8" t="str">
        <f t="array" ref="K73">IF(69&gt;$S$1204,"",INDEX($T$5:$AJ$1204,MATCH(69,$S$5:$S$1204,0),11))</f>
        <v/>
      </c>
      <c r="L73" s="8" t="str">
        <f t="array" ref="L73">IF(69&gt;$S$1204,"",INDEX($T$5:$AJ$1204,MATCH(69,$S$5:$S$1204,0),12))</f>
        <v/>
      </c>
      <c r="M73" s="8" t="str">
        <f t="array" ref="M73">IF(69&gt;$S$1204,"",INDEX($T$5:$AJ$1204,MATCH(69,$S$5:$S$1204,0),13))</f>
        <v/>
      </c>
      <c r="N73" s="8" t="str">
        <f t="array" ref="N73">IF(69&gt;$S$1204,"",INDEX($T$5:$AJ$1204,MATCH(69,$S$5:$S$1204,0),14))</f>
        <v/>
      </c>
      <c r="O73" s="15" t="str">
        <f t="array" ref="O73">IF(69&gt;$S$1204,"",INDEX($T$5:$AJ$1204,MATCH(69,$S$5:$S$1204,0),15))</f>
        <v/>
      </c>
      <c r="P73" s="8" t="str">
        <f t="array" ref="P73">IF(69&gt;$S$1204,"",INDEX($T$5:$AJ$1204,MATCH(69,$S$5:$S$1204,0),16))</f>
        <v/>
      </c>
      <c r="Q73" s="8" t="str">
        <f t="array" ref="Q73">IF(69&gt;$S$1204,"",INDEX($T$5:$AJ$1204,MATCH(69,$S$5:$S$1204,0),17))</f>
        <v/>
      </c>
      <c r="R73" s="17"/>
      <c r="S73" s="17">
        <f>S72+IF(M1_Administrativo!A77="",0,1)</f>
        <v>0</v>
      </c>
      <c r="T73" s="17" t="str">
        <f>IF(M1_Administrativo!A77="","",IF(M1_Administrativo!A77="","",M1_Administrativo!A77))</f>
        <v/>
      </c>
      <c r="U73" s="17" t="str">
        <f>IF(M1_Administrativo!A77="","",IF(M1_Administrativo!R77="","",M1_Administrativo!R77))</f>
        <v/>
      </c>
      <c r="V73" s="17" t="str">
        <f>IF(M1_Administrativo!A77="","",IF(M1_Administrativo!D77="","",M1_Administrativo!D77))</f>
        <v/>
      </c>
      <c r="W73" s="17" t="str">
        <f>IF(M1_Administrativo!A77="","",IF(M1_Administrativo!B77="","",M1_Administrativo!B77))</f>
        <v/>
      </c>
      <c r="X73" s="17" t="str">
        <f>IF(M1_Administrativo!A77="","",IF(M1_Administrativo!C77="","",M1_Administrativo!C77))</f>
        <v/>
      </c>
      <c r="Y73" s="17" t="str">
        <f>IF(M1_Administrativo!A77="","",IF(M1_Administrativo!E77="","",M1_Administrativo!E77))</f>
        <v/>
      </c>
      <c r="Z73" s="17" t="str">
        <f>IF(M1_Administrativo!A77="","",IF(M1_Administrativo!F77="","",M1_Administrativo!F77))</f>
        <v/>
      </c>
      <c r="AA73" s="17" t="str">
        <f>IF(M1_Administrativo!A77="","","M1 Administrativo")</f>
        <v/>
      </c>
      <c r="AB73" s="17" t="str">
        <f>IF(M1_Administrativo!A77="","",IF(M1_Administrativo!G77="","",M1_Administrativo!G77))</f>
        <v/>
      </c>
      <c r="AC73" s="17" t="str">
        <f>IF(M1_Administrativo!A77="","",IF(M1_Administrativo!M77="","",M1_Administrativo!M77))</f>
        <v/>
      </c>
      <c r="AD73" s="17" t="str">
        <f>IF(M1_Administrativo!A77="","","RA")</f>
        <v/>
      </c>
      <c r="AE73" s="17" t="str">
        <f>IF(M1_Administrativo!A77="","",IF(M1_Administrativo!O77="","",M1_Administrativo!O77))</f>
        <v/>
      </c>
      <c r="AF73" s="17" t="str">
        <f>IF(M1_Administrativo!A77="","",IF(M1_Administrativo!P77="","",M1_Administrativo!P77))</f>
        <v/>
      </c>
      <c r="AG73" s="17" t="str">
        <f>IF(M1_Administrativo!A77="","",IF(M1_Administrativo!Q77="","",M1_Administrativo!Q77))</f>
        <v/>
      </c>
      <c r="AH73" s="17" t="str">
        <f>IF(M1_Administrativo!A77="","","")</f>
        <v/>
      </c>
      <c r="AI73" s="17" t="str">
        <f>IF(M1_Administrativo!A77="","","M1_Administrativo!77")</f>
        <v/>
      </c>
      <c r="AJ73" s="17" t="str">
        <f>IF(M1_Administrativo!A77="","",IF(M1_Administrativo!M77="","Pendiente de resultado","Disponible"))</f>
        <v/>
      </c>
    </row>
    <row r="74" spans="1:36" ht="55.5" customHeight="1">
      <c r="A74" s="6" t="str">
        <f t="array" ref="A74">IF(70&gt;$S$1204,"",INDEX($T$5:$AJ$1204,MATCH(70,$S$5:$S$1204,0),1))</f>
        <v/>
      </c>
      <c r="B74" s="8" t="str">
        <f t="array" ref="B74">IF(70&gt;$S$1204,"",INDEX($T$5:$AJ$1204,MATCH(70,$S$5:$S$1204,0),2))</f>
        <v/>
      </c>
      <c r="C74" s="10" t="str">
        <f t="array" ref="C74">IF(70&gt;$S$1204,"",INDEX($T$5:$AJ$1204,MATCH(70,$S$5:$S$1204,0),3))</f>
        <v/>
      </c>
      <c r="D74" s="8" t="str">
        <f t="array" ref="D74">IF(70&gt;$S$1204,"",INDEX($T$5:$AJ$1204,MATCH(70,$S$5:$S$1204,0),4))</f>
        <v/>
      </c>
      <c r="E74" s="8" t="str">
        <f t="array" ref="E74">IF(70&gt;$S$1204,"",INDEX($T$5:$AJ$1204,MATCH(70,$S$5:$S$1204,0),5))</f>
        <v/>
      </c>
      <c r="F74" s="8" t="str">
        <f t="array" ref="F74">IF(70&gt;$S$1204,"",INDEX($T$5:$AJ$1204,MATCH(70,$S$5:$S$1204,0),6))</f>
        <v/>
      </c>
      <c r="G74" s="8" t="str">
        <f t="array" ref="G74">IF(70&gt;$S$1204,"",INDEX($T$5:$AJ$1204,MATCH(70,$S$5:$S$1204,0),7))</f>
        <v/>
      </c>
      <c r="H74" s="8" t="str">
        <f t="array" ref="H74">IF(70&gt;$S$1204,"",INDEX($T$5:$AJ$1204,MATCH(70,$S$5:$S$1204,0),8))</f>
        <v/>
      </c>
      <c r="I74" s="8" t="str">
        <f t="array" ref="I74">IF(70&gt;$S$1204,"",INDEX($T$5:$AJ$1204,MATCH(70,$S$5:$S$1204,0),9))</f>
        <v/>
      </c>
      <c r="J74" s="14" t="str">
        <f t="array" ref="J74">IF(70&gt;$S$1204,"",INDEX($T$5:$AJ$1204,MATCH(70,$S$5:$S$1204,0),10))</f>
        <v/>
      </c>
      <c r="K74" s="8" t="str">
        <f t="array" ref="K74">IF(70&gt;$S$1204,"",INDEX($T$5:$AJ$1204,MATCH(70,$S$5:$S$1204,0),11))</f>
        <v/>
      </c>
      <c r="L74" s="8" t="str">
        <f t="array" ref="L74">IF(70&gt;$S$1204,"",INDEX($T$5:$AJ$1204,MATCH(70,$S$5:$S$1204,0),12))</f>
        <v/>
      </c>
      <c r="M74" s="8" t="str">
        <f t="array" ref="M74">IF(70&gt;$S$1204,"",INDEX($T$5:$AJ$1204,MATCH(70,$S$5:$S$1204,0),13))</f>
        <v/>
      </c>
      <c r="N74" s="8" t="str">
        <f t="array" ref="N74">IF(70&gt;$S$1204,"",INDEX($T$5:$AJ$1204,MATCH(70,$S$5:$S$1204,0),14))</f>
        <v/>
      </c>
      <c r="O74" s="15" t="str">
        <f t="array" ref="O74">IF(70&gt;$S$1204,"",INDEX($T$5:$AJ$1204,MATCH(70,$S$5:$S$1204,0),15))</f>
        <v/>
      </c>
      <c r="P74" s="8" t="str">
        <f t="array" ref="P74">IF(70&gt;$S$1204,"",INDEX($T$5:$AJ$1204,MATCH(70,$S$5:$S$1204,0),16))</f>
        <v/>
      </c>
      <c r="Q74" s="8" t="str">
        <f t="array" ref="Q74">IF(70&gt;$S$1204,"",INDEX($T$5:$AJ$1204,MATCH(70,$S$5:$S$1204,0),17))</f>
        <v/>
      </c>
      <c r="R74" s="17"/>
      <c r="S74" s="17">
        <f>S73+IF(M1_Administrativo!A78="",0,1)</f>
        <v>0</v>
      </c>
      <c r="T74" s="17" t="str">
        <f>IF(M1_Administrativo!A78="","",IF(M1_Administrativo!A78="","",M1_Administrativo!A78))</f>
        <v/>
      </c>
      <c r="U74" s="17" t="str">
        <f>IF(M1_Administrativo!A78="","",IF(M1_Administrativo!R78="","",M1_Administrativo!R78))</f>
        <v/>
      </c>
      <c r="V74" s="17" t="str">
        <f>IF(M1_Administrativo!A78="","",IF(M1_Administrativo!D78="","",M1_Administrativo!D78))</f>
        <v/>
      </c>
      <c r="W74" s="17" t="str">
        <f>IF(M1_Administrativo!A78="","",IF(M1_Administrativo!B78="","",M1_Administrativo!B78))</f>
        <v/>
      </c>
      <c r="X74" s="17" t="str">
        <f>IF(M1_Administrativo!A78="","",IF(M1_Administrativo!C78="","",M1_Administrativo!C78))</f>
        <v/>
      </c>
      <c r="Y74" s="17" t="str">
        <f>IF(M1_Administrativo!A78="","",IF(M1_Administrativo!E78="","",M1_Administrativo!E78))</f>
        <v/>
      </c>
      <c r="Z74" s="17" t="str">
        <f>IF(M1_Administrativo!A78="","",IF(M1_Administrativo!F78="","",M1_Administrativo!F78))</f>
        <v/>
      </c>
      <c r="AA74" s="17" t="str">
        <f>IF(M1_Administrativo!A78="","","M1 Administrativo")</f>
        <v/>
      </c>
      <c r="AB74" s="17" t="str">
        <f>IF(M1_Administrativo!A78="","",IF(M1_Administrativo!G78="","",M1_Administrativo!G78))</f>
        <v/>
      </c>
      <c r="AC74" s="17" t="str">
        <f>IF(M1_Administrativo!A78="","",IF(M1_Administrativo!M78="","",M1_Administrativo!M78))</f>
        <v/>
      </c>
      <c r="AD74" s="17" t="str">
        <f>IF(M1_Administrativo!A78="","","RA")</f>
        <v/>
      </c>
      <c r="AE74" s="17" t="str">
        <f>IF(M1_Administrativo!A78="","",IF(M1_Administrativo!O78="","",M1_Administrativo!O78))</f>
        <v/>
      </c>
      <c r="AF74" s="17" t="str">
        <f>IF(M1_Administrativo!A78="","",IF(M1_Administrativo!P78="","",M1_Administrativo!P78))</f>
        <v/>
      </c>
      <c r="AG74" s="17" t="str">
        <f>IF(M1_Administrativo!A78="","",IF(M1_Administrativo!Q78="","",M1_Administrativo!Q78))</f>
        <v/>
      </c>
      <c r="AH74" s="17" t="str">
        <f>IF(M1_Administrativo!A78="","","")</f>
        <v/>
      </c>
      <c r="AI74" s="17" t="str">
        <f>IF(M1_Administrativo!A78="","","M1_Administrativo!78")</f>
        <v/>
      </c>
      <c r="AJ74" s="17" t="str">
        <f>IF(M1_Administrativo!A78="","",IF(M1_Administrativo!M78="","Pendiente de resultado","Disponible"))</f>
        <v/>
      </c>
    </row>
    <row r="75" spans="1:36" ht="55.5" customHeight="1">
      <c r="A75" s="6" t="str">
        <f t="array" ref="A75">IF(71&gt;$S$1204,"",INDEX($T$5:$AJ$1204,MATCH(71,$S$5:$S$1204,0),1))</f>
        <v/>
      </c>
      <c r="B75" s="8" t="str">
        <f t="array" ref="B75">IF(71&gt;$S$1204,"",INDEX($T$5:$AJ$1204,MATCH(71,$S$5:$S$1204,0),2))</f>
        <v/>
      </c>
      <c r="C75" s="10" t="str">
        <f t="array" ref="C75">IF(71&gt;$S$1204,"",INDEX($T$5:$AJ$1204,MATCH(71,$S$5:$S$1204,0),3))</f>
        <v/>
      </c>
      <c r="D75" s="8" t="str">
        <f t="array" ref="D75">IF(71&gt;$S$1204,"",INDEX($T$5:$AJ$1204,MATCH(71,$S$5:$S$1204,0),4))</f>
        <v/>
      </c>
      <c r="E75" s="8" t="str">
        <f t="array" ref="E75">IF(71&gt;$S$1204,"",INDEX($T$5:$AJ$1204,MATCH(71,$S$5:$S$1204,0),5))</f>
        <v/>
      </c>
      <c r="F75" s="8" t="str">
        <f t="array" ref="F75">IF(71&gt;$S$1204,"",INDEX($T$5:$AJ$1204,MATCH(71,$S$5:$S$1204,0),6))</f>
        <v/>
      </c>
      <c r="G75" s="8" t="str">
        <f t="array" ref="G75">IF(71&gt;$S$1204,"",INDEX($T$5:$AJ$1204,MATCH(71,$S$5:$S$1204,0),7))</f>
        <v/>
      </c>
      <c r="H75" s="8" t="str">
        <f t="array" ref="H75">IF(71&gt;$S$1204,"",INDEX($T$5:$AJ$1204,MATCH(71,$S$5:$S$1204,0),8))</f>
        <v/>
      </c>
      <c r="I75" s="8" t="str">
        <f t="array" ref="I75">IF(71&gt;$S$1204,"",INDEX($T$5:$AJ$1204,MATCH(71,$S$5:$S$1204,0),9))</f>
        <v/>
      </c>
      <c r="J75" s="14" t="str">
        <f t="array" ref="J75">IF(71&gt;$S$1204,"",INDEX($T$5:$AJ$1204,MATCH(71,$S$5:$S$1204,0),10))</f>
        <v/>
      </c>
      <c r="K75" s="8" t="str">
        <f t="array" ref="K75">IF(71&gt;$S$1204,"",INDEX($T$5:$AJ$1204,MATCH(71,$S$5:$S$1204,0),11))</f>
        <v/>
      </c>
      <c r="L75" s="8" t="str">
        <f t="array" ref="L75">IF(71&gt;$S$1204,"",INDEX($T$5:$AJ$1204,MATCH(71,$S$5:$S$1204,0),12))</f>
        <v/>
      </c>
      <c r="M75" s="8" t="str">
        <f t="array" ref="M75">IF(71&gt;$S$1204,"",INDEX($T$5:$AJ$1204,MATCH(71,$S$5:$S$1204,0),13))</f>
        <v/>
      </c>
      <c r="N75" s="8" t="str">
        <f t="array" ref="N75">IF(71&gt;$S$1204,"",INDEX($T$5:$AJ$1204,MATCH(71,$S$5:$S$1204,0),14))</f>
        <v/>
      </c>
      <c r="O75" s="15" t="str">
        <f t="array" ref="O75">IF(71&gt;$S$1204,"",INDEX($T$5:$AJ$1204,MATCH(71,$S$5:$S$1204,0),15))</f>
        <v/>
      </c>
      <c r="P75" s="8" t="str">
        <f t="array" ref="P75">IF(71&gt;$S$1204,"",INDEX($T$5:$AJ$1204,MATCH(71,$S$5:$S$1204,0),16))</f>
        <v/>
      </c>
      <c r="Q75" s="8" t="str">
        <f t="array" ref="Q75">IF(71&gt;$S$1204,"",INDEX($T$5:$AJ$1204,MATCH(71,$S$5:$S$1204,0),17))</f>
        <v/>
      </c>
      <c r="R75" s="17"/>
      <c r="S75" s="17">
        <f>S74+IF(M1_Administrativo!A79="",0,1)</f>
        <v>0</v>
      </c>
      <c r="T75" s="17" t="str">
        <f>IF(M1_Administrativo!A79="","",IF(M1_Administrativo!A79="","",M1_Administrativo!A79))</f>
        <v/>
      </c>
      <c r="U75" s="17" t="str">
        <f>IF(M1_Administrativo!A79="","",IF(M1_Administrativo!R79="","",M1_Administrativo!R79))</f>
        <v/>
      </c>
      <c r="V75" s="17" t="str">
        <f>IF(M1_Administrativo!A79="","",IF(M1_Administrativo!D79="","",M1_Administrativo!D79))</f>
        <v/>
      </c>
      <c r="W75" s="17" t="str">
        <f>IF(M1_Administrativo!A79="","",IF(M1_Administrativo!B79="","",M1_Administrativo!B79))</f>
        <v/>
      </c>
      <c r="X75" s="17" t="str">
        <f>IF(M1_Administrativo!A79="","",IF(M1_Administrativo!C79="","",M1_Administrativo!C79))</f>
        <v/>
      </c>
      <c r="Y75" s="17" t="str">
        <f>IF(M1_Administrativo!A79="","",IF(M1_Administrativo!E79="","",M1_Administrativo!E79))</f>
        <v/>
      </c>
      <c r="Z75" s="17" t="str">
        <f>IF(M1_Administrativo!A79="","",IF(M1_Administrativo!F79="","",M1_Administrativo!F79))</f>
        <v/>
      </c>
      <c r="AA75" s="17" t="str">
        <f>IF(M1_Administrativo!A79="","","M1 Administrativo")</f>
        <v/>
      </c>
      <c r="AB75" s="17" t="str">
        <f>IF(M1_Administrativo!A79="","",IF(M1_Administrativo!G79="","",M1_Administrativo!G79))</f>
        <v/>
      </c>
      <c r="AC75" s="17" t="str">
        <f>IF(M1_Administrativo!A79="","",IF(M1_Administrativo!M79="","",M1_Administrativo!M79))</f>
        <v/>
      </c>
      <c r="AD75" s="17" t="str">
        <f>IF(M1_Administrativo!A79="","","RA")</f>
        <v/>
      </c>
      <c r="AE75" s="17" t="str">
        <f>IF(M1_Administrativo!A79="","",IF(M1_Administrativo!O79="","",M1_Administrativo!O79))</f>
        <v/>
      </c>
      <c r="AF75" s="17" t="str">
        <f>IF(M1_Administrativo!A79="","",IF(M1_Administrativo!P79="","",M1_Administrativo!P79))</f>
        <v/>
      </c>
      <c r="AG75" s="17" t="str">
        <f>IF(M1_Administrativo!A79="","",IF(M1_Administrativo!Q79="","",M1_Administrativo!Q79))</f>
        <v/>
      </c>
      <c r="AH75" s="17" t="str">
        <f>IF(M1_Administrativo!A79="","","")</f>
        <v/>
      </c>
      <c r="AI75" s="17" t="str">
        <f>IF(M1_Administrativo!A79="","","M1_Administrativo!79")</f>
        <v/>
      </c>
      <c r="AJ75" s="17" t="str">
        <f>IF(M1_Administrativo!A79="","",IF(M1_Administrativo!M79="","Pendiente de resultado","Disponible"))</f>
        <v/>
      </c>
    </row>
    <row r="76" spans="1:36" ht="55.5" customHeight="1">
      <c r="A76" s="6" t="str">
        <f t="array" ref="A76">IF(72&gt;$S$1204,"",INDEX($T$5:$AJ$1204,MATCH(72,$S$5:$S$1204,0),1))</f>
        <v/>
      </c>
      <c r="B76" s="8" t="str">
        <f t="array" ref="B76">IF(72&gt;$S$1204,"",INDEX($T$5:$AJ$1204,MATCH(72,$S$5:$S$1204,0),2))</f>
        <v/>
      </c>
      <c r="C76" s="10" t="str">
        <f t="array" ref="C76">IF(72&gt;$S$1204,"",INDEX($T$5:$AJ$1204,MATCH(72,$S$5:$S$1204,0),3))</f>
        <v/>
      </c>
      <c r="D76" s="8" t="str">
        <f t="array" ref="D76">IF(72&gt;$S$1204,"",INDEX($T$5:$AJ$1204,MATCH(72,$S$5:$S$1204,0),4))</f>
        <v/>
      </c>
      <c r="E76" s="8" t="str">
        <f t="array" ref="E76">IF(72&gt;$S$1204,"",INDEX($T$5:$AJ$1204,MATCH(72,$S$5:$S$1204,0),5))</f>
        <v/>
      </c>
      <c r="F76" s="8" t="str">
        <f t="array" ref="F76">IF(72&gt;$S$1204,"",INDEX($T$5:$AJ$1204,MATCH(72,$S$5:$S$1204,0),6))</f>
        <v/>
      </c>
      <c r="G76" s="8" t="str">
        <f t="array" ref="G76">IF(72&gt;$S$1204,"",INDEX($T$5:$AJ$1204,MATCH(72,$S$5:$S$1204,0),7))</f>
        <v/>
      </c>
      <c r="H76" s="8" t="str">
        <f t="array" ref="H76">IF(72&gt;$S$1204,"",INDEX($T$5:$AJ$1204,MATCH(72,$S$5:$S$1204,0),8))</f>
        <v/>
      </c>
      <c r="I76" s="8" t="str">
        <f t="array" ref="I76">IF(72&gt;$S$1204,"",INDEX($T$5:$AJ$1204,MATCH(72,$S$5:$S$1204,0),9))</f>
        <v/>
      </c>
      <c r="J76" s="14" t="str">
        <f t="array" ref="J76">IF(72&gt;$S$1204,"",INDEX($T$5:$AJ$1204,MATCH(72,$S$5:$S$1204,0),10))</f>
        <v/>
      </c>
      <c r="K76" s="8" t="str">
        <f t="array" ref="K76">IF(72&gt;$S$1204,"",INDEX($T$5:$AJ$1204,MATCH(72,$S$5:$S$1204,0),11))</f>
        <v/>
      </c>
      <c r="L76" s="8" t="str">
        <f t="array" ref="L76">IF(72&gt;$S$1204,"",INDEX($T$5:$AJ$1204,MATCH(72,$S$5:$S$1204,0),12))</f>
        <v/>
      </c>
      <c r="M76" s="8" t="str">
        <f t="array" ref="M76">IF(72&gt;$S$1204,"",INDEX($T$5:$AJ$1204,MATCH(72,$S$5:$S$1204,0),13))</f>
        <v/>
      </c>
      <c r="N76" s="8" t="str">
        <f t="array" ref="N76">IF(72&gt;$S$1204,"",INDEX($T$5:$AJ$1204,MATCH(72,$S$5:$S$1204,0),14))</f>
        <v/>
      </c>
      <c r="O76" s="15" t="str">
        <f t="array" ref="O76">IF(72&gt;$S$1204,"",INDEX($T$5:$AJ$1204,MATCH(72,$S$5:$S$1204,0),15))</f>
        <v/>
      </c>
      <c r="P76" s="8" t="str">
        <f t="array" ref="P76">IF(72&gt;$S$1204,"",INDEX($T$5:$AJ$1204,MATCH(72,$S$5:$S$1204,0),16))</f>
        <v/>
      </c>
      <c r="Q76" s="8" t="str">
        <f t="array" ref="Q76">IF(72&gt;$S$1204,"",INDEX($T$5:$AJ$1204,MATCH(72,$S$5:$S$1204,0),17))</f>
        <v/>
      </c>
      <c r="R76" s="17"/>
      <c r="S76" s="17">
        <f>S75+IF(M1_Administrativo!A80="",0,1)</f>
        <v>0</v>
      </c>
      <c r="T76" s="17" t="str">
        <f>IF(M1_Administrativo!A80="","",IF(M1_Administrativo!A80="","",M1_Administrativo!A80))</f>
        <v/>
      </c>
      <c r="U76" s="17" t="str">
        <f>IF(M1_Administrativo!A80="","",IF(M1_Administrativo!R80="","",M1_Administrativo!R80))</f>
        <v/>
      </c>
      <c r="V76" s="17" t="str">
        <f>IF(M1_Administrativo!A80="","",IF(M1_Administrativo!D80="","",M1_Administrativo!D80))</f>
        <v/>
      </c>
      <c r="W76" s="17" t="str">
        <f>IF(M1_Administrativo!A80="","",IF(M1_Administrativo!B80="","",M1_Administrativo!B80))</f>
        <v/>
      </c>
      <c r="X76" s="17" t="str">
        <f>IF(M1_Administrativo!A80="","",IF(M1_Administrativo!C80="","",M1_Administrativo!C80))</f>
        <v/>
      </c>
      <c r="Y76" s="17" t="str">
        <f>IF(M1_Administrativo!A80="","",IF(M1_Administrativo!E80="","",M1_Administrativo!E80))</f>
        <v/>
      </c>
      <c r="Z76" s="17" t="str">
        <f>IF(M1_Administrativo!A80="","",IF(M1_Administrativo!F80="","",M1_Administrativo!F80))</f>
        <v/>
      </c>
      <c r="AA76" s="17" t="str">
        <f>IF(M1_Administrativo!A80="","","M1 Administrativo")</f>
        <v/>
      </c>
      <c r="AB76" s="17" t="str">
        <f>IF(M1_Administrativo!A80="","",IF(M1_Administrativo!G80="","",M1_Administrativo!G80))</f>
        <v/>
      </c>
      <c r="AC76" s="17" t="str">
        <f>IF(M1_Administrativo!A80="","",IF(M1_Administrativo!M80="","",M1_Administrativo!M80))</f>
        <v/>
      </c>
      <c r="AD76" s="17" t="str">
        <f>IF(M1_Administrativo!A80="","","RA")</f>
        <v/>
      </c>
      <c r="AE76" s="17" t="str">
        <f>IF(M1_Administrativo!A80="","",IF(M1_Administrativo!O80="","",M1_Administrativo!O80))</f>
        <v/>
      </c>
      <c r="AF76" s="17" t="str">
        <f>IF(M1_Administrativo!A80="","",IF(M1_Administrativo!P80="","",M1_Administrativo!P80))</f>
        <v/>
      </c>
      <c r="AG76" s="17" t="str">
        <f>IF(M1_Administrativo!A80="","",IF(M1_Administrativo!Q80="","",M1_Administrativo!Q80))</f>
        <v/>
      </c>
      <c r="AH76" s="17" t="str">
        <f>IF(M1_Administrativo!A80="","","")</f>
        <v/>
      </c>
      <c r="AI76" s="17" t="str">
        <f>IF(M1_Administrativo!A80="","","M1_Administrativo!80")</f>
        <v/>
      </c>
      <c r="AJ76" s="17" t="str">
        <f>IF(M1_Administrativo!A80="","",IF(M1_Administrativo!M80="","Pendiente de resultado","Disponible"))</f>
        <v/>
      </c>
    </row>
    <row r="77" spans="1:36" ht="55.5" customHeight="1">
      <c r="A77" s="6" t="str">
        <f t="array" ref="A77">IF(73&gt;$S$1204,"",INDEX($T$5:$AJ$1204,MATCH(73,$S$5:$S$1204,0),1))</f>
        <v/>
      </c>
      <c r="B77" s="8" t="str">
        <f t="array" ref="B77">IF(73&gt;$S$1204,"",INDEX($T$5:$AJ$1204,MATCH(73,$S$5:$S$1204,0),2))</f>
        <v/>
      </c>
      <c r="C77" s="10" t="str">
        <f t="array" ref="C77">IF(73&gt;$S$1204,"",INDEX($T$5:$AJ$1204,MATCH(73,$S$5:$S$1204,0),3))</f>
        <v/>
      </c>
      <c r="D77" s="8" t="str">
        <f t="array" ref="D77">IF(73&gt;$S$1204,"",INDEX($T$5:$AJ$1204,MATCH(73,$S$5:$S$1204,0),4))</f>
        <v/>
      </c>
      <c r="E77" s="8" t="str">
        <f t="array" ref="E77">IF(73&gt;$S$1204,"",INDEX($T$5:$AJ$1204,MATCH(73,$S$5:$S$1204,0),5))</f>
        <v/>
      </c>
      <c r="F77" s="8" t="str">
        <f t="array" ref="F77">IF(73&gt;$S$1204,"",INDEX($T$5:$AJ$1204,MATCH(73,$S$5:$S$1204,0),6))</f>
        <v/>
      </c>
      <c r="G77" s="8" t="str">
        <f t="array" ref="G77">IF(73&gt;$S$1204,"",INDEX($T$5:$AJ$1204,MATCH(73,$S$5:$S$1204,0),7))</f>
        <v/>
      </c>
      <c r="H77" s="8" t="str">
        <f t="array" ref="H77">IF(73&gt;$S$1204,"",INDEX($T$5:$AJ$1204,MATCH(73,$S$5:$S$1204,0),8))</f>
        <v/>
      </c>
      <c r="I77" s="8" t="str">
        <f t="array" ref="I77">IF(73&gt;$S$1204,"",INDEX($T$5:$AJ$1204,MATCH(73,$S$5:$S$1204,0),9))</f>
        <v/>
      </c>
      <c r="J77" s="14" t="str">
        <f t="array" ref="J77">IF(73&gt;$S$1204,"",INDEX($T$5:$AJ$1204,MATCH(73,$S$5:$S$1204,0),10))</f>
        <v/>
      </c>
      <c r="K77" s="8" t="str">
        <f t="array" ref="K77">IF(73&gt;$S$1204,"",INDEX($T$5:$AJ$1204,MATCH(73,$S$5:$S$1204,0),11))</f>
        <v/>
      </c>
      <c r="L77" s="8" t="str">
        <f t="array" ref="L77">IF(73&gt;$S$1204,"",INDEX($T$5:$AJ$1204,MATCH(73,$S$5:$S$1204,0),12))</f>
        <v/>
      </c>
      <c r="M77" s="8" t="str">
        <f t="array" ref="M77">IF(73&gt;$S$1204,"",INDEX($T$5:$AJ$1204,MATCH(73,$S$5:$S$1204,0),13))</f>
        <v/>
      </c>
      <c r="N77" s="8" t="str">
        <f t="array" ref="N77">IF(73&gt;$S$1204,"",INDEX($T$5:$AJ$1204,MATCH(73,$S$5:$S$1204,0),14))</f>
        <v/>
      </c>
      <c r="O77" s="15" t="str">
        <f t="array" ref="O77">IF(73&gt;$S$1204,"",INDEX($T$5:$AJ$1204,MATCH(73,$S$5:$S$1204,0),15))</f>
        <v/>
      </c>
      <c r="P77" s="8" t="str">
        <f t="array" ref="P77">IF(73&gt;$S$1204,"",INDEX($T$5:$AJ$1204,MATCH(73,$S$5:$S$1204,0),16))</f>
        <v/>
      </c>
      <c r="Q77" s="8" t="str">
        <f t="array" ref="Q77">IF(73&gt;$S$1204,"",INDEX($T$5:$AJ$1204,MATCH(73,$S$5:$S$1204,0),17))</f>
        <v/>
      </c>
      <c r="R77" s="17"/>
      <c r="S77" s="17">
        <f>S76+IF(M1_Administrativo!A81="",0,1)</f>
        <v>0</v>
      </c>
      <c r="T77" s="17" t="str">
        <f>IF(M1_Administrativo!A81="","",IF(M1_Administrativo!A81="","",M1_Administrativo!A81))</f>
        <v/>
      </c>
      <c r="U77" s="17" t="str">
        <f>IF(M1_Administrativo!A81="","",IF(M1_Administrativo!R81="","",M1_Administrativo!R81))</f>
        <v/>
      </c>
      <c r="V77" s="17" t="str">
        <f>IF(M1_Administrativo!A81="","",IF(M1_Administrativo!D81="","",M1_Administrativo!D81))</f>
        <v/>
      </c>
      <c r="W77" s="17" t="str">
        <f>IF(M1_Administrativo!A81="","",IF(M1_Administrativo!B81="","",M1_Administrativo!B81))</f>
        <v/>
      </c>
      <c r="X77" s="17" t="str">
        <f>IF(M1_Administrativo!A81="","",IF(M1_Administrativo!C81="","",M1_Administrativo!C81))</f>
        <v/>
      </c>
      <c r="Y77" s="17" t="str">
        <f>IF(M1_Administrativo!A81="","",IF(M1_Administrativo!E81="","",M1_Administrativo!E81))</f>
        <v/>
      </c>
      <c r="Z77" s="17" t="str">
        <f>IF(M1_Administrativo!A81="","",IF(M1_Administrativo!F81="","",M1_Administrativo!F81))</f>
        <v/>
      </c>
      <c r="AA77" s="17" t="str">
        <f>IF(M1_Administrativo!A81="","","M1 Administrativo")</f>
        <v/>
      </c>
      <c r="AB77" s="17" t="str">
        <f>IF(M1_Administrativo!A81="","",IF(M1_Administrativo!G81="","",M1_Administrativo!G81))</f>
        <v/>
      </c>
      <c r="AC77" s="17" t="str">
        <f>IF(M1_Administrativo!A81="","",IF(M1_Administrativo!M81="","",M1_Administrativo!M81))</f>
        <v/>
      </c>
      <c r="AD77" s="17" t="str">
        <f>IF(M1_Administrativo!A81="","","RA")</f>
        <v/>
      </c>
      <c r="AE77" s="17" t="str">
        <f>IF(M1_Administrativo!A81="","",IF(M1_Administrativo!O81="","",M1_Administrativo!O81))</f>
        <v/>
      </c>
      <c r="AF77" s="17" t="str">
        <f>IF(M1_Administrativo!A81="","",IF(M1_Administrativo!P81="","",M1_Administrativo!P81))</f>
        <v/>
      </c>
      <c r="AG77" s="17" t="str">
        <f>IF(M1_Administrativo!A81="","",IF(M1_Administrativo!Q81="","",M1_Administrativo!Q81))</f>
        <v/>
      </c>
      <c r="AH77" s="17" t="str">
        <f>IF(M1_Administrativo!A81="","","")</f>
        <v/>
      </c>
      <c r="AI77" s="17" t="str">
        <f>IF(M1_Administrativo!A81="","","M1_Administrativo!81")</f>
        <v/>
      </c>
      <c r="AJ77" s="17" t="str">
        <f>IF(M1_Administrativo!A81="","",IF(M1_Administrativo!M81="","Pendiente de resultado","Disponible"))</f>
        <v/>
      </c>
    </row>
    <row r="78" spans="1:36" ht="55.5" customHeight="1">
      <c r="A78" s="6" t="str">
        <f t="array" ref="A78">IF(74&gt;$S$1204,"",INDEX($T$5:$AJ$1204,MATCH(74,$S$5:$S$1204,0),1))</f>
        <v/>
      </c>
      <c r="B78" s="8" t="str">
        <f t="array" ref="B78">IF(74&gt;$S$1204,"",INDEX($T$5:$AJ$1204,MATCH(74,$S$5:$S$1204,0),2))</f>
        <v/>
      </c>
      <c r="C78" s="10" t="str">
        <f t="array" ref="C78">IF(74&gt;$S$1204,"",INDEX($T$5:$AJ$1204,MATCH(74,$S$5:$S$1204,0),3))</f>
        <v/>
      </c>
      <c r="D78" s="8" t="str">
        <f t="array" ref="D78">IF(74&gt;$S$1204,"",INDEX($T$5:$AJ$1204,MATCH(74,$S$5:$S$1204,0),4))</f>
        <v/>
      </c>
      <c r="E78" s="8" t="str">
        <f t="array" ref="E78">IF(74&gt;$S$1204,"",INDEX($T$5:$AJ$1204,MATCH(74,$S$5:$S$1204,0),5))</f>
        <v/>
      </c>
      <c r="F78" s="8" t="str">
        <f t="array" ref="F78">IF(74&gt;$S$1204,"",INDEX($T$5:$AJ$1204,MATCH(74,$S$5:$S$1204,0),6))</f>
        <v/>
      </c>
      <c r="G78" s="8" t="str">
        <f t="array" ref="G78">IF(74&gt;$S$1204,"",INDEX($T$5:$AJ$1204,MATCH(74,$S$5:$S$1204,0),7))</f>
        <v/>
      </c>
      <c r="H78" s="8" t="str">
        <f t="array" ref="H78">IF(74&gt;$S$1204,"",INDEX($T$5:$AJ$1204,MATCH(74,$S$5:$S$1204,0),8))</f>
        <v/>
      </c>
      <c r="I78" s="8" t="str">
        <f t="array" ref="I78">IF(74&gt;$S$1204,"",INDEX($T$5:$AJ$1204,MATCH(74,$S$5:$S$1204,0),9))</f>
        <v/>
      </c>
      <c r="J78" s="14" t="str">
        <f t="array" ref="J78">IF(74&gt;$S$1204,"",INDEX($T$5:$AJ$1204,MATCH(74,$S$5:$S$1204,0),10))</f>
        <v/>
      </c>
      <c r="K78" s="8" t="str">
        <f t="array" ref="K78">IF(74&gt;$S$1204,"",INDEX($T$5:$AJ$1204,MATCH(74,$S$5:$S$1204,0),11))</f>
        <v/>
      </c>
      <c r="L78" s="8" t="str">
        <f t="array" ref="L78">IF(74&gt;$S$1204,"",INDEX($T$5:$AJ$1204,MATCH(74,$S$5:$S$1204,0),12))</f>
        <v/>
      </c>
      <c r="M78" s="8" t="str">
        <f t="array" ref="M78">IF(74&gt;$S$1204,"",INDEX($T$5:$AJ$1204,MATCH(74,$S$5:$S$1204,0),13))</f>
        <v/>
      </c>
      <c r="N78" s="8" t="str">
        <f t="array" ref="N78">IF(74&gt;$S$1204,"",INDEX($T$5:$AJ$1204,MATCH(74,$S$5:$S$1204,0),14))</f>
        <v/>
      </c>
      <c r="O78" s="15" t="str">
        <f t="array" ref="O78">IF(74&gt;$S$1204,"",INDEX($T$5:$AJ$1204,MATCH(74,$S$5:$S$1204,0),15))</f>
        <v/>
      </c>
      <c r="P78" s="8" t="str">
        <f t="array" ref="P78">IF(74&gt;$S$1204,"",INDEX($T$5:$AJ$1204,MATCH(74,$S$5:$S$1204,0),16))</f>
        <v/>
      </c>
      <c r="Q78" s="8" t="str">
        <f t="array" ref="Q78">IF(74&gt;$S$1204,"",INDEX($T$5:$AJ$1204,MATCH(74,$S$5:$S$1204,0),17))</f>
        <v/>
      </c>
      <c r="R78" s="17"/>
      <c r="S78" s="17">
        <f>S77+IF(M1_Administrativo!A82="",0,1)</f>
        <v>0</v>
      </c>
      <c r="T78" s="17" t="str">
        <f>IF(M1_Administrativo!A82="","",IF(M1_Administrativo!A82="","",M1_Administrativo!A82))</f>
        <v/>
      </c>
      <c r="U78" s="17" t="str">
        <f>IF(M1_Administrativo!A82="","",IF(M1_Administrativo!R82="","",M1_Administrativo!R82))</f>
        <v/>
      </c>
      <c r="V78" s="17" t="str">
        <f>IF(M1_Administrativo!A82="","",IF(M1_Administrativo!D82="","",M1_Administrativo!D82))</f>
        <v/>
      </c>
      <c r="W78" s="17" t="str">
        <f>IF(M1_Administrativo!A82="","",IF(M1_Administrativo!B82="","",M1_Administrativo!B82))</f>
        <v/>
      </c>
      <c r="X78" s="17" t="str">
        <f>IF(M1_Administrativo!A82="","",IF(M1_Administrativo!C82="","",M1_Administrativo!C82))</f>
        <v/>
      </c>
      <c r="Y78" s="17" t="str">
        <f>IF(M1_Administrativo!A82="","",IF(M1_Administrativo!E82="","",M1_Administrativo!E82))</f>
        <v/>
      </c>
      <c r="Z78" s="17" t="str">
        <f>IF(M1_Administrativo!A82="","",IF(M1_Administrativo!F82="","",M1_Administrativo!F82))</f>
        <v/>
      </c>
      <c r="AA78" s="17" t="str">
        <f>IF(M1_Administrativo!A82="","","M1 Administrativo")</f>
        <v/>
      </c>
      <c r="AB78" s="17" t="str">
        <f>IF(M1_Administrativo!A82="","",IF(M1_Administrativo!G82="","",M1_Administrativo!G82))</f>
        <v/>
      </c>
      <c r="AC78" s="17" t="str">
        <f>IF(M1_Administrativo!A82="","",IF(M1_Administrativo!M82="","",M1_Administrativo!M82))</f>
        <v/>
      </c>
      <c r="AD78" s="17" t="str">
        <f>IF(M1_Administrativo!A82="","","RA")</f>
        <v/>
      </c>
      <c r="AE78" s="17" t="str">
        <f>IF(M1_Administrativo!A82="","",IF(M1_Administrativo!O82="","",M1_Administrativo!O82))</f>
        <v/>
      </c>
      <c r="AF78" s="17" t="str">
        <f>IF(M1_Administrativo!A82="","",IF(M1_Administrativo!P82="","",M1_Administrativo!P82))</f>
        <v/>
      </c>
      <c r="AG78" s="17" t="str">
        <f>IF(M1_Administrativo!A82="","",IF(M1_Administrativo!Q82="","",M1_Administrativo!Q82))</f>
        <v/>
      </c>
      <c r="AH78" s="17" t="str">
        <f>IF(M1_Administrativo!A82="","","")</f>
        <v/>
      </c>
      <c r="AI78" s="17" t="str">
        <f>IF(M1_Administrativo!A82="","","M1_Administrativo!82")</f>
        <v/>
      </c>
      <c r="AJ78" s="17" t="str">
        <f>IF(M1_Administrativo!A82="","",IF(M1_Administrativo!M82="","Pendiente de resultado","Disponible"))</f>
        <v/>
      </c>
    </row>
    <row r="79" spans="1:36" ht="55.5" customHeight="1">
      <c r="A79" s="6" t="str">
        <f t="array" ref="A79">IF(75&gt;$S$1204,"",INDEX($T$5:$AJ$1204,MATCH(75,$S$5:$S$1204,0),1))</f>
        <v/>
      </c>
      <c r="B79" s="8" t="str">
        <f t="array" ref="B79">IF(75&gt;$S$1204,"",INDEX($T$5:$AJ$1204,MATCH(75,$S$5:$S$1204,0),2))</f>
        <v/>
      </c>
      <c r="C79" s="10" t="str">
        <f t="array" ref="C79">IF(75&gt;$S$1204,"",INDEX($T$5:$AJ$1204,MATCH(75,$S$5:$S$1204,0),3))</f>
        <v/>
      </c>
      <c r="D79" s="8" t="str">
        <f t="array" ref="D79">IF(75&gt;$S$1204,"",INDEX($T$5:$AJ$1204,MATCH(75,$S$5:$S$1204,0),4))</f>
        <v/>
      </c>
      <c r="E79" s="8" t="str">
        <f t="array" ref="E79">IF(75&gt;$S$1204,"",INDEX($T$5:$AJ$1204,MATCH(75,$S$5:$S$1204,0),5))</f>
        <v/>
      </c>
      <c r="F79" s="8" t="str">
        <f t="array" ref="F79">IF(75&gt;$S$1204,"",INDEX($T$5:$AJ$1204,MATCH(75,$S$5:$S$1204,0),6))</f>
        <v/>
      </c>
      <c r="G79" s="8" t="str">
        <f t="array" ref="G79">IF(75&gt;$S$1204,"",INDEX($T$5:$AJ$1204,MATCH(75,$S$5:$S$1204,0),7))</f>
        <v/>
      </c>
      <c r="H79" s="8" t="str">
        <f t="array" ref="H79">IF(75&gt;$S$1204,"",INDEX($T$5:$AJ$1204,MATCH(75,$S$5:$S$1204,0),8))</f>
        <v/>
      </c>
      <c r="I79" s="8" t="str">
        <f t="array" ref="I79">IF(75&gt;$S$1204,"",INDEX($T$5:$AJ$1204,MATCH(75,$S$5:$S$1204,0),9))</f>
        <v/>
      </c>
      <c r="J79" s="14" t="str">
        <f t="array" ref="J79">IF(75&gt;$S$1204,"",INDEX($T$5:$AJ$1204,MATCH(75,$S$5:$S$1204,0),10))</f>
        <v/>
      </c>
      <c r="K79" s="8" t="str">
        <f t="array" ref="K79">IF(75&gt;$S$1204,"",INDEX($T$5:$AJ$1204,MATCH(75,$S$5:$S$1204,0),11))</f>
        <v/>
      </c>
      <c r="L79" s="8" t="str">
        <f t="array" ref="L79">IF(75&gt;$S$1204,"",INDEX($T$5:$AJ$1204,MATCH(75,$S$5:$S$1204,0),12))</f>
        <v/>
      </c>
      <c r="M79" s="8" t="str">
        <f t="array" ref="M79">IF(75&gt;$S$1204,"",INDEX($T$5:$AJ$1204,MATCH(75,$S$5:$S$1204,0),13))</f>
        <v/>
      </c>
      <c r="N79" s="8" t="str">
        <f t="array" ref="N79">IF(75&gt;$S$1204,"",INDEX($T$5:$AJ$1204,MATCH(75,$S$5:$S$1204,0),14))</f>
        <v/>
      </c>
      <c r="O79" s="15" t="str">
        <f t="array" ref="O79">IF(75&gt;$S$1204,"",INDEX($T$5:$AJ$1204,MATCH(75,$S$5:$S$1204,0),15))</f>
        <v/>
      </c>
      <c r="P79" s="8" t="str">
        <f t="array" ref="P79">IF(75&gt;$S$1204,"",INDEX($T$5:$AJ$1204,MATCH(75,$S$5:$S$1204,0),16))</f>
        <v/>
      </c>
      <c r="Q79" s="8" t="str">
        <f t="array" ref="Q79">IF(75&gt;$S$1204,"",INDEX($T$5:$AJ$1204,MATCH(75,$S$5:$S$1204,0),17))</f>
        <v/>
      </c>
      <c r="R79" s="17"/>
      <c r="S79" s="17">
        <f>S78+IF(M1_Administrativo!A83="",0,1)</f>
        <v>0</v>
      </c>
      <c r="T79" s="17" t="str">
        <f>IF(M1_Administrativo!A83="","",IF(M1_Administrativo!A83="","",M1_Administrativo!A83))</f>
        <v/>
      </c>
      <c r="U79" s="17" t="str">
        <f>IF(M1_Administrativo!A83="","",IF(M1_Administrativo!R83="","",M1_Administrativo!R83))</f>
        <v/>
      </c>
      <c r="V79" s="17" t="str">
        <f>IF(M1_Administrativo!A83="","",IF(M1_Administrativo!D83="","",M1_Administrativo!D83))</f>
        <v/>
      </c>
      <c r="W79" s="17" t="str">
        <f>IF(M1_Administrativo!A83="","",IF(M1_Administrativo!B83="","",M1_Administrativo!B83))</f>
        <v/>
      </c>
      <c r="X79" s="17" t="str">
        <f>IF(M1_Administrativo!A83="","",IF(M1_Administrativo!C83="","",M1_Administrativo!C83))</f>
        <v/>
      </c>
      <c r="Y79" s="17" t="str">
        <f>IF(M1_Administrativo!A83="","",IF(M1_Administrativo!E83="","",M1_Administrativo!E83))</f>
        <v/>
      </c>
      <c r="Z79" s="17" t="str">
        <f>IF(M1_Administrativo!A83="","",IF(M1_Administrativo!F83="","",M1_Administrativo!F83))</f>
        <v/>
      </c>
      <c r="AA79" s="17" t="str">
        <f>IF(M1_Administrativo!A83="","","M1 Administrativo")</f>
        <v/>
      </c>
      <c r="AB79" s="17" t="str">
        <f>IF(M1_Administrativo!A83="","",IF(M1_Administrativo!G83="","",M1_Administrativo!G83))</f>
        <v/>
      </c>
      <c r="AC79" s="17" t="str">
        <f>IF(M1_Administrativo!A83="","",IF(M1_Administrativo!M83="","",M1_Administrativo!M83))</f>
        <v/>
      </c>
      <c r="AD79" s="17" t="str">
        <f>IF(M1_Administrativo!A83="","","RA")</f>
        <v/>
      </c>
      <c r="AE79" s="17" t="str">
        <f>IF(M1_Administrativo!A83="","",IF(M1_Administrativo!O83="","",M1_Administrativo!O83))</f>
        <v/>
      </c>
      <c r="AF79" s="17" t="str">
        <f>IF(M1_Administrativo!A83="","",IF(M1_Administrativo!P83="","",M1_Administrativo!P83))</f>
        <v/>
      </c>
      <c r="AG79" s="17" t="str">
        <f>IF(M1_Administrativo!A83="","",IF(M1_Administrativo!Q83="","",M1_Administrativo!Q83))</f>
        <v/>
      </c>
      <c r="AH79" s="17" t="str">
        <f>IF(M1_Administrativo!A83="","","")</f>
        <v/>
      </c>
      <c r="AI79" s="17" t="str">
        <f>IF(M1_Administrativo!A83="","","M1_Administrativo!83")</f>
        <v/>
      </c>
      <c r="AJ79" s="17" t="str">
        <f>IF(M1_Administrativo!A83="","",IF(M1_Administrativo!M83="","Pendiente de resultado","Disponible"))</f>
        <v/>
      </c>
    </row>
    <row r="80" spans="1:36" ht="55.5" customHeight="1">
      <c r="A80" s="6" t="str">
        <f t="array" ref="A80">IF(76&gt;$S$1204,"",INDEX($T$5:$AJ$1204,MATCH(76,$S$5:$S$1204,0),1))</f>
        <v/>
      </c>
      <c r="B80" s="8" t="str">
        <f t="array" ref="B80">IF(76&gt;$S$1204,"",INDEX($T$5:$AJ$1204,MATCH(76,$S$5:$S$1204,0),2))</f>
        <v/>
      </c>
      <c r="C80" s="10" t="str">
        <f t="array" ref="C80">IF(76&gt;$S$1204,"",INDEX($T$5:$AJ$1204,MATCH(76,$S$5:$S$1204,0),3))</f>
        <v/>
      </c>
      <c r="D80" s="8" t="str">
        <f t="array" ref="D80">IF(76&gt;$S$1204,"",INDEX($T$5:$AJ$1204,MATCH(76,$S$5:$S$1204,0),4))</f>
        <v/>
      </c>
      <c r="E80" s="8" t="str">
        <f t="array" ref="E80">IF(76&gt;$S$1204,"",INDEX($T$5:$AJ$1204,MATCH(76,$S$5:$S$1204,0),5))</f>
        <v/>
      </c>
      <c r="F80" s="8" t="str">
        <f t="array" ref="F80">IF(76&gt;$S$1204,"",INDEX($T$5:$AJ$1204,MATCH(76,$S$5:$S$1204,0),6))</f>
        <v/>
      </c>
      <c r="G80" s="8" t="str">
        <f t="array" ref="G80">IF(76&gt;$S$1204,"",INDEX($T$5:$AJ$1204,MATCH(76,$S$5:$S$1204,0),7))</f>
        <v/>
      </c>
      <c r="H80" s="8" t="str">
        <f t="array" ref="H80">IF(76&gt;$S$1204,"",INDEX($T$5:$AJ$1204,MATCH(76,$S$5:$S$1204,0),8))</f>
        <v/>
      </c>
      <c r="I80" s="8" t="str">
        <f t="array" ref="I80">IF(76&gt;$S$1204,"",INDEX($T$5:$AJ$1204,MATCH(76,$S$5:$S$1204,0),9))</f>
        <v/>
      </c>
      <c r="J80" s="14" t="str">
        <f t="array" ref="J80">IF(76&gt;$S$1204,"",INDEX($T$5:$AJ$1204,MATCH(76,$S$5:$S$1204,0),10))</f>
        <v/>
      </c>
      <c r="K80" s="8" t="str">
        <f t="array" ref="K80">IF(76&gt;$S$1204,"",INDEX($T$5:$AJ$1204,MATCH(76,$S$5:$S$1204,0),11))</f>
        <v/>
      </c>
      <c r="L80" s="8" t="str">
        <f t="array" ref="L80">IF(76&gt;$S$1204,"",INDEX($T$5:$AJ$1204,MATCH(76,$S$5:$S$1204,0),12))</f>
        <v/>
      </c>
      <c r="M80" s="8" t="str">
        <f t="array" ref="M80">IF(76&gt;$S$1204,"",INDEX($T$5:$AJ$1204,MATCH(76,$S$5:$S$1204,0),13))</f>
        <v/>
      </c>
      <c r="N80" s="8" t="str">
        <f t="array" ref="N80">IF(76&gt;$S$1204,"",INDEX($T$5:$AJ$1204,MATCH(76,$S$5:$S$1204,0),14))</f>
        <v/>
      </c>
      <c r="O80" s="15" t="str">
        <f t="array" ref="O80">IF(76&gt;$S$1204,"",INDEX($T$5:$AJ$1204,MATCH(76,$S$5:$S$1204,0),15))</f>
        <v/>
      </c>
      <c r="P80" s="8" t="str">
        <f t="array" ref="P80">IF(76&gt;$S$1204,"",INDEX($T$5:$AJ$1204,MATCH(76,$S$5:$S$1204,0),16))</f>
        <v/>
      </c>
      <c r="Q80" s="8" t="str">
        <f t="array" ref="Q80">IF(76&gt;$S$1204,"",INDEX($T$5:$AJ$1204,MATCH(76,$S$5:$S$1204,0),17))</f>
        <v/>
      </c>
      <c r="R80" s="17"/>
      <c r="S80" s="17">
        <f>S79+IF(M1_Administrativo!A84="",0,1)</f>
        <v>0</v>
      </c>
      <c r="T80" s="17" t="str">
        <f>IF(M1_Administrativo!A84="","",IF(M1_Administrativo!A84="","",M1_Administrativo!A84))</f>
        <v/>
      </c>
      <c r="U80" s="17" t="str">
        <f>IF(M1_Administrativo!A84="","",IF(M1_Administrativo!R84="","",M1_Administrativo!R84))</f>
        <v/>
      </c>
      <c r="V80" s="17" t="str">
        <f>IF(M1_Administrativo!A84="","",IF(M1_Administrativo!D84="","",M1_Administrativo!D84))</f>
        <v/>
      </c>
      <c r="W80" s="17" t="str">
        <f>IF(M1_Administrativo!A84="","",IF(M1_Administrativo!B84="","",M1_Administrativo!B84))</f>
        <v/>
      </c>
      <c r="X80" s="17" t="str">
        <f>IF(M1_Administrativo!A84="","",IF(M1_Administrativo!C84="","",M1_Administrativo!C84))</f>
        <v/>
      </c>
      <c r="Y80" s="17" t="str">
        <f>IF(M1_Administrativo!A84="","",IF(M1_Administrativo!E84="","",M1_Administrativo!E84))</f>
        <v/>
      </c>
      <c r="Z80" s="17" t="str">
        <f>IF(M1_Administrativo!A84="","",IF(M1_Administrativo!F84="","",M1_Administrativo!F84))</f>
        <v/>
      </c>
      <c r="AA80" s="17" t="str">
        <f>IF(M1_Administrativo!A84="","","M1 Administrativo")</f>
        <v/>
      </c>
      <c r="AB80" s="17" t="str">
        <f>IF(M1_Administrativo!A84="","",IF(M1_Administrativo!G84="","",M1_Administrativo!G84))</f>
        <v/>
      </c>
      <c r="AC80" s="17" t="str">
        <f>IF(M1_Administrativo!A84="","",IF(M1_Administrativo!M84="","",M1_Administrativo!M84))</f>
        <v/>
      </c>
      <c r="AD80" s="17" t="str">
        <f>IF(M1_Administrativo!A84="","","RA")</f>
        <v/>
      </c>
      <c r="AE80" s="17" t="str">
        <f>IF(M1_Administrativo!A84="","",IF(M1_Administrativo!O84="","",M1_Administrativo!O84))</f>
        <v/>
      </c>
      <c r="AF80" s="17" t="str">
        <f>IF(M1_Administrativo!A84="","",IF(M1_Administrativo!P84="","",M1_Administrativo!P84))</f>
        <v/>
      </c>
      <c r="AG80" s="17" t="str">
        <f>IF(M1_Administrativo!A84="","",IF(M1_Administrativo!Q84="","",M1_Administrativo!Q84))</f>
        <v/>
      </c>
      <c r="AH80" s="17" t="str">
        <f>IF(M1_Administrativo!A84="","","")</f>
        <v/>
      </c>
      <c r="AI80" s="17" t="str">
        <f>IF(M1_Administrativo!A84="","","M1_Administrativo!84")</f>
        <v/>
      </c>
      <c r="AJ80" s="17" t="str">
        <f>IF(M1_Administrativo!A84="","",IF(M1_Administrativo!M84="","Pendiente de resultado","Disponible"))</f>
        <v/>
      </c>
    </row>
    <row r="81" spans="1:36" ht="55.5" customHeight="1">
      <c r="A81" s="6" t="str">
        <f t="array" ref="A81">IF(77&gt;$S$1204,"",INDEX($T$5:$AJ$1204,MATCH(77,$S$5:$S$1204,0),1))</f>
        <v/>
      </c>
      <c r="B81" s="8" t="str">
        <f t="array" ref="B81">IF(77&gt;$S$1204,"",INDEX($T$5:$AJ$1204,MATCH(77,$S$5:$S$1204,0),2))</f>
        <v/>
      </c>
      <c r="C81" s="10" t="str">
        <f t="array" ref="C81">IF(77&gt;$S$1204,"",INDEX($T$5:$AJ$1204,MATCH(77,$S$5:$S$1204,0),3))</f>
        <v/>
      </c>
      <c r="D81" s="8" t="str">
        <f t="array" ref="D81">IF(77&gt;$S$1204,"",INDEX($T$5:$AJ$1204,MATCH(77,$S$5:$S$1204,0),4))</f>
        <v/>
      </c>
      <c r="E81" s="8" t="str">
        <f t="array" ref="E81">IF(77&gt;$S$1204,"",INDEX($T$5:$AJ$1204,MATCH(77,$S$5:$S$1204,0),5))</f>
        <v/>
      </c>
      <c r="F81" s="8" t="str">
        <f t="array" ref="F81">IF(77&gt;$S$1204,"",INDEX($T$5:$AJ$1204,MATCH(77,$S$5:$S$1204,0),6))</f>
        <v/>
      </c>
      <c r="G81" s="8" t="str">
        <f t="array" ref="G81">IF(77&gt;$S$1204,"",INDEX($T$5:$AJ$1204,MATCH(77,$S$5:$S$1204,0),7))</f>
        <v/>
      </c>
      <c r="H81" s="8" t="str">
        <f t="array" ref="H81">IF(77&gt;$S$1204,"",INDEX($T$5:$AJ$1204,MATCH(77,$S$5:$S$1204,0),8))</f>
        <v/>
      </c>
      <c r="I81" s="8" t="str">
        <f t="array" ref="I81">IF(77&gt;$S$1204,"",INDEX($T$5:$AJ$1204,MATCH(77,$S$5:$S$1204,0),9))</f>
        <v/>
      </c>
      <c r="J81" s="14" t="str">
        <f t="array" ref="J81">IF(77&gt;$S$1204,"",INDEX($T$5:$AJ$1204,MATCH(77,$S$5:$S$1204,0),10))</f>
        <v/>
      </c>
      <c r="K81" s="8" t="str">
        <f t="array" ref="K81">IF(77&gt;$S$1204,"",INDEX($T$5:$AJ$1204,MATCH(77,$S$5:$S$1204,0),11))</f>
        <v/>
      </c>
      <c r="L81" s="8" t="str">
        <f t="array" ref="L81">IF(77&gt;$S$1204,"",INDEX($T$5:$AJ$1204,MATCH(77,$S$5:$S$1204,0),12))</f>
        <v/>
      </c>
      <c r="M81" s="8" t="str">
        <f t="array" ref="M81">IF(77&gt;$S$1204,"",INDEX($T$5:$AJ$1204,MATCH(77,$S$5:$S$1204,0),13))</f>
        <v/>
      </c>
      <c r="N81" s="8" t="str">
        <f t="array" ref="N81">IF(77&gt;$S$1204,"",INDEX($T$5:$AJ$1204,MATCH(77,$S$5:$S$1204,0),14))</f>
        <v/>
      </c>
      <c r="O81" s="15" t="str">
        <f t="array" ref="O81">IF(77&gt;$S$1204,"",INDEX($T$5:$AJ$1204,MATCH(77,$S$5:$S$1204,0),15))</f>
        <v/>
      </c>
      <c r="P81" s="8" t="str">
        <f t="array" ref="P81">IF(77&gt;$S$1204,"",INDEX($T$5:$AJ$1204,MATCH(77,$S$5:$S$1204,0),16))</f>
        <v/>
      </c>
      <c r="Q81" s="8" t="str">
        <f t="array" ref="Q81">IF(77&gt;$S$1204,"",INDEX($T$5:$AJ$1204,MATCH(77,$S$5:$S$1204,0),17))</f>
        <v/>
      </c>
      <c r="R81" s="17"/>
      <c r="S81" s="17">
        <f>S80+IF(M1_Administrativo!A85="",0,1)</f>
        <v>0</v>
      </c>
      <c r="T81" s="17" t="str">
        <f>IF(M1_Administrativo!A85="","",IF(M1_Administrativo!A85="","",M1_Administrativo!A85))</f>
        <v/>
      </c>
      <c r="U81" s="17" t="str">
        <f>IF(M1_Administrativo!A85="","",IF(M1_Administrativo!R85="","",M1_Administrativo!R85))</f>
        <v/>
      </c>
      <c r="V81" s="17" t="str">
        <f>IF(M1_Administrativo!A85="","",IF(M1_Administrativo!D85="","",M1_Administrativo!D85))</f>
        <v/>
      </c>
      <c r="W81" s="17" t="str">
        <f>IF(M1_Administrativo!A85="","",IF(M1_Administrativo!B85="","",M1_Administrativo!B85))</f>
        <v/>
      </c>
      <c r="X81" s="17" t="str">
        <f>IF(M1_Administrativo!A85="","",IF(M1_Administrativo!C85="","",M1_Administrativo!C85))</f>
        <v/>
      </c>
      <c r="Y81" s="17" t="str">
        <f>IF(M1_Administrativo!A85="","",IF(M1_Administrativo!E85="","",M1_Administrativo!E85))</f>
        <v/>
      </c>
      <c r="Z81" s="17" t="str">
        <f>IF(M1_Administrativo!A85="","",IF(M1_Administrativo!F85="","",M1_Administrativo!F85))</f>
        <v/>
      </c>
      <c r="AA81" s="17" t="str">
        <f>IF(M1_Administrativo!A85="","","M1 Administrativo")</f>
        <v/>
      </c>
      <c r="AB81" s="17" t="str">
        <f>IF(M1_Administrativo!A85="","",IF(M1_Administrativo!G85="","",M1_Administrativo!G85))</f>
        <v/>
      </c>
      <c r="AC81" s="17" t="str">
        <f>IF(M1_Administrativo!A85="","",IF(M1_Administrativo!M85="","",M1_Administrativo!M85))</f>
        <v/>
      </c>
      <c r="AD81" s="17" t="str">
        <f>IF(M1_Administrativo!A85="","","RA")</f>
        <v/>
      </c>
      <c r="AE81" s="17" t="str">
        <f>IF(M1_Administrativo!A85="","",IF(M1_Administrativo!O85="","",M1_Administrativo!O85))</f>
        <v/>
      </c>
      <c r="AF81" s="17" t="str">
        <f>IF(M1_Administrativo!A85="","",IF(M1_Administrativo!P85="","",M1_Administrativo!P85))</f>
        <v/>
      </c>
      <c r="AG81" s="17" t="str">
        <f>IF(M1_Administrativo!A85="","",IF(M1_Administrativo!Q85="","",M1_Administrativo!Q85))</f>
        <v/>
      </c>
      <c r="AH81" s="17" t="str">
        <f>IF(M1_Administrativo!A85="","","")</f>
        <v/>
      </c>
      <c r="AI81" s="17" t="str">
        <f>IF(M1_Administrativo!A85="","","M1_Administrativo!85")</f>
        <v/>
      </c>
      <c r="AJ81" s="17" t="str">
        <f>IF(M1_Administrativo!A85="","",IF(M1_Administrativo!M85="","Pendiente de resultado","Disponible"))</f>
        <v/>
      </c>
    </row>
    <row r="82" spans="1:36" ht="55.5" customHeight="1">
      <c r="A82" s="6" t="str">
        <f t="array" ref="A82">IF(78&gt;$S$1204,"",INDEX($T$5:$AJ$1204,MATCH(78,$S$5:$S$1204,0),1))</f>
        <v/>
      </c>
      <c r="B82" s="8" t="str">
        <f t="array" ref="B82">IF(78&gt;$S$1204,"",INDEX($T$5:$AJ$1204,MATCH(78,$S$5:$S$1204,0),2))</f>
        <v/>
      </c>
      <c r="C82" s="10" t="str">
        <f t="array" ref="C82">IF(78&gt;$S$1204,"",INDEX($T$5:$AJ$1204,MATCH(78,$S$5:$S$1204,0),3))</f>
        <v/>
      </c>
      <c r="D82" s="8" t="str">
        <f t="array" ref="D82">IF(78&gt;$S$1204,"",INDEX($T$5:$AJ$1204,MATCH(78,$S$5:$S$1204,0),4))</f>
        <v/>
      </c>
      <c r="E82" s="8" t="str">
        <f t="array" ref="E82">IF(78&gt;$S$1204,"",INDEX($T$5:$AJ$1204,MATCH(78,$S$5:$S$1204,0),5))</f>
        <v/>
      </c>
      <c r="F82" s="8" t="str">
        <f t="array" ref="F82">IF(78&gt;$S$1204,"",INDEX($T$5:$AJ$1204,MATCH(78,$S$5:$S$1204,0),6))</f>
        <v/>
      </c>
      <c r="G82" s="8" t="str">
        <f t="array" ref="G82">IF(78&gt;$S$1204,"",INDEX($T$5:$AJ$1204,MATCH(78,$S$5:$S$1204,0),7))</f>
        <v/>
      </c>
      <c r="H82" s="8" t="str">
        <f t="array" ref="H82">IF(78&gt;$S$1204,"",INDEX($T$5:$AJ$1204,MATCH(78,$S$5:$S$1204,0),8))</f>
        <v/>
      </c>
      <c r="I82" s="8" t="str">
        <f t="array" ref="I82">IF(78&gt;$S$1204,"",INDEX($T$5:$AJ$1204,MATCH(78,$S$5:$S$1204,0),9))</f>
        <v/>
      </c>
      <c r="J82" s="14" t="str">
        <f t="array" ref="J82">IF(78&gt;$S$1204,"",INDEX($T$5:$AJ$1204,MATCH(78,$S$5:$S$1204,0),10))</f>
        <v/>
      </c>
      <c r="K82" s="8" t="str">
        <f t="array" ref="K82">IF(78&gt;$S$1204,"",INDEX($T$5:$AJ$1204,MATCH(78,$S$5:$S$1204,0),11))</f>
        <v/>
      </c>
      <c r="L82" s="8" t="str">
        <f t="array" ref="L82">IF(78&gt;$S$1204,"",INDEX($T$5:$AJ$1204,MATCH(78,$S$5:$S$1204,0),12))</f>
        <v/>
      </c>
      <c r="M82" s="8" t="str">
        <f t="array" ref="M82">IF(78&gt;$S$1204,"",INDEX($T$5:$AJ$1204,MATCH(78,$S$5:$S$1204,0),13))</f>
        <v/>
      </c>
      <c r="N82" s="8" t="str">
        <f t="array" ref="N82">IF(78&gt;$S$1204,"",INDEX($T$5:$AJ$1204,MATCH(78,$S$5:$S$1204,0),14))</f>
        <v/>
      </c>
      <c r="O82" s="15" t="str">
        <f t="array" ref="O82">IF(78&gt;$S$1204,"",INDEX($T$5:$AJ$1204,MATCH(78,$S$5:$S$1204,0),15))</f>
        <v/>
      </c>
      <c r="P82" s="8" t="str">
        <f t="array" ref="P82">IF(78&gt;$S$1204,"",INDEX($T$5:$AJ$1204,MATCH(78,$S$5:$S$1204,0),16))</f>
        <v/>
      </c>
      <c r="Q82" s="8" t="str">
        <f t="array" ref="Q82">IF(78&gt;$S$1204,"",INDEX($T$5:$AJ$1204,MATCH(78,$S$5:$S$1204,0),17))</f>
        <v/>
      </c>
      <c r="R82" s="17"/>
      <c r="S82" s="17">
        <f>S81+IF(M1_Administrativo!A86="",0,1)</f>
        <v>0</v>
      </c>
      <c r="T82" s="17" t="str">
        <f>IF(M1_Administrativo!A86="","",IF(M1_Administrativo!A86="","",M1_Administrativo!A86))</f>
        <v/>
      </c>
      <c r="U82" s="17" t="str">
        <f>IF(M1_Administrativo!A86="","",IF(M1_Administrativo!R86="","",M1_Administrativo!R86))</f>
        <v/>
      </c>
      <c r="V82" s="17" t="str">
        <f>IF(M1_Administrativo!A86="","",IF(M1_Administrativo!D86="","",M1_Administrativo!D86))</f>
        <v/>
      </c>
      <c r="W82" s="17" t="str">
        <f>IF(M1_Administrativo!A86="","",IF(M1_Administrativo!B86="","",M1_Administrativo!B86))</f>
        <v/>
      </c>
      <c r="X82" s="17" t="str">
        <f>IF(M1_Administrativo!A86="","",IF(M1_Administrativo!C86="","",M1_Administrativo!C86))</f>
        <v/>
      </c>
      <c r="Y82" s="17" t="str">
        <f>IF(M1_Administrativo!A86="","",IF(M1_Administrativo!E86="","",M1_Administrativo!E86))</f>
        <v/>
      </c>
      <c r="Z82" s="17" t="str">
        <f>IF(M1_Administrativo!A86="","",IF(M1_Administrativo!F86="","",M1_Administrativo!F86))</f>
        <v/>
      </c>
      <c r="AA82" s="17" t="str">
        <f>IF(M1_Administrativo!A86="","","M1 Administrativo")</f>
        <v/>
      </c>
      <c r="AB82" s="17" t="str">
        <f>IF(M1_Administrativo!A86="","",IF(M1_Administrativo!G86="","",M1_Administrativo!G86))</f>
        <v/>
      </c>
      <c r="AC82" s="17" t="str">
        <f>IF(M1_Administrativo!A86="","",IF(M1_Administrativo!M86="","",M1_Administrativo!M86))</f>
        <v/>
      </c>
      <c r="AD82" s="17" t="str">
        <f>IF(M1_Administrativo!A86="","","RA")</f>
        <v/>
      </c>
      <c r="AE82" s="17" t="str">
        <f>IF(M1_Administrativo!A86="","",IF(M1_Administrativo!O86="","",M1_Administrativo!O86))</f>
        <v/>
      </c>
      <c r="AF82" s="17" t="str">
        <f>IF(M1_Administrativo!A86="","",IF(M1_Administrativo!P86="","",M1_Administrativo!P86))</f>
        <v/>
      </c>
      <c r="AG82" s="17" t="str">
        <f>IF(M1_Administrativo!A86="","",IF(M1_Administrativo!Q86="","",M1_Administrativo!Q86))</f>
        <v/>
      </c>
      <c r="AH82" s="17" t="str">
        <f>IF(M1_Administrativo!A86="","","")</f>
        <v/>
      </c>
      <c r="AI82" s="17" t="str">
        <f>IF(M1_Administrativo!A86="","","M1_Administrativo!86")</f>
        <v/>
      </c>
      <c r="AJ82" s="17" t="str">
        <f>IF(M1_Administrativo!A86="","",IF(M1_Administrativo!M86="","Pendiente de resultado","Disponible"))</f>
        <v/>
      </c>
    </row>
    <row r="83" spans="1:36" ht="55.5" customHeight="1">
      <c r="A83" s="6" t="str">
        <f t="array" ref="A83">IF(79&gt;$S$1204,"",INDEX($T$5:$AJ$1204,MATCH(79,$S$5:$S$1204,0),1))</f>
        <v/>
      </c>
      <c r="B83" s="8" t="str">
        <f t="array" ref="B83">IF(79&gt;$S$1204,"",INDEX($T$5:$AJ$1204,MATCH(79,$S$5:$S$1204,0),2))</f>
        <v/>
      </c>
      <c r="C83" s="10" t="str">
        <f t="array" ref="C83">IF(79&gt;$S$1204,"",INDEX($T$5:$AJ$1204,MATCH(79,$S$5:$S$1204,0),3))</f>
        <v/>
      </c>
      <c r="D83" s="8" t="str">
        <f t="array" ref="D83">IF(79&gt;$S$1204,"",INDEX($T$5:$AJ$1204,MATCH(79,$S$5:$S$1204,0),4))</f>
        <v/>
      </c>
      <c r="E83" s="8" t="str">
        <f t="array" ref="E83">IF(79&gt;$S$1204,"",INDEX($T$5:$AJ$1204,MATCH(79,$S$5:$S$1204,0),5))</f>
        <v/>
      </c>
      <c r="F83" s="8" t="str">
        <f t="array" ref="F83">IF(79&gt;$S$1204,"",INDEX($T$5:$AJ$1204,MATCH(79,$S$5:$S$1204,0),6))</f>
        <v/>
      </c>
      <c r="G83" s="8" t="str">
        <f t="array" ref="G83">IF(79&gt;$S$1204,"",INDEX($T$5:$AJ$1204,MATCH(79,$S$5:$S$1204,0),7))</f>
        <v/>
      </c>
      <c r="H83" s="8" t="str">
        <f t="array" ref="H83">IF(79&gt;$S$1204,"",INDEX($T$5:$AJ$1204,MATCH(79,$S$5:$S$1204,0),8))</f>
        <v/>
      </c>
      <c r="I83" s="8" t="str">
        <f t="array" ref="I83">IF(79&gt;$S$1204,"",INDEX($T$5:$AJ$1204,MATCH(79,$S$5:$S$1204,0),9))</f>
        <v/>
      </c>
      <c r="J83" s="14" t="str">
        <f t="array" ref="J83">IF(79&gt;$S$1204,"",INDEX($T$5:$AJ$1204,MATCH(79,$S$5:$S$1204,0),10))</f>
        <v/>
      </c>
      <c r="K83" s="8" t="str">
        <f t="array" ref="K83">IF(79&gt;$S$1204,"",INDEX($T$5:$AJ$1204,MATCH(79,$S$5:$S$1204,0),11))</f>
        <v/>
      </c>
      <c r="L83" s="8" t="str">
        <f t="array" ref="L83">IF(79&gt;$S$1204,"",INDEX($T$5:$AJ$1204,MATCH(79,$S$5:$S$1204,0),12))</f>
        <v/>
      </c>
      <c r="M83" s="8" t="str">
        <f t="array" ref="M83">IF(79&gt;$S$1204,"",INDEX($T$5:$AJ$1204,MATCH(79,$S$5:$S$1204,0),13))</f>
        <v/>
      </c>
      <c r="N83" s="8" t="str">
        <f t="array" ref="N83">IF(79&gt;$S$1204,"",INDEX($T$5:$AJ$1204,MATCH(79,$S$5:$S$1204,0),14))</f>
        <v/>
      </c>
      <c r="O83" s="15" t="str">
        <f t="array" ref="O83">IF(79&gt;$S$1204,"",INDEX($T$5:$AJ$1204,MATCH(79,$S$5:$S$1204,0),15))</f>
        <v/>
      </c>
      <c r="P83" s="8" t="str">
        <f t="array" ref="P83">IF(79&gt;$S$1204,"",INDEX($T$5:$AJ$1204,MATCH(79,$S$5:$S$1204,0),16))</f>
        <v/>
      </c>
      <c r="Q83" s="8" t="str">
        <f t="array" ref="Q83">IF(79&gt;$S$1204,"",INDEX($T$5:$AJ$1204,MATCH(79,$S$5:$S$1204,0),17))</f>
        <v/>
      </c>
      <c r="R83" s="17"/>
      <c r="S83" s="17">
        <f>S82+IF(M1_Administrativo!A87="",0,1)</f>
        <v>0</v>
      </c>
      <c r="T83" s="17" t="str">
        <f>IF(M1_Administrativo!A87="","",IF(M1_Administrativo!A87="","",M1_Administrativo!A87))</f>
        <v/>
      </c>
      <c r="U83" s="17" t="str">
        <f>IF(M1_Administrativo!A87="","",IF(M1_Administrativo!R87="","",M1_Administrativo!R87))</f>
        <v/>
      </c>
      <c r="V83" s="17" t="str">
        <f>IF(M1_Administrativo!A87="","",IF(M1_Administrativo!D87="","",M1_Administrativo!D87))</f>
        <v/>
      </c>
      <c r="W83" s="17" t="str">
        <f>IF(M1_Administrativo!A87="","",IF(M1_Administrativo!B87="","",M1_Administrativo!B87))</f>
        <v/>
      </c>
      <c r="X83" s="17" t="str">
        <f>IF(M1_Administrativo!A87="","",IF(M1_Administrativo!C87="","",M1_Administrativo!C87))</f>
        <v/>
      </c>
      <c r="Y83" s="17" t="str">
        <f>IF(M1_Administrativo!A87="","",IF(M1_Administrativo!E87="","",M1_Administrativo!E87))</f>
        <v/>
      </c>
      <c r="Z83" s="17" t="str">
        <f>IF(M1_Administrativo!A87="","",IF(M1_Administrativo!F87="","",M1_Administrativo!F87))</f>
        <v/>
      </c>
      <c r="AA83" s="17" t="str">
        <f>IF(M1_Administrativo!A87="","","M1 Administrativo")</f>
        <v/>
      </c>
      <c r="AB83" s="17" t="str">
        <f>IF(M1_Administrativo!A87="","",IF(M1_Administrativo!G87="","",M1_Administrativo!G87))</f>
        <v/>
      </c>
      <c r="AC83" s="17" t="str">
        <f>IF(M1_Administrativo!A87="","",IF(M1_Administrativo!M87="","",M1_Administrativo!M87))</f>
        <v/>
      </c>
      <c r="AD83" s="17" t="str">
        <f>IF(M1_Administrativo!A87="","","RA")</f>
        <v/>
      </c>
      <c r="AE83" s="17" t="str">
        <f>IF(M1_Administrativo!A87="","",IF(M1_Administrativo!O87="","",M1_Administrativo!O87))</f>
        <v/>
      </c>
      <c r="AF83" s="17" t="str">
        <f>IF(M1_Administrativo!A87="","",IF(M1_Administrativo!P87="","",M1_Administrativo!P87))</f>
        <v/>
      </c>
      <c r="AG83" s="17" t="str">
        <f>IF(M1_Administrativo!A87="","",IF(M1_Administrativo!Q87="","",M1_Administrativo!Q87))</f>
        <v/>
      </c>
      <c r="AH83" s="17" t="str">
        <f>IF(M1_Administrativo!A87="","","")</f>
        <v/>
      </c>
      <c r="AI83" s="17" t="str">
        <f>IF(M1_Administrativo!A87="","","M1_Administrativo!87")</f>
        <v/>
      </c>
      <c r="AJ83" s="17" t="str">
        <f>IF(M1_Administrativo!A87="","",IF(M1_Administrativo!M87="","Pendiente de resultado","Disponible"))</f>
        <v/>
      </c>
    </row>
    <row r="84" spans="1:36" ht="55.5" customHeight="1">
      <c r="A84" s="6" t="str">
        <f t="array" ref="A84">IF(80&gt;$S$1204,"",INDEX($T$5:$AJ$1204,MATCH(80,$S$5:$S$1204,0),1))</f>
        <v/>
      </c>
      <c r="B84" s="8" t="str">
        <f t="array" ref="B84">IF(80&gt;$S$1204,"",INDEX($T$5:$AJ$1204,MATCH(80,$S$5:$S$1204,0),2))</f>
        <v/>
      </c>
      <c r="C84" s="10" t="str">
        <f t="array" ref="C84">IF(80&gt;$S$1204,"",INDEX($T$5:$AJ$1204,MATCH(80,$S$5:$S$1204,0),3))</f>
        <v/>
      </c>
      <c r="D84" s="8" t="str">
        <f t="array" ref="D84">IF(80&gt;$S$1204,"",INDEX($T$5:$AJ$1204,MATCH(80,$S$5:$S$1204,0),4))</f>
        <v/>
      </c>
      <c r="E84" s="8" t="str">
        <f t="array" ref="E84">IF(80&gt;$S$1204,"",INDEX($T$5:$AJ$1204,MATCH(80,$S$5:$S$1204,0),5))</f>
        <v/>
      </c>
      <c r="F84" s="8" t="str">
        <f t="array" ref="F84">IF(80&gt;$S$1204,"",INDEX($T$5:$AJ$1204,MATCH(80,$S$5:$S$1204,0),6))</f>
        <v/>
      </c>
      <c r="G84" s="8" t="str">
        <f t="array" ref="G84">IF(80&gt;$S$1204,"",INDEX($T$5:$AJ$1204,MATCH(80,$S$5:$S$1204,0),7))</f>
        <v/>
      </c>
      <c r="H84" s="8" t="str">
        <f t="array" ref="H84">IF(80&gt;$S$1204,"",INDEX($T$5:$AJ$1204,MATCH(80,$S$5:$S$1204,0),8))</f>
        <v/>
      </c>
      <c r="I84" s="8" t="str">
        <f t="array" ref="I84">IF(80&gt;$S$1204,"",INDEX($T$5:$AJ$1204,MATCH(80,$S$5:$S$1204,0),9))</f>
        <v/>
      </c>
      <c r="J84" s="14" t="str">
        <f t="array" ref="J84">IF(80&gt;$S$1204,"",INDEX($T$5:$AJ$1204,MATCH(80,$S$5:$S$1204,0),10))</f>
        <v/>
      </c>
      <c r="K84" s="8" t="str">
        <f t="array" ref="K84">IF(80&gt;$S$1204,"",INDEX($T$5:$AJ$1204,MATCH(80,$S$5:$S$1204,0),11))</f>
        <v/>
      </c>
      <c r="L84" s="8" t="str">
        <f t="array" ref="L84">IF(80&gt;$S$1204,"",INDEX($T$5:$AJ$1204,MATCH(80,$S$5:$S$1204,0),12))</f>
        <v/>
      </c>
      <c r="M84" s="8" t="str">
        <f t="array" ref="M84">IF(80&gt;$S$1204,"",INDEX($T$5:$AJ$1204,MATCH(80,$S$5:$S$1204,0),13))</f>
        <v/>
      </c>
      <c r="N84" s="8" t="str">
        <f t="array" ref="N84">IF(80&gt;$S$1204,"",INDEX($T$5:$AJ$1204,MATCH(80,$S$5:$S$1204,0),14))</f>
        <v/>
      </c>
      <c r="O84" s="15" t="str">
        <f t="array" ref="O84">IF(80&gt;$S$1204,"",INDEX($T$5:$AJ$1204,MATCH(80,$S$5:$S$1204,0),15))</f>
        <v/>
      </c>
      <c r="P84" s="8" t="str">
        <f t="array" ref="P84">IF(80&gt;$S$1204,"",INDEX($T$5:$AJ$1204,MATCH(80,$S$5:$S$1204,0),16))</f>
        <v/>
      </c>
      <c r="Q84" s="8" t="str">
        <f t="array" ref="Q84">IF(80&gt;$S$1204,"",INDEX($T$5:$AJ$1204,MATCH(80,$S$5:$S$1204,0),17))</f>
        <v/>
      </c>
      <c r="R84" s="17"/>
      <c r="S84" s="17">
        <f>S83+IF(M1_Administrativo!A88="",0,1)</f>
        <v>0</v>
      </c>
      <c r="T84" s="17" t="str">
        <f>IF(M1_Administrativo!A88="","",IF(M1_Administrativo!A88="","",M1_Administrativo!A88))</f>
        <v/>
      </c>
      <c r="U84" s="17" t="str">
        <f>IF(M1_Administrativo!A88="","",IF(M1_Administrativo!R88="","",M1_Administrativo!R88))</f>
        <v/>
      </c>
      <c r="V84" s="17" t="str">
        <f>IF(M1_Administrativo!A88="","",IF(M1_Administrativo!D88="","",M1_Administrativo!D88))</f>
        <v/>
      </c>
      <c r="W84" s="17" t="str">
        <f>IF(M1_Administrativo!A88="","",IF(M1_Administrativo!B88="","",M1_Administrativo!B88))</f>
        <v/>
      </c>
      <c r="X84" s="17" t="str">
        <f>IF(M1_Administrativo!A88="","",IF(M1_Administrativo!C88="","",M1_Administrativo!C88))</f>
        <v/>
      </c>
      <c r="Y84" s="17" t="str">
        <f>IF(M1_Administrativo!A88="","",IF(M1_Administrativo!E88="","",M1_Administrativo!E88))</f>
        <v/>
      </c>
      <c r="Z84" s="17" t="str">
        <f>IF(M1_Administrativo!A88="","",IF(M1_Administrativo!F88="","",M1_Administrativo!F88))</f>
        <v/>
      </c>
      <c r="AA84" s="17" t="str">
        <f>IF(M1_Administrativo!A88="","","M1 Administrativo")</f>
        <v/>
      </c>
      <c r="AB84" s="17" t="str">
        <f>IF(M1_Administrativo!A88="","",IF(M1_Administrativo!G88="","",M1_Administrativo!G88))</f>
        <v/>
      </c>
      <c r="AC84" s="17" t="str">
        <f>IF(M1_Administrativo!A88="","",IF(M1_Administrativo!M88="","",M1_Administrativo!M88))</f>
        <v/>
      </c>
      <c r="AD84" s="17" t="str">
        <f>IF(M1_Administrativo!A88="","","RA")</f>
        <v/>
      </c>
      <c r="AE84" s="17" t="str">
        <f>IF(M1_Administrativo!A88="","",IF(M1_Administrativo!O88="","",M1_Administrativo!O88))</f>
        <v/>
      </c>
      <c r="AF84" s="17" t="str">
        <f>IF(M1_Administrativo!A88="","",IF(M1_Administrativo!P88="","",M1_Administrativo!P88))</f>
        <v/>
      </c>
      <c r="AG84" s="17" t="str">
        <f>IF(M1_Administrativo!A88="","",IF(M1_Administrativo!Q88="","",M1_Administrativo!Q88))</f>
        <v/>
      </c>
      <c r="AH84" s="17" t="str">
        <f>IF(M1_Administrativo!A88="","","")</f>
        <v/>
      </c>
      <c r="AI84" s="17" t="str">
        <f>IF(M1_Administrativo!A88="","","M1_Administrativo!88")</f>
        <v/>
      </c>
      <c r="AJ84" s="17" t="str">
        <f>IF(M1_Administrativo!A88="","",IF(M1_Administrativo!M88="","Pendiente de resultado","Disponible"))</f>
        <v/>
      </c>
    </row>
    <row r="85" spans="1:36" ht="55.5" customHeight="1">
      <c r="A85" s="6" t="str">
        <f t="array" ref="A85">IF(81&gt;$S$1204,"",INDEX($T$5:$AJ$1204,MATCH(81,$S$5:$S$1204,0),1))</f>
        <v/>
      </c>
      <c r="B85" s="8" t="str">
        <f t="array" ref="B85">IF(81&gt;$S$1204,"",INDEX($T$5:$AJ$1204,MATCH(81,$S$5:$S$1204,0),2))</f>
        <v/>
      </c>
      <c r="C85" s="10" t="str">
        <f t="array" ref="C85">IF(81&gt;$S$1204,"",INDEX($T$5:$AJ$1204,MATCH(81,$S$5:$S$1204,0),3))</f>
        <v/>
      </c>
      <c r="D85" s="8" t="str">
        <f t="array" ref="D85">IF(81&gt;$S$1204,"",INDEX($T$5:$AJ$1204,MATCH(81,$S$5:$S$1204,0),4))</f>
        <v/>
      </c>
      <c r="E85" s="8" t="str">
        <f t="array" ref="E85">IF(81&gt;$S$1204,"",INDEX($T$5:$AJ$1204,MATCH(81,$S$5:$S$1204,0),5))</f>
        <v/>
      </c>
      <c r="F85" s="8" t="str">
        <f t="array" ref="F85">IF(81&gt;$S$1204,"",INDEX($T$5:$AJ$1204,MATCH(81,$S$5:$S$1204,0),6))</f>
        <v/>
      </c>
      <c r="G85" s="8" t="str">
        <f t="array" ref="G85">IF(81&gt;$S$1204,"",INDEX($T$5:$AJ$1204,MATCH(81,$S$5:$S$1204,0),7))</f>
        <v/>
      </c>
      <c r="H85" s="8" t="str">
        <f t="array" ref="H85">IF(81&gt;$S$1204,"",INDEX($T$5:$AJ$1204,MATCH(81,$S$5:$S$1204,0),8))</f>
        <v/>
      </c>
      <c r="I85" s="8" t="str">
        <f t="array" ref="I85">IF(81&gt;$S$1204,"",INDEX($T$5:$AJ$1204,MATCH(81,$S$5:$S$1204,0),9))</f>
        <v/>
      </c>
      <c r="J85" s="14" t="str">
        <f t="array" ref="J85">IF(81&gt;$S$1204,"",INDEX($T$5:$AJ$1204,MATCH(81,$S$5:$S$1204,0),10))</f>
        <v/>
      </c>
      <c r="K85" s="8" t="str">
        <f t="array" ref="K85">IF(81&gt;$S$1204,"",INDEX($T$5:$AJ$1204,MATCH(81,$S$5:$S$1204,0),11))</f>
        <v/>
      </c>
      <c r="L85" s="8" t="str">
        <f t="array" ref="L85">IF(81&gt;$S$1204,"",INDEX($T$5:$AJ$1204,MATCH(81,$S$5:$S$1204,0),12))</f>
        <v/>
      </c>
      <c r="M85" s="8" t="str">
        <f t="array" ref="M85">IF(81&gt;$S$1204,"",INDEX($T$5:$AJ$1204,MATCH(81,$S$5:$S$1204,0),13))</f>
        <v/>
      </c>
      <c r="N85" s="8" t="str">
        <f t="array" ref="N85">IF(81&gt;$S$1204,"",INDEX($T$5:$AJ$1204,MATCH(81,$S$5:$S$1204,0),14))</f>
        <v/>
      </c>
      <c r="O85" s="15" t="str">
        <f t="array" ref="O85">IF(81&gt;$S$1204,"",INDEX($T$5:$AJ$1204,MATCH(81,$S$5:$S$1204,0),15))</f>
        <v/>
      </c>
      <c r="P85" s="8" t="str">
        <f t="array" ref="P85">IF(81&gt;$S$1204,"",INDEX($T$5:$AJ$1204,MATCH(81,$S$5:$S$1204,0),16))</f>
        <v/>
      </c>
      <c r="Q85" s="8" t="str">
        <f t="array" ref="Q85">IF(81&gt;$S$1204,"",INDEX($T$5:$AJ$1204,MATCH(81,$S$5:$S$1204,0),17))</f>
        <v/>
      </c>
      <c r="R85" s="17"/>
      <c r="S85" s="17">
        <f>S84+IF(M1_Administrativo!A89="",0,1)</f>
        <v>0</v>
      </c>
      <c r="T85" s="17" t="str">
        <f>IF(M1_Administrativo!A89="","",IF(M1_Administrativo!A89="","",M1_Administrativo!A89))</f>
        <v/>
      </c>
      <c r="U85" s="17" t="str">
        <f>IF(M1_Administrativo!A89="","",IF(M1_Administrativo!R89="","",M1_Administrativo!R89))</f>
        <v/>
      </c>
      <c r="V85" s="17" t="str">
        <f>IF(M1_Administrativo!A89="","",IF(M1_Administrativo!D89="","",M1_Administrativo!D89))</f>
        <v/>
      </c>
      <c r="W85" s="17" t="str">
        <f>IF(M1_Administrativo!A89="","",IF(M1_Administrativo!B89="","",M1_Administrativo!B89))</f>
        <v/>
      </c>
      <c r="X85" s="17" t="str">
        <f>IF(M1_Administrativo!A89="","",IF(M1_Administrativo!C89="","",M1_Administrativo!C89))</f>
        <v/>
      </c>
      <c r="Y85" s="17" t="str">
        <f>IF(M1_Administrativo!A89="","",IF(M1_Administrativo!E89="","",M1_Administrativo!E89))</f>
        <v/>
      </c>
      <c r="Z85" s="17" t="str">
        <f>IF(M1_Administrativo!A89="","",IF(M1_Administrativo!F89="","",M1_Administrativo!F89))</f>
        <v/>
      </c>
      <c r="AA85" s="17" t="str">
        <f>IF(M1_Administrativo!A89="","","M1 Administrativo")</f>
        <v/>
      </c>
      <c r="AB85" s="17" t="str">
        <f>IF(M1_Administrativo!A89="","",IF(M1_Administrativo!G89="","",M1_Administrativo!G89))</f>
        <v/>
      </c>
      <c r="AC85" s="17" t="str">
        <f>IF(M1_Administrativo!A89="","",IF(M1_Administrativo!M89="","",M1_Administrativo!M89))</f>
        <v/>
      </c>
      <c r="AD85" s="17" t="str">
        <f>IF(M1_Administrativo!A89="","","RA")</f>
        <v/>
      </c>
      <c r="AE85" s="17" t="str">
        <f>IF(M1_Administrativo!A89="","",IF(M1_Administrativo!O89="","",M1_Administrativo!O89))</f>
        <v/>
      </c>
      <c r="AF85" s="17" t="str">
        <f>IF(M1_Administrativo!A89="","",IF(M1_Administrativo!P89="","",M1_Administrativo!P89))</f>
        <v/>
      </c>
      <c r="AG85" s="17" t="str">
        <f>IF(M1_Administrativo!A89="","",IF(M1_Administrativo!Q89="","",M1_Administrativo!Q89))</f>
        <v/>
      </c>
      <c r="AH85" s="17" t="str">
        <f>IF(M1_Administrativo!A89="","","")</f>
        <v/>
      </c>
      <c r="AI85" s="17" t="str">
        <f>IF(M1_Administrativo!A89="","","M1_Administrativo!89")</f>
        <v/>
      </c>
      <c r="AJ85" s="17" t="str">
        <f>IF(M1_Administrativo!A89="","",IF(M1_Administrativo!M89="","Pendiente de resultado","Disponible"))</f>
        <v/>
      </c>
    </row>
    <row r="86" spans="1:36" ht="55.5" customHeight="1">
      <c r="A86" s="6" t="str">
        <f t="array" ref="A86">IF(82&gt;$S$1204,"",INDEX($T$5:$AJ$1204,MATCH(82,$S$5:$S$1204,0),1))</f>
        <v/>
      </c>
      <c r="B86" s="8" t="str">
        <f t="array" ref="B86">IF(82&gt;$S$1204,"",INDEX($T$5:$AJ$1204,MATCH(82,$S$5:$S$1204,0),2))</f>
        <v/>
      </c>
      <c r="C86" s="10" t="str">
        <f t="array" ref="C86">IF(82&gt;$S$1204,"",INDEX($T$5:$AJ$1204,MATCH(82,$S$5:$S$1204,0),3))</f>
        <v/>
      </c>
      <c r="D86" s="8" t="str">
        <f t="array" ref="D86">IF(82&gt;$S$1204,"",INDEX($T$5:$AJ$1204,MATCH(82,$S$5:$S$1204,0),4))</f>
        <v/>
      </c>
      <c r="E86" s="8" t="str">
        <f t="array" ref="E86">IF(82&gt;$S$1204,"",INDEX($T$5:$AJ$1204,MATCH(82,$S$5:$S$1204,0),5))</f>
        <v/>
      </c>
      <c r="F86" s="8" t="str">
        <f t="array" ref="F86">IF(82&gt;$S$1204,"",INDEX($T$5:$AJ$1204,MATCH(82,$S$5:$S$1204,0),6))</f>
        <v/>
      </c>
      <c r="G86" s="8" t="str">
        <f t="array" ref="G86">IF(82&gt;$S$1204,"",INDEX($T$5:$AJ$1204,MATCH(82,$S$5:$S$1204,0),7))</f>
        <v/>
      </c>
      <c r="H86" s="8" t="str">
        <f t="array" ref="H86">IF(82&gt;$S$1204,"",INDEX($T$5:$AJ$1204,MATCH(82,$S$5:$S$1204,0),8))</f>
        <v/>
      </c>
      <c r="I86" s="8" t="str">
        <f t="array" ref="I86">IF(82&gt;$S$1204,"",INDEX($T$5:$AJ$1204,MATCH(82,$S$5:$S$1204,0),9))</f>
        <v/>
      </c>
      <c r="J86" s="14" t="str">
        <f t="array" ref="J86">IF(82&gt;$S$1204,"",INDEX($T$5:$AJ$1204,MATCH(82,$S$5:$S$1204,0),10))</f>
        <v/>
      </c>
      <c r="K86" s="8" t="str">
        <f t="array" ref="K86">IF(82&gt;$S$1204,"",INDEX($T$5:$AJ$1204,MATCH(82,$S$5:$S$1204,0),11))</f>
        <v/>
      </c>
      <c r="L86" s="8" t="str">
        <f t="array" ref="L86">IF(82&gt;$S$1204,"",INDEX($T$5:$AJ$1204,MATCH(82,$S$5:$S$1204,0),12))</f>
        <v/>
      </c>
      <c r="M86" s="8" t="str">
        <f t="array" ref="M86">IF(82&gt;$S$1204,"",INDEX($T$5:$AJ$1204,MATCH(82,$S$5:$S$1204,0),13))</f>
        <v/>
      </c>
      <c r="N86" s="8" t="str">
        <f t="array" ref="N86">IF(82&gt;$S$1204,"",INDEX($T$5:$AJ$1204,MATCH(82,$S$5:$S$1204,0),14))</f>
        <v/>
      </c>
      <c r="O86" s="15" t="str">
        <f t="array" ref="O86">IF(82&gt;$S$1204,"",INDEX($T$5:$AJ$1204,MATCH(82,$S$5:$S$1204,0),15))</f>
        <v/>
      </c>
      <c r="P86" s="8" t="str">
        <f t="array" ref="P86">IF(82&gt;$S$1204,"",INDEX($T$5:$AJ$1204,MATCH(82,$S$5:$S$1204,0),16))</f>
        <v/>
      </c>
      <c r="Q86" s="8" t="str">
        <f t="array" ref="Q86">IF(82&gt;$S$1204,"",INDEX($T$5:$AJ$1204,MATCH(82,$S$5:$S$1204,0),17))</f>
        <v/>
      </c>
      <c r="R86" s="17"/>
      <c r="S86" s="17">
        <f>S85+IF(M1_Administrativo!A90="",0,1)</f>
        <v>0</v>
      </c>
      <c r="T86" s="17" t="str">
        <f>IF(M1_Administrativo!A90="","",IF(M1_Administrativo!A90="","",M1_Administrativo!A90))</f>
        <v/>
      </c>
      <c r="U86" s="17" t="str">
        <f>IF(M1_Administrativo!A90="","",IF(M1_Administrativo!R90="","",M1_Administrativo!R90))</f>
        <v/>
      </c>
      <c r="V86" s="17" t="str">
        <f>IF(M1_Administrativo!A90="","",IF(M1_Administrativo!D90="","",M1_Administrativo!D90))</f>
        <v/>
      </c>
      <c r="W86" s="17" t="str">
        <f>IF(M1_Administrativo!A90="","",IF(M1_Administrativo!B90="","",M1_Administrativo!B90))</f>
        <v/>
      </c>
      <c r="X86" s="17" t="str">
        <f>IF(M1_Administrativo!A90="","",IF(M1_Administrativo!C90="","",M1_Administrativo!C90))</f>
        <v/>
      </c>
      <c r="Y86" s="17" t="str">
        <f>IF(M1_Administrativo!A90="","",IF(M1_Administrativo!E90="","",M1_Administrativo!E90))</f>
        <v/>
      </c>
      <c r="Z86" s="17" t="str">
        <f>IF(M1_Administrativo!A90="","",IF(M1_Administrativo!F90="","",M1_Administrativo!F90))</f>
        <v/>
      </c>
      <c r="AA86" s="17" t="str">
        <f>IF(M1_Administrativo!A90="","","M1 Administrativo")</f>
        <v/>
      </c>
      <c r="AB86" s="17" t="str">
        <f>IF(M1_Administrativo!A90="","",IF(M1_Administrativo!G90="","",M1_Administrativo!G90))</f>
        <v/>
      </c>
      <c r="AC86" s="17" t="str">
        <f>IF(M1_Administrativo!A90="","",IF(M1_Administrativo!M90="","",M1_Administrativo!M90))</f>
        <v/>
      </c>
      <c r="AD86" s="17" t="str">
        <f>IF(M1_Administrativo!A90="","","RA")</f>
        <v/>
      </c>
      <c r="AE86" s="17" t="str">
        <f>IF(M1_Administrativo!A90="","",IF(M1_Administrativo!O90="","",M1_Administrativo!O90))</f>
        <v/>
      </c>
      <c r="AF86" s="17" t="str">
        <f>IF(M1_Administrativo!A90="","",IF(M1_Administrativo!P90="","",M1_Administrativo!P90))</f>
        <v/>
      </c>
      <c r="AG86" s="17" t="str">
        <f>IF(M1_Administrativo!A90="","",IF(M1_Administrativo!Q90="","",M1_Administrativo!Q90))</f>
        <v/>
      </c>
      <c r="AH86" s="17" t="str">
        <f>IF(M1_Administrativo!A90="","","")</f>
        <v/>
      </c>
      <c r="AI86" s="17" t="str">
        <f>IF(M1_Administrativo!A90="","","M1_Administrativo!90")</f>
        <v/>
      </c>
      <c r="AJ86" s="17" t="str">
        <f>IF(M1_Administrativo!A90="","",IF(M1_Administrativo!M90="","Pendiente de resultado","Disponible"))</f>
        <v/>
      </c>
    </row>
    <row r="87" spans="1:36" ht="55.5" customHeight="1">
      <c r="A87" s="6" t="str">
        <f t="array" ref="A87">IF(83&gt;$S$1204,"",INDEX($T$5:$AJ$1204,MATCH(83,$S$5:$S$1204,0),1))</f>
        <v/>
      </c>
      <c r="B87" s="8" t="str">
        <f t="array" ref="B87">IF(83&gt;$S$1204,"",INDEX($T$5:$AJ$1204,MATCH(83,$S$5:$S$1204,0),2))</f>
        <v/>
      </c>
      <c r="C87" s="10" t="str">
        <f t="array" ref="C87">IF(83&gt;$S$1204,"",INDEX($T$5:$AJ$1204,MATCH(83,$S$5:$S$1204,0),3))</f>
        <v/>
      </c>
      <c r="D87" s="8" t="str">
        <f t="array" ref="D87">IF(83&gt;$S$1204,"",INDEX($T$5:$AJ$1204,MATCH(83,$S$5:$S$1204,0),4))</f>
        <v/>
      </c>
      <c r="E87" s="8" t="str">
        <f t="array" ref="E87">IF(83&gt;$S$1204,"",INDEX($T$5:$AJ$1204,MATCH(83,$S$5:$S$1204,0),5))</f>
        <v/>
      </c>
      <c r="F87" s="8" t="str">
        <f t="array" ref="F87">IF(83&gt;$S$1204,"",INDEX($T$5:$AJ$1204,MATCH(83,$S$5:$S$1204,0),6))</f>
        <v/>
      </c>
      <c r="G87" s="8" t="str">
        <f t="array" ref="G87">IF(83&gt;$S$1204,"",INDEX($T$5:$AJ$1204,MATCH(83,$S$5:$S$1204,0),7))</f>
        <v/>
      </c>
      <c r="H87" s="8" t="str">
        <f t="array" ref="H87">IF(83&gt;$S$1204,"",INDEX($T$5:$AJ$1204,MATCH(83,$S$5:$S$1204,0),8))</f>
        <v/>
      </c>
      <c r="I87" s="8" t="str">
        <f t="array" ref="I87">IF(83&gt;$S$1204,"",INDEX($T$5:$AJ$1204,MATCH(83,$S$5:$S$1204,0),9))</f>
        <v/>
      </c>
      <c r="J87" s="14" t="str">
        <f t="array" ref="J87">IF(83&gt;$S$1204,"",INDEX($T$5:$AJ$1204,MATCH(83,$S$5:$S$1204,0),10))</f>
        <v/>
      </c>
      <c r="K87" s="8" t="str">
        <f t="array" ref="K87">IF(83&gt;$S$1204,"",INDEX($T$5:$AJ$1204,MATCH(83,$S$5:$S$1204,0),11))</f>
        <v/>
      </c>
      <c r="L87" s="8" t="str">
        <f t="array" ref="L87">IF(83&gt;$S$1204,"",INDEX($T$5:$AJ$1204,MATCH(83,$S$5:$S$1204,0),12))</f>
        <v/>
      </c>
      <c r="M87" s="8" t="str">
        <f t="array" ref="M87">IF(83&gt;$S$1204,"",INDEX($T$5:$AJ$1204,MATCH(83,$S$5:$S$1204,0),13))</f>
        <v/>
      </c>
      <c r="N87" s="8" t="str">
        <f t="array" ref="N87">IF(83&gt;$S$1204,"",INDEX($T$5:$AJ$1204,MATCH(83,$S$5:$S$1204,0),14))</f>
        <v/>
      </c>
      <c r="O87" s="15" t="str">
        <f t="array" ref="O87">IF(83&gt;$S$1204,"",INDEX($T$5:$AJ$1204,MATCH(83,$S$5:$S$1204,0),15))</f>
        <v/>
      </c>
      <c r="P87" s="8" t="str">
        <f t="array" ref="P87">IF(83&gt;$S$1204,"",INDEX($T$5:$AJ$1204,MATCH(83,$S$5:$S$1204,0),16))</f>
        <v/>
      </c>
      <c r="Q87" s="8" t="str">
        <f t="array" ref="Q87">IF(83&gt;$S$1204,"",INDEX($T$5:$AJ$1204,MATCH(83,$S$5:$S$1204,0),17))</f>
        <v/>
      </c>
      <c r="R87" s="17"/>
      <c r="S87" s="17">
        <f>S86+IF(M1_Administrativo!A91="",0,1)</f>
        <v>0</v>
      </c>
      <c r="T87" s="17" t="str">
        <f>IF(M1_Administrativo!A91="","",IF(M1_Administrativo!A91="","",M1_Administrativo!A91))</f>
        <v/>
      </c>
      <c r="U87" s="17" t="str">
        <f>IF(M1_Administrativo!A91="","",IF(M1_Administrativo!R91="","",M1_Administrativo!R91))</f>
        <v/>
      </c>
      <c r="V87" s="17" t="str">
        <f>IF(M1_Administrativo!A91="","",IF(M1_Administrativo!D91="","",M1_Administrativo!D91))</f>
        <v/>
      </c>
      <c r="W87" s="17" t="str">
        <f>IF(M1_Administrativo!A91="","",IF(M1_Administrativo!B91="","",M1_Administrativo!B91))</f>
        <v/>
      </c>
      <c r="X87" s="17" t="str">
        <f>IF(M1_Administrativo!A91="","",IF(M1_Administrativo!C91="","",M1_Administrativo!C91))</f>
        <v/>
      </c>
      <c r="Y87" s="17" t="str">
        <f>IF(M1_Administrativo!A91="","",IF(M1_Administrativo!E91="","",M1_Administrativo!E91))</f>
        <v/>
      </c>
      <c r="Z87" s="17" t="str">
        <f>IF(M1_Administrativo!A91="","",IF(M1_Administrativo!F91="","",M1_Administrativo!F91))</f>
        <v/>
      </c>
      <c r="AA87" s="17" t="str">
        <f>IF(M1_Administrativo!A91="","","M1 Administrativo")</f>
        <v/>
      </c>
      <c r="AB87" s="17" t="str">
        <f>IF(M1_Administrativo!A91="","",IF(M1_Administrativo!G91="","",M1_Administrativo!G91))</f>
        <v/>
      </c>
      <c r="AC87" s="17" t="str">
        <f>IF(M1_Administrativo!A91="","",IF(M1_Administrativo!M91="","",M1_Administrativo!M91))</f>
        <v/>
      </c>
      <c r="AD87" s="17" t="str">
        <f>IF(M1_Administrativo!A91="","","RA")</f>
        <v/>
      </c>
      <c r="AE87" s="17" t="str">
        <f>IF(M1_Administrativo!A91="","",IF(M1_Administrativo!O91="","",M1_Administrativo!O91))</f>
        <v/>
      </c>
      <c r="AF87" s="17" t="str">
        <f>IF(M1_Administrativo!A91="","",IF(M1_Administrativo!P91="","",M1_Administrativo!P91))</f>
        <v/>
      </c>
      <c r="AG87" s="17" t="str">
        <f>IF(M1_Administrativo!A91="","",IF(M1_Administrativo!Q91="","",M1_Administrativo!Q91))</f>
        <v/>
      </c>
      <c r="AH87" s="17" t="str">
        <f>IF(M1_Administrativo!A91="","","")</f>
        <v/>
      </c>
      <c r="AI87" s="17" t="str">
        <f>IF(M1_Administrativo!A91="","","M1_Administrativo!91")</f>
        <v/>
      </c>
      <c r="AJ87" s="17" t="str">
        <f>IF(M1_Administrativo!A91="","",IF(M1_Administrativo!M91="","Pendiente de resultado","Disponible"))</f>
        <v/>
      </c>
    </row>
    <row r="88" spans="1:36" ht="55.5" customHeight="1">
      <c r="A88" s="6" t="str">
        <f t="array" ref="A88">IF(84&gt;$S$1204,"",INDEX($T$5:$AJ$1204,MATCH(84,$S$5:$S$1204,0),1))</f>
        <v/>
      </c>
      <c r="B88" s="8" t="str">
        <f t="array" ref="B88">IF(84&gt;$S$1204,"",INDEX($T$5:$AJ$1204,MATCH(84,$S$5:$S$1204,0),2))</f>
        <v/>
      </c>
      <c r="C88" s="10" t="str">
        <f t="array" ref="C88">IF(84&gt;$S$1204,"",INDEX($T$5:$AJ$1204,MATCH(84,$S$5:$S$1204,0),3))</f>
        <v/>
      </c>
      <c r="D88" s="8" t="str">
        <f t="array" ref="D88">IF(84&gt;$S$1204,"",INDEX($T$5:$AJ$1204,MATCH(84,$S$5:$S$1204,0),4))</f>
        <v/>
      </c>
      <c r="E88" s="8" t="str">
        <f t="array" ref="E88">IF(84&gt;$S$1204,"",INDEX($T$5:$AJ$1204,MATCH(84,$S$5:$S$1204,0),5))</f>
        <v/>
      </c>
      <c r="F88" s="8" t="str">
        <f t="array" ref="F88">IF(84&gt;$S$1204,"",INDEX($T$5:$AJ$1204,MATCH(84,$S$5:$S$1204,0),6))</f>
        <v/>
      </c>
      <c r="G88" s="8" t="str">
        <f t="array" ref="G88">IF(84&gt;$S$1204,"",INDEX($T$5:$AJ$1204,MATCH(84,$S$5:$S$1204,0),7))</f>
        <v/>
      </c>
      <c r="H88" s="8" t="str">
        <f t="array" ref="H88">IF(84&gt;$S$1204,"",INDEX($T$5:$AJ$1204,MATCH(84,$S$5:$S$1204,0),8))</f>
        <v/>
      </c>
      <c r="I88" s="8" t="str">
        <f t="array" ref="I88">IF(84&gt;$S$1204,"",INDEX($T$5:$AJ$1204,MATCH(84,$S$5:$S$1204,0),9))</f>
        <v/>
      </c>
      <c r="J88" s="14" t="str">
        <f t="array" ref="J88">IF(84&gt;$S$1204,"",INDEX($T$5:$AJ$1204,MATCH(84,$S$5:$S$1204,0),10))</f>
        <v/>
      </c>
      <c r="K88" s="8" t="str">
        <f t="array" ref="K88">IF(84&gt;$S$1204,"",INDEX($T$5:$AJ$1204,MATCH(84,$S$5:$S$1204,0),11))</f>
        <v/>
      </c>
      <c r="L88" s="8" t="str">
        <f t="array" ref="L88">IF(84&gt;$S$1204,"",INDEX($T$5:$AJ$1204,MATCH(84,$S$5:$S$1204,0),12))</f>
        <v/>
      </c>
      <c r="M88" s="8" t="str">
        <f t="array" ref="M88">IF(84&gt;$S$1204,"",INDEX($T$5:$AJ$1204,MATCH(84,$S$5:$S$1204,0),13))</f>
        <v/>
      </c>
      <c r="N88" s="8" t="str">
        <f t="array" ref="N88">IF(84&gt;$S$1204,"",INDEX($T$5:$AJ$1204,MATCH(84,$S$5:$S$1204,0),14))</f>
        <v/>
      </c>
      <c r="O88" s="15" t="str">
        <f t="array" ref="O88">IF(84&gt;$S$1204,"",INDEX($T$5:$AJ$1204,MATCH(84,$S$5:$S$1204,0),15))</f>
        <v/>
      </c>
      <c r="P88" s="8" t="str">
        <f t="array" ref="P88">IF(84&gt;$S$1204,"",INDEX($T$5:$AJ$1204,MATCH(84,$S$5:$S$1204,0),16))</f>
        <v/>
      </c>
      <c r="Q88" s="8" t="str">
        <f t="array" ref="Q88">IF(84&gt;$S$1204,"",INDEX($T$5:$AJ$1204,MATCH(84,$S$5:$S$1204,0),17))</f>
        <v/>
      </c>
      <c r="R88" s="17"/>
      <c r="S88" s="17">
        <f>S87+IF(M1_Administrativo!A92="",0,1)</f>
        <v>0</v>
      </c>
      <c r="T88" s="17" t="str">
        <f>IF(M1_Administrativo!A92="","",IF(M1_Administrativo!A92="","",M1_Administrativo!A92))</f>
        <v/>
      </c>
      <c r="U88" s="17" t="str">
        <f>IF(M1_Administrativo!A92="","",IF(M1_Administrativo!R92="","",M1_Administrativo!R92))</f>
        <v/>
      </c>
      <c r="V88" s="17" t="str">
        <f>IF(M1_Administrativo!A92="","",IF(M1_Administrativo!D92="","",M1_Administrativo!D92))</f>
        <v/>
      </c>
      <c r="W88" s="17" t="str">
        <f>IF(M1_Administrativo!A92="","",IF(M1_Administrativo!B92="","",M1_Administrativo!B92))</f>
        <v/>
      </c>
      <c r="X88" s="17" t="str">
        <f>IF(M1_Administrativo!A92="","",IF(M1_Administrativo!C92="","",M1_Administrativo!C92))</f>
        <v/>
      </c>
      <c r="Y88" s="17" t="str">
        <f>IF(M1_Administrativo!A92="","",IF(M1_Administrativo!E92="","",M1_Administrativo!E92))</f>
        <v/>
      </c>
      <c r="Z88" s="17" t="str">
        <f>IF(M1_Administrativo!A92="","",IF(M1_Administrativo!F92="","",M1_Administrativo!F92))</f>
        <v/>
      </c>
      <c r="AA88" s="17" t="str">
        <f>IF(M1_Administrativo!A92="","","M1 Administrativo")</f>
        <v/>
      </c>
      <c r="AB88" s="17" t="str">
        <f>IF(M1_Administrativo!A92="","",IF(M1_Administrativo!G92="","",M1_Administrativo!G92))</f>
        <v/>
      </c>
      <c r="AC88" s="17" t="str">
        <f>IF(M1_Administrativo!A92="","",IF(M1_Administrativo!M92="","",M1_Administrativo!M92))</f>
        <v/>
      </c>
      <c r="AD88" s="17" t="str">
        <f>IF(M1_Administrativo!A92="","","RA")</f>
        <v/>
      </c>
      <c r="AE88" s="17" t="str">
        <f>IF(M1_Administrativo!A92="","",IF(M1_Administrativo!O92="","",M1_Administrativo!O92))</f>
        <v/>
      </c>
      <c r="AF88" s="17" t="str">
        <f>IF(M1_Administrativo!A92="","",IF(M1_Administrativo!P92="","",M1_Administrativo!P92))</f>
        <v/>
      </c>
      <c r="AG88" s="17" t="str">
        <f>IF(M1_Administrativo!A92="","",IF(M1_Administrativo!Q92="","",M1_Administrativo!Q92))</f>
        <v/>
      </c>
      <c r="AH88" s="17" t="str">
        <f>IF(M1_Administrativo!A92="","","")</f>
        <v/>
      </c>
      <c r="AI88" s="17" t="str">
        <f>IF(M1_Administrativo!A92="","","M1_Administrativo!92")</f>
        <v/>
      </c>
      <c r="AJ88" s="17" t="str">
        <f>IF(M1_Administrativo!A92="","",IF(M1_Administrativo!M92="","Pendiente de resultado","Disponible"))</f>
        <v/>
      </c>
    </row>
    <row r="89" spans="1:36" ht="55.5" customHeight="1">
      <c r="A89" s="6" t="str">
        <f t="array" ref="A89">IF(85&gt;$S$1204,"",INDEX($T$5:$AJ$1204,MATCH(85,$S$5:$S$1204,0),1))</f>
        <v/>
      </c>
      <c r="B89" s="8" t="str">
        <f t="array" ref="B89">IF(85&gt;$S$1204,"",INDEX($T$5:$AJ$1204,MATCH(85,$S$5:$S$1204,0),2))</f>
        <v/>
      </c>
      <c r="C89" s="10" t="str">
        <f t="array" ref="C89">IF(85&gt;$S$1204,"",INDEX($T$5:$AJ$1204,MATCH(85,$S$5:$S$1204,0),3))</f>
        <v/>
      </c>
      <c r="D89" s="8" t="str">
        <f t="array" ref="D89">IF(85&gt;$S$1204,"",INDEX($T$5:$AJ$1204,MATCH(85,$S$5:$S$1204,0),4))</f>
        <v/>
      </c>
      <c r="E89" s="8" t="str">
        <f t="array" ref="E89">IF(85&gt;$S$1204,"",INDEX($T$5:$AJ$1204,MATCH(85,$S$5:$S$1204,0),5))</f>
        <v/>
      </c>
      <c r="F89" s="8" t="str">
        <f t="array" ref="F89">IF(85&gt;$S$1204,"",INDEX($T$5:$AJ$1204,MATCH(85,$S$5:$S$1204,0),6))</f>
        <v/>
      </c>
      <c r="G89" s="8" t="str">
        <f t="array" ref="G89">IF(85&gt;$S$1204,"",INDEX($T$5:$AJ$1204,MATCH(85,$S$5:$S$1204,0),7))</f>
        <v/>
      </c>
      <c r="H89" s="8" t="str">
        <f t="array" ref="H89">IF(85&gt;$S$1204,"",INDEX($T$5:$AJ$1204,MATCH(85,$S$5:$S$1204,0),8))</f>
        <v/>
      </c>
      <c r="I89" s="8" t="str">
        <f t="array" ref="I89">IF(85&gt;$S$1204,"",INDEX($T$5:$AJ$1204,MATCH(85,$S$5:$S$1204,0),9))</f>
        <v/>
      </c>
      <c r="J89" s="14" t="str">
        <f t="array" ref="J89">IF(85&gt;$S$1204,"",INDEX($T$5:$AJ$1204,MATCH(85,$S$5:$S$1204,0),10))</f>
        <v/>
      </c>
      <c r="K89" s="8" t="str">
        <f t="array" ref="K89">IF(85&gt;$S$1204,"",INDEX($T$5:$AJ$1204,MATCH(85,$S$5:$S$1204,0),11))</f>
        <v/>
      </c>
      <c r="L89" s="8" t="str">
        <f t="array" ref="L89">IF(85&gt;$S$1204,"",INDEX($T$5:$AJ$1204,MATCH(85,$S$5:$S$1204,0),12))</f>
        <v/>
      </c>
      <c r="M89" s="8" t="str">
        <f t="array" ref="M89">IF(85&gt;$S$1204,"",INDEX($T$5:$AJ$1204,MATCH(85,$S$5:$S$1204,0),13))</f>
        <v/>
      </c>
      <c r="N89" s="8" t="str">
        <f t="array" ref="N89">IF(85&gt;$S$1204,"",INDEX($T$5:$AJ$1204,MATCH(85,$S$5:$S$1204,0),14))</f>
        <v/>
      </c>
      <c r="O89" s="15" t="str">
        <f t="array" ref="O89">IF(85&gt;$S$1204,"",INDEX($T$5:$AJ$1204,MATCH(85,$S$5:$S$1204,0),15))</f>
        <v/>
      </c>
      <c r="P89" s="8" t="str">
        <f t="array" ref="P89">IF(85&gt;$S$1204,"",INDEX($T$5:$AJ$1204,MATCH(85,$S$5:$S$1204,0),16))</f>
        <v/>
      </c>
      <c r="Q89" s="8" t="str">
        <f t="array" ref="Q89">IF(85&gt;$S$1204,"",INDEX($T$5:$AJ$1204,MATCH(85,$S$5:$S$1204,0),17))</f>
        <v/>
      </c>
      <c r="R89" s="17"/>
      <c r="S89" s="17">
        <f>S88+IF(M1_Administrativo!A93="",0,1)</f>
        <v>0</v>
      </c>
      <c r="T89" s="17" t="str">
        <f>IF(M1_Administrativo!A93="","",IF(M1_Administrativo!A93="","",M1_Administrativo!A93))</f>
        <v/>
      </c>
      <c r="U89" s="17" t="str">
        <f>IF(M1_Administrativo!A93="","",IF(M1_Administrativo!R93="","",M1_Administrativo!R93))</f>
        <v/>
      </c>
      <c r="V89" s="17" t="str">
        <f>IF(M1_Administrativo!A93="","",IF(M1_Administrativo!D93="","",M1_Administrativo!D93))</f>
        <v/>
      </c>
      <c r="W89" s="17" t="str">
        <f>IF(M1_Administrativo!A93="","",IF(M1_Administrativo!B93="","",M1_Administrativo!B93))</f>
        <v/>
      </c>
      <c r="X89" s="17" t="str">
        <f>IF(M1_Administrativo!A93="","",IF(M1_Administrativo!C93="","",M1_Administrativo!C93))</f>
        <v/>
      </c>
      <c r="Y89" s="17" t="str">
        <f>IF(M1_Administrativo!A93="","",IF(M1_Administrativo!E93="","",M1_Administrativo!E93))</f>
        <v/>
      </c>
      <c r="Z89" s="17" t="str">
        <f>IF(M1_Administrativo!A93="","",IF(M1_Administrativo!F93="","",M1_Administrativo!F93))</f>
        <v/>
      </c>
      <c r="AA89" s="17" t="str">
        <f>IF(M1_Administrativo!A93="","","M1 Administrativo")</f>
        <v/>
      </c>
      <c r="AB89" s="17" t="str">
        <f>IF(M1_Administrativo!A93="","",IF(M1_Administrativo!G93="","",M1_Administrativo!G93))</f>
        <v/>
      </c>
      <c r="AC89" s="17" t="str">
        <f>IF(M1_Administrativo!A93="","",IF(M1_Administrativo!M93="","",M1_Administrativo!M93))</f>
        <v/>
      </c>
      <c r="AD89" s="17" t="str">
        <f>IF(M1_Administrativo!A93="","","RA")</f>
        <v/>
      </c>
      <c r="AE89" s="17" t="str">
        <f>IF(M1_Administrativo!A93="","",IF(M1_Administrativo!O93="","",M1_Administrativo!O93))</f>
        <v/>
      </c>
      <c r="AF89" s="17" t="str">
        <f>IF(M1_Administrativo!A93="","",IF(M1_Administrativo!P93="","",M1_Administrativo!P93))</f>
        <v/>
      </c>
      <c r="AG89" s="17" t="str">
        <f>IF(M1_Administrativo!A93="","",IF(M1_Administrativo!Q93="","",M1_Administrativo!Q93))</f>
        <v/>
      </c>
      <c r="AH89" s="17" t="str">
        <f>IF(M1_Administrativo!A93="","","")</f>
        <v/>
      </c>
      <c r="AI89" s="17" t="str">
        <f>IF(M1_Administrativo!A93="","","M1_Administrativo!93")</f>
        <v/>
      </c>
      <c r="AJ89" s="17" t="str">
        <f>IF(M1_Administrativo!A93="","",IF(M1_Administrativo!M93="","Pendiente de resultado","Disponible"))</f>
        <v/>
      </c>
    </row>
    <row r="90" spans="1:36" ht="55.5" customHeight="1">
      <c r="A90" s="6" t="str">
        <f t="array" ref="A90">IF(86&gt;$S$1204,"",INDEX($T$5:$AJ$1204,MATCH(86,$S$5:$S$1204,0),1))</f>
        <v/>
      </c>
      <c r="B90" s="8" t="str">
        <f t="array" ref="B90">IF(86&gt;$S$1204,"",INDEX($T$5:$AJ$1204,MATCH(86,$S$5:$S$1204,0),2))</f>
        <v/>
      </c>
      <c r="C90" s="10" t="str">
        <f t="array" ref="C90">IF(86&gt;$S$1204,"",INDEX($T$5:$AJ$1204,MATCH(86,$S$5:$S$1204,0),3))</f>
        <v/>
      </c>
      <c r="D90" s="8" t="str">
        <f t="array" ref="D90">IF(86&gt;$S$1204,"",INDEX($T$5:$AJ$1204,MATCH(86,$S$5:$S$1204,0),4))</f>
        <v/>
      </c>
      <c r="E90" s="8" t="str">
        <f t="array" ref="E90">IF(86&gt;$S$1204,"",INDEX($T$5:$AJ$1204,MATCH(86,$S$5:$S$1204,0),5))</f>
        <v/>
      </c>
      <c r="F90" s="8" t="str">
        <f t="array" ref="F90">IF(86&gt;$S$1204,"",INDEX($T$5:$AJ$1204,MATCH(86,$S$5:$S$1204,0),6))</f>
        <v/>
      </c>
      <c r="G90" s="8" t="str">
        <f t="array" ref="G90">IF(86&gt;$S$1204,"",INDEX($T$5:$AJ$1204,MATCH(86,$S$5:$S$1204,0),7))</f>
        <v/>
      </c>
      <c r="H90" s="8" t="str">
        <f t="array" ref="H90">IF(86&gt;$S$1204,"",INDEX($T$5:$AJ$1204,MATCH(86,$S$5:$S$1204,0),8))</f>
        <v/>
      </c>
      <c r="I90" s="8" t="str">
        <f t="array" ref="I90">IF(86&gt;$S$1204,"",INDEX($T$5:$AJ$1204,MATCH(86,$S$5:$S$1204,0),9))</f>
        <v/>
      </c>
      <c r="J90" s="14" t="str">
        <f t="array" ref="J90">IF(86&gt;$S$1204,"",INDEX($T$5:$AJ$1204,MATCH(86,$S$5:$S$1204,0),10))</f>
        <v/>
      </c>
      <c r="K90" s="8" t="str">
        <f t="array" ref="K90">IF(86&gt;$S$1204,"",INDEX($T$5:$AJ$1204,MATCH(86,$S$5:$S$1204,0),11))</f>
        <v/>
      </c>
      <c r="L90" s="8" t="str">
        <f t="array" ref="L90">IF(86&gt;$S$1204,"",INDEX($T$5:$AJ$1204,MATCH(86,$S$5:$S$1204,0),12))</f>
        <v/>
      </c>
      <c r="M90" s="8" t="str">
        <f t="array" ref="M90">IF(86&gt;$S$1204,"",INDEX($T$5:$AJ$1204,MATCH(86,$S$5:$S$1204,0),13))</f>
        <v/>
      </c>
      <c r="N90" s="8" t="str">
        <f t="array" ref="N90">IF(86&gt;$S$1204,"",INDEX($T$5:$AJ$1204,MATCH(86,$S$5:$S$1204,0),14))</f>
        <v/>
      </c>
      <c r="O90" s="15" t="str">
        <f t="array" ref="O90">IF(86&gt;$S$1204,"",INDEX($T$5:$AJ$1204,MATCH(86,$S$5:$S$1204,0),15))</f>
        <v/>
      </c>
      <c r="P90" s="8" t="str">
        <f t="array" ref="P90">IF(86&gt;$S$1204,"",INDEX($T$5:$AJ$1204,MATCH(86,$S$5:$S$1204,0),16))</f>
        <v/>
      </c>
      <c r="Q90" s="8" t="str">
        <f t="array" ref="Q90">IF(86&gt;$S$1204,"",INDEX($T$5:$AJ$1204,MATCH(86,$S$5:$S$1204,0),17))</f>
        <v/>
      </c>
      <c r="R90" s="17"/>
      <c r="S90" s="17">
        <f>S89+IF(M1_Administrativo!A94="",0,1)</f>
        <v>0</v>
      </c>
      <c r="T90" s="17" t="str">
        <f>IF(M1_Administrativo!A94="","",IF(M1_Administrativo!A94="","",M1_Administrativo!A94))</f>
        <v/>
      </c>
      <c r="U90" s="17" t="str">
        <f>IF(M1_Administrativo!A94="","",IF(M1_Administrativo!R94="","",M1_Administrativo!R94))</f>
        <v/>
      </c>
      <c r="V90" s="17" t="str">
        <f>IF(M1_Administrativo!A94="","",IF(M1_Administrativo!D94="","",M1_Administrativo!D94))</f>
        <v/>
      </c>
      <c r="W90" s="17" t="str">
        <f>IF(M1_Administrativo!A94="","",IF(M1_Administrativo!B94="","",M1_Administrativo!B94))</f>
        <v/>
      </c>
      <c r="X90" s="17" t="str">
        <f>IF(M1_Administrativo!A94="","",IF(M1_Administrativo!C94="","",M1_Administrativo!C94))</f>
        <v/>
      </c>
      <c r="Y90" s="17" t="str">
        <f>IF(M1_Administrativo!A94="","",IF(M1_Administrativo!E94="","",M1_Administrativo!E94))</f>
        <v/>
      </c>
      <c r="Z90" s="17" t="str">
        <f>IF(M1_Administrativo!A94="","",IF(M1_Administrativo!F94="","",M1_Administrativo!F94))</f>
        <v/>
      </c>
      <c r="AA90" s="17" t="str">
        <f>IF(M1_Administrativo!A94="","","M1 Administrativo")</f>
        <v/>
      </c>
      <c r="AB90" s="17" t="str">
        <f>IF(M1_Administrativo!A94="","",IF(M1_Administrativo!G94="","",M1_Administrativo!G94))</f>
        <v/>
      </c>
      <c r="AC90" s="17" t="str">
        <f>IF(M1_Administrativo!A94="","",IF(M1_Administrativo!M94="","",M1_Administrativo!M94))</f>
        <v/>
      </c>
      <c r="AD90" s="17" t="str">
        <f>IF(M1_Administrativo!A94="","","RA")</f>
        <v/>
      </c>
      <c r="AE90" s="17" t="str">
        <f>IF(M1_Administrativo!A94="","",IF(M1_Administrativo!O94="","",M1_Administrativo!O94))</f>
        <v/>
      </c>
      <c r="AF90" s="17" t="str">
        <f>IF(M1_Administrativo!A94="","",IF(M1_Administrativo!P94="","",M1_Administrativo!P94))</f>
        <v/>
      </c>
      <c r="AG90" s="17" t="str">
        <f>IF(M1_Administrativo!A94="","",IF(M1_Administrativo!Q94="","",M1_Administrativo!Q94))</f>
        <v/>
      </c>
      <c r="AH90" s="17" t="str">
        <f>IF(M1_Administrativo!A94="","","")</f>
        <v/>
      </c>
      <c r="AI90" s="17" t="str">
        <f>IF(M1_Administrativo!A94="","","M1_Administrativo!94")</f>
        <v/>
      </c>
      <c r="AJ90" s="17" t="str">
        <f>IF(M1_Administrativo!A94="","",IF(M1_Administrativo!M94="","Pendiente de resultado","Disponible"))</f>
        <v/>
      </c>
    </row>
    <row r="91" spans="1:36" ht="55.5" customHeight="1">
      <c r="A91" s="6" t="str">
        <f t="array" ref="A91">IF(87&gt;$S$1204,"",INDEX($T$5:$AJ$1204,MATCH(87,$S$5:$S$1204,0),1))</f>
        <v/>
      </c>
      <c r="B91" s="8" t="str">
        <f t="array" ref="B91">IF(87&gt;$S$1204,"",INDEX($T$5:$AJ$1204,MATCH(87,$S$5:$S$1204,0),2))</f>
        <v/>
      </c>
      <c r="C91" s="10" t="str">
        <f t="array" ref="C91">IF(87&gt;$S$1204,"",INDEX($T$5:$AJ$1204,MATCH(87,$S$5:$S$1204,0),3))</f>
        <v/>
      </c>
      <c r="D91" s="8" t="str">
        <f t="array" ref="D91">IF(87&gt;$S$1204,"",INDEX($T$5:$AJ$1204,MATCH(87,$S$5:$S$1204,0),4))</f>
        <v/>
      </c>
      <c r="E91" s="8" t="str">
        <f t="array" ref="E91">IF(87&gt;$S$1204,"",INDEX($T$5:$AJ$1204,MATCH(87,$S$5:$S$1204,0),5))</f>
        <v/>
      </c>
      <c r="F91" s="8" t="str">
        <f t="array" ref="F91">IF(87&gt;$S$1204,"",INDEX($T$5:$AJ$1204,MATCH(87,$S$5:$S$1204,0),6))</f>
        <v/>
      </c>
      <c r="G91" s="8" t="str">
        <f t="array" ref="G91">IF(87&gt;$S$1204,"",INDEX($T$5:$AJ$1204,MATCH(87,$S$5:$S$1204,0),7))</f>
        <v/>
      </c>
      <c r="H91" s="8" t="str">
        <f t="array" ref="H91">IF(87&gt;$S$1204,"",INDEX($T$5:$AJ$1204,MATCH(87,$S$5:$S$1204,0),8))</f>
        <v/>
      </c>
      <c r="I91" s="8" t="str">
        <f t="array" ref="I91">IF(87&gt;$S$1204,"",INDEX($T$5:$AJ$1204,MATCH(87,$S$5:$S$1204,0),9))</f>
        <v/>
      </c>
      <c r="J91" s="14" t="str">
        <f t="array" ref="J91">IF(87&gt;$S$1204,"",INDEX($T$5:$AJ$1204,MATCH(87,$S$5:$S$1204,0),10))</f>
        <v/>
      </c>
      <c r="K91" s="8" t="str">
        <f t="array" ref="K91">IF(87&gt;$S$1204,"",INDEX($T$5:$AJ$1204,MATCH(87,$S$5:$S$1204,0),11))</f>
        <v/>
      </c>
      <c r="L91" s="8" t="str">
        <f t="array" ref="L91">IF(87&gt;$S$1204,"",INDEX($T$5:$AJ$1204,MATCH(87,$S$5:$S$1204,0),12))</f>
        <v/>
      </c>
      <c r="M91" s="8" t="str">
        <f t="array" ref="M91">IF(87&gt;$S$1204,"",INDEX($T$5:$AJ$1204,MATCH(87,$S$5:$S$1204,0),13))</f>
        <v/>
      </c>
      <c r="N91" s="8" t="str">
        <f t="array" ref="N91">IF(87&gt;$S$1204,"",INDEX($T$5:$AJ$1204,MATCH(87,$S$5:$S$1204,0),14))</f>
        <v/>
      </c>
      <c r="O91" s="15" t="str">
        <f t="array" ref="O91">IF(87&gt;$S$1204,"",INDEX($T$5:$AJ$1204,MATCH(87,$S$5:$S$1204,0),15))</f>
        <v/>
      </c>
      <c r="P91" s="8" t="str">
        <f t="array" ref="P91">IF(87&gt;$S$1204,"",INDEX($T$5:$AJ$1204,MATCH(87,$S$5:$S$1204,0),16))</f>
        <v/>
      </c>
      <c r="Q91" s="8" t="str">
        <f t="array" ref="Q91">IF(87&gt;$S$1204,"",INDEX($T$5:$AJ$1204,MATCH(87,$S$5:$S$1204,0),17))</f>
        <v/>
      </c>
      <c r="R91" s="17"/>
      <c r="S91" s="17">
        <f>S90+IF(M1_Administrativo!A95="",0,1)</f>
        <v>0</v>
      </c>
      <c r="T91" s="17" t="str">
        <f>IF(M1_Administrativo!A95="","",IF(M1_Administrativo!A95="","",M1_Administrativo!A95))</f>
        <v/>
      </c>
      <c r="U91" s="17" t="str">
        <f>IF(M1_Administrativo!A95="","",IF(M1_Administrativo!R95="","",M1_Administrativo!R95))</f>
        <v/>
      </c>
      <c r="V91" s="17" t="str">
        <f>IF(M1_Administrativo!A95="","",IF(M1_Administrativo!D95="","",M1_Administrativo!D95))</f>
        <v/>
      </c>
      <c r="W91" s="17" t="str">
        <f>IF(M1_Administrativo!A95="","",IF(M1_Administrativo!B95="","",M1_Administrativo!B95))</f>
        <v/>
      </c>
      <c r="X91" s="17" t="str">
        <f>IF(M1_Administrativo!A95="","",IF(M1_Administrativo!C95="","",M1_Administrativo!C95))</f>
        <v/>
      </c>
      <c r="Y91" s="17" t="str">
        <f>IF(M1_Administrativo!A95="","",IF(M1_Administrativo!E95="","",M1_Administrativo!E95))</f>
        <v/>
      </c>
      <c r="Z91" s="17" t="str">
        <f>IF(M1_Administrativo!A95="","",IF(M1_Administrativo!F95="","",M1_Administrativo!F95))</f>
        <v/>
      </c>
      <c r="AA91" s="17" t="str">
        <f>IF(M1_Administrativo!A95="","","M1 Administrativo")</f>
        <v/>
      </c>
      <c r="AB91" s="17" t="str">
        <f>IF(M1_Administrativo!A95="","",IF(M1_Administrativo!G95="","",M1_Administrativo!G95))</f>
        <v/>
      </c>
      <c r="AC91" s="17" t="str">
        <f>IF(M1_Administrativo!A95="","",IF(M1_Administrativo!M95="","",M1_Administrativo!M95))</f>
        <v/>
      </c>
      <c r="AD91" s="17" t="str">
        <f>IF(M1_Administrativo!A95="","","RA")</f>
        <v/>
      </c>
      <c r="AE91" s="17" t="str">
        <f>IF(M1_Administrativo!A95="","",IF(M1_Administrativo!O95="","",M1_Administrativo!O95))</f>
        <v/>
      </c>
      <c r="AF91" s="17" t="str">
        <f>IF(M1_Administrativo!A95="","",IF(M1_Administrativo!P95="","",M1_Administrativo!P95))</f>
        <v/>
      </c>
      <c r="AG91" s="17" t="str">
        <f>IF(M1_Administrativo!A95="","",IF(M1_Administrativo!Q95="","",M1_Administrativo!Q95))</f>
        <v/>
      </c>
      <c r="AH91" s="17" t="str">
        <f>IF(M1_Administrativo!A95="","","")</f>
        <v/>
      </c>
      <c r="AI91" s="17" t="str">
        <f>IF(M1_Administrativo!A95="","","M1_Administrativo!95")</f>
        <v/>
      </c>
      <c r="AJ91" s="17" t="str">
        <f>IF(M1_Administrativo!A95="","",IF(M1_Administrativo!M95="","Pendiente de resultado","Disponible"))</f>
        <v/>
      </c>
    </row>
    <row r="92" spans="1:36" ht="55.5" customHeight="1">
      <c r="A92" s="6" t="str">
        <f t="array" ref="A92">IF(88&gt;$S$1204,"",INDEX($T$5:$AJ$1204,MATCH(88,$S$5:$S$1204,0),1))</f>
        <v/>
      </c>
      <c r="B92" s="8" t="str">
        <f t="array" ref="B92">IF(88&gt;$S$1204,"",INDEX($T$5:$AJ$1204,MATCH(88,$S$5:$S$1204,0),2))</f>
        <v/>
      </c>
      <c r="C92" s="10" t="str">
        <f t="array" ref="C92">IF(88&gt;$S$1204,"",INDEX($T$5:$AJ$1204,MATCH(88,$S$5:$S$1204,0),3))</f>
        <v/>
      </c>
      <c r="D92" s="8" t="str">
        <f t="array" ref="D92">IF(88&gt;$S$1204,"",INDEX($T$5:$AJ$1204,MATCH(88,$S$5:$S$1204,0),4))</f>
        <v/>
      </c>
      <c r="E92" s="8" t="str">
        <f t="array" ref="E92">IF(88&gt;$S$1204,"",INDEX($T$5:$AJ$1204,MATCH(88,$S$5:$S$1204,0),5))</f>
        <v/>
      </c>
      <c r="F92" s="8" t="str">
        <f t="array" ref="F92">IF(88&gt;$S$1204,"",INDEX($T$5:$AJ$1204,MATCH(88,$S$5:$S$1204,0),6))</f>
        <v/>
      </c>
      <c r="G92" s="8" t="str">
        <f t="array" ref="G92">IF(88&gt;$S$1204,"",INDEX($T$5:$AJ$1204,MATCH(88,$S$5:$S$1204,0),7))</f>
        <v/>
      </c>
      <c r="H92" s="8" t="str">
        <f t="array" ref="H92">IF(88&gt;$S$1204,"",INDEX($T$5:$AJ$1204,MATCH(88,$S$5:$S$1204,0),8))</f>
        <v/>
      </c>
      <c r="I92" s="8" t="str">
        <f t="array" ref="I92">IF(88&gt;$S$1204,"",INDEX($T$5:$AJ$1204,MATCH(88,$S$5:$S$1204,0),9))</f>
        <v/>
      </c>
      <c r="J92" s="14" t="str">
        <f t="array" ref="J92">IF(88&gt;$S$1204,"",INDEX($T$5:$AJ$1204,MATCH(88,$S$5:$S$1204,0),10))</f>
        <v/>
      </c>
      <c r="K92" s="8" t="str">
        <f t="array" ref="K92">IF(88&gt;$S$1204,"",INDEX($T$5:$AJ$1204,MATCH(88,$S$5:$S$1204,0),11))</f>
        <v/>
      </c>
      <c r="L92" s="8" t="str">
        <f t="array" ref="L92">IF(88&gt;$S$1204,"",INDEX($T$5:$AJ$1204,MATCH(88,$S$5:$S$1204,0),12))</f>
        <v/>
      </c>
      <c r="M92" s="8" t="str">
        <f t="array" ref="M92">IF(88&gt;$S$1204,"",INDEX($T$5:$AJ$1204,MATCH(88,$S$5:$S$1204,0),13))</f>
        <v/>
      </c>
      <c r="N92" s="8" t="str">
        <f t="array" ref="N92">IF(88&gt;$S$1204,"",INDEX($T$5:$AJ$1204,MATCH(88,$S$5:$S$1204,0),14))</f>
        <v/>
      </c>
      <c r="O92" s="15" t="str">
        <f t="array" ref="O92">IF(88&gt;$S$1204,"",INDEX($T$5:$AJ$1204,MATCH(88,$S$5:$S$1204,0),15))</f>
        <v/>
      </c>
      <c r="P92" s="8" t="str">
        <f t="array" ref="P92">IF(88&gt;$S$1204,"",INDEX($T$5:$AJ$1204,MATCH(88,$S$5:$S$1204,0),16))</f>
        <v/>
      </c>
      <c r="Q92" s="8" t="str">
        <f t="array" ref="Q92">IF(88&gt;$S$1204,"",INDEX($T$5:$AJ$1204,MATCH(88,$S$5:$S$1204,0),17))</f>
        <v/>
      </c>
      <c r="R92" s="17"/>
      <c r="S92" s="17">
        <f>S91+IF(M1_Administrativo!A96="",0,1)</f>
        <v>0</v>
      </c>
      <c r="T92" s="17" t="str">
        <f>IF(M1_Administrativo!A96="","",IF(M1_Administrativo!A96="","",M1_Administrativo!A96))</f>
        <v/>
      </c>
      <c r="U92" s="17" t="str">
        <f>IF(M1_Administrativo!A96="","",IF(M1_Administrativo!R96="","",M1_Administrativo!R96))</f>
        <v/>
      </c>
      <c r="V92" s="17" t="str">
        <f>IF(M1_Administrativo!A96="","",IF(M1_Administrativo!D96="","",M1_Administrativo!D96))</f>
        <v/>
      </c>
      <c r="W92" s="17" t="str">
        <f>IF(M1_Administrativo!A96="","",IF(M1_Administrativo!B96="","",M1_Administrativo!B96))</f>
        <v/>
      </c>
      <c r="X92" s="17" t="str">
        <f>IF(M1_Administrativo!A96="","",IF(M1_Administrativo!C96="","",M1_Administrativo!C96))</f>
        <v/>
      </c>
      <c r="Y92" s="17" t="str">
        <f>IF(M1_Administrativo!A96="","",IF(M1_Administrativo!E96="","",M1_Administrativo!E96))</f>
        <v/>
      </c>
      <c r="Z92" s="17" t="str">
        <f>IF(M1_Administrativo!A96="","",IF(M1_Administrativo!F96="","",M1_Administrativo!F96))</f>
        <v/>
      </c>
      <c r="AA92" s="17" t="str">
        <f>IF(M1_Administrativo!A96="","","M1 Administrativo")</f>
        <v/>
      </c>
      <c r="AB92" s="17" t="str">
        <f>IF(M1_Administrativo!A96="","",IF(M1_Administrativo!G96="","",M1_Administrativo!G96))</f>
        <v/>
      </c>
      <c r="AC92" s="17" t="str">
        <f>IF(M1_Administrativo!A96="","",IF(M1_Administrativo!M96="","",M1_Administrativo!M96))</f>
        <v/>
      </c>
      <c r="AD92" s="17" t="str">
        <f>IF(M1_Administrativo!A96="","","RA")</f>
        <v/>
      </c>
      <c r="AE92" s="17" t="str">
        <f>IF(M1_Administrativo!A96="","",IF(M1_Administrativo!O96="","",M1_Administrativo!O96))</f>
        <v/>
      </c>
      <c r="AF92" s="17" t="str">
        <f>IF(M1_Administrativo!A96="","",IF(M1_Administrativo!P96="","",M1_Administrativo!P96))</f>
        <v/>
      </c>
      <c r="AG92" s="17" t="str">
        <f>IF(M1_Administrativo!A96="","",IF(M1_Administrativo!Q96="","",M1_Administrativo!Q96))</f>
        <v/>
      </c>
      <c r="AH92" s="17" t="str">
        <f>IF(M1_Administrativo!A96="","","")</f>
        <v/>
      </c>
      <c r="AI92" s="17" t="str">
        <f>IF(M1_Administrativo!A96="","","M1_Administrativo!96")</f>
        <v/>
      </c>
      <c r="AJ92" s="17" t="str">
        <f>IF(M1_Administrativo!A96="","",IF(M1_Administrativo!M96="","Pendiente de resultado","Disponible"))</f>
        <v/>
      </c>
    </row>
    <row r="93" spans="1:36" ht="55.5" customHeight="1">
      <c r="A93" s="6" t="str">
        <f t="array" ref="A93">IF(89&gt;$S$1204,"",INDEX($T$5:$AJ$1204,MATCH(89,$S$5:$S$1204,0),1))</f>
        <v/>
      </c>
      <c r="B93" s="8" t="str">
        <f t="array" ref="B93">IF(89&gt;$S$1204,"",INDEX($T$5:$AJ$1204,MATCH(89,$S$5:$S$1204,0),2))</f>
        <v/>
      </c>
      <c r="C93" s="10" t="str">
        <f t="array" ref="C93">IF(89&gt;$S$1204,"",INDEX($T$5:$AJ$1204,MATCH(89,$S$5:$S$1204,0),3))</f>
        <v/>
      </c>
      <c r="D93" s="8" t="str">
        <f t="array" ref="D93">IF(89&gt;$S$1204,"",INDEX($T$5:$AJ$1204,MATCH(89,$S$5:$S$1204,0),4))</f>
        <v/>
      </c>
      <c r="E93" s="8" t="str">
        <f t="array" ref="E93">IF(89&gt;$S$1204,"",INDEX($T$5:$AJ$1204,MATCH(89,$S$5:$S$1204,0),5))</f>
        <v/>
      </c>
      <c r="F93" s="8" t="str">
        <f t="array" ref="F93">IF(89&gt;$S$1204,"",INDEX($T$5:$AJ$1204,MATCH(89,$S$5:$S$1204,0),6))</f>
        <v/>
      </c>
      <c r="G93" s="8" t="str">
        <f t="array" ref="G93">IF(89&gt;$S$1204,"",INDEX($T$5:$AJ$1204,MATCH(89,$S$5:$S$1204,0),7))</f>
        <v/>
      </c>
      <c r="H93" s="8" t="str">
        <f t="array" ref="H93">IF(89&gt;$S$1204,"",INDEX($T$5:$AJ$1204,MATCH(89,$S$5:$S$1204,0),8))</f>
        <v/>
      </c>
      <c r="I93" s="8" t="str">
        <f t="array" ref="I93">IF(89&gt;$S$1204,"",INDEX($T$5:$AJ$1204,MATCH(89,$S$5:$S$1204,0),9))</f>
        <v/>
      </c>
      <c r="J93" s="14" t="str">
        <f t="array" ref="J93">IF(89&gt;$S$1204,"",INDEX($T$5:$AJ$1204,MATCH(89,$S$5:$S$1204,0),10))</f>
        <v/>
      </c>
      <c r="K93" s="8" t="str">
        <f t="array" ref="K93">IF(89&gt;$S$1204,"",INDEX($T$5:$AJ$1204,MATCH(89,$S$5:$S$1204,0),11))</f>
        <v/>
      </c>
      <c r="L93" s="8" t="str">
        <f t="array" ref="L93">IF(89&gt;$S$1204,"",INDEX($T$5:$AJ$1204,MATCH(89,$S$5:$S$1204,0),12))</f>
        <v/>
      </c>
      <c r="M93" s="8" t="str">
        <f t="array" ref="M93">IF(89&gt;$S$1204,"",INDEX($T$5:$AJ$1204,MATCH(89,$S$5:$S$1204,0),13))</f>
        <v/>
      </c>
      <c r="N93" s="8" t="str">
        <f t="array" ref="N93">IF(89&gt;$S$1204,"",INDEX($T$5:$AJ$1204,MATCH(89,$S$5:$S$1204,0),14))</f>
        <v/>
      </c>
      <c r="O93" s="15" t="str">
        <f t="array" ref="O93">IF(89&gt;$S$1204,"",INDEX($T$5:$AJ$1204,MATCH(89,$S$5:$S$1204,0),15))</f>
        <v/>
      </c>
      <c r="P93" s="8" t="str">
        <f t="array" ref="P93">IF(89&gt;$S$1204,"",INDEX($T$5:$AJ$1204,MATCH(89,$S$5:$S$1204,0),16))</f>
        <v/>
      </c>
      <c r="Q93" s="8" t="str">
        <f t="array" ref="Q93">IF(89&gt;$S$1204,"",INDEX($T$5:$AJ$1204,MATCH(89,$S$5:$S$1204,0),17))</f>
        <v/>
      </c>
      <c r="R93" s="17"/>
      <c r="S93" s="17">
        <f>S92+IF(M1_Administrativo!A97="",0,1)</f>
        <v>0</v>
      </c>
      <c r="T93" s="17" t="str">
        <f>IF(M1_Administrativo!A97="","",IF(M1_Administrativo!A97="","",M1_Administrativo!A97))</f>
        <v/>
      </c>
      <c r="U93" s="17" t="str">
        <f>IF(M1_Administrativo!A97="","",IF(M1_Administrativo!R97="","",M1_Administrativo!R97))</f>
        <v/>
      </c>
      <c r="V93" s="17" t="str">
        <f>IF(M1_Administrativo!A97="","",IF(M1_Administrativo!D97="","",M1_Administrativo!D97))</f>
        <v/>
      </c>
      <c r="W93" s="17" t="str">
        <f>IF(M1_Administrativo!A97="","",IF(M1_Administrativo!B97="","",M1_Administrativo!B97))</f>
        <v/>
      </c>
      <c r="X93" s="17" t="str">
        <f>IF(M1_Administrativo!A97="","",IF(M1_Administrativo!C97="","",M1_Administrativo!C97))</f>
        <v/>
      </c>
      <c r="Y93" s="17" t="str">
        <f>IF(M1_Administrativo!A97="","",IF(M1_Administrativo!E97="","",M1_Administrativo!E97))</f>
        <v/>
      </c>
      <c r="Z93" s="17" t="str">
        <f>IF(M1_Administrativo!A97="","",IF(M1_Administrativo!F97="","",M1_Administrativo!F97))</f>
        <v/>
      </c>
      <c r="AA93" s="17" t="str">
        <f>IF(M1_Administrativo!A97="","","M1 Administrativo")</f>
        <v/>
      </c>
      <c r="AB93" s="17" t="str">
        <f>IF(M1_Administrativo!A97="","",IF(M1_Administrativo!G97="","",M1_Administrativo!G97))</f>
        <v/>
      </c>
      <c r="AC93" s="17" t="str">
        <f>IF(M1_Administrativo!A97="","",IF(M1_Administrativo!M97="","",M1_Administrativo!M97))</f>
        <v/>
      </c>
      <c r="AD93" s="17" t="str">
        <f>IF(M1_Administrativo!A97="","","RA")</f>
        <v/>
      </c>
      <c r="AE93" s="17" t="str">
        <f>IF(M1_Administrativo!A97="","",IF(M1_Administrativo!O97="","",M1_Administrativo!O97))</f>
        <v/>
      </c>
      <c r="AF93" s="17" t="str">
        <f>IF(M1_Administrativo!A97="","",IF(M1_Administrativo!P97="","",M1_Administrativo!P97))</f>
        <v/>
      </c>
      <c r="AG93" s="17" t="str">
        <f>IF(M1_Administrativo!A97="","",IF(M1_Administrativo!Q97="","",M1_Administrativo!Q97))</f>
        <v/>
      </c>
      <c r="AH93" s="17" t="str">
        <f>IF(M1_Administrativo!A97="","","")</f>
        <v/>
      </c>
      <c r="AI93" s="17" t="str">
        <f>IF(M1_Administrativo!A97="","","M1_Administrativo!97")</f>
        <v/>
      </c>
      <c r="AJ93" s="17" t="str">
        <f>IF(M1_Administrativo!A97="","",IF(M1_Administrativo!M97="","Pendiente de resultado","Disponible"))</f>
        <v/>
      </c>
    </row>
    <row r="94" spans="1:36" ht="55.5" customHeight="1">
      <c r="A94" s="6" t="str">
        <f t="array" ref="A94">IF(90&gt;$S$1204,"",INDEX($T$5:$AJ$1204,MATCH(90,$S$5:$S$1204,0),1))</f>
        <v/>
      </c>
      <c r="B94" s="8" t="str">
        <f t="array" ref="B94">IF(90&gt;$S$1204,"",INDEX($T$5:$AJ$1204,MATCH(90,$S$5:$S$1204,0),2))</f>
        <v/>
      </c>
      <c r="C94" s="10" t="str">
        <f t="array" ref="C94">IF(90&gt;$S$1204,"",INDEX($T$5:$AJ$1204,MATCH(90,$S$5:$S$1204,0),3))</f>
        <v/>
      </c>
      <c r="D94" s="8" t="str">
        <f t="array" ref="D94">IF(90&gt;$S$1204,"",INDEX($T$5:$AJ$1204,MATCH(90,$S$5:$S$1204,0),4))</f>
        <v/>
      </c>
      <c r="E94" s="8" t="str">
        <f t="array" ref="E94">IF(90&gt;$S$1204,"",INDEX($T$5:$AJ$1204,MATCH(90,$S$5:$S$1204,0),5))</f>
        <v/>
      </c>
      <c r="F94" s="8" t="str">
        <f t="array" ref="F94">IF(90&gt;$S$1204,"",INDEX($T$5:$AJ$1204,MATCH(90,$S$5:$S$1204,0),6))</f>
        <v/>
      </c>
      <c r="G94" s="8" t="str">
        <f t="array" ref="G94">IF(90&gt;$S$1204,"",INDEX($T$5:$AJ$1204,MATCH(90,$S$5:$S$1204,0),7))</f>
        <v/>
      </c>
      <c r="H94" s="8" t="str">
        <f t="array" ref="H94">IF(90&gt;$S$1204,"",INDEX($T$5:$AJ$1204,MATCH(90,$S$5:$S$1204,0),8))</f>
        <v/>
      </c>
      <c r="I94" s="8" t="str">
        <f t="array" ref="I94">IF(90&gt;$S$1204,"",INDEX($T$5:$AJ$1204,MATCH(90,$S$5:$S$1204,0),9))</f>
        <v/>
      </c>
      <c r="J94" s="14" t="str">
        <f t="array" ref="J94">IF(90&gt;$S$1204,"",INDEX($T$5:$AJ$1204,MATCH(90,$S$5:$S$1204,0),10))</f>
        <v/>
      </c>
      <c r="K94" s="8" t="str">
        <f t="array" ref="K94">IF(90&gt;$S$1204,"",INDEX($T$5:$AJ$1204,MATCH(90,$S$5:$S$1204,0),11))</f>
        <v/>
      </c>
      <c r="L94" s="8" t="str">
        <f t="array" ref="L94">IF(90&gt;$S$1204,"",INDEX($T$5:$AJ$1204,MATCH(90,$S$5:$S$1204,0),12))</f>
        <v/>
      </c>
      <c r="M94" s="8" t="str">
        <f t="array" ref="M94">IF(90&gt;$S$1204,"",INDEX($T$5:$AJ$1204,MATCH(90,$S$5:$S$1204,0),13))</f>
        <v/>
      </c>
      <c r="N94" s="8" t="str">
        <f t="array" ref="N94">IF(90&gt;$S$1204,"",INDEX($T$5:$AJ$1204,MATCH(90,$S$5:$S$1204,0),14))</f>
        <v/>
      </c>
      <c r="O94" s="15" t="str">
        <f t="array" ref="O94">IF(90&gt;$S$1204,"",INDEX($T$5:$AJ$1204,MATCH(90,$S$5:$S$1204,0),15))</f>
        <v/>
      </c>
      <c r="P94" s="8" t="str">
        <f t="array" ref="P94">IF(90&gt;$S$1204,"",INDEX($T$5:$AJ$1204,MATCH(90,$S$5:$S$1204,0),16))</f>
        <v/>
      </c>
      <c r="Q94" s="8" t="str">
        <f t="array" ref="Q94">IF(90&gt;$S$1204,"",INDEX($T$5:$AJ$1204,MATCH(90,$S$5:$S$1204,0),17))</f>
        <v/>
      </c>
      <c r="R94" s="17"/>
      <c r="S94" s="17">
        <f>S93+IF(M1_Administrativo!A98="",0,1)</f>
        <v>0</v>
      </c>
      <c r="T94" s="17" t="str">
        <f>IF(M1_Administrativo!A98="","",IF(M1_Administrativo!A98="","",M1_Administrativo!A98))</f>
        <v/>
      </c>
      <c r="U94" s="17" t="str">
        <f>IF(M1_Administrativo!A98="","",IF(M1_Administrativo!R98="","",M1_Administrativo!R98))</f>
        <v/>
      </c>
      <c r="V94" s="17" t="str">
        <f>IF(M1_Administrativo!A98="","",IF(M1_Administrativo!D98="","",M1_Administrativo!D98))</f>
        <v/>
      </c>
      <c r="W94" s="17" t="str">
        <f>IF(M1_Administrativo!A98="","",IF(M1_Administrativo!B98="","",M1_Administrativo!B98))</f>
        <v/>
      </c>
      <c r="X94" s="17" t="str">
        <f>IF(M1_Administrativo!A98="","",IF(M1_Administrativo!C98="","",M1_Administrativo!C98))</f>
        <v/>
      </c>
      <c r="Y94" s="17" t="str">
        <f>IF(M1_Administrativo!A98="","",IF(M1_Administrativo!E98="","",M1_Administrativo!E98))</f>
        <v/>
      </c>
      <c r="Z94" s="17" t="str">
        <f>IF(M1_Administrativo!A98="","",IF(M1_Administrativo!F98="","",M1_Administrativo!F98))</f>
        <v/>
      </c>
      <c r="AA94" s="17" t="str">
        <f>IF(M1_Administrativo!A98="","","M1 Administrativo")</f>
        <v/>
      </c>
      <c r="AB94" s="17" t="str">
        <f>IF(M1_Administrativo!A98="","",IF(M1_Administrativo!G98="","",M1_Administrativo!G98))</f>
        <v/>
      </c>
      <c r="AC94" s="17" t="str">
        <f>IF(M1_Administrativo!A98="","",IF(M1_Administrativo!M98="","",M1_Administrativo!M98))</f>
        <v/>
      </c>
      <c r="AD94" s="17" t="str">
        <f>IF(M1_Administrativo!A98="","","RA")</f>
        <v/>
      </c>
      <c r="AE94" s="17" t="str">
        <f>IF(M1_Administrativo!A98="","",IF(M1_Administrativo!O98="","",M1_Administrativo!O98))</f>
        <v/>
      </c>
      <c r="AF94" s="17" t="str">
        <f>IF(M1_Administrativo!A98="","",IF(M1_Administrativo!P98="","",M1_Administrativo!P98))</f>
        <v/>
      </c>
      <c r="AG94" s="17" t="str">
        <f>IF(M1_Administrativo!A98="","",IF(M1_Administrativo!Q98="","",M1_Administrativo!Q98))</f>
        <v/>
      </c>
      <c r="AH94" s="17" t="str">
        <f>IF(M1_Administrativo!A98="","","")</f>
        <v/>
      </c>
      <c r="AI94" s="17" t="str">
        <f>IF(M1_Administrativo!A98="","","M1_Administrativo!98")</f>
        <v/>
      </c>
      <c r="AJ94" s="17" t="str">
        <f>IF(M1_Administrativo!A98="","",IF(M1_Administrativo!M98="","Pendiente de resultado","Disponible"))</f>
        <v/>
      </c>
    </row>
    <row r="95" spans="1:36" ht="55.5" customHeight="1">
      <c r="A95" s="6" t="str">
        <f t="array" ref="A95">IF(91&gt;$S$1204,"",INDEX($T$5:$AJ$1204,MATCH(91,$S$5:$S$1204,0),1))</f>
        <v/>
      </c>
      <c r="B95" s="8" t="str">
        <f t="array" ref="B95">IF(91&gt;$S$1204,"",INDEX($T$5:$AJ$1204,MATCH(91,$S$5:$S$1204,0),2))</f>
        <v/>
      </c>
      <c r="C95" s="10" t="str">
        <f t="array" ref="C95">IF(91&gt;$S$1204,"",INDEX($T$5:$AJ$1204,MATCH(91,$S$5:$S$1204,0),3))</f>
        <v/>
      </c>
      <c r="D95" s="8" t="str">
        <f t="array" ref="D95">IF(91&gt;$S$1204,"",INDEX($T$5:$AJ$1204,MATCH(91,$S$5:$S$1204,0),4))</f>
        <v/>
      </c>
      <c r="E95" s="8" t="str">
        <f t="array" ref="E95">IF(91&gt;$S$1204,"",INDEX($T$5:$AJ$1204,MATCH(91,$S$5:$S$1204,0),5))</f>
        <v/>
      </c>
      <c r="F95" s="8" t="str">
        <f t="array" ref="F95">IF(91&gt;$S$1204,"",INDEX($T$5:$AJ$1204,MATCH(91,$S$5:$S$1204,0),6))</f>
        <v/>
      </c>
      <c r="G95" s="8" t="str">
        <f t="array" ref="G95">IF(91&gt;$S$1204,"",INDEX($T$5:$AJ$1204,MATCH(91,$S$5:$S$1204,0),7))</f>
        <v/>
      </c>
      <c r="H95" s="8" t="str">
        <f t="array" ref="H95">IF(91&gt;$S$1204,"",INDEX($T$5:$AJ$1204,MATCH(91,$S$5:$S$1204,0),8))</f>
        <v/>
      </c>
      <c r="I95" s="8" t="str">
        <f t="array" ref="I95">IF(91&gt;$S$1204,"",INDEX($T$5:$AJ$1204,MATCH(91,$S$5:$S$1204,0),9))</f>
        <v/>
      </c>
      <c r="J95" s="14" t="str">
        <f t="array" ref="J95">IF(91&gt;$S$1204,"",INDEX($T$5:$AJ$1204,MATCH(91,$S$5:$S$1204,0),10))</f>
        <v/>
      </c>
      <c r="K95" s="8" t="str">
        <f t="array" ref="K95">IF(91&gt;$S$1204,"",INDEX($T$5:$AJ$1204,MATCH(91,$S$5:$S$1204,0),11))</f>
        <v/>
      </c>
      <c r="L95" s="8" t="str">
        <f t="array" ref="L95">IF(91&gt;$S$1204,"",INDEX($T$5:$AJ$1204,MATCH(91,$S$5:$S$1204,0),12))</f>
        <v/>
      </c>
      <c r="M95" s="8" t="str">
        <f t="array" ref="M95">IF(91&gt;$S$1204,"",INDEX($T$5:$AJ$1204,MATCH(91,$S$5:$S$1204,0),13))</f>
        <v/>
      </c>
      <c r="N95" s="8" t="str">
        <f t="array" ref="N95">IF(91&gt;$S$1204,"",INDEX($T$5:$AJ$1204,MATCH(91,$S$5:$S$1204,0),14))</f>
        <v/>
      </c>
      <c r="O95" s="15" t="str">
        <f t="array" ref="O95">IF(91&gt;$S$1204,"",INDEX($T$5:$AJ$1204,MATCH(91,$S$5:$S$1204,0),15))</f>
        <v/>
      </c>
      <c r="P95" s="8" t="str">
        <f t="array" ref="P95">IF(91&gt;$S$1204,"",INDEX($T$5:$AJ$1204,MATCH(91,$S$5:$S$1204,0),16))</f>
        <v/>
      </c>
      <c r="Q95" s="8" t="str">
        <f t="array" ref="Q95">IF(91&gt;$S$1204,"",INDEX($T$5:$AJ$1204,MATCH(91,$S$5:$S$1204,0),17))</f>
        <v/>
      </c>
      <c r="R95" s="17"/>
      <c r="S95" s="17">
        <f>S94+IF(M1_Administrativo!A99="",0,1)</f>
        <v>0</v>
      </c>
      <c r="T95" s="17" t="str">
        <f>IF(M1_Administrativo!A99="","",IF(M1_Administrativo!A99="","",M1_Administrativo!A99))</f>
        <v/>
      </c>
      <c r="U95" s="17" t="str">
        <f>IF(M1_Administrativo!A99="","",IF(M1_Administrativo!R99="","",M1_Administrativo!R99))</f>
        <v/>
      </c>
      <c r="V95" s="17" t="str">
        <f>IF(M1_Administrativo!A99="","",IF(M1_Administrativo!D99="","",M1_Administrativo!D99))</f>
        <v/>
      </c>
      <c r="W95" s="17" t="str">
        <f>IF(M1_Administrativo!A99="","",IF(M1_Administrativo!B99="","",M1_Administrativo!B99))</f>
        <v/>
      </c>
      <c r="X95" s="17" t="str">
        <f>IF(M1_Administrativo!A99="","",IF(M1_Administrativo!C99="","",M1_Administrativo!C99))</f>
        <v/>
      </c>
      <c r="Y95" s="17" t="str">
        <f>IF(M1_Administrativo!A99="","",IF(M1_Administrativo!E99="","",M1_Administrativo!E99))</f>
        <v/>
      </c>
      <c r="Z95" s="17" t="str">
        <f>IF(M1_Administrativo!A99="","",IF(M1_Administrativo!F99="","",M1_Administrativo!F99))</f>
        <v/>
      </c>
      <c r="AA95" s="17" t="str">
        <f>IF(M1_Administrativo!A99="","","M1 Administrativo")</f>
        <v/>
      </c>
      <c r="AB95" s="17" t="str">
        <f>IF(M1_Administrativo!A99="","",IF(M1_Administrativo!G99="","",M1_Administrativo!G99))</f>
        <v/>
      </c>
      <c r="AC95" s="17" t="str">
        <f>IF(M1_Administrativo!A99="","",IF(M1_Administrativo!M99="","",M1_Administrativo!M99))</f>
        <v/>
      </c>
      <c r="AD95" s="17" t="str">
        <f>IF(M1_Administrativo!A99="","","RA")</f>
        <v/>
      </c>
      <c r="AE95" s="17" t="str">
        <f>IF(M1_Administrativo!A99="","",IF(M1_Administrativo!O99="","",M1_Administrativo!O99))</f>
        <v/>
      </c>
      <c r="AF95" s="17" t="str">
        <f>IF(M1_Administrativo!A99="","",IF(M1_Administrativo!P99="","",M1_Administrativo!P99))</f>
        <v/>
      </c>
      <c r="AG95" s="17" t="str">
        <f>IF(M1_Administrativo!A99="","",IF(M1_Administrativo!Q99="","",M1_Administrativo!Q99))</f>
        <v/>
      </c>
      <c r="AH95" s="17" t="str">
        <f>IF(M1_Administrativo!A99="","","")</f>
        <v/>
      </c>
      <c r="AI95" s="17" t="str">
        <f>IF(M1_Administrativo!A99="","","M1_Administrativo!99")</f>
        <v/>
      </c>
      <c r="AJ95" s="17" t="str">
        <f>IF(M1_Administrativo!A99="","",IF(M1_Administrativo!M99="","Pendiente de resultado","Disponible"))</f>
        <v/>
      </c>
    </row>
    <row r="96" spans="1:36" ht="55.5" customHeight="1">
      <c r="A96" s="6" t="str">
        <f t="array" ref="A96">IF(92&gt;$S$1204,"",INDEX($T$5:$AJ$1204,MATCH(92,$S$5:$S$1204,0),1))</f>
        <v/>
      </c>
      <c r="B96" s="8" t="str">
        <f t="array" ref="B96">IF(92&gt;$S$1204,"",INDEX($T$5:$AJ$1204,MATCH(92,$S$5:$S$1204,0),2))</f>
        <v/>
      </c>
      <c r="C96" s="10" t="str">
        <f t="array" ref="C96">IF(92&gt;$S$1204,"",INDEX($T$5:$AJ$1204,MATCH(92,$S$5:$S$1204,0),3))</f>
        <v/>
      </c>
      <c r="D96" s="8" t="str">
        <f t="array" ref="D96">IF(92&gt;$S$1204,"",INDEX($T$5:$AJ$1204,MATCH(92,$S$5:$S$1204,0),4))</f>
        <v/>
      </c>
      <c r="E96" s="8" t="str">
        <f t="array" ref="E96">IF(92&gt;$S$1204,"",INDEX($T$5:$AJ$1204,MATCH(92,$S$5:$S$1204,0),5))</f>
        <v/>
      </c>
      <c r="F96" s="8" t="str">
        <f t="array" ref="F96">IF(92&gt;$S$1204,"",INDEX($T$5:$AJ$1204,MATCH(92,$S$5:$S$1204,0),6))</f>
        <v/>
      </c>
      <c r="G96" s="8" t="str">
        <f t="array" ref="G96">IF(92&gt;$S$1204,"",INDEX($T$5:$AJ$1204,MATCH(92,$S$5:$S$1204,0),7))</f>
        <v/>
      </c>
      <c r="H96" s="8" t="str">
        <f t="array" ref="H96">IF(92&gt;$S$1204,"",INDEX($T$5:$AJ$1204,MATCH(92,$S$5:$S$1204,0),8))</f>
        <v/>
      </c>
      <c r="I96" s="8" t="str">
        <f t="array" ref="I96">IF(92&gt;$S$1204,"",INDEX($T$5:$AJ$1204,MATCH(92,$S$5:$S$1204,0),9))</f>
        <v/>
      </c>
      <c r="J96" s="14" t="str">
        <f t="array" ref="J96">IF(92&gt;$S$1204,"",INDEX($T$5:$AJ$1204,MATCH(92,$S$5:$S$1204,0),10))</f>
        <v/>
      </c>
      <c r="K96" s="8" t="str">
        <f t="array" ref="K96">IF(92&gt;$S$1204,"",INDEX($T$5:$AJ$1204,MATCH(92,$S$5:$S$1204,0),11))</f>
        <v/>
      </c>
      <c r="L96" s="8" t="str">
        <f t="array" ref="L96">IF(92&gt;$S$1204,"",INDEX($T$5:$AJ$1204,MATCH(92,$S$5:$S$1204,0),12))</f>
        <v/>
      </c>
      <c r="M96" s="8" t="str">
        <f t="array" ref="M96">IF(92&gt;$S$1204,"",INDEX($T$5:$AJ$1204,MATCH(92,$S$5:$S$1204,0),13))</f>
        <v/>
      </c>
      <c r="N96" s="8" t="str">
        <f t="array" ref="N96">IF(92&gt;$S$1204,"",INDEX($T$5:$AJ$1204,MATCH(92,$S$5:$S$1204,0),14))</f>
        <v/>
      </c>
      <c r="O96" s="15" t="str">
        <f t="array" ref="O96">IF(92&gt;$S$1204,"",INDEX($T$5:$AJ$1204,MATCH(92,$S$5:$S$1204,0),15))</f>
        <v/>
      </c>
      <c r="P96" s="8" t="str">
        <f t="array" ref="P96">IF(92&gt;$S$1204,"",INDEX($T$5:$AJ$1204,MATCH(92,$S$5:$S$1204,0),16))</f>
        <v/>
      </c>
      <c r="Q96" s="8" t="str">
        <f t="array" ref="Q96">IF(92&gt;$S$1204,"",INDEX($T$5:$AJ$1204,MATCH(92,$S$5:$S$1204,0),17))</f>
        <v/>
      </c>
      <c r="R96" s="17"/>
      <c r="S96" s="17">
        <f>S95+IF(M1_Administrativo!A100="",0,1)</f>
        <v>0</v>
      </c>
      <c r="T96" s="17" t="str">
        <f>IF(M1_Administrativo!A100="","",IF(M1_Administrativo!A100="","",M1_Administrativo!A100))</f>
        <v/>
      </c>
      <c r="U96" s="17" t="str">
        <f>IF(M1_Administrativo!A100="","",IF(M1_Administrativo!R100="","",M1_Administrativo!R100))</f>
        <v/>
      </c>
      <c r="V96" s="17" t="str">
        <f>IF(M1_Administrativo!A100="","",IF(M1_Administrativo!D100="","",M1_Administrativo!D100))</f>
        <v/>
      </c>
      <c r="W96" s="17" t="str">
        <f>IF(M1_Administrativo!A100="","",IF(M1_Administrativo!B100="","",M1_Administrativo!B100))</f>
        <v/>
      </c>
      <c r="X96" s="17" t="str">
        <f>IF(M1_Administrativo!A100="","",IF(M1_Administrativo!C100="","",M1_Administrativo!C100))</f>
        <v/>
      </c>
      <c r="Y96" s="17" t="str">
        <f>IF(M1_Administrativo!A100="","",IF(M1_Administrativo!E100="","",M1_Administrativo!E100))</f>
        <v/>
      </c>
      <c r="Z96" s="17" t="str">
        <f>IF(M1_Administrativo!A100="","",IF(M1_Administrativo!F100="","",M1_Administrativo!F100))</f>
        <v/>
      </c>
      <c r="AA96" s="17" t="str">
        <f>IF(M1_Administrativo!A100="","","M1 Administrativo")</f>
        <v/>
      </c>
      <c r="AB96" s="17" t="str">
        <f>IF(M1_Administrativo!A100="","",IF(M1_Administrativo!G100="","",M1_Administrativo!G100))</f>
        <v/>
      </c>
      <c r="AC96" s="17" t="str">
        <f>IF(M1_Administrativo!A100="","",IF(M1_Administrativo!M100="","",M1_Administrativo!M100))</f>
        <v/>
      </c>
      <c r="AD96" s="17" t="str">
        <f>IF(M1_Administrativo!A100="","","RA")</f>
        <v/>
      </c>
      <c r="AE96" s="17" t="str">
        <f>IF(M1_Administrativo!A100="","",IF(M1_Administrativo!O100="","",M1_Administrativo!O100))</f>
        <v/>
      </c>
      <c r="AF96" s="17" t="str">
        <f>IF(M1_Administrativo!A100="","",IF(M1_Administrativo!P100="","",M1_Administrativo!P100))</f>
        <v/>
      </c>
      <c r="AG96" s="17" t="str">
        <f>IF(M1_Administrativo!A100="","",IF(M1_Administrativo!Q100="","",M1_Administrativo!Q100))</f>
        <v/>
      </c>
      <c r="AH96" s="17" t="str">
        <f>IF(M1_Administrativo!A100="","","")</f>
        <v/>
      </c>
      <c r="AI96" s="17" t="str">
        <f>IF(M1_Administrativo!A100="","","M1_Administrativo!100")</f>
        <v/>
      </c>
      <c r="AJ96" s="17" t="str">
        <f>IF(M1_Administrativo!A100="","",IF(M1_Administrativo!M100="","Pendiente de resultado","Disponible"))</f>
        <v/>
      </c>
    </row>
    <row r="97" spans="1:36" ht="55.5" customHeight="1">
      <c r="A97" s="6" t="str">
        <f t="array" ref="A97">IF(93&gt;$S$1204,"",INDEX($T$5:$AJ$1204,MATCH(93,$S$5:$S$1204,0),1))</f>
        <v/>
      </c>
      <c r="B97" s="8" t="str">
        <f t="array" ref="B97">IF(93&gt;$S$1204,"",INDEX($T$5:$AJ$1204,MATCH(93,$S$5:$S$1204,0),2))</f>
        <v/>
      </c>
      <c r="C97" s="10" t="str">
        <f t="array" ref="C97">IF(93&gt;$S$1204,"",INDEX($T$5:$AJ$1204,MATCH(93,$S$5:$S$1204,0),3))</f>
        <v/>
      </c>
      <c r="D97" s="8" t="str">
        <f t="array" ref="D97">IF(93&gt;$S$1204,"",INDEX($T$5:$AJ$1204,MATCH(93,$S$5:$S$1204,0),4))</f>
        <v/>
      </c>
      <c r="E97" s="8" t="str">
        <f t="array" ref="E97">IF(93&gt;$S$1204,"",INDEX($T$5:$AJ$1204,MATCH(93,$S$5:$S$1204,0),5))</f>
        <v/>
      </c>
      <c r="F97" s="8" t="str">
        <f t="array" ref="F97">IF(93&gt;$S$1204,"",INDEX($T$5:$AJ$1204,MATCH(93,$S$5:$S$1204,0),6))</f>
        <v/>
      </c>
      <c r="G97" s="8" t="str">
        <f t="array" ref="G97">IF(93&gt;$S$1204,"",INDEX($T$5:$AJ$1204,MATCH(93,$S$5:$S$1204,0),7))</f>
        <v/>
      </c>
      <c r="H97" s="8" t="str">
        <f t="array" ref="H97">IF(93&gt;$S$1204,"",INDEX($T$5:$AJ$1204,MATCH(93,$S$5:$S$1204,0),8))</f>
        <v/>
      </c>
      <c r="I97" s="8" t="str">
        <f t="array" ref="I97">IF(93&gt;$S$1204,"",INDEX($T$5:$AJ$1204,MATCH(93,$S$5:$S$1204,0),9))</f>
        <v/>
      </c>
      <c r="J97" s="14" t="str">
        <f t="array" ref="J97">IF(93&gt;$S$1204,"",INDEX($T$5:$AJ$1204,MATCH(93,$S$5:$S$1204,0),10))</f>
        <v/>
      </c>
      <c r="K97" s="8" t="str">
        <f t="array" ref="K97">IF(93&gt;$S$1204,"",INDEX($T$5:$AJ$1204,MATCH(93,$S$5:$S$1204,0),11))</f>
        <v/>
      </c>
      <c r="L97" s="8" t="str">
        <f t="array" ref="L97">IF(93&gt;$S$1204,"",INDEX($T$5:$AJ$1204,MATCH(93,$S$5:$S$1204,0),12))</f>
        <v/>
      </c>
      <c r="M97" s="8" t="str">
        <f t="array" ref="M97">IF(93&gt;$S$1204,"",INDEX($T$5:$AJ$1204,MATCH(93,$S$5:$S$1204,0),13))</f>
        <v/>
      </c>
      <c r="N97" s="8" t="str">
        <f t="array" ref="N97">IF(93&gt;$S$1204,"",INDEX($T$5:$AJ$1204,MATCH(93,$S$5:$S$1204,0),14))</f>
        <v/>
      </c>
      <c r="O97" s="15" t="str">
        <f t="array" ref="O97">IF(93&gt;$S$1204,"",INDEX($T$5:$AJ$1204,MATCH(93,$S$5:$S$1204,0),15))</f>
        <v/>
      </c>
      <c r="P97" s="8" t="str">
        <f t="array" ref="P97">IF(93&gt;$S$1204,"",INDEX($T$5:$AJ$1204,MATCH(93,$S$5:$S$1204,0),16))</f>
        <v/>
      </c>
      <c r="Q97" s="8" t="str">
        <f t="array" ref="Q97">IF(93&gt;$S$1204,"",INDEX($T$5:$AJ$1204,MATCH(93,$S$5:$S$1204,0),17))</f>
        <v/>
      </c>
      <c r="R97" s="17"/>
      <c r="S97" s="17">
        <f>S96+IF(M1_Administrativo!A101="",0,1)</f>
        <v>0</v>
      </c>
      <c r="T97" s="17" t="str">
        <f>IF(M1_Administrativo!A101="","",IF(M1_Administrativo!A101="","",M1_Administrativo!A101))</f>
        <v/>
      </c>
      <c r="U97" s="17" t="str">
        <f>IF(M1_Administrativo!A101="","",IF(M1_Administrativo!R101="","",M1_Administrativo!R101))</f>
        <v/>
      </c>
      <c r="V97" s="17" t="str">
        <f>IF(M1_Administrativo!A101="","",IF(M1_Administrativo!D101="","",M1_Administrativo!D101))</f>
        <v/>
      </c>
      <c r="W97" s="17" t="str">
        <f>IF(M1_Administrativo!A101="","",IF(M1_Administrativo!B101="","",M1_Administrativo!B101))</f>
        <v/>
      </c>
      <c r="X97" s="17" t="str">
        <f>IF(M1_Administrativo!A101="","",IF(M1_Administrativo!C101="","",M1_Administrativo!C101))</f>
        <v/>
      </c>
      <c r="Y97" s="17" t="str">
        <f>IF(M1_Administrativo!A101="","",IF(M1_Administrativo!E101="","",M1_Administrativo!E101))</f>
        <v/>
      </c>
      <c r="Z97" s="17" t="str">
        <f>IF(M1_Administrativo!A101="","",IF(M1_Administrativo!F101="","",M1_Administrativo!F101))</f>
        <v/>
      </c>
      <c r="AA97" s="17" t="str">
        <f>IF(M1_Administrativo!A101="","","M1 Administrativo")</f>
        <v/>
      </c>
      <c r="AB97" s="17" t="str">
        <f>IF(M1_Administrativo!A101="","",IF(M1_Administrativo!G101="","",M1_Administrativo!G101))</f>
        <v/>
      </c>
      <c r="AC97" s="17" t="str">
        <f>IF(M1_Administrativo!A101="","",IF(M1_Administrativo!M101="","",M1_Administrativo!M101))</f>
        <v/>
      </c>
      <c r="AD97" s="17" t="str">
        <f>IF(M1_Administrativo!A101="","","RA")</f>
        <v/>
      </c>
      <c r="AE97" s="17" t="str">
        <f>IF(M1_Administrativo!A101="","",IF(M1_Administrativo!O101="","",M1_Administrativo!O101))</f>
        <v/>
      </c>
      <c r="AF97" s="17" t="str">
        <f>IF(M1_Administrativo!A101="","",IF(M1_Administrativo!P101="","",M1_Administrativo!P101))</f>
        <v/>
      </c>
      <c r="AG97" s="17" t="str">
        <f>IF(M1_Administrativo!A101="","",IF(M1_Administrativo!Q101="","",M1_Administrativo!Q101))</f>
        <v/>
      </c>
      <c r="AH97" s="17" t="str">
        <f>IF(M1_Administrativo!A101="","","")</f>
        <v/>
      </c>
      <c r="AI97" s="17" t="str">
        <f>IF(M1_Administrativo!A101="","","M1_Administrativo!101")</f>
        <v/>
      </c>
      <c r="AJ97" s="17" t="str">
        <f>IF(M1_Administrativo!A101="","",IF(M1_Administrativo!M101="","Pendiente de resultado","Disponible"))</f>
        <v/>
      </c>
    </row>
    <row r="98" spans="1:36" ht="55.5" customHeight="1">
      <c r="A98" s="6" t="str">
        <f t="array" ref="A98">IF(94&gt;$S$1204,"",INDEX($T$5:$AJ$1204,MATCH(94,$S$5:$S$1204,0),1))</f>
        <v/>
      </c>
      <c r="B98" s="8" t="str">
        <f t="array" ref="B98">IF(94&gt;$S$1204,"",INDEX($T$5:$AJ$1204,MATCH(94,$S$5:$S$1204,0),2))</f>
        <v/>
      </c>
      <c r="C98" s="10" t="str">
        <f t="array" ref="C98">IF(94&gt;$S$1204,"",INDEX($T$5:$AJ$1204,MATCH(94,$S$5:$S$1204,0),3))</f>
        <v/>
      </c>
      <c r="D98" s="8" t="str">
        <f t="array" ref="D98">IF(94&gt;$S$1204,"",INDEX($T$5:$AJ$1204,MATCH(94,$S$5:$S$1204,0),4))</f>
        <v/>
      </c>
      <c r="E98" s="8" t="str">
        <f t="array" ref="E98">IF(94&gt;$S$1204,"",INDEX($T$5:$AJ$1204,MATCH(94,$S$5:$S$1204,0),5))</f>
        <v/>
      </c>
      <c r="F98" s="8" t="str">
        <f t="array" ref="F98">IF(94&gt;$S$1204,"",INDEX($T$5:$AJ$1204,MATCH(94,$S$5:$S$1204,0),6))</f>
        <v/>
      </c>
      <c r="G98" s="8" t="str">
        <f t="array" ref="G98">IF(94&gt;$S$1204,"",INDEX($T$5:$AJ$1204,MATCH(94,$S$5:$S$1204,0),7))</f>
        <v/>
      </c>
      <c r="H98" s="8" t="str">
        <f t="array" ref="H98">IF(94&gt;$S$1204,"",INDEX($T$5:$AJ$1204,MATCH(94,$S$5:$S$1204,0),8))</f>
        <v/>
      </c>
      <c r="I98" s="8" t="str">
        <f t="array" ref="I98">IF(94&gt;$S$1204,"",INDEX($T$5:$AJ$1204,MATCH(94,$S$5:$S$1204,0),9))</f>
        <v/>
      </c>
      <c r="J98" s="14" t="str">
        <f t="array" ref="J98">IF(94&gt;$S$1204,"",INDEX($T$5:$AJ$1204,MATCH(94,$S$5:$S$1204,0),10))</f>
        <v/>
      </c>
      <c r="K98" s="8" t="str">
        <f t="array" ref="K98">IF(94&gt;$S$1204,"",INDEX($T$5:$AJ$1204,MATCH(94,$S$5:$S$1204,0),11))</f>
        <v/>
      </c>
      <c r="L98" s="8" t="str">
        <f t="array" ref="L98">IF(94&gt;$S$1204,"",INDEX($T$5:$AJ$1204,MATCH(94,$S$5:$S$1204,0),12))</f>
        <v/>
      </c>
      <c r="M98" s="8" t="str">
        <f t="array" ref="M98">IF(94&gt;$S$1204,"",INDEX($T$5:$AJ$1204,MATCH(94,$S$5:$S$1204,0),13))</f>
        <v/>
      </c>
      <c r="N98" s="8" t="str">
        <f t="array" ref="N98">IF(94&gt;$S$1204,"",INDEX($T$5:$AJ$1204,MATCH(94,$S$5:$S$1204,0),14))</f>
        <v/>
      </c>
      <c r="O98" s="15" t="str">
        <f t="array" ref="O98">IF(94&gt;$S$1204,"",INDEX($T$5:$AJ$1204,MATCH(94,$S$5:$S$1204,0),15))</f>
        <v/>
      </c>
      <c r="P98" s="8" t="str">
        <f t="array" ref="P98">IF(94&gt;$S$1204,"",INDEX($T$5:$AJ$1204,MATCH(94,$S$5:$S$1204,0),16))</f>
        <v/>
      </c>
      <c r="Q98" s="8" t="str">
        <f t="array" ref="Q98">IF(94&gt;$S$1204,"",INDEX($T$5:$AJ$1204,MATCH(94,$S$5:$S$1204,0),17))</f>
        <v/>
      </c>
      <c r="R98" s="17"/>
      <c r="S98" s="17">
        <f>S97+IF(M1_Administrativo!A102="",0,1)</f>
        <v>0</v>
      </c>
      <c r="T98" s="17" t="str">
        <f>IF(M1_Administrativo!A102="","",IF(M1_Administrativo!A102="","",M1_Administrativo!A102))</f>
        <v/>
      </c>
      <c r="U98" s="17" t="str">
        <f>IF(M1_Administrativo!A102="","",IF(M1_Administrativo!R102="","",M1_Administrativo!R102))</f>
        <v/>
      </c>
      <c r="V98" s="17" t="str">
        <f>IF(M1_Administrativo!A102="","",IF(M1_Administrativo!D102="","",M1_Administrativo!D102))</f>
        <v/>
      </c>
      <c r="W98" s="17" t="str">
        <f>IF(M1_Administrativo!A102="","",IF(M1_Administrativo!B102="","",M1_Administrativo!B102))</f>
        <v/>
      </c>
      <c r="X98" s="17" t="str">
        <f>IF(M1_Administrativo!A102="","",IF(M1_Administrativo!C102="","",M1_Administrativo!C102))</f>
        <v/>
      </c>
      <c r="Y98" s="17" t="str">
        <f>IF(M1_Administrativo!A102="","",IF(M1_Administrativo!E102="","",M1_Administrativo!E102))</f>
        <v/>
      </c>
      <c r="Z98" s="17" t="str">
        <f>IF(M1_Administrativo!A102="","",IF(M1_Administrativo!F102="","",M1_Administrativo!F102))</f>
        <v/>
      </c>
      <c r="AA98" s="17" t="str">
        <f>IF(M1_Administrativo!A102="","","M1 Administrativo")</f>
        <v/>
      </c>
      <c r="AB98" s="17" t="str">
        <f>IF(M1_Administrativo!A102="","",IF(M1_Administrativo!G102="","",M1_Administrativo!G102))</f>
        <v/>
      </c>
      <c r="AC98" s="17" t="str">
        <f>IF(M1_Administrativo!A102="","",IF(M1_Administrativo!M102="","",M1_Administrativo!M102))</f>
        <v/>
      </c>
      <c r="AD98" s="17" t="str">
        <f>IF(M1_Administrativo!A102="","","RA")</f>
        <v/>
      </c>
      <c r="AE98" s="17" t="str">
        <f>IF(M1_Administrativo!A102="","",IF(M1_Administrativo!O102="","",M1_Administrativo!O102))</f>
        <v/>
      </c>
      <c r="AF98" s="17" t="str">
        <f>IF(M1_Administrativo!A102="","",IF(M1_Administrativo!P102="","",M1_Administrativo!P102))</f>
        <v/>
      </c>
      <c r="AG98" s="17" t="str">
        <f>IF(M1_Administrativo!A102="","",IF(M1_Administrativo!Q102="","",M1_Administrativo!Q102))</f>
        <v/>
      </c>
      <c r="AH98" s="17" t="str">
        <f>IF(M1_Administrativo!A102="","","")</f>
        <v/>
      </c>
      <c r="AI98" s="17" t="str">
        <f>IF(M1_Administrativo!A102="","","M1_Administrativo!102")</f>
        <v/>
      </c>
      <c r="AJ98" s="17" t="str">
        <f>IF(M1_Administrativo!A102="","",IF(M1_Administrativo!M102="","Pendiente de resultado","Disponible"))</f>
        <v/>
      </c>
    </row>
    <row r="99" spans="1:36" ht="55.5" customHeight="1">
      <c r="A99" s="6" t="str">
        <f t="array" ref="A99">IF(95&gt;$S$1204,"",INDEX($T$5:$AJ$1204,MATCH(95,$S$5:$S$1204,0),1))</f>
        <v/>
      </c>
      <c r="B99" s="8" t="str">
        <f t="array" ref="B99">IF(95&gt;$S$1204,"",INDEX($T$5:$AJ$1204,MATCH(95,$S$5:$S$1204,0),2))</f>
        <v/>
      </c>
      <c r="C99" s="10" t="str">
        <f t="array" ref="C99">IF(95&gt;$S$1204,"",INDEX($T$5:$AJ$1204,MATCH(95,$S$5:$S$1204,0),3))</f>
        <v/>
      </c>
      <c r="D99" s="8" t="str">
        <f t="array" ref="D99">IF(95&gt;$S$1204,"",INDEX($T$5:$AJ$1204,MATCH(95,$S$5:$S$1204,0),4))</f>
        <v/>
      </c>
      <c r="E99" s="8" t="str">
        <f t="array" ref="E99">IF(95&gt;$S$1204,"",INDEX($T$5:$AJ$1204,MATCH(95,$S$5:$S$1204,0),5))</f>
        <v/>
      </c>
      <c r="F99" s="8" t="str">
        <f t="array" ref="F99">IF(95&gt;$S$1204,"",INDEX($T$5:$AJ$1204,MATCH(95,$S$5:$S$1204,0),6))</f>
        <v/>
      </c>
      <c r="G99" s="8" t="str">
        <f t="array" ref="G99">IF(95&gt;$S$1204,"",INDEX($T$5:$AJ$1204,MATCH(95,$S$5:$S$1204,0),7))</f>
        <v/>
      </c>
      <c r="H99" s="8" t="str">
        <f t="array" ref="H99">IF(95&gt;$S$1204,"",INDEX($T$5:$AJ$1204,MATCH(95,$S$5:$S$1204,0),8))</f>
        <v/>
      </c>
      <c r="I99" s="8" t="str">
        <f t="array" ref="I99">IF(95&gt;$S$1204,"",INDEX($T$5:$AJ$1204,MATCH(95,$S$5:$S$1204,0),9))</f>
        <v/>
      </c>
      <c r="J99" s="14" t="str">
        <f t="array" ref="J99">IF(95&gt;$S$1204,"",INDEX($T$5:$AJ$1204,MATCH(95,$S$5:$S$1204,0),10))</f>
        <v/>
      </c>
      <c r="K99" s="8" t="str">
        <f t="array" ref="K99">IF(95&gt;$S$1204,"",INDEX($T$5:$AJ$1204,MATCH(95,$S$5:$S$1204,0),11))</f>
        <v/>
      </c>
      <c r="L99" s="8" t="str">
        <f t="array" ref="L99">IF(95&gt;$S$1204,"",INDEX($T$5:$AJ$1204,MATCH(95,$S$5:$S$1204,0),12))</f>
        <v/>
      </c>
      <c r="M99" s="8" t="str">
        <f t="array" ref="M99">IF(95&gt;$S$1204,"",INDEX($T$5:$AJ$1204,MATCH(95,$S$5:$S$1204,0),13))</f>
        <v/>
      </c>
      <c r="N99" s="8" t="str">
        <f t="array" ref="N99">IF(95&gt;$S$1204,"",INDEX($T$5:$AJ$1204,MATCH(95,$S$5:$S$1204,0),14))</f>
        <v/>
      </c>
      <c r="O99" s="15" t="str">
        <f t="array" ref="O99">IF(95&gt;$S$1204,"",INDEX($T$5:$AJ$1204,MATCH(95,$S$5:$S$1204,0),15))</f>
        <v/>
      </c>
      <c r="P99" s="8" t="str">
        <f t="array" ref="P99">IF(95&gt;$S$1204,"",INDEX($T$5:$AJ$1204,MATCH(95,$S$5:$S$1204,0),16))</f>
        <v/>
      </c>
      <c r="Q99" s="8" t="str">
        <f t="array" ref="Q99">IF(95&gt;$S$1204,"",INDEX($T$5:$AJ$1204,MATCH(95,$S$5:$S$1204,0),17))</f>
        <v/>
      </c>
      <c r="R99" s="17"/>
      <c r="S99" s="17">
        <f>S98+IF(M1_Administrativo!A103="",0,1)</f>
        <v>0</v>
      </c>
      <c r="T99" s="17" t="str">
        <f>IF(M1_Administrativo!A103="","",IF(M1_Administrativo!A103="","",M1_Administrativo!A103))</f>
        <v/>
      </c>
      <c r="U99" s="17" t="str">
        <f>IF(M1_Administrativo!A103="","",IF(M1_Administrativo!R103="","",M1_Administrativo!R103))</f>
        <v/>
      </c>
      <c r="V99" s="17" t="str">
        <f>IF(M1_Administrativo!A103="","",IF(M1_Administrativo!D103="","",M1_Administrativo!D103))</f>
        <v/>
      </c>
      <c r="W99" s="17" t="str">
        <f>IF(M1_Administrativo!A103="","",IF(M1_Administrativo!B103="","",M1_Administrativo!B103))</f>
        <v/>
      </c>
      <c r="X99" s="17" t="str">
        <f>IF(M1_Administrativo!A103="","",IF(M1_Administrativo!C103="","",M1_Administrativo!C103))</f>
        <v/>
      </c>
      <c r="Y99" s="17" t="str">
        <f>IF(M1_Administrativo!A103="","",IF(M1_Administrativo!E103="","",M1_Administrativo!E103))</f>
        <v/>
      </c>
      <c r="Z99" s="17" t="str">
        <f>IF(M1_Administrativo!A103="","",IF(M1_Administrativo!F103="","",M1_Administrativo!F103))</f>
        <v/>
      </c>
      <c r="AA99" s="17" t="str">
        <f>IF(M1_Administrativo!A103="","","M1 Administrativo")</f>
        <v/>
      </c>
      <c r="AB99" s="17" t="str">
        <f>IF(M1_Administrativo!A103="","",IF(M1_Administrativo!G103="","",M1_Administrativo!G103))</f>
        <v/>
      </c>
      <c r="AC99" s="17" t="str">
        <f>IF(M1_Administrativo!A103="","",IF(M1_Administrativo!M103="","",M1_Administrativo!M103))</f>
        <v/>
      </c>
      <c r="AD99" s="17" t="str">
        <f>IF(M1_Administrativo!A103="","","RA")</f>
        <v/>
      </c>
      <c r="AE99" s="17" t="str">
        <f>IF(M1_Administrativo!A103="","",IF(M1_Administrativo!O103="","",M1_Administrativo!O103))</f>
        <v/>
      </c>
      <c r="AF99" s="17" t="str">
        <f>IF(M1_Administrativo!A103="","",IF(M1_Administrativo!P103="","",M1_Administrativo!P103))</f>
        <v/>
      </c>
      <c r="AG99" s="17" t="str">
        <f>IF(M1_Administrativo!A103="","",IF(M1_Administrativo!Q103="","",M1_Administrativo!Q103))</f>
        <v/>
      </c>
      <c r="AH99" s="17" t="str">
        <f>IF(M1_Administrativo!A103="","","")</f>
        <v/>
      </c>
      <c r="AI99" s="17" t="str">
        <f>IF(M1_Administrativo!A103="","","M1_Administrativo!103")</f>
        <v/>
      </c>
      <c r="AJ99" s="17" t="str">
        <f>IF(M1_Administrativo!A103="","",IF(M1_Administrativo!M103="","Pendiente de resultado","Disponible"))</f>
        <v/>
      </c>
    </row>
    <row r="100" spans="1:36" ht="55.5" customHeight="1">
      <c r="A100" s="6" t="str">
        <f t="array" ref="A100">IF(96&gt;$S$1204,"",INDEX($T$5:$AJ$1204,MATCH(96,$S$5:$S$1204,0),1))</f>
        <v/>
      </c>
      <c r="B100" s="8" t="str">
        <f t="array" ref="B100">IF(96&gt;$S$1204,"",INDEX($T$5:$AJ$1204,MATCH(96,$S$5:$S$1204,0),2))</f>
        <v/>
      </c>
      <c r="C100" s="10" t="str">
        <f t="array" ref="C100">IF(96&gt;$S$1204,"",INDEX($T$5:$AJ$1204,MATCH(96,$S$5:$S$1204,0),3))</f>
        <v/>
      </c>
      <c r="D100" s="8" t="str">
        <f t="array" ref="D100">IF(96&gt;$S$1204,"",INDEX($T$5:$AJ$1204,MATCH(96,$S$5:$S$1204,0),4))</f>
        <v/>
      </c>
      <c r="E100" s="8" t="str">
        <f t="array" ref="E100">IF(96&gt;$S$1204,"",INDEX($T$5:$AJ$1204,MATCH(96,$S$5:$S$1204,0),5))</f>
        <v/>
      </c>
      <c r="F100" s="8" t="str">
        <f t="array" ref="F100">IF(96&gt;$S$1204,"",INDEX($T$5:$AJ$1204,MATCH(96,$S$5:$S$1204,0),6))</f>
        <v/>
      </c>
      <c r="G100" s="8" t="str">
        <f t="array" ref="G100">IF(96&gt;$S$1204,"",INDEX($T$5:$AJ$1204,MATCH(96,$S$5:$S$1204,0),7))</f>
        <v/>
      </c>
      <c r="H100" s="8" t="str">
        <f t="array" ref="H100">IF(96&gt;$S$1204,"",INDEX($T$5:$AJ$1204,MATCH(96,$S$5:$S$1204,0),8))</f>
        <v/>
      </c>
      <c r="I100" s="8" t="str">
        <f t="array" ref="I100">IF(96&gt;$S$1204,"",INDEX($T$5:$AJ$1204,MATCH(96,$S$5:$S$1204,0),9))</f>
        <v/>
      </c>
      <c r="J100" s="14" t="str">
        <f t="array" ref="J100">IF(96&gt;$S$1204,"",INDEX($T$5:$AJ$1204,MATCH(96,$S$5:$S$1204,0),10))</f>
        <v/>
      </c>
      <c r="K100" s="8" t="str">
        <f t="array" ref="K100">IF(96&gt;$S$1204,"",INDEX($T$5:$AJ$1204,MATCH(96,$S$5:$S$1204,0),11))</f>
        <v/>
      </c>
      <c r="L100" s="8" t="str">
        <f t="array" ref="L100">IF(96&gt;$S$1204,"",INDEX($T$5:$AJ$1204,MATCH(96,$S$5:$S$1204,0),12))</f>
        <v/>
      </c>
      <c r="M100" s="8" t="str">
        <f t="array" ref="M100">IF(96&gt;$S$1204,"",INDEX($T$5:$AJ$1204,MATCH(96,$S$5:$S$1204,0),13))</f>
        <v/>
      </c>
      <c r="N100" s="8" t="str">
        <f t="array" ref="N100">IF(96&gt;$S$1204,"",INDEX($T$5:$AJ$1204,MATCH(96,$S$5:$S$1204,0),14))</f>
        <v/>
      </c>
      <c r="O100" s="15" t="str">
        <f t="array" ref="O100">IF(96&gt;$S$1204,"",INDEX($T$5:$AJ$1204,MATCH(96,$S$5:$S$1204,0),15))</f>
        <v/>
      </c>
      <c r="P100" s="8" t="str">
        <f t="array" ref="P100">IF(96&gt;$S$1204,"",INDEX($T$5:$AJ$1204,MATCH(96,$S$5:$S$1204,0),16))</f>
        <v/>
      </c>
      <c r="Q100" s="8" t="str">
        <f t="array" ref="Q100">IF(96&gt;$S$1204,"",INDEX($T$5:$AJ$1204,MATCH(96,$S$5:$S$1204,0),17))</f>
        <v/>
      </c>
      <c r="R100" s="17"/>
      <c r="S100" s="17">
        <f>S99+IF(M1_Administrativo!A104="",0,1)</f>
        <v>0</v>
      </c>
      <c r="T100" s="17" t="str">
        <f>IF(M1_Administrativo!A104="","",IF(M1_Administrativo!A104="","",M1_Administrativo!A104))</f>
        <v/>
      </c>
      <c r="U100" s="17" t="str">
        <f>IF(M1_Administrativo!A104="","",IF(M1_Administrativo!R104="","",M1_Administrativo!R104))</f>
        <v/>
      </c>
      <c r="V100" s="17" t="str">
        <f>IF(M1_Administrativo!A104="","",IF(M1_Administrativo!D104="","",M1_Administrativo!D104))</f>
        <v/>
      </c>
      <c r="W100" s="17" t="str">
        <f>IF(M1_Administrativo!A104="","",IF(M1_Administrativo!B104="","",M1_Administrativo!B104))</f>
        <v/>
      </c>
      <c r="X100" s="17" t="str">
        <f>IF(M1_Administrativo!A104="","",IF(M1_Administrativo!C104="","",M1_Administrativo!C104))</f>
        <v/>
      </c>
      <c r="Y100" s="17" t="str">
        <f>IF(M1_Administrativo!A104="","",IF(M1_Administrativo!E104="","",M1_Administrativo!E104))</f>
        <v/>
      </c>
      <c r="Z100" s="17" t="str">
        <f>IF(M1_Administrativo!A104="","",IF(M1_Administrativo!F104="","",M1_Administrativo!F104))</f>
        <v/>
      </c>
      <c r="AA100" s="17" t="str">
        <f>IF(M1_Administrativo!A104="","","M1 Administrativo")</f>
        <v/>
      </c>
      <c r="AB100" s="17" t="str">
        <f>IF(M1_Administrativo!A104="","",IF(M1_Administrativo!G104="","",M1_Administrativo!G104))</f>
        <v/>
      </c>
      <c r="AC100" s="17" t="str">
        <f>IF(M1_Administrativo!A104="","",IF(M1_Administrativo!M104="","",M1_Administrativo!M104))</f>
        <v/>
      </c>
      <c r="AD100" s="17" t="str">
        <f>IF(M1_Administrativo!A104="","","RA")</f>
        <v/>
      </c>
      <c r="AE100" s="17" t="str">
        <f>IF(M1_Administrativo!A104="","",IF(M1_Administrativo!O104="","",M1_Administrativo!O104))</f>
        <v/>
      </c>
      <c r="AF100" s="17" t="str">
        <f>IF(M1_Administrativo!A104="","",IF(M1_Administrativo!P104="","",M1_Administrativo!P104))</f>
        <v/>
      </c>
      <c r="AG100" s="17" t="str">
        <f>IF(M1_Administrativo!A104="","",IF(M1_Administrativo!Q104="","",M1_Administrativo!Q104))</f>
        <v/>
      </c>
      <c r="AH100" s="17" t="str">
        <f>IF(M1_Administrativo!A104="","","")</f>
        <v/>
      </c>
      <c r="AI100" s="17" t="str">
        <f>IF(M1_Administrativo!A104="","","M1_Administrativo!104")</f>
        <v/>
      </c>
      <c r="AJ100" s="17" t="str">
        <f>IF(M1_Administrativo!A104="","",IF(M1_Administrativo!M104="","Pendiente de resultado","Disponible"))</f>
        <v/>
      </c>
    </row>
    <row r="101" spans="1:36" ht="55.5" customHeight="1">
      <c r="A101" s="6" t="str">
        <f t="array" ref="A101">IF(97&gt;$S$1204,"",INDEX($T$5:$AJ$1204,MATCH(97,$S$5:$S$1204,0),1))</f>
        <v/>
      </c>
      <c r="B101" s="8" t="str">
        <f t="array" ref="B101">IF(97&gt;$S$1204,"",INDEX($T$5:$AJ$1204,MATCH(97,$S$5:$S$1204,0),2))</f>
        <v/>
      </c>
      <c r="C101" s="10" t="str">
        <f t="array" ref="C101">IF(97&gt;$S$1204,"",INDEX($T$5:$AJ$1204,MATCH(97,$S$5:$S$1204,0),3))</f>
        <v/>
      </c>
      <c r="D101" s="8" t="str">
        <f t="array" ref="D101">IF(97&gt;$S$1204,"",INDEX($T$5:$AJ$1204,MATCH(97,$S$5:$S$1204,0),4))</f>
        <v/>
      </c>
      <c r="E101" s="8" t="str">
        <f t="array" ref="E101">IF(97&gt;$S$1204,"",INDEX($T$5:$AJ$1204,MATCH(97,$S$5:$S$1204,0),5))</f>
        <v/>
      </c>
      <c r="F101" s="8" t="str">
        <f t="array" ref="F101">IF(97&gt;$S$1204,"",INDEX($T$5:$AJ$1204,MATCH(97,$S$5:$S$1204,0),6))</f>
        <v/>
      </c>
      <c r="G101" s="8" t="str">
        <f t="array" ref="G101">IF(97&gt;$S$1204,"",INDEX($T$5:$AJ$1204,MATCH(97,$S$5:$S$1204,0),7))</f>
        <v/>
      </c>
      <c r="H101" s="8" t="str">
        <f t="array" ref="H101">IF(97&gt;$S$1204,"",INDEX($T$5:$AJ$1204,MATCH(97,$S$5:$S$1204,0),8))</f>
        <v/>
      </c>
      <c r="I101" s="8" t="str">
        <f t="array" ref="I101">IF(97&gt;$S$1204,"",INDEX($T$5:$AJ$1204,MATCH(97,$S$5:$S$1204,0),9))</f>
        <v/>
      </c>
      <c r="J101" s="14" t="str">
        <f t="array" ref="J101">IF(97&gt;$S$1204,"",INDEX($T$5:$AJ$1204,MATCH(97,$S$5:$S$1204,0),10))</f>
        <v/>
      </c>
      <c r="K101" s="8" t="str">
        <f t="array" ref="K101">IF(97&gt;$S$1204,"",INDEX($T$5:$AJ$1204,MATCH(97,$S$5:$S$1204,0),11))</f>
        <v/>
      </c>
      <c r="L101" s="8" t="str">
        <f t="array" ref="L101">IF(97&gt;$S$1204,"",INDEX($T$5:$AJ$1204,MATCH(97,$S$5:$S$1204,0),12))</f>
        <v/>
      </c>
      <c r="M101" s="8" t="str">
        <f t="array" ref="M101">IF(97&gt;$S$1204,"",INDEX($T$5:$AJ$1204,MATCH(97,$S$5:$S$1204,0),13))</f>
        <v/>
      </c>
      <c r="N101" s="8" t="str">
        <f t="array" ref="N101">IF(97&gt;$S$1204,"",INDEX($T$5:$AJ$1204,MATCH(97,$S$5:$S$1204,0),14))</f>
        <v/>
      </c>
      <c r="O101" s="15" t="str">
        <f t="array" ref="O101">IF(97&gt;$S$1204,"",INDEX($T$5:$AJ$1204,MATCH(97,$S$5:$S$1204,0),15))</f>
        <v/>
      </c>
      <c r="P101" s="8" t="str">
        <f t="array" ref="P101">IF(97&gt;$S$1204,"",INDEX($T$5:$AJ$1204,MATCH(97,$S$5:$S$1204,0),16))</f>
        <v/>
      </c>
      <c r="Q101" s="8" t="str">
        <f t="array" ref="Q101">IF(97&gt;$S$1204,"",INDEX($T$5:$AJ$1204,MATCH(97,$S$5:$S$1204,0),17))</f>
        <v/>
      </c>
      <c r="R101" s="17"/>
      <c r="S101" s="17">
        <f>S100+IF(M1_Administrativo!A105="",0,1)</f>
        <v>0</v>
      </c>
      <c r="T101" s="17" t="str">
        <f>IF(M1_Administrativo!A105="","",IF(M1_Administrativo!A105="","",M1_Administrativo!A105))</f>
        <v/>
      </c>
      <c r="U101" s="17" t="str">
        <f>IF(M1_Administrativo!A105="","",IF(M1_Administrativo!R105="","",M1_Administrativo!R105))</f>
        <v/>
      </c>
      <c r="V101" s="17" t="str">
        <f>IF(M1_Administrativo!A105="","",IF(M1_Administrativo!D105="","",M1_Administrativo!D105))</f>
        <v/>
      </c>
      <c r="W101" s="17" t="str">
        <f>IF(M1_Administrativo!A105="","",IF(M1_Administrativo!B105="","",M1_Administrativo!B105))</f>
        <v/>
      </c>
      <c r="X101" s="17" t="str">
        <f>IF(M1_Administrativo!A105="","",IF(M1_Administrativo!C105="","",M1_Administrativo!C105))</f>
        <v/>
      </c>
      <c r="Y101" s="17" t="str">
        <f>IF(M1_Administrativo!A105="","",IF(M1_Administrativo!E105="","",M1_Administrativo!E105))</f>
        <v/>
      </c>
      <c r="Z101" s="17" t="str">
        <f>IF(M1_Administrativo!A105="","",IF(M1_Administrativo!F105="","",M1_Administrativo!F105))</f>
        <v/>
      </c>
      <c r="AA101" s="17" t="str">
        <f>IF(M1_Administrativo!A105="","","M1 Administrativo")</f>
        <v/>
      </c>
      <c r="AB101" s="17" t="str">
        <f>IF(M1_Administrativo!A105="","",IF(M1_Administrativo!G105="","",M1_Administrativo!G105))</f>
        <v/>
      </c>
      <c r="AC101" s="17" t="str">
        <f>IF(M1_Administrativo!A105="","",IF(M1_Administrativo!M105="","",M1_Administrativo!M105))</f>
        <v/>
      </c>
      <c r="AD101" s="17" t="str">
        <f>IF(M1_Administrativo!A105="","","RA")</f>
        <v/>
      </c>
      <c r="AE101" s="17" t="str">
        <f>IF(M1_Administrativo!A105="","",IF(M1_Administrativo!O105="","",M1_Administrativo!O105))</f>
        <v/>
      </c>
      <c r="AF101" s="17" t="str">
        <f>IF(M1_Administrativo!A105="","",IF(M1_Administrativo!P105="","",M1_Administrativo!P105))</f>
        <v/>
      </c>
      <c r="AG101" s="17" t="str">
        <f>IF(M1_Administrativo!A105="","",IF(M1_Administrativo!Q105="","",M1_Administrativo!Q105))</f>
        <v/>
      </c>
      <c r="AH101" s="17" t="str">
        <f>IF(M1_Administrativo!A105="","","")</f>
        <v/>
      </c>
      <c r="AI101" s="17" t="str">
        <f>IF(M1_Administrativo!A105="","","M1_Administrativo!105")</f>
        <v/>
      </c>
      <c r="AJ101" s="17" t="str">
        <f>IF(M1_Administrativo!A105="","",IF(M1_Administrativo!M105="","Pendiente de resultado","Disponible"))</f>
        <v/>
      </c>
    </row>
    <row r="102" spans="1:36" ht="55.5" customHeight="1">
      <c r="A102" s="6" t="str">
        <f t="array" ref="A102">IF(98&gt;$S$1204,"",INDEX($T$5:$AJ$1204,MATCH(98,$S$5:$S$1204,0),1))</f>
        <v/>
      </c>
      <c r="B102" s="8" t="str">
        <f t="array" ref="B102">IF(98&gt;$S$1204,"",INDEX($T$5:$AJ$1204,MATCH(98,$S$5:$S$1204,0),2))</f>
        <v/>
      </c>
      <c r="C102" s="10" t="str">
        <f t="array" ref="C102">IF(98&gt;$S$1204,"",INDEX($T$5:$AJ$1204,MATCH(98,$S$5:$S$1204,0),3))</f>
        <v/>
      </c>
      <c r="D102" s="8" t="str">
        <f t="array" ref="D102">IF(98&gt;$S$1204,"",INDEX($T$5:$AJ$1204,MATCH(98,$S$5:$S$1204,0),4))</f>
        <v/>
      </c>
      <c r="E102" s="8" t="str">
        <f t="array" ref="E102">IF(98&gt;$S$1204,"",INDEX($T$5:$AJ$1204,MATCH(98,$S$5:$S$1204,0),5))</f>
        <v/>
      </c>
      <c r="F102" s="8" t="str">
        <f t="array" ref="F102">IF(98&gt;$S$1204,"",INDEX($T$5:$AJ$1204,MATCH(98,$S$5:$S$1204,0),6))</f>
        <v/>
      </c>
      <c r="G102" s="8" t="str">
        <f t="array" ref="G102">IF(98&gt;$S$1204,"",INDEX($T$5:$AJ$1204,MATCH(98,$S$5:$S$1204,0),7))</f>
        <v/>
      </c>
      <c r="H102" s="8" t="str">
        <f t="array" ref="H102">IF(98&gt;$S$1204,"",INDEX($T$5:$AJ$1204,MATCH(98,$S$5:$S$1204,0),8))</f>
        <v/>
      </c>
      <c r="I102" s="8" t="str">
        <f t="array" ref="I102">IF(98&gt;$S$1204,"",INDEX($T$5:$AJ$1204,MATCH(98,$S$5:$S$1204,0),9))</f>
        <v/>
      </c>
      <c r="J102" s="14" t="str">
        <f t="array" ref="J102">IF(98&gt;$S$1204,"",INDEX($T$5:$AJ$1204,MATCH(98,$S$5:$S$1204,0),10))</f>
        <v/>
      </c>
      <c r="K102" s="8" t="str">
        <f t="array" ref="K102">IF(98&gt;$S$1204,"",INDEX($T$5:$AJ$1204,MATCH(98,$S$5:$S$1204,0),11))</f>
        <v/>
      </c>
      <c r="L102" s="8" t="str">
        <f t="array" ref="L102">IF(98&gt;$S$1204,"",INDEX($T$5:$AJ$1204,MATCH(98,$S$5:$S$1204,0),12))</f>
        <v/>
      </c>
      <c r="M102" s="8" t="str">
        <f t="array" ref="M102">IF(98&gt;$S$1204,"",INDEX($T$5:$AJ$1204,MATCH(98,$S$5:$S$1204,0),13))</f>
        <v/>
      </c>
      <c r="N102" s="8" t="str">
        <f t="array" ref="N102">IF(98&gt;$S$1204,"",INDEX($T$5:$AJ$1204,MATCH(98,$S$5:$S$1204,0),14))</f>
        <v/>
      </c>
      <c r="O102" s="15" t="str">
        <f t="array" ref="O102">IF(98&gt;$S$1204,"",INDEX($T$5:$AJ$1204,MATCH(98,$S$5:$S$1204,0),15))</f>
        <v/>
      </c>
      <c r="P102" s="8" t="str">
        <f t="array" ref="P102">IF(98&gt;$S$1204,"",INDEX($T$5:$AJ$1204,MATCH(98,$S$5:$S$1204,0),16))</f>
        <v/>
      </c>
      <c r="Q102" s="8" t="str">
        <f t="array" ref="Q102">IF(98&gt;$S$1204,"",INDEX($T$5:$AJ$1204,MATCH(98,$S$5:$S$1204,0),17))</f>
        <v/>
      </c>
      <c r="R102" s="17"/>
      <c r="S102" s="17">
        <f>S101+IF(M1_Administrativo!A106="",0,1)</f>
        <v>0</v>
      </c>
      <c r="T102" s="17" t="str">
        <f>IF(M1_Administrativo!A106="","",IF(M1_Administrativo!A106="","",M1_Administrativo!A106))</f>
        <v/>
      </c>
      <c r="U102" s="17" t="str">
        <f>IF(M1_Administrativo!A106="","",IF(M1_Administrativo!R106="","",M1_Administrativo!R106))</f>
        <v/>
      </c>
      <c r="V102" s="17" t="str">
        <f>IF(M1_Administrativo!A106="","",IF(M1_Administrativo!D106="","",M1_Administrativo!D106))</f>
        <v/>
      </c>
      <c r="W102" s="17" t="str">
        <f>IF(M1_Administrativo!A106="","",IF(M1_Administrativo!B106="","",M1_Administrativo!B106))</f>
        <v/>
      </c>
      <c r="X102" s="17" t="str">
        <f>IF(M1_Administrativo!A106="","",IF(M1_Administrativo!C106="","",M1_Administrativo!C106))</f>
        <v/>
      </c>
      <c r="Y102" s="17" t="str">
        <f>IF(M1_Administrativo!A106="","",IF(M1_Administrativo!E106="","",M1_Administrativo!E106))</f>
        <v/>
      </c>
      <c r="Z102" s="17" t="str">
        <f>IF(M1_Administrativo!A106="","",IF(M1_Administrativo!F106="","",M1_Administrativo!F106))</f>
        <v/>
      </c>
      <c r="AA102" s="17" t="str">
        <f>IF(M1_Administrativo!A106="","","M1 Administrativo")</f>
        <v/>
      </c>
      <c r="AB102" s="17" t="str">
        <f>IF(M1_Administrativo!A106="","",IF(M1_Administrativo!G106="","",M1_Administrativo!G106))</f>
        <v/>
      </c>
      <c r="AC102" s="17" t="str">
        <f>IF(M1_Administrativo!A106="","",IF(M1_Administrativo!M106="","",M1_Administrativo!M106))</f>
        <v/>
      </c>
      <c r="AD102" s="17" t="str">
        <f>IF(M1_Administrativo!A106="","","RA")</f>
        <v/>
      </c>
      <c r="AE102" s="17" t="str">
        <f>IF(M1_Administrativo!A106="","",IF(M1_Administrativo!O106="","",M1_Administrativo!O106))</f>
        <v/>
      </c>
      <c r="AF102" s="17" t="str">
        <f>IF(M1_Administrativo!A106="","",IF(M1_Administrativo!P106="","",M1_Administrativo!P106))</f>
        <v/>
      </c>
      <c r="AG102" s="17" t="str">
        <f>IF(M1_Administrativo!A106="","",IF(M1_Administrativo!Q106="","",M1_Administrativo!Q106))</f>
        <v/>
      </c>
      <c r="AH102" s="17" t="str">
        <f>IF(M1_Administrativo!A106="","","")</f>
        <v/>
      </c>
      <c r="AI102" s="17" t="str">
        <f>IF(M1_Administrativo!A106="","","M1_Administrativo!106")</f>
        <v/>
      </c>
      <c r="AJ102" s="17" t="str">
        <f>IF(M1_Administrativo!A106="","",IF(M1_Administrativo!M106="","Pendiente de resultado","Disponible"))</f>
        <v/>
      </c>
    </row>
    <row r="103" spans="1:36" ht="55.5" customHeight="1">
      <c r="A103" s="6" t="str">
        <f t="array" ref="A103">IF(99&gt;$S$1204,"",INDEX($T$5:$AJ$1204,MATCH(99,$S$5:$S$1204,0),1))</f>
        <v/>
      </c>
      <c r="B103" s="8" t="str">
        <f t="array" ref="B103">IF(99&gt;$S$1204,"",INDEX($T$5:$AJ$1204,MATCH(99,$S$5:$S$1204,0),2))</f>
        <v/>
      </c>
      <c r="C103" s="10" t="str">
        <f t="array" ref="C103">IF(99&gt;$S$1204,"",INDEX($T$5:$AJ$1204,MATCH(99,$S$5:$S$1204,0),3))</f>
        <v/>
      </c>
      <c r="D103" s="8" t="str">
        <f t="array" ref="D103">IF(99&gt;$S$1204,"",INDEX($T$5:$AJ$1204,MATCH(99,$S$5:$S$1204,0),4))</f>
        <v/>
      </c>
      <c r="E103" s="8" t="str">
        <f t="array" ref="E103">IF(99&gt;$S$1204,"",INDEX($T$5:$AJ$1204,MATCH(99,$S$5:$S$1204,0),5))</f>
        <v/>
      </c>
      <c r="F103" s="8" t="str">
        <f t="array" ref="F103">IF(99&gt;$S$1204,"",INDEX($T$5:$AJ$1204,MATCH(99,$S$5:$S$1204,0),6))</f>
        <v/>
      </c>
      <c r="G103" s="8" t="str">
        <f t="array" ref="G103">IF(99&gt;$S$1204,"",INDEX($T$5:$AJ$1204,MATCH(99,$S$5:$S$1204,0),7))</f>
        <v/>
      </c>
      <c r="H103" s="8" t="str">
        <f t="array" ref="H103">IF(99&gt;$S$1204,"",INDEX($T$5:$AJ$1204,MATCH(99,$S$5:$S$1204,0),8))</f>
        <v/>
      </c>
      <c r="I103" s="8" t="str">
        <f t="array" ref="I103">IF(99&gt;$S$1204,"",INDEX($T$5:$AJ$1204,MATCH(99,$S$5:$S$1204,0),9))</f>
        <v/>
      </c>
      <c r="J103" s="14" t="str">
        <f t="array" ref="J103">IF(99&gt;$S$1204,"",INDEX($T$5:$AJ$1204,MATCH(99,$S$5:$S$1204,0),10))</f>
        <v/>
      </c>
      <c r="K103" s="8" t="str">
        <f t="array" ref="K103">IF(99&gt;$S$1204,"",INDEX($T$5:$AJ$1204,MATCH(99,$S$5:$S$1204,0),11))</f>
        <v/>
      </c>
      <c r="L103" s="8" t="str">
        <f t="array" ref="L103">IF(99&gt;$S$1204,"",INDEX($T$5:$AJ$1204,MATCH(99,$S$5:$S$1204,0),12))</f>
        <v/>
      </c>
      <c r="M103" s="8" t="str">
        <f t="array" ref="M103">IF(99&gt;$S$1204,"",INDEX($T$5:$AJ$1204,MATCH(99,$S$5:$S$1204,0),13))</f>
        <v/>
      </c>
      <c r="N103" s="8" t="str">
        <f t="array" ref="N103">IF(99&gt;$S$1204,"",INDEX($T$5:$AJ$1204,MATCH(99,$S$5:$S$1204,0),14))</f>
        <v/>
      </c>
      <c r="O103" s="15" t="str">
        <f t="array" ref="O103">IF(99&gt;$S$1204,"",INDEX($T$5:$AJ$1204,MATCH(99,$S$5:$S$1204,0),15))</f>
        <v/>
      </c>
      <c r="P103" s="8" t="str">
        <f t="array" ref="P103">IF(99&gt;$S$1204,"",INDEX($T$5:$AJ$1204,MATCH(99,$S$5:$S$1204,0),16))</f>
        <v/>
      </c>
      <c r="Q103" s="8" t="str">
        <f t="array" ref="Q103">IF(99&gt;$S$1204,"",INDEX($T$5:$AJ$1204,MATCH(99,$S$5:$S$1204,0),17))</f>
        <v/>
      </c>
      <c r="R103" s="17"/>
      <c r="S103" s="17">
        <f>S102+IF(M1_Administrativo!A107="",0,1)</f>
        <v>0</v>
      </c>
      <c r="T103" s="17" t="str">
        <f>IF(M1_Administrativo!A107="","",IF(M1_Administrativo!A107="","",M1_Administrativo!A107))</f>
        <v/>
      </c>
      <c r="U103" s="17" t="str">
        <f>IF(M1_Administrativo!A107="","",IF(M1_Administrativo!R107="","",M1_Administrativo!R107))</f>
        <v/>
      </c>
      <c r="V103" s="17" t="str">
        <f>IF(M1_Administrativo!A107="","",IF(M1_Administrativo!D107="","",M1_Administrativo!D107))</f>
        <v/>
      </c>
      <c r="W103" s="17" t="str">
        <f>IF(M1_Administrativo!A107="","",IF(M1_Administrativo!B107="","",M1_Administrativo!B107))</f>
        <v/>
      </c>
      <c r="X103" s="17" t="str">
        <f>IF(M1_Administrativo!A107="","",IF(M1_Administrativo!C107="","",M1_Administrativo!C107))</f>
        <v/>
      </c>
      <c r="Y103" s="17" t="str">
        <f>IF(M1_Administrativo!A107="","",IF(M1_Administrativo!E107="","",M1_Administrativo!E107))</f>
        <v/>
      </c>
      <c r="Z103" s="17" t="str">
        <f>IF(M1_Administrativo!A107="","",IF(M1_Administrativo!F107="","",M1_Administrativo!F107))</f>
        <v/>
      </c>
      <c r="AA103" s="17" t="str">
        <f>IF(M1_Administrativo!A107="","","M1 Administrativo")</f>
        <v/>
      </c>
      <c r="AB103" s="17" t="str">
        <f>IF(M1_Administrativo!A107="","",IF(M1_Administrativo!G107="","",M1_Administrativo!G107))</f>
        <v/>
      </c>
      <c r="AC103" s="17" t="str">
        <f>IF(M1_Administrativo!A107="","",IF(M1_Administrativo!M107="","",M1_Administrativo!M107))</f>
        <v/>
      </c>
      <c r="AD103" s="17" t="str">
        <f>IF(M1_Administrativo!A107="","","RA")</f>
        <v/>
      </c>
      <c r="AE103" s="17" t="str">
        <f>IF(M1_Administrativo!A107="","",IF(M1_Administrativo!O107="","",M1_Administrativo!O107))</f>
        <v/>
      </c>
      <c r="AF103" s="17" t="str">
        <f>IF(M1_Administrativo!A107="","",IF(M1_Administrativo!P107="","",M1_Administrativo!P107))</f>
        <v/>
      </c>
      <c r="AG103" s="17" t="str">
        <f>IF(M1_Administrativo!A107="","",IF(M1_Administrativo!Q107="","",M1_Administrativo!Q107))</f>
        <v/>
      </c>
      <c r="AH103" s="17" t="str">
        <f>IF(M1_Administrativo!A107="","","")</f>
        <v/>
      </c>
      <c r="AI103" s="17" t="str">
        <f>IF(M1_Administrativo!A107="","","M1_Administrativo!107")</f>
        <v/>
      </c>
      <c r="AJ103" s="17" t="str">
        <f>IF(M1_Administrativo!A107="","",IF(M1_Administrativo!M107="","Pendiente de resultado","Disponible"))</f>
        <v/>
      </c>
    </row>
    <row r="104" spans="1:36" ht="55.5" customHeight="1">
      <c r="A104" s="6" t="str">
        <f t="array" ref="A104">IF(100&gt;$S$1204,"",INDEX($T$5:$AJ$1204,MATCH(100,$S$5:$S$1204,0),1))</f>
        <v/>
      </c>
      <c r="B104" s="8" t="str">
        <f t="array" ref="B104">IF(100&gt;$S$1204,"",INDEX($T$5:$AJ$1204,MATCH(100,$S$5:$S$1204,0),2))</f>
        <v/>
      </c>
      <c r="C104" s="10" t="str">
        <f t="array" ref="C104">IF(100&gt;$S$1204,"",INDEX($T$5:$AJ$1204,MATCH(100,$S$5:$S$1204,0),3))</f>
        <v/>
      </c>
      <c r="D104" s="8" t="str">
        <f t="array" ref="D104">IF(100&gt;$S$1204,"",INDEX($T$5:$AJ$1204,MATCH(100,$S$5:$S$1204,0),4))</f>
        <v/>
      </c>
      <c r="E104" s="8" t="str">
        <f t="array" ref="E104">IF(100&gt;$S$1204,"",INDEX($T$5:$AJ$1204,MATCH(100,$S$5:$S$1204,0),5))</f>
        <v/>
      </c>
      <c r="F104" s="8" t="str">
        <f t="array" ref="F104">IF(100&gt;$S$1204,"",INDEX($T$5:$AJ$1204,MATCH(100,$S$5:$S$1204,0),6))</f>
        <v/>
      </c>
      <c r="G104" s="8" t="str">
        <f t="array" ref="G104">IF(100&gt;$S$1204,"",INDEX($T$5:$AJ$1204,MATCH(100,$S$5:$S$1204,0),7))</f>
        <v/>
      </c>
      <c r="H104" s="8" t="str">
        <f t="array" ref="H104">IF(100&gt;$S$1204,"",INDEX($T$5:$AJ$1204,MATCH(100,$S$5:$S$1204,0),8))</f>
        <v/>
      </c>
      <c r="I104" s="8" t="str">
        <f t="array" ref="I104">IF(100&gt;$S$1204,"",INDEX($T$5:$AJ$1204,MATCH(100,$S$5:$S$1204,0),9))</f>
        <v/>
      </c>
      <c r="J104" s="14" t="str">
        <f t="array" ref="J104">IF(100&gt;$S$1204,"",INDEX($T$5:$AJ$1204,MATCH(100,$S$5:$S$1204,0),10))</f>
        <v/>
      </c>
      <c r="K104" s="8" t="str">
        <f t="array" ref="K104">IF(100&gt;$S$1204,"",INDEX($T$5:$AJ$1204,MATCH(100,$S$5:$S$1204,0),11))</f>
        <v/>
      </c>
      <c r="L104" s="8" t="str">
        <f t="array" ref="L104">IF(100&gt;$S$1204,"",INDEX($T$5:$AJ$1204,MATCH(100,$S$5:$S$1204,0),12))</f>
        <v/>
      </c>
      <c r="M104" s="8" t="str">
        <f t="array" ref="M104">IF(100&gt;$S$1204,"",INDEX($T$5:$AJ$1204,MATCH(100,$S$5:$S$1204,0),13))</f>
        <v/>
      </c>
      <c r="N104" s="8" t="str">
        <f t="array" ref="N104">IF(100&gt;$S$1204,"",INDEX($T$5:$AJ$1204,MATCH(100,$S$5:$S$1204,0),14))</f>
        <v/>
      </c>
      <c r="O104" s="15" t="str">
        <f t="array" ref="O104">IF(100&gt;$S$1204,"",INDEX($T$5:$AJ$1204,MATCH(100,$S$5:$S$1204,0),15))</f>
        <v/>
      </c>
      <c r="P104" s="8" t="str">
        <f t="array" ref="P104">IF(100&gt;$S$1204,"",INDEX($T$5:$AJ$1204,MATCH(100,$S$5:$S$1204,0),16))</f>
        <v/>
      </c>
      <c r="Q104" s="8" t="str">
        <f t="array" ref="Q104">IF(100&gt;$S$1204,"",INDEX($T$5:$AJ$1204,MATCH(100,$S$5:$S$1204,0),17))</f>
        <v/>
      </c>
      <c r="R104" s="17"/>
      <c r="S104" s="17">
        <f>S103+IF(M1_Administrativo!A108="",0,1)</f>
        <v>0</v>
      </c>
      <c r="T104" s="17" t="str">
        <f>IF(M1_Administrativo!A108="","",IF(M1_Administrativo!A108="","",M1_Administrativo!A108))</f>
        <v/>
      </c>
      <c r="U104" s="17" t="str">
        <f>IF(M1_Administrativo!A108="","",IF(M1_Administrativo!R108="","",M1_Administrativo!R108))</f>
        <v/>
      </c>
      <c r="V104" s="17" t="str">
        <f>IF(M1_Administrativo!A108="","",IF(M1_Administrativo!D108="","",M1_Administrativo!D108))</f>
        <v/>
      </c>
      <c r="W104" s="17" t="str">
        <f>IF(M1_Administrativo!A108="","",IF(M1_Administrativo!B108="","",M1_Administrativo!B108))</f>
        <v/>
      </c>
      <c r="X104" s="17" t="str">
        <f>IF(M1_Administrativo!A108="","",IF(M1_Administrativo!C108="","",M1_Administrativo!C108))</f>
        <v/>
      </c>
      <c r="Y104" s="17" t="str">
        <f>IF(M1_Administrativo!A108="","",IF(M1_Administrativo!E108="","",M1_Administrativo!E108))</f>
        <v/>
      </c>
      <c r="Z104" s="17" t="str">
        <f>IF(M1_Administrativo!A108="","",IF(M1_Administrativo!F108="","",M1_Administrativo!F108))</f>
        <v/>
      </c>
      <c r="AA104" s="17" t="str">
        <f>IF(M1_Administrativo!A108="","","M1 Administrativo")</f>
        <v/>
      </c>
      <c r="AB104" s="17" t="str">
        <f>IF(M1_Administrativo!A108="","",IF(M1_Administrativo!G108="","",M1_Administrativo!G108))</f>
        <v/>
      </c>
      <c r="AC104" s="17" t="str">
        <f>IF(M1_Administrativo!A108="","",IF(M1_Administrativo!M108="","",M1_Administrativo!M108))</f>
        <v/>
      </c>
      <c r="AD104" s="17" t="str">
        <f>IF(M1_Administrativo!A108="","","RA")</f>
        <v/>
      </c>
      <c r="AE104" s="17" t="str">
        <f>IF(M1_Administrativo!A108="","",IF(M1_Administrativo!O108="","",M1_Administrativo!O108))</f>
        <v/>
      </c>
      <c r="AF104" s="17" t="str">
        <f>IF(M1_Administrativo!A108="","",IF(M1_Administrativo!P108="","",M1_Administrativo!P108))</f>
        <v/>
      </c>
      <c r="AG104" s="17" t="str">
        <f>IF(M1_Administrativo!A108="","",IF(M1_Administrativo!Q108="","",M1_Administrativo!Q108))</f>
        <v/>
      </c>
      <c r="AH104" s="17" t="str">
        <f>IF(M1_Administrativo!A108="","","")</f>
        <v/>
      </c>
      <c r="AI104" s="17" t="str">
        <f>IF(M1_Administrativo!A108="","","M1_Administrativo!108")</f>
        <v/>
      </c>
      <c r="AJ104" s="17" t="str">
        <f>IF(M1_Administrativo!A108="","",IF(M1_Administrativo!M108="","Pendiente de resultado","Disponible"))</f>
        <v/>
      </c>
    </row>
    <row r="105" spans="1:36" ht="55.5" customHeight="1">
      <c r="A105" s="6" t="str">
        <f t="array" ref="A105">IF(101&gt;$S$1204,"",INDEX($T$5:$AJ$1204,MATCH(101,$S$5:$S$1204,0),1))</f>
        <v/>
      </c>
      <c r="B105" s="8" t="str">
        <f t="array" ref="B105">IF(101&gt;$S$1204,"",INDEX($T$5:$AJ$1204,MATCH(101,$S$5:$S$1204,0),2))</f>
        <v/>
      </c>
      <c r="C105" s="10" t="str">
        <f t="array" ref="C105">IF(101&gt;$S$1204,"",INDEX($T$5:$AJ$1204,MATCH(101,$S$5:$S$1204,0),3))</f>
        <v/>
      </c>
      <c r="D105" s="8" t="str">
        <f t="array" ref="D105">IF(101&gt;$S$1204,"",INDEX($T$5:$AJ$1204,MATCH(101,$S$5:$S$1204,0),4))</f>
        <v/>
      </c>
      <c r="E105" s="8" t="str">
        <f t="array" ref="E105">IF(101&gt;$S$1204,"",INDEX($T$5:$AJ$1204,MATCH(101,$S$5:$S$1204,0),5))</f>
        <v/>
      </c>
      <c r="F105" s="8" t="str">
        <f t="array" ref="F105">IF(101&gt;$S$1204,"",INDEX($T$5:$AJ$1204,MATCH(101,$S$5:$S$1204,0),6))</f>
        <v/>
      </c>
      <c r="G105" s="8" t="str">
        <f t="array" ref="G105">IF(101&gt;$S$1204,"",INDEX($T$5:$AJ$1204,MATCH(101,$S$5:$S$1204,0),7))</f>
        <v/>
      </c>
      <c r="H105" s="8" t="str">
        <f t="array" ref="H105">IF(101&gt;$S$1204,"",INDEX($T$5:$AJ$1204,MATCH(101,$S$5:$S$1204,0),8))</f>
        <v/>
      </c>
      <c r="I105" s="8" t="str">
        <f t="array" ref="I105">IF(101&gt;$S$1204,"",INDEX($T$5:$AJ$1204,MATCH(101,$S$5:$S$1204,0),9))</f>
        <v/>
      </c>
      <c r="J105" s="14" t="str">
        <f t="array" ref="J105">IF(101&gt;$S$1204,"",INDEX($T$5:$AJ$1204,MATCH(101,$S$5:$S$1204,0),10))</f>
        <v/>
      </c>
      <c r="K105" s="8" t="str">
        <f t="array" ref="K105">IF(101&gt;$S$1204,"",INDEX($T$5:$AJ$1204,MATCH(101,$S$5:$S$1204,0),11))</f>
        <v/>
      </c>
      <c r="L105" s="8" t="str">
        <f t="array" ref="L105">IF(101&gt;$S$1204,"",INDEX($T$5:$AJ$1204,MATCH(101,$S$5:$S$1204,0),12))</f>
        <v/>
      </c>
      <c r="M105" s="8" t="str">
        <f t="array" ref="M105">IF(101&gt;$S$1204,"",INDEX($T$5:$AJ$1204,MATCH(101,$S$5:$S$1204,0),13))</f>
        <v/>
      </c>
      <c r="N105" s="8" t="str">
        <f t="array" ref="N105">IF(101&gt;$S$1204,"",INDEX($T$5:$AJ$1204,MATCH(101,$S$5:$S$1204,0),14))</f>
        <v/>
      </c>
      <c r="O105" s="15" t="str">
        <f t="array" ref="O105">IF(101&gt;$S$1204,"",INDEX($T$5:$AJ$1204,MATCH(101,$S$5:$S$1204,0),15))</f>
        <v/>
      </c>
      <c r="P105" s="8" t="str">
        <f t="array" ref="P105">IF(101&gt;$S$1204,"",INDEX($T$5:$AJ$1204,MATCH(101,$S$5:$S$1204,0),16))</f>
        <v/>
      </c>
      <c r="Q105" s="8" t="str">
        <f t="array" ref="Q105">IF(101&gt;$S$1204,"",INDEX($T$5:$AJ$1204,MATCH(101,$S$5:$S$1204,0),17))</f>
        <v/>
      </c>
      <c r="R105" s="17"/>
      <c r="S105" s="17">
        <f>S104+IF(M1_Administrativo!A109="",0,1)</f>
        <v>0</v>
      </c>
      <c r="T105" s="17" t="str">
        <f>IF(M1_Administrativo!A109="","",IF(M1_Administrativo!A109="","",M1_Administrativo!A109))</f>
        <v/>
      </c>
      <c r="U105" s="17" t="str">
        <f>IF(M1_Administrativo!A109="","",IF(M1_Administrativo!R109="","",M1_Administrativo!R109))</f>
        <v/>
      </c>
      <c r="V105" s="17" t="str">
        <f>IF(M1_Administrativo!A109="","",IF(M1_Administrativo!D109="","",M1_Administrativo!D109))</f>
        <v/>
      </c>
      <c r="W105" s="17" t="str">
        <f>IF(M1_Administrativo!A109="","",IF(M1_Administrativo!B109="","",M1_Administrativo!B109))</f>
        <v/>
      </c>
      <c r="X105" s="17" t="str">
        <f>IF(M1_Administrativo!A109="","",IF(M1_Administrativo!C109="","",M1_Administrativo!C109))</f>
        <v/>
      </c>
      <c r="Y105" s="17" t="str">
        <f>IF(M1_Administrativo!A109="","",IF(M1_Administrativo!E109="","",M1_Administrativo!E109))</f>
        <v/>
      </c>
      <c r="Z105" s="17" t="str">
        <f>IF(M1_Administrativo!A109="","",IF(M1_Administrativo!F109="","",M1_Administrativo!F109))</f>
        <v/>
      </c>
      <c r="AA105" s="17" t="str">
        <f>IF(M1_Administrativo!A109="","","M1 Administrativo")</f>
        <v/>
      </c>
      <c r="AB105" s="17" t="str">
        <f>IF(M1_Administrativo!A109="","",IF(M1_Administrativo!G109="","",M1_Administrativo!G109))</f>
        <v/>
      </c>
      <c r="AC105" s="17" t="str">
        <f>IF(M1_Administrativo!A109="","",IF(M1_Administrativo!M109="","",M1_Administrativo!M109))</f>
        <v/>
      </c>
      <c r="AD105" s="17" t="str">
        <f>IF(M1_Administrativo!A109="","","RA")</f>
        <v/>
      </c>
      <c r="AE105" s="17" t="str">
        <f>IF(M1_Administrativo!A109="","",IF(M1_Administrativo!O109="","",M1_Administrativo!O109))</f>
        <v/>
      </c>
      <c r="AF105" s="17" t="str">
        <f>IF(M1_Administrativo!A109="","",IF(M1_Administrativo!P109="","",M1_Administrativo!P109))</f>
        <v/>
      </c>
      <c r="AG105" s="17" t="str">
        <f>IF(M1_Administrativo!A109="","",IF(M1_Administrativo!Q109="","",M1_Administrativo!Q109))</f>
        <v/>
      </c>
      <c r="AH105" s="17" t="str">
        <f>IF(M1_Administrativo!A109="","","")</f>
        <v/>
      </c>
      <c r="AI105" s="17" t="str">
        <f>IF(M1_Administrativo!A109="","","M1_Administrativo!109")</f>
        <v/>
      </c>
      <c r="AJ105" s="17" t="str">
        <f>IF(M1_Administrativo!A109="","",IF(M1_Administrativo!M109="","Pendiente de resultado","Disponible"))</f>
        <v/>
      </c>
    </row>
    <row r="106" spans="1:36" ht="55.5" customHeight="1">
      <c r="A106" s="6" t="str">
        <f t="array" ref="A106">IF(102&gt;$S$1204,"",INDEX($T$5:$AJ$1204,MATCH(102,$S$5:$S$1204,0),1))</f>
        <v/>
      </c>
      <c r="B106" s="8" t="str">
        <f t="array" ref="B106">IF(102&gt;$S$1204,"",INDEX($T$5:$AJ$1204,MATCH(102,$S$5:$S$1204,0),2))</f>
        <v/>
      </c>
      <c r="C106" s="10" t="str">
        <f t="array" ref="C106">IF(102&gt;$S$1204,"",INDEX($T$5:$AJ$1204,MATCH(102,$S$5:$S$1204,0),3))</f>
        <v/>
      </c>
      <c r="D106" s="8" t="str">
        <f t="array" ref="D106">IF(102&gt;$S$1204,"",INDEX($T$5:$AJ$1204,MATCH(102,$S$5:$S$1204,0),4))</f>
        <v/>
      </c>
      <c r="E106" s="8" t="str">
        <f t="array" ref="E106">IF(102&gt;$S$1204,"",INDEX($T$5:$AJ$1204,MATCH(102,$S$5:$S$1204,0),5))</f>
        <v/>
      </c>
      <c r="F106" s="8" t="str">
        <f t="array" ref="F106">IF(102&gt;$S$1204,"",INDEX($T$5:$AJ$1204,MATCH(102,$S$5:$S$1204,0),6))</f>
        <v/>
      </c>
      <c r="G106" s="8" t="str">
        <f t="array" ref="G106">IF(102&gt;$S$1204,"",INDEX($T$5:$AJ$1204,MATCH(102,$S$5:$S$1204,0),7))</f>
        <v/>
      </c>
      <c r="H106" s="8" t="str">
        <f t="array" ref="H106">IF(102&gt;$S$1204,"",INDEX($T$5:$AJ$1204,MATCH(102,$S$5:$S$1204,0),8))</f>
        <v/>
      </c>
      <c r="I106" s="8" t="str">
        <f t="array" ref="I106">IF(102&gt;$S$1204,"",INDEX($T$5:$AJ$1204,MATCH(102,$S$5:$S$1204,0),9))</f>
        <v/>
      </c>
      <c r="J106" s="14" t="str">
        <f t="array" ref="J106">IF(102&gt;$S$1204,"",INDEX($T$5:$AJ$1204,MATCH(102,$S$5:$S$1204,0),10))</f>
        <v/>
      </c>
      <c r="K106" s="8" t="str">
        <f t="array" ref="K106">IF(102&gt;$S$1204,"",INDEX($T$5:$AJ$1204,MATCH(102,$S$5:$S$1204,0),11))</f>
        <v/>
      </c>
      <c r="L106" s="8" t="str">
        <f t="array" ref="L106">IF(102&gt;$S$1204,"",INDEX($T$5:$AJ$1204,MATCH(102,$S$5:$S$1204,0),12))</f>
        <v/>
      </c>
      <c r="M106" s="8" t="str">
        <f t="array" ref="M106">IF(102&gt;$S$1204,"",INDEX($T$5:$AJ$1204,MATCH(102,$S$5:$S$1204,0),13))</f>
        <v/>
      </c>
      <c r="N106" s="8" t="str">
        <f t="array" ref="N106">IF(102&gt;$S$1204,"",INDEX($T$5:$AJ$1204,MATCH(102,$S$5:$S$1204,0),14))</f>
        <v/>
      </c>
      <c r="O106" s="15" t="str">
        <f t="array" ref="O106">IF(102&gt;$S$1204,"",INDEX($T$5:$AJ$1204,MATCH(102,$S$5:$S$1204,0),15))</f>
        <v/>
      </c>
      <c r="P106" s="8" t="str">
        <f t="array" ref="P106">IF(102&gt;$S$1204,"",INDEX($T$5:$AJ$1204,MATCH(102,$S$5:$S$1204,0),16))</f>
        <v/>
      </c>
      <c r="Q106" s="8" t="str">
        <f t="array" ref="Q106">IF(102&gt;$S$1204,"",INDEX($T$5:$AJ$1204,MATCH(102,$S$5:$S$1204,0),17))</f>
        <v/>
      </c>
      <c r="R106" s="17"/>
      <c r="S106" s="17">
        <f>S105+IF(M1_Administrativo!A110="",0,1)</f>
        <v>0</v>
      </c>
      <c r="T106" s="17" t="str">
        <f>IF(M1_Administrativo!A110="","",IF(M1_Administrativo!A110="","",M1_Administrativo!A110))</f>
        <v/>
      </c>
      <c r="U106" s="17" t="str">
        <f>IF(M1_Administrativo!A110="","",IF(M1_Administrativo!R110="","",M1_Administrativo!R110))</f>
        <v/>
      </c>
      <c r="V106" s="17" t="str">
        <f>IF(M1_Administrativo!A110="","",IF(M1_Administrativo!D110="","",M1_Administrativo!D110))</f>
        <v/>
      </c>
      <c r="W106" s="17" t="str">
        <f>IF(M1_Administrativo!A110="","",IF(M1_Administrativo!B110="","",M1_Administrativo!B110))</f>
        <v/>
      </c>
      <c r="X106" s="17" t="str">
        <f>IF(M1_Administrativo!A110="","",IF(M1_Administrativo!C110="","",M1_Administrativo!C110))</f>
        <v/>
      </c>
      <c r="Y106" s="17" t="str">
        <f>IF(M1_Administrativo!A110="","",IF(M1_Administrativo!E110="","",M1_Administrativo!E110))</f>
        <v/>
      </c>
      <c r="Z106" s="17" t="str">
        <f>IF(M1_Administrativo!A110="","",IF(M1_Administrativo!F110="","",M1_Administrativo!F110))</f>
        <v/>
      </c>
      <c r="AA106" s="17" t="str">
        <f>IF(M1_Administrativo!A110="","","M1 Administrativo")</f>
        <v/>
      </c>
      <c r="AB106" s="17" t="str">
        <f>IF(M1_Administrativo!A110="","",IF(M1_Administrativo!G110="","",M1_Administrativo!G110))</f>
        <v/>
      </c>
      <c r="AC106" s="17" t="str">
        <f>IF(M1_Administrativo!A110="","",IF(M1_Administrativo!M110="","",M1_Administrativo!M110))</f>
        <v/>
      </c>
      <c r="AD106" s="17" t="str">
        <f>IF(M1_Administrativo!A110="","","RA")</f>
        <v/>
      </c>
      <c r="AE106" s="17" t="str">
        <f>IF(M1_Administrativo!A110="","",IF(M1_Administrativo!O110="","",M1_Administrativo!O110))</f>
        <v/>
      </c>
      <c r="AF106" s="17" t="str">
        <f>IF(M1_Administrativo!A110="","",IF(M1_Administrativo!P110="","",M1_Administrativo!P110))</f>
        <v/>
      </c>
      <c r="AG106" s="17" t="str">
        <f>IF(M1_Administrativo!A110="","",IF(M1_Administrativo!Q110="","",M1_Administrativo!Q110))</f>
        <v/>
      </c>
      <c r="AH106" s="17" t="str">
        <f>IF(M1_Administrativo!A110="","","")</f>
        <v/>
      </c>
      <c r="AI106" s="17" t="str">
        <f>IF(M1_Administrativo!A110="","","M1_Administrativo!110")</f>
        <v/>
      </c>
      <c r="AJ106" s="17" t="str">
        <f>IF(M1_Administrativo!A110="","",IF(M1_Administrativo!M110="","Pendiente de resultado","Disponible"))</f>
        <v/>
      </c>
    </row>
    <row r="107" spans="1:36" ht="55.5" customHeight="1">
      <c r="A107" s="6" t="str">
        <f t="array" ref="A107">IF(103&gt;$S$1204,"",INDEX($T$5:$AJ$1204,MATCH(103,$S$5:$S$1204,0),1))</f>
        <v/>
      </c>
      <c r="B107" s="8" t="str">
        <f t="array" ref="B107">IF(103&gt;$S$1204,"",INDEX($T$5:$AJ$1204,MATCH(103,$S$5:$S$1204,0),2))</f>
        <v/>
      </c>
      <c r="C107" s="10" t="str">
        <f t="array" ref="C107">IF(103&gt;$S$1204,"",INDEX($T$5:$AJ$1204,MATCH(103,$S$5:$S$1204,0),3))</f>
        <v/>
      </c>
      <c r="D107" s="8" t="str">
        <f t="array" ref="D107">IF(103&gt;$S$1204,"",INDEX($T$5:$AJ$1204,MATCH(103,$S$5:$S$1204,0),4))</f>
        <v/>
      </c>
      <c r="E107" s="8" t="str">
        <f t="array" ref="E107">IF(103&gt;$S$1204,"",INDEX($T$5:$AJ$1204,MATCH(103,$S$5:$S$1204,0),5))</f>
        <v/>
      </c>
      <c r="F107" s="8" t="str">
        <f t="array" ref="F107">IF(103&gt;$S$1204,"",INDEX($T$5:$AJ$1204,MATCH(103,$S$5:$S$1204,0),6))</f>
        <v/>
      </c>
      <c r="G107" s="8" t="str">
        <f t="array" ref="G107">IF(103&gt;$S$1204,"",INDEX($T$5:$AJ$1204,MATCH(103,$S$5:$S$1204,0),7))</f>
        <v/>
      </c>
      <c r="H107" s="8" t="str">
        <f t="array" ref="H107">IF(103&gt;$S$1204,"",INDEX($T$5:$AJ$1204,MATCH(103,$S$5:$S$1204,0),8))</f>
        <v/>
      </c>
      <c r="I107" s="8" t="str">
        <f t="array" ref="I107">IF(103&gt;$S$1204,"",INDEX($T$5:$AJ$1204,MATCH(103,$S$5:$S$1204,0),9))</f>
        <v/>
      </c>
      <c r="J107" s="14" t="str">
        <f t="array" ref="J107">IF(103&gt;$S$1204,"",INDEX($T$5:$AJ$1204,MATCH(103,$S$5:$S$1204,0),10))</f>
        <v/>
      </c>
      <c r="K107" s="8" t="str">
        <f t="array" ref="K107">IF(103&gt;$S$1204,"",INDEX($T$5:$AJ$1204,MATCH(103,$S$5:$S$1204,0),11))</f>
        <v/>
      </c>
      <c r="L107" s="8" t="str">
        <f t="array" ref="L107">IF(103&gt;$S$1204,"",INDEX($T$5:$AJ$1204,MATCH(103,$S$5:$S$1204,0),12))</f>
        <v/>
      </c>
      <c r="M107" s="8" t="str">
        <f t="array" ref="M107">IF(103&gt;$S$1204,"",INDEX($T$5:$AJ$1204,MATCH(103,$S$5:$S$1204,0),13))</f>
        <v/>
      </c>
      <c r="N107" s="8" t="str">
        <f t="array" ref="N107">IF(103&gt;$S$1204,"",INDEX($T$5:$AJ$1204,MATCH(103,$S$5:$S$1204,0),14))</f>
        <v/>
      </c>
      <c r="O107" s="15" t="str">
        <f t="array" ref="O107">IF(103&gt;$S$1204,"",INDEX($T$5:$AJ$1204,MATCH(103,$S$5:$S$1204,0),15))</f>
        <v/>
      </c>
      <c r="P107" s="8" t="str">
        <f t="array" ref="P107">IF(103&gt;$S$1204,"",INDEX($T$5:$AJ$1204,MATCH(103,$S$5:$S$1204,0),16))</f>
        <v/>
      </c>
      <c r="Q107" s="8" t="str">
        <f t="array" ref="Q107">IF(103&gt;$S$1204,"",INDEX($T$5:$AJ$1204,MATCH(103,$S$5:$S$1204,0),17))</f>
        <v/>
      </c>
      <c r="R107" s="17"/>
      <c r="S107" s="17">
        <f>S106+IF(M1_Administrativo!A111="",0,1)</f>
        <v>0</v>
      </c>
      <c r="T107" s="17" t="str">
        <f>IF(M1_Administrativo!A111="","",IF(M1_Administrativo!A111="","",M1_Administrativo!A111))</f>
        <v/>
      </c>
      <c r="U107" s="17" t="str">
        <f>IF(M1_Administrativo!A111="","",IF(M1_Administrativo!R111="","",M1_Administrativo!R111))</f>
        <v/>
      </c>
      <c r="V107" s="17" t="str">
        <f>IF(M1_Administrativo!A111="","",IF(M1_Administrativo!D111="","",M1_Administrativo!D111))</f>
        <v/>
      </c>
      <c r="W107" s="17" t="str">
        <f>IF(M1_Administrativo!A111="","",IF(M1_Administrativo!B111="","",M1_Administrativo!B111))</f>
        <v/>
      </c>
      <c r="X107" s="17" t="str">
        <f>IF(M1_Administrativo!A111="","",IF(M1_Administrativo!C111="","",M1_Administrativo!C111))</f>
        <v/>
      </c>
      <c r="Y107" s="17" t="str">
        <f>IF(M1_Administrativo!A111="","",IF(M1_Administrativo!E111="","",M1_Administrativo!E111))</f>
        <v/>
      </c>
      <c r="Z107" s="17" t="str">
        <f>IF(M1_Administrativo!A111="","",IF(M1_Administrativo!F111="","",M1_Administrativo!F111))</f>
        <v/>
      </c>
      <c r="AA107" s="17" t="str">
        <f>IF(M1_Administrativo!A111="","","M1 Administrativo")</f>
        <v/>
      </c>
      <c r="AB107" s="17" t="str">
        <f>IF(M1_Administrativo!A111="","",IF(M1_Administrativo!G111="","",M1_Administrativo!G111))</f>
        <v/>
      </c>
      <c r="AC107" s="17" t="str">
        <f>IF(M1_Administrativo!A111="","",IF(M1_Administrativo!M111="","",M1_Administrativo!M111))</f>
        <v/>
      </c>
      <c r="AD107" s="17" t="str">
        <f>IF(M1_Administrativo!A111="","","RA")</f>
        <v/>
      </c>
      <c r="AE107" s="17" t="str">
        <f>IF(M1_Administrativo!A111="","",IF(M1_Administrativo!O111="","",M1_Administrativo!O111))</f>
        <v/>
      </c>
      <c r="AF107" s="17" t="str">
        <f>IF(M1_Administrativo!A111="","",IF(M1_Administrativo!P111="","",M1_Administrativo!P111))</f>
        <v/>
      </c>
      <c r="AG107" s="17" t="str">
        <f>IF(M1_Administrativo!A111="","",IF(M1_Administrativo!Q111="","",M1_Administrativo!Q111))</f>
        <v/>
      </c>
      <c r="AH107" s="17" t="str">
        <f>IF(M1_Administrativo!A111="","","")</f>
        <v/>
      </c>
      <c r="AI107" s="17" t="str">
        <f>IF(M1_Administrativo!A111="","","M1_Administrativo!111")</f>
        <v/>
      </c>
      <c r="AJ107" s="17" t="str">
        <f>IF(M1_Administrativo!A111="","",IF(M1_Administrativo!M111="","Pendiente de resultado","Disponible"))</f>
        <v/>
      </c>
    </row>
    <row r="108" spans="1:36" ht="55.5" customHeight="1">
      <c r="A108" s="6" t="str">
        <f t="array" ref="A108">IF(104&gt;$S$1204,"",INDEX($T$5:$AJ$1204,MATCH(104,$S$5:$S$1204,0),1))</f>
        <v/>
      </c>
      <c r="B108" s="8" t="str">
        <f t="array" ref="B108">IF(104&gt;$S$1204,"",INDEX($T$5:$AJ$1204,MATCH(104,$S$5:$S$1204,0),2))</f>
        <v/>
      </c>
      <c r="C108" s="10" t="str">
        <f t="array" ref="C108">IF(104&gt;$S$1204,"",INDEX($T$5:$AJ$1204,MATCH(104,$S$5:$S$1204,0),3))</f>
        <v/>
      </c>
      <c r="D108" s="8" t="str">
        <f t="array" ref="D108">IF(104&gt;$S$1204,"",INDEX($T$5:$AJ$1204,MATCH(104,$S$5:$S$1204,0),4))</f>
        <v/>
      </c>
      <c r="E108" s="8" t="str">
        <f t="array" ref="E108">IF(104&gt;$S$1204,"",INDEX($T$5:$AJ$1204,MATCH(104,$S$5:$S$1204,0),5))</f>
        <v/>
      </c>
      <c r="F108" s="8" t="str">
        <f t="array" ref="F108">IF(104&gt;$S$1204,"",INDEX($T$5:$AJ$1204,MATCH(104,$S$5:$S$1204,0),6))</f>
        <v/>
      </c>
      <c r="G108" s="8" t="str">
        <f t="array" ref="G108">IF(104&gt;$S$1204,"",INDEX($T$5:$AJ$1204,MATCH(104,$S$5:$S$1204,0),7))</f>
        <v/>
      </c>
      <c r="H108" s="8" t="str">
        <f t="array" ref="H108">IF(104&gt;$S$1204,"",INDEX($T$5:$AJ$1204,MATCH(104,$S$5:$S$1204,0),8))</f>
        <v/>
      </c>
      <c r="I108" s="8" t="str">
        <f t="array" ref="I108">IF(104&gt;$S$1204,"",INDEX($T$5:$AJ$1204,MATCH(104,$S$5:$S$1204,0),9))</f>
        <v/>
      </c>
      <c r="J108" s="14" t="str">
        <f t="array" ref="J108">IF(104&gt;$S$1204,"",INDEX($T$5:$AJ$1204,MATCH(104,$S$5:$S$1204,0),10))</f>
        <v/>
      </c>
      <c r="K108" s="8" t="str">
        <f t="array" ref="K108">IF(104&gt;$S$1204,"",INDEX($T$5:$AJ$1204,MATCH(104,$S$5:$S$1204,0),11))</f>
        <v/>
      </c>
      <c r="L108" s="8" t="str">
        <f t="array" ref="L108">IF(104&gt;$S$1204,"",INDEX($T$5:$AJ$1204,MATCH(104,$S$5:$S$1204,0),12))</f>
        <v/>
      </c>
      <c r="M108" s="8" t="str">
        <f t="array" ref="M108">IF(104&gt;$S$1204,"",INDEX($T$5:$AJ$1204,MATCH(104,$S$5:$S$1204,0),13))</f>
        <v/>
      </c>
      <c r="N108" s="8" t="str">
        <f t="array" ref="N108">IF(104&gt;$S$1204,"",INDEX($T$5:$AJ$1204,MATCH(104,$S$5:$S$1204,0),14))</f>
        <v/>
      </c>
      <c r="O108" s="15" t="str">
        <f t="array" ref="O108">IF(104&gt;$S$1204,"",INDEX($T$5:$AJ$1204,MATCH(104,$S$5:$S$1204,0),15))</f>
        <v/>
      </c>
      <c r="P108" s="8" t="str">
        <f t="array" ref="P108">IF(104&gt;$S$1204,"",INDEX($T$5:$AJ$1204,MATCH(104,$S$5:$S$1204,0),16))</f>
        <v/>
      </c>
      <c r="Q108" s="8" t="str">
        <f t="array" ref="Q108">IF(104&gt;$S$1204,"",INDEX($T$5:$AJ$1204,MATCH(104,$S$5:$S$1204,0),17))</f>
        <v/>
      </c>
      <c r="R108" s="17"/>
      <c r="S108" s="17">
        <f>S107+IF(M1_Administrativo!A112="",0,1)</f>
        <v>0</v>
      </c>
      <c r="T108" s="17" t="str">
        <f>IF(M1_Administrativo!A112="","",IF(M1_Administrativo!A112="","",M1_Administrativo!A112))</f>
        <v/>
      </c>
      <c r="U108" s="17" t="str">
        <f>IF(M1_Administrativo!A112="","",IF(M1_Administrativo!R112="","",M1_Administrativo!R112))</f>
        <v/>
      </c>
      <c r="V108" s="17" t="str">
        <f>IF(M1_Administrativo!A112="","",IF(M1_Administrativo!D112="","",M1_Administrativo!D112))</f>
        <v/>
      </c>
      <c r="W108" s="17" t="str">
        <f>IF(M1_Administrativo!A112="","",IF(M1_Administrativo!B112="","",M1_Administrativo!B112))</f>
        <v/>
      </c>
      <c r="X108" s="17" t="str">
        <f>IF(M1_Administrativo!A112="","",IF(M1_Administrativo!C112="","",M1_Administrativo!C112))</f>
        <v/>
      </c>
      <c r="Y108" s="17" t="str">
        <f>IF(M1_Administrativo!A112="","",IF(M1_Administrativo!E112="","",M1_Administrativo!E112))</f>
        <v/>
      </c>
      <c r="Z108" s="17" t="str">
        <f>IF(M1_Administrativo!A112="","",IF(M1_Administrativo!F112="","",M1_Administrativo!F112))</f>
        <v/>
      </c>
      <c r="AA108" s="17" t="str">
        <f>IF(M1_Administrativo!A112="","","M1 Administrativo")</f>
        <v/>
      </c>
      <c r="AB108" s="17" t="str">
        <f>IF(M1_Administrativo!A112="","",IF(M1_Administrativo!G112="","",M1_Administrativo!G112))</f>
        <v/>
      </c>
      <c r="AC108" s="17" t="str">
        <f>IF(M1_Administrativo!A112="","",IF(M1_Administrativo!M112="","",M1_Administrativo!M112))</f>
        <v/>
      </c>
      <c r="AD108" s="17" t="str">
        <f>IF(M1_Administrativo!A112="","","RA")</f>
        <v/>
      </c>
      <c r="AE108" s="17" t="str">
        <f>IF(M1_Administrativo!A112="","",IF(M1_Administrativo!O112="","",M1_Administrativo!O112))</f>
        <v/>
      </c>
      <c r="AF108" s="17" t="str">
        <f>IF(M1_Administrativo!A112="","",IF(M1_Administrativo!P112="","",M1_Administrativo!P112))</f>
        <v/>
      </c>
      <c r="AG108" s="17" t="str">
        <f>IF(M1_Administrativo!A112="","",IF(M1_Administrativo!Q112="","",M1_Administrativo!Q112))</f>
        <v/>
      </c>
      <c r="AH108" s="17" t="str">
        <f>IF(M1_Administrativo!A112="","","")</f>
        <v/>
      </c>
      <c r="AI108" s="17" t="str">
        <f>IF(M1_Administrativo!A112="","","M1_Administrativo!112")</f>
        <v/>
      </c>
      <c r="AJ108" s="17" t="str">
        <f>IF(M1_Administrativo!A112="","",IF(M1_Administrativo!M112="","Pendiente de resultado","Disponible"))</f>
        <v/>
      </c>
    </row>
    <row r="109" spans="1:36" ht="55.5" customHeight="1">
      <c r="A109" s="6" t="str">
        <f t="array" ref="A109">IF(105&gt;$S$1204,"",INDEX($T$5:$AJ$1204,MATCH(105,$S$5:$S$1204,0),1))</f>
        <v/>
      </c>
      <c r="B109" s="8" t="str">
        <f t="array" ref="B109">IF(105&gt;$S$1204,"",INDEX($T$5:$AJ$1204,MATCH(105,$S$5:$S$1204,0),2))</f>
        <v/>
      </c>
      <c r="C109" s="10" t="str">
        <f t="array" ref="C109">IF(105&gt;$S$1204,"",INDEX($T$5:$AJ$1204,MATCH(105,$S$5:$S$1204,0),3))</f>
        <v/>
      </c>
      <c r="D109" s="8" t="str">
        <f t="array" ref="D109">IF(105&gt;$S$1204,"",INDEX($T$5:$AJ$1204,MATCH(105,$S$5:$S$1204,0),4))</f>
        <v/>
      </c>
      <c r="E109" s="8" t="str">
        <f t="array" ref="E109">IF(105&gt;$S$1204,"",INDEX($T$5:$AJ$1204,MATCH(105,$S$5:$S$1204,0),5))</f>
        <v/>
      </c>
      <c r="F109" s="8" t="str">
        <f t="array" ref="F109">IF(105&gt;$S$1204,"",INDEX($T$5:$AJ$1204,MATCH(105,$S$5:$S$1204,0),6))</f>
        <v/>
      </c>
      <c r="G109" s="8" t="str">
        <f t="array" ref="G109">IF(105&gt;$S$1204,"",INDEX($T$5:$AJ$1204,MATCH(105,$S$5:$S$1204,0),7))</f>
        <v/>
      </c>
      <c r="H109" s="8" t="str">
        <f t="array" ref="H109">IF(105&gt;$S$1204,"",INDEX($T$5:$AJ$1204,MATCH(105,$S$5:$S$1204,0),8))</f>
        <v/>
      </c>
      <c r="I109" s="8" t="str">
        <f t="array" ref="I109">IF(105&gt;$S$1204,"",INDEX($T$5:$AJ$1204,MATCH(105,$S$5:$S$1204,0),9))</f>
        <v/>
      </c>
      <c r="J109" s="14" t="str">
        <f t="array" ref="J109">IF(105&gt;$S$1204,"",INDEX($T$5:$AJ$1204,MATCH(105,$S$5:$S$1204,0),10))</f>
        <v/>
      </c>
      <c r="K109" s="8" t="str">
        <f t="array" ref="K109">IF(105&gt;$S$1204,"",INDEX($T$5:$AJ$1204,MATCH(105,$S$5:$S$1204,0),11))</f>
        <v/>
      </c>
      <c r="L109" s="8" t="str">
        <f t="array" ref="L109">IF(105&gt;$S$1204,"",INDEX($T$5:$AJ$1204,MATCH(105,$S$5:$S$1204,0),12))</f>
        <v/>
      </c>
      <c r="M109" s="8" t="str">
        <f t="array" ref="M109">IF(105&gt;$S$1204,"",INDEX($T$5:$AJ$1204,MATCH(105,$S$5:$S$1204,0),13))</f>
        <v/>
      </c>
      <c r="N109" s="8" t="str">
        <f t="array" ref="N109">IF(105&gt;$S$1204,"",INDEX($T$5:$AJ$1204,MATCH(105,$S$5:$S$1204,0),14))</f>
        <v/>
      </c>
      <c r="O109" s="15" t="str">
        <f t="array" ref="O109">IF(105&gt;$S$1204,"",INDEX($T$5:$AJ$1204,MATCH(105,$S$5:$S$1204,0),15))</f>
        <v/>
      </c>
      <c r="P109" s="8" t="str">
        <f t="array" ref="P109">IF(105&gt;$S$1204,"",INDEX($T$5:$AJ$1204,MATCH(105,$S$5:$S$1204,0),16))</f>
        <v/>
      </c>
      <c r="Q109" s="8" t="str">
        <f t="array" ref="Q109">IF(105&gt;$S$1204,"",INDEX($T$5:$AJ$1204,MATCH(105,$S$5:$S$1204,0),17))</f>
        <v/>
      </c>
      <c r="R109" s="17"/>
      <c r="S109" s="17">
        <f>S108+IF(M1_Administrativo!A113="",0,1)</f>
        <v>0</v>
      </c>
      <c r="T109" s="17" t="str">
        <f>IF(M1_Administrativo!A113="","",IF(M1_Administrativo!A113="","",M1_Administrativo!A113))</f>
        <v/>
      </c>
      <c r="U109" s="17" t="str">
        <f>IF(M1_Administrativo!A113="","",IF(M1_Administrativo!R113="","",M1_Administrativo!R113))</f>
        <v/>
      </c>
      <c r="V109" s="17" t="str">
        <f>IF(M1_Administrativo!A113="","",IF(M1_Administrativo!D113="","",M1_Administrativo!D113))</f>
        <v/>
      </c>
      <c r="W109" s="17" t="str">
        <f>IF(M1_Administrativo!A113="","",IF(M1_Administrativo!B113="","",M1_Administrativo!B113))</f>
        <v/>
      </c>
      <c r="X109" s="17" t="str">
        <f>IF(M1_Administrativo!A113="","",IF(M1_Administrativo!C113="","",M1_Administrativo!C113))</f>
        <v/>
      </c>
      <c r="Y109" s="17" t="str">
        <f>IF(M1_Administrativo!A113="","",IF(M1_Administrativo!E113="","",M1_Administrativo!E113))</f>
        <v/>
      </c>
      <c r="Z109" s="17" t="str">
        <f>IF(M1_Administrativo!A113="","",IF(M1_Administrativo!F113="","",M1_Administrativo!F113))</f>
        <v/>
      </c>
      <c r="AA109" s="17" t="str">
        <f>IF(M1_Administrativo!A113="","","M1 Administrativo")</f>
        <v/>
      </c>
      <c r="AB109" s="17" t="str">
        <f>IF(M1_Administrativo!A113="","",IF(M1_Administrativo!G113="","",M1_Administrativo!G113))</f>
        <v/>
      </c>
      <c r="AC109" s="17" t="str">
        <f>IF(M1_Administrativo!A113="","",IF(M1_Administrativo!M113="","",M1_Administrativo!M113))</f>
        <v/>
      </c>
      <c r="AD109" s="17" t="str">
        <f>IF(M1_Administrativo!A113="","","RA")</f>
        <v/>
      </c>
      <c r="AE109" s="17" t="str">
        <f>IF(M1_Administrativo!A113="","",IF(M1_Administrativo!O113="","",M1_Administrativo!O113))</f>
        <v/>
      </c>
      <c r="AF109" s="17" t="str">
        <f>IF(M1_Administrativo!A113="","",IF(M1_Administrativo!P113="","",M1_Administrativo!P113))</f>
        <v/>
      </c>
      <c r="AG109" s="17" t="str">
        <f>IF(M1_Administrativo!A113="","",IF(M1_Administrativo!Q113="","",M1_Administrativo!Q113))</f>
        <v/>
      </c>
      <c r="AH109" s="17" t="str">
        <f>IF(M1_Administrativo!A113="","","")</f>
        <v/>
      </c>
      <c r="AI109" s="17" t="str">
        <f>IF(M1_Administrativo!A113="","","M1_Administrativo!113")</f>
        <v/>
      </c>
      <c r="AJ109" s="17" t="str">
        <f>IF(M1_Administrativo!A113="","",IF(M1_Administrativo!M113="","Pendiente de resultado","Disponible"))</f>
        <v/>
      </c>
    </row>
    <row r="110" spans="1:36" ht="55.5" customHeight="1">
      <c r="A110" s="6" t="str">
        <f t="array" ref="A110">IF(106&gt;$S$1204,"",INDEX($T$5:$AJ$1204,MATCH(106,$S$5:$S$1204,0),1))</f>
        <v/>
      </c>
      <c r="B110" s="8" t="str">
        <f t="array" ref="B110">IF(106&gt;$S$1204,"",INDEX($T$5:$AJ$1204,MATCH(106,$S$5:$S$1204,0),2))</f>
        <v/>
      </c>
      <c r="C110" s="10" t="str">
        <f t="array" ref="C110">IF(106&gt;$S$1204,"",INDEX($T$5:$AJ$1204,MATCH(106,$S$5:$S$1204,0),3))</f>
        <v/>
      </c>
      <c r="D110" s="8" t="str">
        <f t="array" ref="D110">IF(106&gt;$S$1204,"",INDEX($T$5:$AJ$1204,MATCH(106,$S$5:$S$1204,0),4))</f>
        <v/>
      </c>
      <c r="E110" s="8" t="str">
        <f t="array" ref="E110">IF(106&gt;$S$1204,"",INDEX($T$5:$AJ$1204,MATCH(106,$S$5:$S$1204,0),5))</f>
        <v/>
      </c>
      <c r="F110" s="8" t="str">
        <f t="array" ref="F110">IF(106&gt;$S$1204,"",INDEX($T$5:$AJ$1204,MATCH(106,$S$5:$S$1204,0),6))</f>
        <v/>
      </c>
      <c r="G110" s="8" t="str">
        <f t="array" ref="G110">IF(106&gt;$S$1204,"",INDEX($T$5:$AJ$1204,MATCH(106,$S$5:$S$1204,0),7))</f>
        <v/>
      </c>
      <c r="H110" s="8" t="str">
        <f t="array" ref="H110">IF(106&gt;$S$1204,"",INDEX($T$5:$AJ$1204,MATCH(106,$S$5:$S$1204,0),8))</f>
        <v/>
      </c>
      <c r="I110" s="8" t="str">
        <f t="array" ref="I110">IF(106&gt;$S$1204,"",INDEX($T$5:$AJ$1204,MATCH(106,$S$5:$S$1204,0),9))</f>
        <v/>
      </c>
      <c r="J110" s="14" t="str">
        <f t="array" ref="J110">IF(106&gt;$S$1204,"",INDEX($T$5:$AJ$1204,MATCH(106,$S$5:$S$1204,0),10))</f>
        <v/>
      </c>
      <c r="K110" s="8" t="str">
        <f t="array" ref="K110">IF(106&gt;$S$1204,"",INDEX($T$5:$AJ$1204,MATCH(106,$S$5:$S$1204,0),11))</f>
        <v/>
      </c>
      <c r="L110" s="8" t="str">
        <f t="array" ref="L110">IF(106&gt;$S$1204,"",INDEX($T$5:$AJ$1204,MATCH(106,$S$5:$S$1204,0),12))</f>
        <v/>
      </c>
      <c r="M110" s="8" t="str">
        <f t="array" ref="M110">IF(106&gt;$S$1204,"",INDEX($T$5:$AJ$1204,MATCH(106,$S$5:$S$1204,0),13))</f>
        <v/>
      </c>
      <c r="N110" s="8" t="str">
        <f t="array" ref="N110">IF(106&gt;$S$1204,"",INDEX($T$5:$AJ$1204,MATCH(106,$S$5:$S$1204,0),14))</f>
        <v/>
      </c>
      <c r="O110" s="15" t="str">
        <f t="array" ref="O110">IF(106&gt;$S$1204,"",INDEX($T$5:$AJ$1204,MATCH(106,$S$5:$S$1204,0),15))</f>
        <v/>
      </c>
      <c r="P110" s="8" t="str">
        <f t="array" ref="P110">IF(106&gt;$S$1204,"",INDEX($T$5:$AJ$1204,MATCH(106,$S$5:$S$1204,0),16))</f>
        <v/>
      </c>
      <c r="Q110" s="8" t="str">
        <f t="array" ref="Q110">IF(106&gt;$S$1204,"",INDEX($T$5:$AJ$1204,MATCH(106,$S$5:$S$1204,0),17))</f>
        <v/>
      </c>
      <c r="R110" s="17"/>
      <c r="S110" s="17">
        <f>S109+IF(M1_Administrativo!A114="",0,1)</f>
        <v>0</v>
      </c>
      <c r="T110" s="17" t="str">
        <f>IF(M1_Administrativo!A114="","",IF(M1_Administrativo!A114="","",M1_Administrativo!A114))</f>
        <v/>
      </c>
      <c r="U110" s="17" t="str">
        <f>IF(M1_Administrativo!A114="","",IF(M1_Administrativo!R114="","",M1_Administrativo!R114))</f>
        <v/>
      </c>
      <c r="V110" s="17" t="str">
        <f>IF(M1_Administrativo!A114="","",IF(M1_Administrativo!D114="","",M1_Administrativo!D114))</f>
        <v/>
      </c>
      <c r="W110" s="17" t="str">
        <f>IF(M1_Administrativo!A114="","",IF(M1_Administrativo!B114="","",M1_Administrativo!B114))</f>
        <v/>
      </c>
      <c r="X110" s="17" t="str">
        <f>IF(M1_Administrativo!A114="","",IF(M1_Administrativo!C114="","",M1_Administrativo!C114))</f>
        <v/>
      </c>
      <c r="Y110" s="17" t="str">
        <f>IF(M1_Administrativo!A114="","",IF(M1_Administrativo!E114="","",M1_Administrativo!E114))</f>
        <v/>
      </c>
      <c r="Z110" s="17" t="str">
        <f>IF(M1_Administrativo!A114="","",IF(M1_Administrativo!F114="","",M1_Administrativo!F114))</f>
        <v/>
      </c>
      <c r="AA110" s="17" t="str">
        <f>IF(M1_Administrativo!A114="","","M1 Administrativo")</f>
        <v/>
      </c>
      <c r="AB110" s="17" t="str">
        <f>IF(M1_Administrativo!A114="","",IF(M1_Administrativo!G114="","",M1_Administrativo!G114))</f>
        <v/>
      </c>
      <c r="AC110" s="17" t="str">
        <f>IF(M1_Administrativo!A114="","",IF(M1_Administrativo!M114="","",M1_Administrativo!M114))</f>
        <v/>
      </c>
      <c r="AD110" s="17" t="str">
        <f>IF(M1_Administrativo!A114="","","RA")</f>
        <v/>
      </c>
      <c r="AE110" s="17" t="str">
        <f>IF(M1_Administrativo!A114="","",IF(M1_Administrativo!O114="","",M1_Administrativo!O114))</f>
        <v/>
      </c>
      <c r="AF110" s="17" t="str">
        <f>IF(M1_Administrativo!A114="","",IF(M1_Administrativo!P114="","",M1_Administrativo!P114))</f>
        <v/>
      </c>
      <c r="AG110" s="17" t="str">
        <f>IF(M1_Administrativo!A114="","",IF(M1_Administrativo!Q114="","",M1_Administrativo!Q114))</f>
        <v/>
      </c>
      <c r="AH110" s="17" t="str">
        <f>IF(M1_Administrativo!A114="","","")</f>
        <v/>
      </c>
      <c r="AI110" s="17" t="str">
        <f>IF(M1_Administrativo!A114="","","M1_Administrativo!114")</f>
        <v/>
      </c>
      <c r="AJ110" s="17" t="str">
        <f>IF(M1_Administrativo!A114="","",IF(M1_Administrativo!M114="","Pendiente de resultado","Disponible"))</f>
        <v/>
      </c>
    </row>
    <row r="111" spans="1:36" ht="55.5" customHeight="1">
      <c r="A111" s="6" t="str">
        <f t="array" ref="A111">IF(107&gt;$S$1204,"",INDEX($T$5:$AJ$1204,MATCH(107,$S$5:$S$1204,0),1))</f>
        <v/>
      </c>
      <c r="B111" s="8" t="str">
        <f t="array" ref="B111">IF(107&gt;$S$1204,"",INDEX($T$5:$AJ$1204,MATCH(107,$S$5:$S$1204,0),2))</f>
        <v/>
      </c>
      <c r="C111" s="10" t="str">
        <f t="array" ref="C111">IF(107&gt;$S$1204,"",INDEX($T$5:$AJ$1204,MATCH(107,$S$5:$S$1204,0),3))</f>
        <v/>
      </c>
      <c r="D111" s="8" t="str">
        <f t="array" ref="D111">IF(107&gt;$S$1204,"",INDEX($T$5:$AJ$1204,MATCH(107,$S$5:$S$1204,0),4))</f>
        <v/>
      </c>
      <c r="E111" s="8" t="str">
        <f t="array" ref="E111">IF(107&gt;$S$1204,"",INDEX($T$5:$AJ$1204,MATCH(107,$S$5:$S$1204,0),5))</f>
        <v/>
      </c>
      <c r="F111" s="8" t="str">
        <f t="array" ref="F111">IF(107&gt;$S$1204,"",INDEX($T$5:$AJ$1204,MATCH(107,$S$5:$S$1204,0),6))</f>
        <v/>
      </c>
      <c r="G111" s="8" t="str">
        <f t="array" ref="G111">IF(107&gt;$S$1204,"",INDEX($T$5:$AJ$1204,MATCH(107,$S$5:$S$1204,0),7))</f>
        <v/>
      </c>
      <c r="H111" s="8" t="str">
        <f t="array" ref="H111">IF(107&gt;$S$1204,"",INDEX($T$5:$AJ$1204,MATCH(107,$S$5:$S$1204,0),8))</f>
        <v/>
      </c>
      <c r="I111" s="8" t="str">
        <f t="array" ref="I111">IF(107&gt;$S$1204,"",INDEX($T$5:$AJ$1204,MATCH(107,$S$5:$S$1204,0),9))</f>
        <v/>
      </c>
      <c r="J111" s="14" t="str">
        <f t="array" ref="J111">IF(107&gt;$S$1204,"",INDEX($T$5:$AJ$1204,MATCH(107,$S$5:$S$1204,0),10))</f>
        <v/>
      </c>
      <c r="K111" s="8" t="str">
        <f t="array" ref="K111">IF(107&gt;$S$1204,"",INDEX($T$5:$AJ$1204,MATCH(107,$S$5:$S$1204,0),11))</f>
        <v/>
      </c>
      <c r="L111" s="8" t="str">
        <f t="array" ref="L111">IF(107&gt;$S$1204,"",INDEX($T$5:$AJ$1204,MATCH(107,$S$5:$S$1204,0),12))</f>
        <v/>
      </c>
      <c r="M111" s="8" t="str">
        <f t="array" ref="M111">IF(107&gt;$S$1204,"",INDEX($T$5:$AJ$1204,MATCH(107,$S$5:$S$1204,0),13))</f>
        <v/>
      </c>
      <c r="N111" s="8" t="str">
        <f t="array" ref="N111">IF(107&gt;$S$1204,"",INDEX($T$5:$AJ$1204,MATCH(107,$S$5:$S$1204,0),14))</f>
        <v/>
      </c>
      <c r="O111" s="15" t="str">
        <f t="array" ref="O111">IF(107&gt;$S$1204,"",INDEX($T$5:$AJ$1204,MATCH(107,$S$5:$S$1204,0),15))</f>
        <v/>
      </c>
      <c r="P111" s="8" t="str">
        <f t="array" ref="P111">IF(107&gt;$S$1204,"",INDEX($T$5:$AJ$1204,MATCH(107,$S$5:$S$1204,0),16))</f>
        <v/>
      </c>
      <c r="Q111" s="8" t="str">
        <f t="array" ref="Q111">IF(107&gt;$S$1204,"",INDEX($T$5:$AJ$1204,MATCH(107,$S$5:$S$1204,0),17))</f>
        <v/>
      </c>
      <c r="R111" s="17"/>
      <c r="S111" s="17">
        <f>S110+IF(M1_Administrativo!A115="",0,1)</f>
        <v>0</v>
      </c>
      <c r="T111" s="17" t="str">
        <f>IF(M1_Administrativo!A115="","",IF(M1_Administrativo!A115="","",M1_Administrativo!A115))</f>
        <v/>
      </c>
      <c r="U111" s="17" t="str">
        <f>IF(M1_Administrativo!A115="","",IF(M1_Administrativo!R115="","",M1_Administrativo!R115))</f>
        <v/>
      </c>
      <c r="V111" s="17" t="str">
        <f>IF(M1_Administrativo!A115="","",IF(M1_Administrativo!D115="","",M1_Administrativo!D115))</f>
        <v/>
      </c>
      <c r="W111" s="17" t="str">
        <f>IF(M1_Administrativo!A115="","",IF(M1_Administrativo!B115="","",M1_Administrativo!B115))</f>
        <v/>
      </c>
      <c r="X111" s="17" t="str">
        <f>IF(M1_Administrativo!A115="","",IF(M1_Administrativo!C115="","",M1_Administrativo!C115))</f>
        <v/>
      </c>
      <c r="Y111" s="17" t="str">
        <f>IF(M1_Administrativo!A115="","",IF(M1_Administrativo!E115="","",M1_Administrativo!E115))</f>
        <v/>
      </c>
      <c r="Z111" s="17" t="str">
        <f>IF(M1_Administrativo!A115="","",IF(M1_Administrativo!F115="","",M1_Administrativo!F115))</f>
        <v/>
      </c>
      <c r="AA111" s="17" t="str">
        <f>IF(M1_Administrativo!A115="","","M1 Administrativo")</f>
        <v/>
      </c>
      <c r="AB111" s="17" t="str">
        <f>IF(M1_Administrativo!A115="","",IF(M1_Administrativo!G115="","",M1_Administrativo!G115))</f>
        <v/>
      </c>
      <c r="AC111" s="17" t="str">
        <f>IF(M1_Administrativo!A115="","",IF(M1_Administrativo!M115="","",M1_Administrativo!M115))</f>
        <v/>
      </c>
      <c r="AD111" s="17" t="str">
        <f>IF(M1_Administrativo!A115="","","RA")</f>
        <v/>
      </c>
      <c r="AE111" s="17" t="str">
        <f>IF(M1_Administrativo!A115="","",IF(M1_Administrativo!O115="","",M1_Administrativo!O115))</f>
        <v/>
      </c>
      <c r="AF111" s="17" t="str">
        <f>IF(M1_Administrativo!A115="","",IF(M1_Administrativo!P115="","",M1_Administrativo!P115))</f>
        <v/>
      </c>
      <c r="AG111" s="17" t="str">
        <f>IF(M1_Administrativo!A115="","",IF(M1_Administrativo!Q115="","",M1_Administrativo!Q115))</f>
        <v/>
      </c>
      <c r="AH111" s="17" t="str">
        <f>IF(M1_Administrativo!A115="","","")</f>
        <v/>
      </c>
      <c r="AI111" s="17" t="str">
        <f>IF(M1_Administrativo!A115="","","M1_Administrativo!115")</f>
        <v/>
      </c>
      <c r="AJ111" s="17" t="str">
        <f>IF(M1_Administrativo!A115="","",IF(M1_Administrativo!M115="","Pendiente de resultado","Disponible"))</f>
        <v/>
      </c>
    </row>
    <row r="112" spans="1:36" ht="55.5" customHeight="1">
      <c r="A112" s="6" t="str">
        <f t="array" ref="A112">IF(108&gt;$S$1204,"",INDEX($T$5:$AJ$1204,MATCH(108,$S$5:$S$1204,0),1))</f>
        <v/>
      </c>
      <c r="B112" s="8" t="str">
        <f t="array" ref="B112">IF(108&gt;$S$1204,"",INDEX($T$5:$AJ$1204,MATCH(108,$S$5:$S$1204,0),2))</f>
        <v/>
      </c>
      <c r="C112" s="10" t="str">
        <f t="array" ref="C112">IF(108&gt;$S$1204,"",INDEX($T$5:$AJ$1204,MATCH(108,$S$5:$S$1204,0),3))</f>
        <v/>
      </c>
      <c r="D112" s="8" t="str">
        <f t="array" ref="D112">IF(108&gt;$S$1204,"",INDEX($T$5:$AJ$1204,MATCH(108,$S$5:$S$1204,0),4))</f>
        <v/>
      </c>
      <c r="E112" s="8" t="str">
        <f t="array" ref="E112">IF(108&gt;$S$1204,"",INDEX($T$5:$AJ$1204,MATCH(108,$S$5:$S$1204,0),5))</f>
        <v/>
      </c>
      <c r="F112" s="8" t="str">
        <f t="array" ref="F112">IF(108&gt;$S$1204,"",INDEX($T$5:$AJ$1204,MATCH(108,$S$5:$S$1204,0),6))</f>
        <v/>
      </c>
      <c r="G112" s="8" t="str">
        <f t="array" ref="G112">IF(108&gt;$S$1204,"",INDEX($T$5:$AJ$1204,MATCH(108,$S$5:$S$1204,0),7))</f>
        <v/>
      </c>
      <c r="H112" s="8" t="str">
        <f t="array" ref="H112">IF(108&gt;$S$1204,"",INDEX($T$5:$AJ$1204,MATCH(108,$S$5:$S$1204,0),8))</f>
        <v/>
      </c>
      <c r="I112" s="8" t="str">
        <f t="array" ref="I112">IF(108&gt;$S$1204,"",INDEX($T$5:$AJ$1204,MATCH(108,$S$5:$S$1204,0),9))</f>
        <v/>
      </c>
      <c r="J112" s="14" t="str">
        <f t="array" ref="J112">IF(108&gt;$S$1204,"",INDEX($T$5:$AJ$1204,MATCH(108,$S$5:$S$1204,0),10))</f>
        <v/>
      </c>
      <c r="K112" s="8" t="str">
        <f t="array" ref="K112">IF(108&gt;$S$1204,"",INDEX($T$5:$AJ$1204,MATCH(108,$S$5:$S$1204,0),11))</f>
        <v/>
      </c>
      <c r="L112" s="8" t="str">
        <f t="array" ref="L112">IF(108&gt;$S$1204,"",INDEX($T$5:$AJ$1204,MATCH(108,$S$5:$S$1204,0),12))</f>
        <v/>
      </c>
      <c r="M112" s="8" t="str">
        <f t="array" ref="M112">IF(108&gt;$S$1204,"",INDEX($T$5:$AJ$1204,MATCH(108,$S$5:$S$1204,0),13))</f>
        <v/>
      </c>
      <c r="N112" s="8" t="str">
        <f t="array" ref="N112">IF(108&gt;$S$1204,"",INDEX($T$5:$AJ$1204,MATCH(108,$S$5:$S$1204,0),14))</f>
        <v/>
      </c>
      <c r="O112" s="15" t="str">
        <f t="array" ref="O112">IF(108&gt;$S$1204,"",INDEX($T$5:$AJ$1204,MATCH(108,$S$5:$S$1204,0),15))</f>
        <v/>
      </c>
      <c r="P112" s="8" t="str">
        <f t="array" ref="P112">IF(108&gt;$S$1204,"",INDEX($T$5:$AJ$1204,MATCH(108,$S$5:$S$1204,0),16))</f>
        <v/>
      </c>
      <c r="Q112" s="8" t="str">
        <f t="array" ref="Q112">IF(108&gt;$S$1204,"",INDEX($T$5:$AJ$1204,MATCH(108,$S$5:$S$1204,0),17))</f>
        <v/>
      </c>
      <c r="R112" s="17"/>
      <c r="S112" s="17">
        <f>S111+IF(M1_Administrativo!A116="",0,1)</f>
        <v>0</v>
      </c>
      <c r="T112" s="17" t="str">
        <f>IF(M1_Administrativo!A116="","",IF(M1_Administrativo!A116="","",M1_Administrativo!A116))</f>
        <v/>
      </c>
      <c r="U112" s="17" t="str">
        <f>IF(M1_Administrativo!A116="","",IF(M1_Administrativo!R116="","",M1_Administrativo!R116))</f>
        <v/>
      </c>
      <c r="V112" s="17" t="str">
        <f>IF(M1_Administrativo!A116="","",IF(M1_Administrativo!D116="","",M1_Administrativo!D116))</f>
        <v/>
      </c>
      <c r="W112" s="17" t="str">
        <f>IF(M1_Administrativo!A116="","",IF(M1_Administrativo!B116="","",M1_Administrativo!B116))</f>
        <v/>
      </c>
      <c r="X112" s="17" t="str">
        <f>IF(M1_Administrativo!A116="","",IF(M1_Administrativo!C116="","",M1_Administrativo!C116))</f>
        <v/>
      </c>
      <c r="Y112" s="17" t="str">
        <f>IF(M1_Administrativo!A116="","",IF(M1_Administrativo!E116="","",M1_Administrativo!E116))</f>
        <v/>
      </c>
      <c r="Z112" s="17" t="str">
        <f>IF(M1_Administrativo!A116="","",IF(M1_Administrativo!F116="","",M1_Administrativo!F116))</f>
        <v/>
      </c>
      <c r="AA112" s="17" t="str">
        <f>IF(M1_Administrativo!A116="","","M1 Administrativo")</f>
        <v/>
      </c>
      <c r="AB112" s="17" t="str">
        <f>IF(M1_Administrativo!A116="","",IF(M1_Administrativo!G116="","",M1_Administrativo!G116))</f>
        <v/>
      </c>
      <c r="AC112" s="17" t="str">
        <f>IF(M1_Administrativo!A116="","",IF(M1_Administrativo!M116="","",M1_Administrativo!M116))</f>
        <v/>
      </c>
      <c r="AD112" s="17" t="str">
        <f>IF(M1_Administrativo!A116="","","RA")</f>
        <v/>
      </c>
      <c r="AE112" s="17" t="str">
        <f>IF(M1_Administrativo!A116="","",IF(M1_Administrativo!O116="","",M1_Administrativo!O116))</f>
        <v/>
      </c>
      <c r="AF112" s="17" t="str">
        <f>IF(M1_Administrativo!A116="","",IF(M1_Administrativo!P116="","",M1_Administrativo!P116))</f>
        <v/>
      </c>
      <c r="AG112" s="17" t="str">
        <f>IF(M1_Administrativo!A116="","",IF(M1_Administrativo!Q116="","",M1_Administrativo!Q116))</f>
        <v/>
      </c>
      <c r="AH112" s="17" t="str">
        <f>IF(M1_Administrativo!A116="","","")</f>
        <v/>
      </c>
      <c r="AI112" s="17" t="str">
        <f>IF(M1_Administrativo!A116="","","M1_Administrativo!116")</f>
        <v/>
      </c>
      <c r="AJ112" s="17" t="str">
        <f>IF(M1_Administrativo!A116="","",IF(M1_Administrativo!M116="","Pendiente de resultado","Disponible"))</f>
        <v/>
      </c>
    </row>
    <row r="113" spans="1:36" ht="55.5" customHeight="1">
      <c r="A113" s="6" t="str">
        <f t="array" ref="A113">IF(109&gt;$S$1204,"",INDEX($T$5:$AJ$1204,MATCH(109,$S$5:$S$1204,0),1))</f>
        <v/>
      </c>
      <c r="B113" s="8" t="str">
        <f t="array" ref="B113">IF(109&gt;$S$1204,"",INDEX($T$5:$AJ$1204,MATCH(109,$S$5:$S$1204,0),2))</f>
        <v/>
      </c>
      <c r="C113" s="10" t="str">
        <f t="array" ref="C113">IF(109&gt;$S$1204,"",INDEX($T$5:$AJ$1204,MATCH(109,$S$5:$S$1204,0),3))</f>
        <v/>
      </c>
      <c r="D113" s="8" t="str">
        <f t="array" ref="D113">IF(109&gt;$S$1204,"",INDEX($T$5:$AJ$1204,MATCH(109,$S$5:$S$1204,0),4))</f>
        <v/>
      </c>
      <c r="E113" s="8" t="str">
        <f t="array" ref="E113">IF(109&gt;$S$1204,"",INDEX($T$5:$AJ$1204,MATCH(109,$S$5:$S$1204,0),5))</f>
        <v/>
      </c>
      <c r="F113" s="8" t="str">
        <f t="array" ref="F113">IF(109&gt;$S$1204,"",INDEX($T$5:$AJ$1204,MATCH(109,$S$5:$S$1204,0),6))</f>
        <v/>
      </c>
      <c r="G113" s="8" t="str">
        <f t="array" ref="G113">IF(109&gt;$S$1204,"",INDEX($T$5:$AJ$1204,MATCH(109,$S$5:$S$1204,0),7))</f>
        <v/>
      </c>
      <c r="H113" s="8" t="str">
        <f t="array" ref="H113">IF(109&gt;$S$1204,"",INDEX($T$5:$AJ$1204,MATCH(109,$S$5:$S$1204,0),8))</f>
        <v/>
      </c>
      <c r="I113" s="8" t="str">
        <f t="array" ref="I113">IF(109&gt;$S$1204,"",INDEX($T$5:$AJ$1204,MATCH(109,$S$5:$S$1204,0),9))</f>
        <v/>
      </c>
      <c r="J113" s="14" t="str">
        <f t="array" ref="J113">IF(109&gt;$S$1204,"",INDEX($T$5:$AJ$1204,MATCH(109,$S$5:$S$1204,0),10))</f>
        <v/>
      </c>
      <c r="K113" s="8" t="str">
        <f t="array" ref="K113">IF(109&gt;$S$1204,"",INDEX($T$5:$AJ$1204,MATCH(109,$S$5:$S$1204,0),11))</f>
        <v/>
      </c>
      <c r="L113" s="8" t="str">
        <f t="array" ref="L113">IF(109&gt;$S$1204,"",INDEX($T$5:$AJ$1204,MATCH(109,$S$5:$S$1204,0),12))</f>
        <v/>
      </c>
      <c r="M113" s="8" t="str">
        <f t="array" ref="M113">IF(109&gt;$S$1204,"",INDEX($T$5:$AJ$1204,MATCH(109,$S$5:$S$1204,0),13))</f>
        <v/>
      </c>
      <c r="N113" s="8" t="str">
        <f t="array" ref="N113">IF(109&gt;$S$1204,"",INDEX($T$5:$AJ$1204,MATCH(109,$S$5:$S$1204,0),14))</f>
        <v/>
      </c>
      <c r="O113" s="15" t="str">
        <f t="array" ref="O113">IF(109&gt;$S$1204,"",INDEX($T$5:$AJ$1204,MATCH(109,$S$5:$S$1204,0),15))</f>
        <v/>
      </c>
      <c r="P113" s="8" t="str">
        <f t="array" ref="P113">IF(109&gt;$S$1204,"",INDEX($T$5:$AJ$1204,MATCH(109,$S$5:$S$1204,0),16))</f>
        <v/>
      </c>
      <c r="Q113" s="8" t="str">
        <f t="array" ref="Q113">IF(109&gt;$S$1204,"",INDEX($T$5:$AJ$1204,MATCH(109,$S$5:$S$1204,0),17))</f>
        <v/>
      </c>
      <c r="R113" s="17"/>
      <c r="S113" s="17">
        <f>S112+IF(M1_Administrativo!A117="",0,1)</f>
        <v>0</v>
      </c>
      <c r="T113" s="17" t="str">
        <f>IF(M1_Administrativo!A117="","",IF(M1_Administrativo!A117="","",M1_Administrativo!A117))</f>
        <v/>
      </c>
      <c r="U113" s="17" t="str">
        <f>IF(M1_Administrativo!A117="","",IF(M1_Administrativo!R117="","",M1_Administrativo!R117))</f>
        <v/>
      </c>
      <c r="V113" s="17" t="str">
        <f>IF(M1_Administrativo!A117="","",IF(M1_Administrativo!D117="","",M1_Administrativo!D117))</f>
        <v/>
      </c>
      <c r="W113" s="17" t="str">
        <f>IF(M1_Administrativo!A117="","",IF(M1_Administrativo!B117="","",M1_Administrativo!B117))</f>
        <v/>
      </c>
      <c r="X113" s="17" t="str">
        <f>IF(M1_Administrativo!A117="","",IF(M1_Administrativo!C117="","",M1_Administrativo!C117))</f>
        <v/>
      </c>
      <c r="Y113" s="17" t="str">
        <f>IF(M1_Administrativo!A117="","",IF(M1_Administrativo!E117="","",M1_Administrativo!E117))</f>
        <v/>
      </c>
      <c r="Z113" s="17" t="str">
        <f>IF(M1_Administrativo!A117="","",IF(M1_Administrativo!F117="","",M1_Administrativo!F117))</f>
        <v/>
      </c>
      <c r="AA113" s="17" t="str">
        <f>IF(M1_Administrativo!A117="","","M1 Administrativo")</f>
        <v/>
      </c>
      <c r="AB113" s="17" t="str">
        <f>IF(M1_Administrativo!A117="","",IF(M1_Administrativo!G117="","",M1_Administrativo!G117))</f>
        <v/>
      </c>
      <c r="AC113" s="17" t="str">
        <f>IF(M1_Administrativo!A117="","",IF(M1_Administrativo!M117="","",M1_Administrativo!M117))</f>
        <v/>
      </c>
      <c r="AD113" s="17" t="str">
        <f>IF(M1_Administrativo!A117="","","RA")</f>
        <v/>
      </c>
      <c r="AE113" s="17" t="str">
        <f>IF(M1_Administrativo!A117="","",IF(M1_Administrativo!O117="","",M1_Administrativo!O117))</f>
        <v/>
      </c>
      <c r="AF113" s="17" t="str">
        <f>IF(M1_Administrativo!A117="","",IF(M1_Administrativo!P117="","",M1_Administrativo!P117))</f>
        <v/>
      </c>
      <c r="AG113" s="17" t="str">
        <f>IF(M1_Administrativo!A117="","",IF(M1_Administrativo!Q117="","",M1_Administrativo!Q117))</f>
        <v/>
      </c>
      <c r="AH113" s="17" t="str">
        <f>IF(M1_Administrativo!A117="","","")</f>
        <v/>
      </c>
      <c r="AI113" s="17" t="str">
        <f>IF(M1_Administrativo!A117="","","M1_Administrativo!117")</f>
        <v/>
      </c>
      <c r="AJ113" s="17" t="str">
        <f>IF(M1_Administrativo!A117="","",IF(M1_Administrativo!M117="","Pendiente de resultado","Disponible"))</f>
        <v/>
      </c>
    </row>
    <row r="114" spans="1:36" ht="55.5" customHeight="1">
      <c r="A114" s="6" t="str">
        <f t="array" ref="A114">IF(110&gt;$S$1204,"",INDEX($T$5:$AJ$1204,MATCH(110,$S$5:$S$1204,0),1))</f>
        <v/>
      </c>
      <c r="B114" s="8" t="str">
        <f t="array" ref="B114">IF(110&gt;$S$1204,"",INDEX($T$5:$AJ$1204,MATCH(110,$S$5:$S$1204,0),2))</f>
        <v/>
      </c>
      <c r="C114" s="10" t="str">
        <f t="array" ref="C114">IF(110&gt;$S$1204,"",INDEX($T$5:$AJ$1204,MATCH(110,$S$5:$S$1204,0),3))</f>
        <v/>
      </c>
      <c r="D114" s="8" t="str">
        <f t="array" ref="D114">IF(110&gt;$S$1204,"",INDEX($T$5:$AJ$1204,MATCH(110,$S$5:$S$1204,0),4))</f>
        <v/>
      </c>
      <c r="E114" s="8" t="str">
        <f t="array" ref="E114">IF(110&gt;$S$1204,"",INDEX($T$5:$AJ$1204,MATCH(110,$S$5:$S$1204,0),5))</f>
        <v/>
      </c>
      <c r="F114" s="8" t="str">
        <f t="array" ref="F114">IF(110&gt;$S$1204,"",INDEX($T$5:$AJ$1204,MATCH(110,$S$5:$S$1204,0),6))</f>
        <v/>
      </c>
      <c r="G114" s="8" t="str">
        <f t="array" ref="G114">IF(110&gt;$S$1204,"",INDEX($T$5:$AJ$1204,MATCH(110,$S$5:$S$1204,0),7))</f>
        <v/>
      </c>
      <c r="H114" s="8" t="str">
        <f t="array" ref="H114">IF(110&gt;$S$1204,"",INDEX($T$5:$AJ$1204,MATCH(110,$S$5:$S$1204,0),8))</f>
        <v/>
      </c>
      <c r="I114" s="8" t="str">
        <f t="array" ref="I114">IF(110&gt;$S$1204,"",INDEX($T$5:$AJ$1204,MATCH(110,$S$5:$S$1204,0),9))</f>
        <v/>
      </c>
      <c r="J114" s="14" t="str">
        <f t="array" ref="J114">IF(110&gt;$S$1204,"",INDEX($T$5:$AJ$1204,MATCH(110,$S$5:$S$1204,0),10))</f>
        <v/>
      </c>
      <c r="K114" s="8" t="str">
        <f t="array" ref="K114">IF(110&gt;$S$1204,"",INDEX($T$5:$AJ$1204,MATCH(110,$S$5:$S$1204,0),11))</f>
        <v/>
      </c>
      <c r="L114" s="8" t="str">
        <f t="array" ref="L114">IF(110&gt;$S$1204,"",INDEX($T$5:$AJ$1204,MATCH(110,$S$5:$S$1204,0),12))</f>
        <v/>
      </c>
      <c r="M114" s="8" t="str">
        <f t="array" ref="M114">IF(110&gt;$S$1204,"",INDEX($T$5:$AJ$1204,MATCH(110,$S$5:$S$1204,0),13))</f>
        <v/>
      </c>
      <c r="N114" s="8" t="str">
        <f t="array" ref="N114">IF(110&gt;$S$1204,"",INDEX($T$5:$AJ$1204,MATCH(110,$S$5:$S$1204,0),14))</f>
        <v/>
      </c>
      <c r="O114" s="15" t="str">
        <f t="array" ref="O114">IF(110&gt;$S$1204,"",INDEX($T$5:$AJ$1204,MATCH(110,$S$5:$S$1204,0),15))</f>
        <v/>
      </c>
      <c r="P114" s="8" t="str">
        <f t="array" ref="P114">IF(110&gt;$S$1204,"",INDEX($T$5:$AJ$1204,MATCH(110,$S$5:$S$1204,0),16))</f>
        <v/>
      </c>
      <c r="Q114" s="8" t="str">
        <f t="array" ref="Q114">IF(110&gt;$S$1204,"",INDEX($T$5:$AJ$1204,MATCH(110,$S$5:$S$1204,0),17))</f>
        <v/>
      </c>
      <c r="R114" s="17"/>
      <c r="S114" s="17">
        <f>S113+IF(M1_Administrativo!A118="",0,1)</f>
        <v>0</v>
      </c>
      <c r="T114" s="17" t="str">
        <f>IF(M1_Administrativo!A118="","",IF(M1_Administrativo!A118="","",M1_Administrativo!A118))</f>
        <v/>
      </c>
      <c r="U114" s="17" t="str">
        <f>IF(M1_Administrativo!A118="","",IF(M1_Administrativo!R118="","",M1_Administrativo!R118))</f>
        <v/>
      </c>
      <c r="V114" s="17" t="str">
        <f>IF(M1_Administrativo!A118="","",IF(M1_Administrativo!D118="","",M1_Administrativo!D118))</f>
        <v/>
      </c>
      <c r="W114" s="17" t="str">
        <f>IF(M1_Administrativo!A118="","",IF(M1_Administrativo!B118="","",M1_Administrativo!B118))</f>
        <v/>
      </c>
      <c r="X114" s="17" t="str">
        <f>IF(M1_Administrativo!A118="","",IF(M1_Administrativo!C118="","",M1_Administrativo!C118))</f>
        <v/>
      </c>
      <c r="Y114" s="17" t="str">
        <f>IF(M1_Administrativo!A118="","",IF(M1_Administrativo!E118="","",M1_Administrativo!E118))</f>
        <v/>
      </c>
      <c r="Z114" s="17" t="str">
        <f>IF(M1_Administrativo!A118="","",IF(M1_Administrativo!F118="","",M1_Administrativo!F118))</f>
        <v/>
      </c>
      <c r="AA114" s="17" t="str">
        <f>IF(M1_Administrativo!A118="","","M1 Administrativo")</f>
        <v/>
      </c>
      <c r="AB114" s="17" t="str">
        <f>IF(M1_Administrativo!A118="","",IF(M1_Administrativo!G118="","",M1_Administrativo!G118))</f>
        <v/>
      </c>
      <c r="AC114" s="17" t="str">
        <f>IF(M1_Administrativo!A118="","",IF(M1_Administrativo!M118="","",M1_Administrativo!M118))</f>
        <v/>
      </c>
      <c r="AD114" s="17" t="str">
        <f>IF(M1_Administrativo!A118="","","RA")</f>
        <v/>
      </c>
      <c r="AE114" s="17" t="str">
        <f>IF(M1_Administrativo!A118="","",IF(M1_Administrativo!O118="","",M1_Administrativo!O118))</f>
        <v/>
      </c>
      <c r="AF114" s="17" t="str">
        <f>IF(M1_Administrativo!A118="","",IF(M1_Administrativo!P118="","",M1_Administrativo!P118))</f>
        <v/>
      </c>
      <c r="AG114" s="17" t="str">
        <f>IF(M1_Administrativo!A118="","",IF(M1_Administrativo!Q118="","",M1_Administrativo!Q118))</f>
        <v/>
      </c>
      <c r="AH114" s="17" t="str">
        <f>IF(M1_Administrativo!A118="","","")</f>
        <v/>
      </c>
      <c r="AI114" s="17" t="str">
        <f>IF(M1_Administrativo!A118="","","M1_Administrativo!118")</f>
        <v/>
      </c>
      <c r="AJ114" s="17" t="str">
        <f>IF(M1_Administrativo!A118="","",IF(M1_Administrativo!M118="","Pendiente de resultado","Disponible"))</f>
        <v/>
      </c>
    </row>
    <row r="115" spans="1:36" ht="55.5" customHeight="1">
      <c r="A115" s="6" t="str">
        <f t="array" ref="A115">IF(111&gt;$S$1204,"",INDEX($T$5:$AJ$1204,MATCH(111,$S$5:$S$1204,0),1))</f>
        <v/>
      </c>
      <c r="B115" s="8" t="str">
        <f t="array" ref="B115">IF(111&gt;$S$1204,"",INDEX($T$5:$AJ$1204,MATCH(111,$S$5:$S$1204,0),2))</f>
        <v/>
      </c>
      <c r="C115" s="10" t="str">
        <f t="array" ref="C115">IF(111&gt;$S$1204,"",INDEX($T$5:$AJ$1204,MATCH(111,$S$5:$S$1204,0),3))</f>
        <v/>
      </c>
      <c r="D115" s="8" t="str">
        <f t="array" ref="D115">IF(111&gt;$S$1204,"",INDEX($T$5:$AJ$1204,MATCH(111,$S$5:$S$1204,0),4))</f>
        <v/>
      </c>
      <c r="E115" s="8" t="str">
        <f t="array" ref="E115">IF(111&gt;$S$1204,"",INDEX($T$5:$AJ$1204,MATCH(111,$S$5:$S$1204,0),5))</f>
        <v/>
      </c>
      <c r="F115" s="8" t="str">
        <f t="array" ref="F115">IF(111&gt;$S$1204,"",INDEX($T$5:$AJ$1204,MATCH(111,$S$5:$S$1204,0),6))</f>
        <v/>
      </c>
      <c r="G115" s="8" t="str">
        <f t="array" ref="G115">IF(111&gt;$S$1204,"",INDEX($T$5:$AJ$1204,MATCH(111,$S$5:$S$1204,0),7))</f>
        <v/>
      </c>
      <c r="H115" s="8" t="str">
        <f t="array" ref="H115">IF(111&gt;$S$1204,"",INDEX($T$5:$AJ$1204,MATCH(111,$S$5:$S$1204,0),8))</f>
        <v/>
      </c>
      <c r="I115" s="8" t="str">
        <f t="array" ref="I115">IF(111&gt;$S$1204,"",INDEX($T$5:$AJ$1204,MATCH(111,$S$5:$S$1204,0),9))</f>
        <v/>
      </c>
      <c r="J115" s="14" t="str">
        <f t="array" ref="J115">IF(111&gt;$S$1204,"",INDEX($T$5:$AJ$1204,MATCH(111,$S$5:$S$1204,0),10))</f>
        <v/>
      </c>
      <c r="K115" s="8" t="str">
        <f t="array" ref="K115">IF(111&gt;$S$1204,"",INDEX($T$5:$AJ$1204,MATCH(111,$S$5:$S$1204,0),11))</f>
        <v/>
      </c>
      <c r="L115" s="8" t="str">
        <f t="array" ref="L115">IF(111&gt;$S$1204,"",INDEX($T$5:$AJ$1204,MATCH(111,$S$5:$S$1204,0),12))</f>
        <v/>
      </c>
      <c r="M115" s="8" t="str">
        <f t="array" ref="M115">IF(111&gt;$S$1204,"",INDEX($T$5:$AJ$1204,MATCH(111,$S$5:$S$1204,0),13))</f>
        <v/>
      </c>
      <c r="N115" s="8" t="str">
        <f t="array" ref="N115">IF(111&gt;$S$1204,"",INDEX($T$5:$AJ$1204,MATCH(111,$S$5:$S$1204,0),14))</f>
        <v/>
      </c>
      <c r="O115" s="15" t="str">
        <f t="array" ref="O115">IF(111&gt;$S$1204,"",INDEX($T$5:$AJ$1204,MATCH(111,$S$5:$S$1204,0),15))</f>
        <v/>
      </c>
      <c r="P115" s="8" t="str">
        <f t="array" ref="P115">IF(111&gt;$S$1204,"",INDEX($T$5:$AJ$1204,MATCH(111,$S$5:$S$1204,0),16))</f>
        <v/>
      </c>
      <c r="Q115" s="8" t="str">
        <f t="array" ref="Q115">IF(111&gt;$S$1204,"",INDEX($T$5:$AJ$1204,MATCH(111,$S$5:$S$1204,0),17))</f>
        <v/>
      </c>
      <c r="R115" s="17"/>
      <c r="S115" s="17">
        <f>S114+IF(M1_Administrativo!A119="",0,1)</f>
        <v>0</v>
      </c>
      <c r="T115" s="17" t="str">
        <f>IF(M1_Administrativo!A119="","",IF(M1_Administrativo!A119="","",M1_Administrativo!A119))</f>
        <v/>
      </c>
      <c r="U115" s="17" t="str">
        <f>IF(M1_Administrativo!A119="","",IF(M1_Administrativo!R119="","",M1_Administrativo!R119))</f>
        <v/>
      </c>
      <c r="V115" s="17" t="str">
        <f>IF(M1_Administrativo!A119="","",IF(M1_Administrativo!D119="","",M1_Administrativo!D119))</f>
        <v/>
      </c>
      <c r="W115" s="17" t="str">
        <f>IF(M1_Administrativo!A119="","",IF(M1_Administrativo!B119="","",M1_Administrativo!B119))</f>
        <v/>
      </c>
      <c r="X115" s="17" t="str">
        <f>IF(M1_Administrativo!A119="","",IF(M1_Administrativo!C119="","",M1_Administrativo!C119))</f>
        <v/>
      </c>
      <c r="Y115" s="17" t="str">
        <f>IF(M1_Administrativo!A119="","",IF(M1_Administrativo!E119="","",M1_Administrativo!E119))</f>
        <v/>
      </c>
      <c r="Z115" s="17" t="str">
        <f>IF(M1_Administrativo!A119="","",IF(M1_Administrativo!F119="","",M1_Administrativo!F119))</f>
        <v/>
      </c>
      <c r="AA115" s="17" t="str">
        <f>IF(M1_Administrativo!A119="","","M1 Administrativo")</f>
        <v/>
      </c>
      <c r="AB115" s="17" t="str">
        <f>IF(M1_Administrativo!A119="","",IF(M1_Administrativo!G119="","",M1_Administrativo!G119))</f>
        <v/>
      </c>
      <c r="AC115" s="17" t="str">
        <f>IF(M1_Administrativo!A119="","",IF(M1_Administrativo!M119="","",M1_Administrativo!M119))</f>
        <v/>
      </c>
      <c r="AD115" s="17" t="str">
        <f>IF(M1_Administrativo!A119="","","RA")</f>
        <v/>
      </c>
      <c r="AE115" s="17" t="str">
        <f>IF(M1_Administrativo!A119="","",IF(M1_Administrativo!O119="","",M1_Administrativo!O119))</f>
        <v/>
      </c>
      <c r="AF115" s="17" t="str">
        <f>IF(M1_Administrativo!A119="","",IF(M1_Administrativo!P119="","",M1_Administrativo!P119))</f>
        <v/>
      </c>
      <c r="AG115" s="17" t="str">
        <f>IF(M1_Administrativo!A119="","",IF(M1_Administrativo!Q119="","",M1_Administrativo!Q119))</f>
        <v/>
      </c>
      <c r="AH115" s="17" t="str">
        <f>IF(M1_Administrativo!A119="","","")</f>
        <v/>
      </c>
      <c r="AI115" s="17" t="str">
        <f>IF(M1_Administrativo!A119="","","M1_Administrativo!119")</f>
        <v/>
      </c>
      <c r="AJ115" s="17" t="str">
        <f>IF(M1_Administrativo!A119="","",IF(M1_Administrativo!M119="","Pendiente de resultado","Disponible"))</f>
        <v/>
      </c>
    </row>
    <row r="116" spans="1:36" ht="55.5" customHeight="1">
      <c r="A116" s="6" t="str">
        <f t="array" ref="A116">IF(112&gt;$S$1204,"",INDEX($T$5:$AJ$1204,MATCH(112,$S$5:$S$1204,0),1))</f>
        <v/>
      </c>
      <c r="B116" s="8" t="str">
        <f t="array" ref="B116">IF(112&gt;$S$1204,"",INDEX($T$5:$AJ$1204,MATCH(112,$S$5:$S$1204,0),2))</f>
        <v/>
      </c>
      <c r="C116" s="10" t="str">
        <f t="array" ref="C116">IF(112&gt;$S$1204,"",INDEX($T$5:$AJ$1204,MATCH(112,$S$5:$S$1204,0),3))</f>
        <v/>
      </c>
      <c r="D116" s="8" t="str">
        <f t="array" ref="D116">IF(112&gt;$S$1204,"",INDEX($T$5:$AJ$1204,MATCH(112,$S$5:$S$1204,0),4))</f>
        <v/>
      </c>
      <c r="E116" s="8" t="str">
        <f t="array" ref="E116">IF(112&gt;$S$1204,"",INDEX($T$5:$AJ$1204,MATCH(112,$S$5:$S$1204,0),5))</f>
        <v/>
      </c>
      <c r="F116" s="8" t="str">
        <f t="array" ref="F116">IF(112&gt;$S$1204,"",INDEX($T$5:$AJ$1204,MATCH(112,$S$5:$S$1204,0),6))</f>
        <v/>
      </c>
      <c r="G116" s="8" t="str">
        <f t="array" ref="G116">IF(112&gt;$S$1204,"",INDEX($T$5:$AJ$1204,MATCH(112,$S$5:$S$1204,0),7))</f>
        <v/>
      </c>
      <c r="H116" s="8" t="str">
        <f t="array" ref="H116">IF(112&gt;$S$1204,"",INDEX($T$5:$AJ$1204,MATCH(112,$S$5:$S$1204,0),8))</f>
        <v/>
      </c>
      <c r="I116" s="8" t="str">
        <f t="array" ref="I116">IF(112&gt;$S$1204,"",INDEX($T$5:$AJ$1204,MATCH(112,$S$5:$S$1204,0),9))</f>
        <v/>
      </c>
      <c r="J116" s="14" t="str">
        <f t="array" ref="J116">IF(112&gt;$S$1204,"",INDEX($T$5:$AJ$1204,MATCH(112,$S$5:$S$1204,0),10))</f>
        <v/>
      </c>
      <c r="K116" s="8" t="str">
        <f t="array" ref="K116">IF(112&gt;$S$1204,"",INDEX($T$5:$AJ$1204,MATCH(112,$S$5:$S$1204,0),11))</f>
        <v/>
      </c>
      <c r="L116" s="8" t="str">
        <f t="array" ref="L116">IF(112&gt;$S$1204,"",INDEX($T$5:$AJ$1204,MATCH(112,$S$5:$S$1204,0),12))</f>
        <v/>
      </c>
      <c r="M116" s="8" t="str">
        <f t="array" ref="M116">IF(112&gt;$S$1204,"",INDEX($T$5:$AJ$1204,MATCH(112,$S$5:$S$1204,0),13))</f>
        <v/>
      </c>
      <c r="N116" s="8" t="str">
        <f t="array" ref="N116">IF(112&gt;$S$1204,"",INDEX($T$5:$AJ$1204,MATCH(112,$S$5:$S$1204,0),14))</f>
        <v/>
      </c>
      <c r="O116" s="15" t="str">
        <f t="array" ref="O116">IF(112&gt;$S$1204,"",INDEX($T$5:$AJ$1204,MATCH(112,$S$5:$S$1204,0),15))</f>
        <v/>
      </c>
      <c r="P116" s="8" t="str">
        <f t="array" ref="P116">IF(112&gt;$S$1204,"",INDEX($T$5:$AJ$1204,MATCH(112,$S$5:$S$1204,0),16))</f>
        <v/>
      </c>
      <c r="Q116" s="8" t="str">
        <f t="array" ref="Q116">IF(112&gt;$S$1204,"",INDEX($T$5:$AJ$1204,MATCH(112,$S$5:$S$1204,0),17))</f>
        <v/>
      </c>
      <c r="R116" s="17"/>
      <c r="S116" s="17">
        <f>S115+IF(M1_Administrativo!A120="",0,1)</f>
        <v>0</v>
      </c>
      <c r="T116" s="17" t="str">
        <f>IF(M1_Administrativo!A120="","",IF(M1_Administrativo!A120="","",M1_Administrativo!A120))</f>
        <v/>
      </c>
      <c r="U116" s="17" t="str">
        <f>IF(M1_Administrativo!A120="","",IF(M1_Administrativo!R120="","",M1_Administrativo!R120))</f>
        <v/>
      </c>
      <c r="V116" s="17" t="str">
        <f>IF(M1_Administrativo!A120="","",IF(M1_Administrativo!D120="","",M1_Administrativo!D120))</f>
        <v/>
      </c>
      <c r="W116" s="17" t="str">
        <f>IF(M1_Administrativo!A120="","",IF(M1_Administrativo!B120="","",M1_Administrativo!B120))</f>
        <v/>
      </c>
      <c r="X116" s="17" t="str">
        <f>IF(M1_Administrativo!A120="","",IF(M1_Administrativo!C120="","",M1_Administrativo!C120))</f>
        <v/>
      </c>
      <c r="Y116" s="17" t="str">
        <f>IF(M1_Administrativo!A120="","",IF(M1_Administrativo!E120="","",M1_Administrativo!E120))</f>
        <v/>
      </c>
      <c r="Z116" s="17" t="str">
        <f>IF(M1_Administrativo!A120="","",IF(M1_Administrativo!F120="","",M1_Administrativo!F120))</f>
        <v/>
      </c>
      <c r="AA116" s="17" t="str">
        <f>IF(M1_Administrativo!A120="","","M1 Administrativo")</f>
        <v/>
      </c>
      <c r="AB116" s="17" t="str">
        <f>IF(M1_Administrativo!A120="","",IF(M1_Administrativo!G120="","",M1_Administrativo!G120))</f>
        <v/>
      </c>
      <c r="AC116" s="17" t="str">
        <f>IF(M1_Administrativo!A120="","",IF(M1_Administrativo!M120="","",M1_Administrativo!M120))</f>
        <v/>
      </c>
      <c r="AD116" s="17" t="str">
        <f>IF(M1_Administrativo!A120="","","RA")</f>
        <v/>
      </c>
      <c r="AE116" s="17" t="str">
        <f>IF(M1_Administrativo!A120="","",IF(M1_Administrativo!O120="","",M1_Administrativo!O120))</f>
        <v/>
      </c>
      <c r="AF116" s="17" t="str">
        <f>IF(M1_Administrativo!A120="","",IF(M1_Administrativo!P120="","",M1_Administrativo!P120))</f>
        <v/>
      </c>
      <c r="AG116" s="17" t="str">
        <f>IF(M1_Administrativo!A120="","",IF(M1_Administrativo!Q120="","",M1_Administrativo!Q120))</f>
        <v/>
      </c>
      <c r="AH116" s="17" t="str">
        <f>IF(M1_Administrativo!A120="","","")</f>
        <v/>
      </c>
      <c r="AI116" s="17" t="str">
        <f>IF(M1_Administrativo!A120="","","M1_Administrativo!120")</f>
        <v/>
      </c>
      <c r="AJ116" s="17" t="str">
        <f>IF(M1_Administrativo!A120="","",IF(M1_Administrativo!M120="","Pendiente de resultado","Disponible"))</f>
        <v/>
      </c>
    </row>
    <row r="117" spans="1:36" ht="55.5" customHeight="1">
      <c r="A117" s="6" t="str">
        <f t="array" ref="A117">IF(113&gt;$S$1204,"",INDEX($T$5:$AJ$1204,MATCH(113,$S$5:$S$1204,0),1))</f>
        <v/>
      </c>
      <c r="B117" s="8" t="str">
        <f t="array" ref="B117">IF(113&gt;$S$1204,"",INDEX($T$5:$AJ$1204,MATCH(113,$S$5:$S$1204,0),2))</f>
        <v/>
      </c>
      <c r="C117" s="10" t="str">
        <f t="array" ref="C117">IF(113&gt;$S$1204,"",INDEX($T$5:$AJ$1204,MATCH(113,$S$5:$S$1204,0),3))</f>
        <v/>
      </c>
      <c r="D117" s="8" t="str">
        <f t="array" ref="D117">IF(113&gt;$S$1204,"",INDEX($T$5:$AJ$1204,MATCH(113,$S$5:$S$1204,0),4))</f>
        <v/>
      </c>
      <c r="E117" s="8" t="str">
        <f t="array" ref="E117">IF(113&gt;$S$1204,"",INDEX($T$5:$AJ$1204,MATCH(113,$S$5:$S$1204,0),5))</f>
        <v/>
      </c>
      <c r="F117" s="8" t="str">
        <f t="array" ref="F117">IF(113&gt;$S$1204,"",INDEX($T$5:$AJ$1204,MATCH(113,$S$5:$S$1204,0),6))</f>
        <v/>
      </c>
      <c r="G117" s="8" t="str">
        <f t="array" ref="G117">IF(113&gt;$S$1204,"",INDEX($T$5:$AJ$1204,MATCH(113,$S$5:$S$1204,0),7))</f>
        <v/>
      </c>
      <c r="H117" s="8" t="str">
        <f t="array" ref="H117">IF(113&gt;$S$1204,"",INDEX($T$5:$AJ$1204,MATCH(113,$S$5:$S$1204,0),8))</f>
        <v/>
      </c>
      <c r="I117" s="8" t="str">
        <f t="array" ref="I117">IF(113&gt;$S$1204,"",INDEX($T$5:$AJ$1204,MATCH(113,$S$5:$S$1204,0),9))</f>
        <v/>
      </c>
      <c r="J117" s="14" t="str">
        <f t="array" ref="J117">IF(113&gt;$S$1204,"",INDEX($T$5:$AJ$1204,MATCH(113,$S$5:$S$1204,0),10))</f>
        <v/>
      </c>
      <c r="K117" s="8" t="str">
        <f t="array" ref="K117">IF(113&gt;$S$1204,"",INDEX($T$5:$AJ$1204,MATCH(113,$S$5:$S$1204,0),11))</f>
        <v/>
      </c>
      <c r="L117" s="8" t="str">
        <f t="array" ref="L117">IF(113&gt;$S$1204,"",INDEX($T$5:$AJ$1204,MATCH(113,$S$5:$S$1204,0),12))</f>
        <v/>
      </c>
      <c r="M117" s="8" t="str">
        <f t="array" ref="M117">IF(113&gt;$S$1204,"",INDEX($T$5:$AJ$1204,MATCH(113,$S$5:$S$1204,0),13))</f>
        <v/>
      </c>
      <c r="N117" s="8" t="str">
        <f t="array" ref="N117">IF(113&gt;$S$1204,"",INDEX($T$5:$AJ$1204,MATCH(113,$S$5:$S$1204,0),14))</f>
        <v/>
      </c>
      <c r="O117" s="15" t="str">
        <f t="array" ref="O117">IF(113&gt;$S$1204,"",INDEX($T$5:$AJ$1204,MATCH(113,$S$5:$S$1204,0),15))</f>
        <v/>
      </c>
      <c r="P117" s="8" t="str">
        <f t="array" ref="P117">IF(113&gt;$S$1204,"",INDEX($T$5:$AJ$1204,MATCH(113,$S$5:$S$1204,0),16))</f>
        <v/>
      </c>
      <c r="Q117" s="8" t="str">
        <f t="array" ref="Q117">IF(113&gt;$S$1204,"",INDEX($T$5:$AJ$1204,MATCH(113,$S$5:$S$1204,0),17))</f>
        <v/>
      </c>
      <c r="R117" s="17"/>
      <c r="S117" s="17">
        <f>S116+IF(M1_Administrativo!A121="",0,1)</f>
        <v>0</v>
      </c>
      <c r="T117" s="17" t="str">
        <f>IF(M1_Administrativo!A121="","",IF(M1_Administrativo!A121="","",M1_Administrativo!A121))</f>
        <v/>
      </c>
      <c r="U117" s="17" t="str">
        <f>IF(M1_Administrativo!A121="","",IF(M1_Administrativo!R121="","",M1_Administrativo!R121))</f>
        <v/>
      </c>
      <c r="V117" s="17" t="str">
        <f>IF(M1_Administrativo!A121="","",IF(M1_Administrativo!D121="","",M1_Administrativo!D121))</f>
        <v/>
      </c>
      <c r="W117" s="17" t="str">
        <f>IF(M1_Administrativo!A121="","",IF(M1_Administrativo!B121="","",M1_Administrativo!B121))</f>
        <v/>
      </c>
      <c r="X117" s="17" t="str">
        <f>IF(M1_Administrativo!A121="","",IF(M1_Administrativo!C121="","",M1_Administrativo!C121))</f>
        <v/>
      </c>
      <c r="Y117" s="17" t="str">
        <f>IF(M1_Administrativo!A121="","",IF(M1_Administrativo!E121="","",M1_Administrativo!E121))</f>
        <v/>
      </c>
      <c r="Z117" s="17" t="str">
        <f>IF(M1_Administrativo!A121="","",IF(M1_Administrativo!F121="","",M1_Administrativo!F121))</f>
        <v/>
      </c>
      <c r="AA117" s="17" t="str">
        <f>IF(M1_Administrativo!A121="","","M1 Administrativo")</f>
        <v/>
      </c>
      <c r="AB117" s="17" t="str">
        <f>IF(M1_Administrativo!A121="","",IF(M1_Administrativo!G121="","",M1_Administrativo!G121))</f>
        <v/>
      </c>
      <c r="AC117" s="17" t="str">
        <f>IF(M1_Administrativo!A121="","",IF(M1_Administrativo!M121="","",M1_Administrativo!M121))</f>
        <v/>
      </c>
      <c r="AD117" s="17" t="str">
        <f>IF(M1_Administrativo!A121="","","RA")</f>
        <v/>
      </c>
      <c r="AE117" s="17" t="str">
        <f>IF(M1_Administrativo!A121="","",IF(M1_Administrativo!O121="","",M1_Administrativo!O121))</f>
        <v/>
      </c>
      <c r="AF117" s="17" t="str">
        <f>IF(M1_Administrativo!A121="","",IF(M1_Administrativo!P121="","",M1_Administrativo!P121))</f>
        <v/>
      </c>
      <c r="AG117" s="17" t="str">
        <f>IF(M1_Administrativo!A121="","",IF(M1_Administrativo!Q121="","",M1_Administrativo!Q121))</f>
        <v/>
      </c>
      <c r="AH117" s="17" t="str">
        <f>IF(M1_Administrativo!A121="","","")</f>
        <v/>
      </c>
      <c r="AI117" s="17" t="str">
        <f>IF(M1_Administrativo!A121="","","M1_Administrativo!121")</f>
        <v/>
      </c>
      <c r="AJ117" s="17" t="str">
        <f>IF(M1_Administrativo!A121="","",IF(M1_Administrativo!M121="","Pendiente de resultado","Disponible"))</f>
        <v/>
      </c>
    </row>
    <row r="118" spans="1:36" ht="55.5" customHeight="1">
      <c r="A118" s="6" t="str">
        <f t="array" ref="A118">IF(114&gt;$S$1204,"",INDEX($T$5:$AJ$1204,MATCH(114,$S$5:$S$1204,0),1))</f>
        <v/>
      </c>
      <c r="B118" s="8" t="str">
        <f t="array" ref="B118">IF(114&gt;$S$1204,"",INDEX($T$5:$AJ$1204,MATCH(114,$S$5:$S$1204,0),2))</f>
        <v/>
      </c>
      <c r="C118" s="10" t="str">
        <f t="array" ref="C118">IF(114&gt;$S$1204,"",INDEX($T$5:$AJ$1204,MATCH(114,$S$5:$S$1204,0),3))</f>
        <v/>
      </c>
      <c r="D118" s="8" t="str">
        <f t="array" ref="D118">IF(114&gt;$S$1204,"",INDEX($T$5:$AJ$1204,MATCH(114,$S$5:$S$1204,0),4))</f>
        <v/>
      </c>
      <c r="E118" s="8" t="str">
        <f t="array" ref="E118">IF(114&gt;$S$1204,"",INDEX($T$5:$AJ$1204,MATCH(114,$S$5:$S$1204,0),5))</f>
        <v/>
      </c>
      <c r="F118" s="8" t="str">
        <f t="array" ref="F118">IF(114&gt;$S$1204,"",INDEX($T$5:$AJ$1204,MATCH(114,$S$5:$S$1204,0),6))</f>
        <v/>
      </c>
      <c r="G118" s="8" t="str">
        <f t="array" ref="G118">IF(114&gt;$S$1204,"",INDEX($T$5:$AJ$1204,MATCH(114,$S$5:$S$1204,0),7))</f>
        <v/>
      </c>
      <c r="H118" s="8" t="str">
        <f t="array" ref="H118">IF(114&gt;$S$1204,"",INDEX($T$5:$AJ$1204,MATCH(114,$S$5:$S$1204,0),8))</f>
        <v/>
      </c>
      <c r="I118" s="8" t="str">
        <f t="array" ref="I118">IF(114&gt;$S$1204,"",INDEX($T$5:$AJ$1204,MATCH(114,$S$5:$S$1204,0),9))</f>
        <v/>
      </c>
      <c r="J118" s="14" t="str">
        <f t="array" ref="J118">IF(114&gt;$S$1204,"",INDEX($T$5:$AJ$1204,MATCH(114,$S$5:$S$1204,0),10))</f>
        <v/>
      </c>
      <c r="K118" s="8" t="str">
        <f t="array" ref="K118">IF(114&gt;$S$1204,"",INDEX($T$5:$AJ$1204,MATCH(114,$S$5:$S$1204,0),11))</f>
        <v/>
      </c>
      <c r="L118" s="8" t="str">
        <f t="array" ref="L118">IF(114&gt;$S$1204,"",INDEX($T$5:$AJ$1204,MATCH(114,$S$5:$S$1204,0),12))</f>
        <v/>
      </c>
      <c r="M118" s="8" t="str">
        <f t="array" ref="M118">IF(114&gt;$S$1204,"",INDEX($T$5:$AJ$1204,MATCH(114,$S$5:$S$1204,0),13))</f>
        <v/>
      </c>
      <c r="N118" s="8" t="str">
        <f t="array" ref="N118">IF(114&gt;$S$1204,"",INDEX($T$5:$AJ$1204,MATCH(114,$S$5:$S$1204,0),14))</f>
        <v/>
      </c>
      <c r="O118" s="15" t="str">
        <f t="array" ref="O118">IF(114&gt;$S$1204,"",INDEX($T$5:$AJ$1204,MATCH(114,$S$5:$S$1204,0),15))</f>
        <v/>
      </c>
      <c r="P118" s="8" t="str">
        <f t="array" ref="P118">IF(114&gt;$S$1204,"",INDEX($T$5:$AJ$1204,MATCH(114,$S$5:$S$1204,0),16))</f>
        <v/>
      </c>
      <c r="Q118" s="8" t="str">
        <f t="array" ref="Q118">IF(114&gt;$S$1204,"",INDEX($T$5:$AJ$1204,MATCH(114,$S$5:$S$1204,0),17))</f>
        <v/>
      </c>
      <c r="R118" s="17"/>
      <c r="S118" s="17">
        <f>S117+IF(M1_Administrativo!A122="",0,1)</f>
        <v>0</v>
      </c>
      <c r="T118" s="17" t="str">
        <f>IF(M1_Administrativo!A122="","",IF(M1_Administrativo!A122="","",M1_Administrativo!A122))</f>
        <v/>
      </c>
      <c r="U118" s="17" t="str">
        <f>IF(M1_Administrativo!A122="","",IF(M1_Administrativo!R122="","",M1_Administrativo!R122))</f>
        <v/>
      </c>
      <c r="V118" s="17" t="str">
        <f>IF(M1_Administrativo!A122="","",IF(M1_Administrativo!D122="","",M1_Administrativo!D122))</f>
        <v/>
      </c>
      <c r="W118" s="17" t="str">
        <f>IF(M1_Administrativo!A122="","",IF(M1_Administrativo!B122="","",M1_Administrativo!B122))</f>
        <v/>
      </c>
      <c r="X118" s="17" t="str">
        <f>IF(M1_Administrativo!A122="","",IF(M1_Administrativo!C122="","",M1_Administrativo!C122))</f>
        <v/>
      </c>
      <c r="Y118" s="17" t="str">
        <f>IF(M1_Administrativo!A122="","",IF(M1_Administrativo!E122="","",M1_Administrativo!E122))</f>
        <v/>
      </c>
      <c r="Z118" s="17" t="str">
        <f>IF(M1_Administrativo!A122="","",IF(M1_Administrativo!F122="","",M1_Administrativo!F122))</f>
        <v/>
      </c>
      <c r="AA118" s="17" t="str">
        <f>IF(M1_Administrativo!A122="","","M1 Administrativo")</f>
        <v/>
      </c>
      <c r="AB118" s="17" t="str">
        <f>IF(M1_Administrativo!A122="","",IF(M1_Administrativo!G122="","",M1_Administrativo!G122))</f>
        <v/>
      </c>
      <c r="AC118" s="17" t="str">
        <f>IF(M1_Administrativo!A122="","",IF(M1_Administrativo!M122="","",M1_Administrativo!M122))</f>
        <v/>
      </c>
      <c r="AD118" s="17" t="str">
        <f>IF(M1_Administrativo!A122="","","RA")</f>
        <v/>
      </c>
      <c r="AE118" s="17" t="str">
        <f>IF(M1_Administrativo!A122="","",IF(M1_Administrativo!O122="","",M1_Administrativo!O122))</f>
        <v/>
      </c>
      <c r="AF118" s="17" t="str">
        <f>IF(M1_Administrativo!A122="","",IF(M1_Administrativo!P122="","",M1_Administrativo!P122))</f>
        <v/>
      </c>
      <c r="AG118" s="17" t="str">
        <f>IF(M1_Administrativo!A122="","",IF(M1_Administrativo!Q122="","",M1_Administrativo!Q122))</f>
        <v/>
      </c>
      <c r="AH118" s="17" t="str">
        <f>IF(M1_Administrativo!A122="","","")</f>
        <v/>
      </c>
      <c r="AI118" s="17" t="str">
        <f>IF(M1_Administrativo!A122="","","M1_Administrativo!122")</f>
        <v/>
      </c>
      <c r="AJ118" s="17" t="str">
        <f>IF(M1_Administrativo!A122="","",IF(M1_Administrativo!M122="","Pendiente de resultado","Disponible"))</f>
        <v/>
      </c>
    </row>
    <row r="119" spans="1:36" ht="55.5" customHeight="1">
      <c r="A119" s="6" t="str">
        <f t="array" ref="A119">IF(115&gt;$S$1204,"",INDEX($T$5:$AJ$1204,MATCH(115,$S$5:$S$1204,0),1))</f>
        <v/>
      </c>
      <c r="B119" s="8" t="str">
        <f t="array" ref="B119">IF(115&gt;$S$1204,"",INDEX($T$5:$AJ$1204,MATCH(115,$S$5:$S$1204,0),2))</f>
        <v/>
      </c>
      <c r="C119" s="10" t="str">
        <f t="array" ref="C119">IF(115&gt;$S$1204,"",INDEX($T$5:$AJ$1204,MATCH(115,$S$5:$S$1204,0),3))</f>
        <v/>
      </c>
      <c r="D119" s="8" t="str">
        <f t="array" ref="D119">IF(115&gt;$S$1204,"",INDEX($T$5:$AJ$1204,MATCH(115,$S$5:$S$1204,0),4))</f>
        <v/>
      </c>
      <c r="E119" s="8" t="str">
        <f t="array" ref="E119">IF(115&gt;$S$1204,"",INDEX($T$5:$AJ$1204,MATCH(115,$S$5:$S$1204,0),5))</f>
        <v/>
      </c>
      <c r="F119" s="8" t="str">
        <f t="array" ref="F119">IF(115&gt;$S$1204,"",INDEX($T$5:$AJ$1204,MATCH(115,$S$5:$S$1204,0),6))</f>
        <v/>
      </c>
      <c r="G119" s="8" t="str">
        <f t="array" ref="G119">IF(115&gt;$S$1204,"",INDEX($T$5:$AJ$1204,MATCH(115,$S$5:$S$1204,0),7))</f>
        <v/>
      </c>
      <c r="H119" s="8" t="str">
        <f t="array" ref="H119">IF(115&gt;$S$1204,"",INDEX($T$5:$AJ$1204,MATCH(115,$S$5:$S$1204,0),8))</f>
        <v/>
      </c>
      <c r="I119" s="8" t="str">
        <f t="array" ref="I119">IF(115&gt;$S$1204,"",INDEX($T$5:$AJ$1204,MATCH(115,$S$5:$S$1204,0),9))</f>
        <v/>
      </c>
      <c r="J119" s="14" t="str">
        <f t="array" ref="J119">IF(115&gt;$S$1204,"",INDEX($T$5:$AJ$1204,MATCH(115,$S$5:$S$1204,0),10))</f>
        <v/>
      </c>
      <c r="K119" s="8" t="str">
        <f t="array" ref="K119">IF(115&gt;$S$1204,"",INDEX($T$5:$AJ$1204,MATCH(115,$S$5:$S$1204,0),11))</f>
        <v/>
      </c>
      <c r="L119" s="8" t="str">
        <f t="array" ref="L119">IF(115&gt;$S$1204,"",INDEX($T$5:$AJ$1204,MATCH(115,$S$5:$S$1204,0),12))</f>
        <v/>
      </c>
      <c r="M119" s="8" t="str">
        <f t="array" ref="M119">IF(115&gt;$S$1204,"",INDEX($T$5:$AJ$1204,MATCH(115,$S$5:$S$1204,0),13))</f>
        <v/>
      </c>
      <c r="N119" s="8" t="str">
        <f t="array" ref="N119">IF(115&gt;$S$1204,"",INDEX($T$5:$AJ$1204,MATCH(115,$S$5:$S$1204,0),14))</f>
        <v/>
      </c>
      <c r="O119" s="15" t="str">
        <f t="array" ref="O119">IF(115&gt;$S$1204,"",INDEX($T$5:$AJ$1204,MATCH(115,$S$5:$S$1204,0),15))</f>
        <v/>
      </c>
      <c r="P119" s="8" t="str">
        <f t="array" ref="P119">IF(115&gt;$S$1204,"",INDEX($T$5:$AJ$1204,MATCH(115,$S$5:$S$1204,0),16))</f>
        <v/>
      </c>
      <c r="Q119" s="8" t="str">
        <f t="array" ref="Q119">IF(115&gt;$S$1204,"",INDEX($T$5:$AJ$1204,MATCH(115,$S$5:$S$1204,0),17))</f>
        <v/>
      </c>
      <c r="R119" s="17"/>
      <c r="S119" s="17">
        <f>S118+IF(M1_Administrativo!A123="",0,1)</f>
        <v>0</v>
      </c>
      <c r="T119" s="17" t="str">
        <f>IF(M1_Administrativo!A123="","",IF(M1_Administrativo!A123="","",M1_Administrativo!A123))</f>
        <v/>
      </c>
      <c r="U119" s="17" t="str">
        <f>IF(M1_Administrativo!A123="","",IF(M1_Administrativo!R123="","",M1_Administrativo!R123))</f>
        <v/>
      </c>
      <c r="V119" s="17" t="str">
        <f>IF(M1_Administrativo!A123="","",IF(M1_Administrativo!D123="","",M1_Administrativo!D123))</f>
        <v/>
      </c>
      <c r="W119" s="17" t="str">
        <f>IF(M1_Administrativo!A123="","",IF(M1_Administrativo!B123="","",M1_Administrativo!B123))</f>
        <v/>
      </c>
      <c r="X119" s="17" t="str">
        <f>IF(M1_Administrativo!A123="","",IF(M1_Administrativo!C123="","",M1_Administrativo!C123))</f>
        <v/>
      </c>
      <c r="Y119" s="17" t="str">
        <f>IF(M1_Administrativo!A123="","",IF(M1_Administrativo!E123="","",M1_Administrativo!E123))</f>
        <v/>
      </c>
      <c r="Z119" s="17" t="str">
        <f>IF(M1_Administrativo!A123="","",IF(M1_Administrativo!F123="","",M1_Administrativo!F123))</f>
        <v/>
      </c>
      <c r="AA119" s="17" t="str">
        <f>IF(M1_Administrativo!A123="","","M1 Administrativo")</f>
        <v/>
      </c>
      <c r="AB119" s="17" t="str">
        <f>IF(M1_Administrativo!A123="","",IF(M1_Administrativo!G123="","",M1_Administrativo!G123))</f>
        <v/>
      </c>
      <c r="AC119" s="17" t="str">
        <f>IF(M1_Administrativo!A123="","",IF(M1_Administrativo!M123="","",M1_Administrativo!M123))</f>
        <v/>
      </c>
      <c r="AD119" s="17" t="str">
        <f>IF(M1_Administrativo!A123="","","RA")</f>
        <v/>
      </c>
      <c r="AE119" s="17" t="str">
        <f>IF(M1_Administrativo!A123="","",IF(M1_Administrativo!O123="","",M1_Administrativo!O123))</f>
        <v/>
      </c>
      <c r="AF119" s="17" t="str">
        <f>IF(M1_Administrativo!A123="","",IF(M1_Administrativo!P123="","",M1_Administrativo!P123))</f>
        <v/>
      </c>
      <c r="AG119" s="17" t="str">
        <f>IF(M1_Administrativo!A123="","",IF(M1_Administrativo!Q123="","",M1_Administrativo!Q123))</f>
        <v/>
      </c>
      <c r="AH119" s="17" t="str">
        <f>IF(M1_Administrativo!A123="","","")</f>
        <v/>
      </c>
      <c r="AI119" s="17" t="str">
        <f>IF(M1_Administrativo!A123="","","M1_Administrativo!123")</f>
        <v/>
      </c>
      <c r="AJ119" s="17" t="str">
        <f>IF(M1_Administrativo!A123="","",IF(M1_Administrativo!M123="","Pendiente de resultado","Disponible"))</f>
        <v/>
      </c>
    </row>
    <row r="120" spans="1:36" ht="55.5" customHeight="1">
      <c r="A120" s="6" t="str">
        <f t="array" ref="A120">IF(116&gt;$S$1204,"",INDEX($T$5:$AJ$1204,MATCH(116,$S$5:$S$1204,0),1))</f>
        <v/>
      </c>
      <c r="B120" s="8" t="str">
        <f t="array" ref="B120">IF(116&gt;$S$1204,"",INDEX($T$5:$AJ$1204,MATCH(116,$S$5:$S$1204,0),2))</f>
        <v/>
      </c>
      <c r="C120" s="10" t="str">
        <f t="array" ref="C120">IF(116&gt;$S$1204,"",INDEX($T$5:$AJ$1204,MATCH(116,$S$5:$S$1204,0),3))</f>
        <v/>
      </c>
      <c r="D120" s="8" t="str">
        <f t="array" ref="D120">IF(116&gt;$S$1204,"",INDEX($T$5:$AJ$1204,MATCH(116,$S$5:$S$1204,0),4))</f>
        <v/>
      </c>
      <c r="E120" s="8" t="str">
        <f t="array" ref="E120">IF(116&gt;$S$1204,"",INDEX($T$5:$AJ$1204,MATCH(116,$S$5:$S$1204,0),5))</f>
        <v/>
      </c>
      <c r="F120" s="8" t="str">
        <f t="array" ref="F120">IF(116&gt;$S$1204,"",INDEX($T$5:$AJ$1204,MATCH(116,$S$5:$S$1204,0),6))</f>
        <v/>
      </c>
      <c r="G120" s="8" t="str">
        <f t="array" ref="G120">IF(116&gt;$S$1204,"",INDEX($T$5:$AJ$1204,MATCH(116,$S$5:$S$1204,0),7))</f>
        <v/>
      </c>
      <c r="H120" s="8" t="str">
        <f t="array" ref="H120">IF(116&gt;$S$1204,"",INDEX($T$5:$AJ$1204,MATCH(116,$S$5:$S$1204,0),8))</f>
        <v/>
      </c>
      <c r="I120" s="8" t="str">
        <f t="array" ref="I120">IF(116&gt;$S$1204,"",INDEX($T$5:$AJ$1204,MATCH(116,$S$5:$S$1204,0),9))</f>
        <v/>
      </c>
      <c r="J120" s="14" t="str">
        <f t="array" ref="J120">IF(116&gt;$S$1204,"",INDEX($T$5:$AJ$1204,MATCH(116,$S$5:$S$1204,0),10))</f>
        <v/>
      </c>
      <c r="K120" s="8" t="str">
        <f t="array" ref="K120">IF(116&gt;$S$1204,"",INDEX($T$5:$AJ$1204,MATCH(116,$S$5:$S$1204,0),11))</f>
        <v/>
      </c>
      <c r="L120" s="8" t="str">
        <f t="array" ref="L120">IF(116&gt;$S$1204,"",INDEX($T$5:$AJ$1204,MATCH(116,$S$5:$S$1204,0),12))</f>
        <v/>
      </c>
      <c r="M120" s="8" t="str">
        <f t="array" ref="M120">IF(116&gt;$S$1204,"",INDEX($T$5:$AJ$1204,MATCH(116,$S$5:$S$1204,0),13))</f>
        <v/>
      </c>
      <c r="N120" s="8" t="str">
        <f t="array" ref="N120">IF(116&gt;$S$1204,"",INDEX($T$5:$AJ$1204,MATCH(116,$S$5:$S$1204,0),14))</f>
        <v/>
      </c>
      <c r="O120" s="15" t="str">
        <f t="array" ref="O120">IF(116&gt;$S$1204,"",INDEX($T$5:$AJ$1204,MATCH(116,$S$5:$S$1204,0),15))</f>
        <v/>
      </c>
      <c r="P120" s="8" t="str">
        <f t="array" ref="P120">IF(116&gt;$S$1204,"",INDEX($T$5:$AJ$1204,MATCH(116,$S$5:$S$1204,0),16))</f>
        <v/>
      </c>
      <c r="Q120" s="8" t="str">
        <f t="array" ref="Q120">IF(116&gt;$S$1204,"",INDEX($T$5:$AJ$1204,MATCH(116,$S$5:$S$1204,0),17))</f>
        <v/>
      </c>
      <c r="R120" s="17"/>
      <c r="S120" s="17">
        <f>S119+IF(M1_Administrativo!A124="",0,1)</f>
        <v>0</v>
      </c>
      <c r="T120" s="17" t="str">
        <f>IF(M1_Administrativo!A124="","",IF(M1_Administrativo!A124="","",M1_Administrativo!A124))</f>
        <v/>
      </c>
      <c r="U120" s="17" t="str">
        <f>IF(M1_Administrativo!A124="","",IF(M1_Administrativo!R124="","",M1_Administrativo!R124))</f>
        <v/>
      </c>
      <c r="V120" s="17" t="str">
        <f>IF(M1_Administrativo!A124="","",IF(M1_Administrativo!D124="","",M1_Administrativo!D124))</f>
        <v/>
      </c>
      <c r="W120" s="17" t="str">
        <f>IF(M1_Administrativo!A124="","",IF(M1_Administrativo!B124="","",M1_Administrativo!B124))</f>
        <v/>
      </c>
      <c r="X120" s="17" t="str">
        <f>IF(M1_Administrativo!A124="","",IF(M1_Administrativo!C124="","",M1_Administrativo!C124))</f>
        <v/>
      </c>
      <c r="Y120" s="17" t="str">
        <f>IF(M1_Administrativo!A124="","",IF(M1_Administrativo!E124="","",M1_Administrativo!E124))</f>
        <v/>
      </c>
      <c r="Z120" s="17" t="str">
        <f>IF(M1_Administrativo!A124="","",IF(M1_Administrativo!F124="","",M1_Administrativo!F124))</f>
        <v/>
      </c>
      <c r="AA120" s="17" t="str">
        <f>IF(M1_Administrativo!A124="","","M1 Administrativo")</f>
        <v/>
      </c>
      <c r="AB120" s="17" t="str">
        <f>IF(M1_Administrativo!A124="","",IF(M1_Administrativo!G124="","",M1_Administrativo!G124))</f>
        <v/>
      </c>
      <c r="AC120" s="17" t="str">
        <f>IF(M1_Administrativo!A124="","",IF(M1_Administrativo!M124="","",M1_Administrativo!M124))</f>
        <v/>
      </c>
      <c r="AD120" s="17" t="str">
        <f>IF(M1_Administrativo!A124="","","RA")</f>
        <v/>
      </c>
      <c r="AE120" s="17" t="str">
        <f>IF(M1_Administrativo!A124="","",IF(M1_Administrativo!O124="","",M1_Administrativo!O124))</f>
        <v/>
      </c>
      <c r="AF120" s="17" t="str">
        <f>IF(M1_Administrativo!A124="","",IF(M1_Administrativo!P124="","",M1_Administrativo!P124))</f>
        <v/>
      </c>
      <c r="AG120" s="17" t="str">
        <f>IF(M1_Administrativo!A124="","",IF(M1_Administrativo!Q124="","",M1_Administrativo!Q124))</f>
        <v/>
      </c>
      <c r="AH120" s="17" t="str">
        <f>IF(M1_Administrativo!A124="","","")</f>
        <v/>
      </c>
      <c r="AI120" s="17" t="str">
        <f>IF(M1_Administrativo!A124="","","M1_Administrativo!124")</f>
        <v/>
      </c>
      <c r="AJ120" s="17" t="str">
        <f>IF(M1_Administrativo!A124="","",IF(M1_Administrativo!M124="","Pendiente de resultado","Disponible"))</f>
        <v/>
      </c>
    </row>
    <row r="121" spans="1:36" ht="55.5" customHeight="1">
      <c r="A121" s="6" t="str">
        <f t="array" ref="A121">IF(117&gt;$S$1204,"",INDEX($T$5:$AJ$1204,MATCH(117,$S$5:$S$1204,0),1))</f>
        <v/>
      </c>
      <c r="B121" s="8" t="str">
        <f t="array" ref="B121">IF(117&gt;$S$1204,"",INDEX($T$5:$AJ$1204,MATCH(117,$S$5:$S$1204,0),2))</f>
        <v/>
      </c>
      <c r="C121" s="10" t="str">
        <f t="array" ref="C121">IF(117&gt;$S$1204,"",INDEX($T$5:$AJ$1204,MATCH(117,$S$5:$S$1204,0),3))</f>
        <v/>
      </c>
      <c r="D121" s="8" t="str">
        <f t="array" ref="D121">IF(117&gt;$S$1204,"",INDEX($T$5:$AJ$1204,MATCH(117,$S$5:$S$1204,0),4))</f>
        <v/>
      </c>
      <c r="E121" s="8" t="str">
        <f t="array" ref="E121">IF(117&gt;$S$1204,"",INDEX($T$5:$AJ$1204,MATCH(117,$S$5:$S$1204,0),5))</f>
        <v/>
      </c>
      <c r="F121" s="8" t="str">
        <f t="array" ref="F121">IF(117&gt;$S$1204,"",INDEX($T$5:$AJ$1204,MATCH(117,$S$5:$S$1204,0),6))</f>
        <v/>
      </c>
      <c r="G121" s="8" t="str">
        <f t="array" ref="G121">IF(117&gt;$S$1204,"",INDEX($T$5:$AJ$1204,MATCH(117,$S$5:$S$1204,0),7))</f>
        <v/>
      </c>
      <c r="H121" s="8" t="str">
        <f t="array" ref="H121">IF(117&gt;$S$1204,"",INDEX($T$5:$AJ$1204,MATCH(117,$S$5:$S$1204,0),8))</f>
        <v/>
      </c>
      <c r="I121" s="8" t="str">
        <f t="array" ref="I121">IF(117&gt;$S$1204,"",INDEX($T$5:$AJ$1204,MATCH(117,$S$5:$S$1204,0),9))</f>
        <v/>
      </c>
      <c r="J121" s="14" t="str">
        <f t="array" ref="J121">IF(117&gt;$S$1204,"",INDEX($T$5:$AJ$1204,MATCH(117,$S$5:$S$1204,0),10))</f>
        <v/>
      </c>
      <c r="K121" s="8" t="str">
        <f t="array" ref="K121">IF(117&gt;$S$1204,"",INDEX($T$5:$AJ$1204,MATCH(117,$S$5:$S$1204,0),11))</f>
        <v/>
      </c>
      <c r="L121" s="8" t="str">
        <f t="array" ref="L121">IF(117&gt;$S$1204,"",INDEX($T$5:$AJ$1204,MATCH(117,$S$5:$S$1204,0),12))</f>
        <v/>
      </c>
      <c r="M121" s="8" t="str">
        <f t="array" ref="M121">IF(117&gt;$S$1204,"",INDEX($T$5:$AJ$1204,MATCH(117,$S$5:$S$1204,0),13))</f>
        <v/>
      </c>
      <c r="N121" s="8" t="str">
        <f t="array" ref="N121">IF(117&gt;$S$1204,"",INDEX($T$5:$AJ$1204,MATCH(117,$S$5:$S$1204,0),14))</f>
        <v/>
      </c>
      <c r="O121" s="15" t="str">
        <f t="array" ref="O121">IF(117&gt;$S$1204,"",INDEX($T$5:$AJ$1204,MATCH(117,$S$5:$S$1204,0),15))</f>
        <v/>
      </c>
      <c r="P121" s="8" t="str">
        <f t="array" ref="P121">IF(117&gt;$S$1204,"",INDEX($T$5:$AJ$1204,MATCH(117,$S$5:$S$1204,0),16))</f>
        <v/>
      </c>
      <c r="Q121" s="8" t="str">
        <f t="array" ref="Q121">IF(117&gt;$S$1204,"",INDEX($T$5:$AJ$1204,MATCH(117,$S$5:$S$1204,0),17))</f>
        <v/>
      </c>
      <c r="R121" s="17"/>
      <c r="S121" s="17">
        <f>S120+IF(M1_Administrativo!A125="",0,1)</f>
        <v>0</v>
      </c>
      <c r="T121" s="17" t="str">
        <f>IF(M1_Administrativo!A125="","",IF(M1_Administrativo!A125="","",M1_Administrativo!A125))</f>
        <v/>
      </c>
      <c r="U121" s="17" t="str">
        <f>IF(M1_Administrativo!A125="","",IF(M1_Administrativo!R125="","",M1_Administrativo!R125))</f>
        <v/>
      </c>
      <c r="V121" s="17" t="str">
        <f>IF(M1_Administrativo!A125="","",IF(M1_Administrativo!D125="","",M1_Administrativo!D125))</f>
        <v/>
      </c>
      <c r="W121" s="17" t="str">
        <f>IF(M1_Administrativo!A125="","",IF(M1_Administrativo!B125="","",M1_Administrativo!B125))</f>
        <v/>
      </c>
      <c r="X121" s="17" t="str">
        <f>IF(M1_Administrativo!A125="","",IF(M1_Administrativo!C125="","",M1_Administrativo!C125))</f>
        <v/>
      </c>
      <c r="Y121" s="17" t="str">
        <f>IF(M1_Administrativo!A125="","",IF(M1_Administrativo!E125="","",M1_Administrativo!E125))</f>
        <v/>
      </c>
      <c r="Z121" s="17" t="str">
        <f>IF(M1_Administrativo!A125="","",IF(M1_Administrativo!F125="","",M1_Administrativo!F125))</f>
        <v/>
      </c>
      <c r="AA121" s="17" t="str">
        <f>IF(M1_Administrativo!A125="","","M1 Administrativo")</f>
        <v/>
      </c>
      <c r="AB121" s="17" t="str">
        <f>IF(M1_Administrativo!A125="","",IF(M1_Administrativo!G125="","",M1_Administrativo!G125))</f>
        <v/>
      </c>
      <c r="AC121" s="17" t="str">
        <f>IF(M1_Administrativo!A125="","",IF(M1_Administrativo!M125="","",M1_Administrativo!M125))</f>
        <v/>
      </c>
      <c r="AD121" s="17" t="str">
        <f>IF(M1_Administrativo!A125="","","RA")</f>
        <v/>
      </c>
      <c r="AE121" s="17" t="str">
        <f>IF(M1_Administrativo!A125="","",IF(M1_Administrativo!O125="","",M1_Administrativo!O125))</f>
        <v/>
      </c>
      <c r="AF121" s="17" t="str">
        <f>IF(M1_Administrativo!A125="","",IF(M1_Administrativo!P125="","",M1_Administrativo!P125))</f>
        <v/>
      </c>
      <c r="AG121" s="17" t="str">
        <f>IF(M1_Administrativo!A125="","",IF(M1_Administrativo!Q125="","",M1_Administrativo!Q125))</f>
        <v/>
      </c>
      <c r="AH121" s="17" t="str">
        <f>IF(M1_Administrativo!A125="","","")</f>
        <v/>
      </c>
      <c r="AI121" s="17" t="str">
        <f>IF(M1_Administrativo!A125="","","M1_Administrativo!125")</f>
        <v/>
      </c>
      <c r="AJ121" s="17" t="str">
        <f>IF(M1_Administrativo!A125="","",IF(M1_Administrativo!M125="","Pendiente de resultado","Disponible"))</f>
        <v/>
      </c>
    </row>
    <row r="122" spans="1:36" ht="55.5" customHeight="1">
      <c r="A122" s="6" t="str">
        <f t="array" ref="A122">IF(118&gt;$S$1204,"",INDEX($T$5:$AJ$1204,MATCH(118,$S$5:$S$1204,0),1))</f>
        <v/>
      </c>
      <c r="B122" s="8" t="str">
        <f t="array" ref="B122">IF(118&gt;$S$1204,"",INDEX($T$5:$AJ$1204,MATCH(118,$S$5:$S$1204,0),2))</f>
        <v/>
      </c>
      <c r="C122" s="10" t="str">
        <f t="array" ref="C122">IF(118&gt;$S$1204,"",INDEX($T$5:$AJ$1204,MATCH(118,$S$5:$S$1204,0),3))</f>
        <v/>
      </c>
      <c r="D122" s="8" t="str">
        <f t="array" ref="D122">IF(118&gt;$S$1204,"",INDEX($T$5:$AJ$1204,MATCH(118,$S$5:$S$1204,0),4))</f>
        <v/>
      </c>
      <c r="E122" s="8" t="str">
        <f t="array" ref="E122">IF(118&gt;$S$1204,"",INDEX($T$5:$AJ$1204,MATCH(118,$S$5:$S$1204,0),5))</f>
        <v/>
      </c>
      <c r="F122" s="8" t="str">
        <f t="array" ref="F122">IF(118&gt;$S$1204,"",INDEX($T$5:$AJ$1204,MATCH(118,$S$5:$S$1204,0),6))</f>
        <v/>
      </c>
      <c r="G122" s="8" t="str">
        <f t="array" ref="G122">IF(118&gt;$S$1204,"",INDEX($T$5:$AJ$1204,MATCH(118,$S$5:$S$1204,0),7))</f>
        <v/>
      </c>
      <c r="H122" s="8" t="str">
        <f t="array" ref="H122">IF(118&gt;$S$1204,"",INDEX($T$5:$AJ$1204,MATCH(118,$S$5:$S$1204,0),8))</f>
        <v/>
      </c>
      <c r="I122" s="8" t="str">
        <f t="array" ref="I122">IF(118&gt;$S$1204,"",INDEX($T$5:$AJ$1204,MATCH(118,$S$5:$S$1204,0),9))</f>
        <v/>
      </c>
      <c r="J122" s="14" t="str">
        <f t="array" ref="J122">IF(118&gt;$S$1204,"",INDEX($T$5:$AJ$1204,MATCH(118,$S$5:$S$1204,0),10))</f>
        <v/>
      </c>
      <c r="K122" s="8" t="str">
        <f t="array" ref="K122">IF(118&gt;$S$1204,"",INDEX($T$5:$AJ$1204,MATCH(118,$S$5:$S$1204,0),11))</f>
        <v/>
      </c>
      <c r="L122" s="8" t="str">
        <f t="array" ref="L122">IF(118&gt;$S$1204,"",INDEX($T$5:$AJ$1204,MATCH(118,$S$5:$S$1204,0),12))</f>
        <v/>
      </c>
      <c r="M122" s="8" t="str">
        <f t="array" ref="M122">IF(118&gt;$S$1204,"",INDEX($T$5:$AJ$1204,MATCH(118,$S$5:$S$1204,0),13))</f>
        <v/>
      </c>
      <c r="N122" s="8" t="str">
        <f t="array" ref="N122">IF(118&gt;$S$1204,"",INDEX($T$5:$AJ$1204,MATCH(118,$S$5:$S$1204,0),14))</f>
        <v/>
      </c>
      <c r="O122" s="15" t="str">
        <f t="array" ref="O122">IF(118&gt;$S$1204,"",INDEX($T$5:$AJ$1204,MATCH(118,$S$5:$S$1204,0),15))</f>
        <v/>
      </c>
      <c r="P122" s="8" t="str">
        <f t="array" ref="P122">IF(118&gt;$S$1204,"",INDEX($T$5:$AJ$1204,MATCH(118,$S$5:$S$1204,0),16))</f>
        <v/>
      </c>
      <c r="Q122" s="8" t="str">
        <f t="array" ref="Q122">IF(118&gt;$S$1204,"",INDEX($T$5:$AJ$1204,MATCH(118,$S$5:$S$1204,0),17))</f>
        <v/>
      </c>
      <c r="R122" s="17"/>
      <c r="S122" s="17">
        <f>S121+IF(M1_Administrativo!A126="",0,1)</f>
        <v>0</v>
      </c>
      <c r="T122" s="17" t="str">
        <f>IF(M1_Administrativo!A126="","",IF(M1_Administrativo!A126="","",M1_Administrativo!A126))</f>
        <v/>
      </c>
      <c r="U122" s="17" t="str">
        <f>IF(M1_Administrativo!A126="","",IF(M1_Administrativo!R126="","",M1_Administrativo!R126))</f>
        <v/>
      </c>
      <c r="V122" s="17" t="str">
        <f>IF(M1_Administrativo!A126="","",IF(M1_Administrativo!D126="","",M1_Administrativo!D126))</f>
        <v/>
      </c>
      <c r="W122" s="17" t="str">
        <f>IF(M1_Administrativo!A126="","",IF(M1_Administrativo!B126="","",M1_Administrativo!B126))</f>
        <v/>
      </c>
      <c r="X122" s="17" t="str">
        <f>IF(M1_Administrativo!A126="","",IF(M1_Administrativo!C126="","",M1_Administrativo!C126))</f>
        <v/>
      </c>
      <c r="Y122" s="17" t="str">
        <f>IF(M1_Administrativo!A126="","",IF(M1_Administrativo!E126="","",M1_Administrativo!E126))</f>
        <v/>
      </c>
      <c r="Z122" s="17" t="str">
        <f>IF(M1_Administrativo!A126="","",IF(M1_Administrativo!F126="","",M1_Administrativo!F126))</f>
        <v/>
      </c>
      <c r="AA122" s="17" t="str">
        <f>IF(M1_Administrativo!A126="","","M1 Administrativo")</f>
        <v/>
      </c>
      <c r="AB122" s="17" t="str">
        <f>IF(M1_Administrativo!A126="","",IF(M1_Administrativo!G126="","",M1_Administrativo!G126))</f>
        <v/>
      </c>
      <c r="AC122" s="17" t="str">
        <f>IF(M1_Administrativo!A126="","",IF(M1_Administrativo!M126="","",M1_Administrativo!M126))</f>
        <v/>
      </c>
      <c r="AD122" s="17" t="str">
        <f>IF(M1_Administrativo!A126="","","RA")</f>
        <v/>
      </c>
      <c r="AE122" s="17" t="str">
        <f>IF(M1_Administrativo!A126="","",IF(M1_Administrativo!O126="","",M1_Administrativo!O126))</f>
        <v/>
      </c>
      <c r="AF122" s="17" t="str">
        <f>IF(M1_Administrativo!A126="","",IF(M1_Administrativo!P126="","",M1_Administrativo!P126))</f>
        <v/>
      </c>
      <c r="AG122" s="17" t="str">
        <f>IF(M1_Administrativo!A126="","",IF(M1_Administrativo!Q126="","",M1_Administrativo!Q126))</f>
        <v/>
      </c>
      <c r="AH122" s="17" t="str">
        <f>IF(M1_Administrativo!A126="","","")</f>
        <v/>
      </c>
      <c r="AI122" s="17" t="str">
        <f>IF(M1_Administrativo!A126="","","M1_Administrativo!126")</f>
        <v/>
      </c>
      <c r="AJ122" s="17" t="str">
        <f>IF(M1_Administrativo!A126="","",IF(M1_Administrativo!M126="","Pendiente de resultado","Disponible"))</f>
        <v/>
      </c>
    </row>
    <row r="123" spans="1:36" ht="55.5" customHeight="1">
      <c r="A123" s="6" t="str">
        <f t="array" ref="A123">IF(119&gt;$S$1204,"",INDEX($T$5:$AJ$1204,MATCH(119,$S$5:$S$1204,0),1))</f>
        <v/>
      </c>
      <c r="B123" s="8" t="str">
        <f t="array" ref="B123">IF(119&gt;$S$1204,"",INDEX($T$5:$AJ$1204,MATCH(119,$S$5:$S$1204,0),2))</f>
        <v/>
      </c>
      <c r="C123" s="10" t="str">
        <f t="array" ref="C123">IF(119&gt;$S$1204,"",INDEX($T$5:$AJ$1204,MATCH(119,$S$5:$S$1204,0),3))</f>
        <v/>
      </c>
      <c r="D123" s="8" t="str">
        <f t="array" ref="D123">IF(119&gt;$S$1204,"",INDEX($T$5:$AJ$1204,MATCH(119,$S$5:$S$1204,0),4))</f>
        <v/>
      </c>
      <c r="E123" s="8" t="str">
        <f t="array" ref="E123">IF(119&gt;$S$1204,"",INDEX($T$5:$AJ$1204,MATCH(119,$S$5:$S$1204,0),5))</f>
        <v/>
      </c>
      <c r="F123" s="8" t="str">
        <f t="array" ref="F123">IF(119&gt;$S$1204,"",INDEX($T$5:$AJ$1204,MATCH(119,$S$5:$S$1204,0),6))</f>
        <v/>
      </c>
      <c r="G123" s="8" t="str">
        <f t="array" ref="G123">IF(119&gt;$S$1204,"",INDEX($T$5:$AJ$1204,MATCH(119,$S$5:$S$1204,0),7))</f>
        <v/>
      </c>
      <c r="H123" s="8" t="str">
        <f t="array" ref="H123">IF(119&gt;$S$1204,"",INDEX($T$5:$AJ$1204,MATCH(119,$S$5:$S$1204,0),8))</f>
        <v/>
      </c>
      <c r="I123" s="8" t="str">
        <f t="array" ref="I123">IF(119&gt;$S$1204,"",INDEX($T$5:$AJ$1204,MATCH(119,$S$5:$S$1204,0),9))</f>
        <v/>
      </c>
      <c r="J123" s="14" t="str">
        <f t="array" ref="J123">IF(119&gt;$S$1204,"",INDEX($T$5:$AJ$1204,MATCH(119,$S$5:$S$1204,0),10))</f>
        <v/>
      </c>
      <c r="K123" s="8" t="str">
        <f t="array" ref="K123">IF(119&gt;$S$1204,"",INDEX($T$5:$AJ$1204,MATCH(119,$S$5:$S$1204,0),11))</f>
        <v/>
      </c>
      <c r="L123" s="8" t="str">
        <f t="array" ref="L123">IF(119&gt;$S$1204,"",INDEX($T$5:$AJ$1204,MATCH(119,$S$5:$S$1204,0),12))</f>
        <v/>
      </c>
      <c r="M123" s="8" t="str">
        <f t="array" ref="M123">IF(119&gt;$S$1204,"",INDEX($T$5:$AJ$1204,MATCH(119,$S$5:$S$1204,0),13))</f>
        <v/>
      </c>
      <c r="N123" s="8" t="str">
        <f t="array" ref="N123">IF(119&gt;$S$1204,"",INDEX($T$5:$AJ$1204,MATCH(119,$S$5:$S$1204,0),14))</f>
        <v/>
      </c>
      <c r="O123" s="15" t="str">
        <f t="array" ref="O123">IF(119&gt;$S$1204,"",INDEX($T$5:$AJ$1204,MATCH(119,$S$5:$S$1204,0),15))</f>
        <v/>
      </c>
      <c r="P123" s="8" t="str">
        <f t="array" ref="P123">IF(119&gt;$S$1204,"",INDEX($T$5:$AJ$1204,MATCH(119,$S$5:$S$1204,0),16))</f>
        <v/>
      </c>
      <c r="Q123" s="8" t="str">
        <f t="array" ref="Q123">IF(119&gt;$S$1204,"",INDEX($T$5:$AJ$1204,MATCH(119,$S$5:$S$1204,0),17))</f>
        <v/>
      </c>
      <c r="R123" s="17"/>
      <c r="S123" s="17">
        <f>S122+IF(M1_Administrativo!A127="",0,1)</f>
        <v>0</v>
      </c>
      <c r="T123" s="17" t="str">
        <f>IF(M1_Administrativo!A127="","",IF(M1_Administrativo!A127="","",M1_Administrativo!A127))</f>
        <v/>
      </c>
      <c r="U123" s="17" t="str">
        <f>IF(M1_Administrativo!A127="","",IF(M1_Administrativo!R127="","",M1_Administrativo!R127))</f>
        <v/>
      </c>
      <c r="V123" s="17" t="str">
        <f>IF(M1_Administrativo!A127="","",IF(M1_Administrativo!D127="","",M1_Administrativo!D127))</f>
        <v/>
      </c>
      <c r="W123" s="17" t="str">
        <f>IF(M1_Administrativo!A127="","",IF(M1_Administrativo!B127="","",M1_Administrativo!B127))</f>
        <v/>
      </c>
      <c r="X123" s="17" t="str">
        <f>IF(M1_Administrativo!A127="","",IF(M1_Administrativo!C127="","",M1_Administrativo!C127))</f>
        <v/>
      </c>
      <c r="Y123" s="17" t="str">
        <f>IF(M1_Administrativo!A127="","",IF(M1_Administrativo!E127="","",M1_Administrativo!E127))</f>
        <v/>
      </c>
      <c r="Z123" s="17" t="str">
        <f>IF(M1_Administrativo!A127="","",IF(M1_Administrativo!F127="","",M1_Administrativo!F127))</f>
        <v/>
      </c>
      <c r="AA123" s="17" t="str">
        <f>IF(M1_Administrativo!A127="","","M1 Administrativo")</f>
        <v/>
      </c>
      <c r="AB123" s="17" t="str">
        <f>IF(M1_Administrativo!A127="","",IF(M1_Administrativo!G127="","",M1_Administrativo!G127))</f>
        <v/>
      </c>
      <c r="AC123" s="17" t="str">
        <f>IF(M1_Administrativo!A127="","",IF(M1_Administrativo!M127="","",M1_Administrativo!M127))</f>
        <v/>
      </c>
      <c r="AD123" s="17" t="str">
        <f>IF(M1_Administrativo!A127="","","RA")</f>
        <v/>
      </c>
      <c r="AE123" s="17" t="str">
        <f>IF(M1_Administrativo!A127="","",IF(M1_Administrativo!O127="","",M1_Administrativo!O127))</f>
        <v/>
      </c>
      <c r="AF123" s="17" t="str">
        <f>IF(M1_Administrativo!A127="","",IF(M1_Administrativo!P127="","",M1_Administrativo!P127))</f>
        <v/>
      </c>
      <c r="AG123" s="17" t="str">
        <f>IF(M1_Administrativo!A127="","",IF(M1_Administrativo!Q127="","",M1_Administrativo!Q127))</f>
        <v/>
      </c>
      <c r="AH123" s="17" t="str">
        <f>IF(M1_Administrativo!A127="","","")</f>
        <v/>
      </c>
      <c r="AI123" s="17" t="str">
        <f>IF(M1_Administrativo!A127="","","M1_Administrativo!127")</f>
        <v/>
      </c>
      <c r="AJ123" s="17" t="str">
        <f>IF(M1_Administrativo!A127="","",IF(M1_Administrativo!M127="","Pendiente de resultado","Disponible"))</f>
        <v/>
      </c>
    </row>
    <row r="124" spans="1:36" ht="55.5" customHeight="1">
      <c r="A124" s="6" t="str">
        <f t="array" ref="A124">IF(120&gt;$S$1204,"",INDEX($T$5:$AJ$1204,MATCH(120,$S$5:$S$1204,0),1))</f>
        <v/>
      </c>
      <c r="B124" s="8" t="str">
        <f t="array" ref="B124">IF(120&gt;$S$1204,"",INDEX($T$5:$AJ$1204,MATCH(120,$S$5:$S$1204,0),2))</f>
        <v/>
      </c>
      <c r="C124" s="10" t="str">
        <f t="array" ref="C124">IF(120&gt;$S$1204,"",INDEX($T$5:$AJ$1204,MATCH(120,$S$5:$S$1204,0),3))</f>
        <v/>
      </c>
      <c r="D124" s="8" t="str">
        <f t="array" ref="D124">IF(120&gt;$S$1204,"",INDEX($T$5:$AJ$1204,MATCH(120,$S$5:$S$1204,0),4))</f>
        <v/>
      </c>
      <c r="E124" s="8" t="str">
        <f t="array" ref="E124">IF(120&gt;$S$1204,"",INDEX($T$5:$AJ$1204,MATCH(120,$S$5:$S$1204,0),5))</f>
        <v/>
      </c>
      <c r="F124" s="8" t="str">
        <f t="array" ref="F124">IF(120&gt;$S$1204,"",INDEX($T$5:$AJ$1204,MATCH(120,$S$5:$S$1204,0),6))</f>
        <v/>
      </c>
      <c r="G124" s="8" t="str">
        <f t="array" ref="G124">IF(120&gt;$S$1204,"",INDEX($T$5:$AJ$1204,MATCH(120,$S$5:$S$1204,0),7))</f>
        <v/>
      </c>
      <c r="H124" s="8" t="str">
        <f t="array" ref="H124">IF(120&gt;$S$1204,"",INDEX($T$5:$AJ$1204,MATCH(120,$S$5:$S$1204,0),8))</f>
        <v/>
      </c>
      <c r="I124" s="8" t="str">
        <f t="array" ref="I124">IF(120&gt;$S$1204,"",INDEX($T$5:$AJ$1204,MATCH(120,$S$5:$S$1204,0),9))</f>
        <v/>
      </c>
      <c r="J124" s="14" t="str">
        <f t="array" ref="J124">IF(120&gt;$S$1204,"",INDEX($T$5:$AJ$1204,MATCH(120,$S$5:$S$1204,0),10))</f>
        <v/>
      </c>
      <c r="K124" s="8" t="str">
        <f t="array" ref="K124">IF(120&gt;$S$1204,"",INDEX($T$5:$AJ$1204,MATCH(120,$S$5:$S$1204,0),11))</f>
        <v/>
      </c>
      <c r="L124" s="8" t="str">
        <f t="array" ref="L124">IF(120&gt;$S$1204,"",INDEX($T$5:$AJ$1204,MATCH(120,$S$5:$S$1204,0),12))</f>
        <v/>
      </c>
      <c r="M124" s="8" t="str">
        <f t="array" ref="M124">IF(120&gt;$S$1204,"",INDEX($T$5:$AJ$1204,MATCH(120,$S$5:$S$1204,0),13))</f>
        <v/>
      </c>
      <c r="N124" s="8" t="str">
        <f t="array" ref="N124">IF(120&gt;$S$1204,"",INDEX($T$5:$AJ$1204,MATCH(120,$S$5:$S$1204,0),14))</f>
        <v/>
      </c>
      <c r="O124" s="15" t="str">
        <f t="array" ref="O124">IF(120&gt;$S$1204,"",INDEX($T$5:$AJ$1204,MATCH(120,$S$5:$S$1204,0),15))</f>
        <v/>
      </c>
      <c r="P124" s="8" t="str">
        <f t="array" ref="P124">IF(120&gt;$S$1204,"",INDEX($T$5:$AJ$1204,MATCH(120,$S$5:$S$1204,0),16))</f>
        <v/>
      </c>
      <c r="Q124" s="8" t="str">
        <f t="array" ref="Q124">IF(120&gt;$S$1204,"",INDEX($T$5:$AJ$1204,MATCH(120,$S$5:$S$1204,0),17))</f>
        <v/>
      </c>
      <c r="R124" s="17"/>
      <c r="S124" s="17">
        <f>S123+IF(M1_Administrativo!A128="",0,1)</f>
        <v>0</v>
      </c>
      <c r="T124" s="17" t="str">
        <f>IF(M1_Administrativo!A128="","",IF(M1_Administrativo!A128="","",M1_Administrativo!A128))</f>
        <v/>
      </c>
      <c r="U124" s="17" t="str">
        <f>IF(M1_Administrativo!A128="","",IF(M1_Administrativo!R128="","",M1_Administrativo!R128))</f>
        <v/>
      </c>
      <c r="V124" s="17" t="str">
        <f>IF(M1_Administrativo!A128="","",IF(M1_Administrativo!D128="","",M1_Administrativo!D128))</f>
        <v/>
      </c>
      <c r="W124" s="17" t="str">
        <f>IF(M1_Administrativo!A128="","",IF(M1_Administrativo!B128="","",M1_Administrativo!B128))</f>
        <v/>
      </c>
      <c r="X124" s="17" t="str">
        <f>IF(M1_Administrativo!A128="","",IF(M1_Administrativo!C128="","",M1_Administrativo!C128))</f>
        <v/>
      </c>
      <c r="Y124" s="17" t="str">
        <f>IF(M1_Administrativo!A128="","",IF(M1_Administrativo!E128="","",M1_Administrativo!E128))</f>
        <v/>
      </c>
      <c r="Z124" s="17" t="str">
        <f>IF(M1_Administrativo!A128="","",IF(M1_Administrativo!F128="","",M1_Administrativo!F128))</f>
        <v/>
      </c>
      <c r="AA124" s="17" t="str">
        <f>IF(M1_Administrativo!A128="","","M1 Administrativo")</f>
        <v/>
      </c>
      <c r="AB124" s="17" t="str">
        <f>IF(M1_Administrativo!A128="","",IF(M1_Administrativo!G128="","",M1_Administrativo!G128))</f>
        <v/>
      </c>
      <c r="AC124" s="17" t="str">
        <f>IF(M1_Administrativo!A128="","",IF(M1_Administrativo!M128="","",M1_Administrativo!M128))</f>
        <v/>
      </c>
      <c r="AD124" s="17" t="str">
        <f>IF(M1_Administrativo!A128="","","RA")</f>
        <v/>
      </c>
      <c r="AE124" s="17" t="str">
        <f>IF(M1_Administrativo!A128="","",IF(M1_Administrativo!O128="","",M1_Administrativo!O128))</f>
        <v/>
      </c>
      <c r="AF124" s="17" t="str">
        <f>IF(M1_Administrativo!A128="","",IF(M1_Administrativo!P128="","",M1_Administrativo!P128))</f>
        <v/>
      </c>
      <c r="AG124" s="17" t="str">
        <f>IF(M1_Administrativo!A128="","",IF(M1_Administrativo!Q128="","",M1_Administrativo!Q128))</f>
        <v/>
      </c>
      <c r="AH124" s="17" t="str">
        <f>IF(M1_Administrativo!A128="","","")</f>
        <v/>
      </c>
      <c r="AI124" s="17" t="str">
        <f>IF(M1_Administrativo!A128="","","M1_Administrativo!128")</f>
        <v/>
      </c>
      <c r="AJ124" s="17" t="str">
        <f>IF(M1_Administrativo!A128="","",IF(M1_Administrativo!M128="","Pendiente de resultado","Disponible"))</f>
        <v/>
      </c>
    </row>
    <row r="125" spans="1:36" ht="55.5" customHeight="1">
      <c r="A125" s="6" t="str">
        <f t="array" ref="A125">IF(121&gt;$S$1204,"",INDEX($T$5:$AJ$1204,MATCH(121,$S$5:$S$1204,0),1))</f>
        <v/>
      </c>
      <c r="B125" s="8" t="str">
        <f t="array" ref="B125">IF(121&gt;$S$1204,"",INDEX($T$5:$AJ$1204,MATCH(121,$S$5:$S$1204,0),2))</f>
        <v/>
      </c>
      <c r="C125" s="10" t="str">
        <f t="array" ref="C125">IF(121&gt;$S$1204,"",INDEX($T$5:$AJ$1204,MATCH(121,$S$5:$S$1204,0),3))</f>
        <v/>
      </c>
      <c r="D125" s="8" t="str">
        <f t="array" ref="D125">IF(121&gt;$S$1204,"",INDEX($T$5:$AJ$1204,MATCH(121,$S$5:$S$1204,0),4))</f>
        <v/>
      </c>
      <c r="E125" s="8" t="str">
        <f t="array" ref="E125">IF(121&gt;$S$1204,"",INDEX($T$5:$AJ$1204,MATCH(121,$S$5:$S$1204,0),5))</f>
        <v/>
      </c>
      <c r="F125" s="8" t="str">
        <f t="array" ref="F125">IF(121&gt;$S$1204,"",INDEX($T$5:$AJ$1204,MATCH(121,$S$5:$S$1204,0),6))</f>
        <v/>
      </c>
      <c r="G125" s="8" t="str">
        <f t="array" ref="G125">IF(121&gt;$S$1204,"",INDEX($T$5:$AJ$1204,MATCH(121,$S$5:$S$1204,0),7))</f>
        <v/>
      </c>
      <c r="H125" s="8" t="str">
        <f t="array" ref="H125">IF(121&gt;$S$1204,"",INDEX($T$5:$AJ$1204,MATCH(121,$S$5:$S$1204,0),8))</f>
        <v/>
      </c>
      <c r="I125" s="8" t="str">
        <f t="array" ref="I125">IF(121&gt;$S$1204,"",INDEX($T$5:$AJ$1204,MATCH(121,$S$5:$S$1204,0),9))</f>
        <v/>
      </c>
      <c r="J125" s="14" t="str">
        <f t="array" ref="J125">IF(121&gt;$S$1204,"",INDEX($T$5:$AJ$1204,MATCH(121,$S$5:$S$1204,0),10))</f>
        <v/>
      </c>
      <c r="K125" s="8" t="str">
        <f t="array" ref="K125">IF(121&gt;$S$1204,"",INDEX($T$5:$AJ$1204,MATCH(121,$S$5:$S$1204,0),11))</f>
        <v/>
      </c>
      <c r="L125" s="8" t="str">
        <f t="array" ref="L125">IF(121&gt;$S$1204,"",INDEX($T$5:$AJ$1204,MATCH(121,$S$5:$S$1204,0),12))</f>
        <v/>
      </c>
      <c r="M125" s="8" t="str">
        <f t="array" ref="M125">IF(121&gt;$S$1204,"",INDEX($T$5:$AJ$1204,MATCH(121,$S$5:$S$1204,0),13))</f>
        <v/>
      </c>
      <c r="N125" s="8" t="str">
        <f t="array" ref="N125">IF(121&gt;$S$1204,"",INDEX($T$5:$AJ$1204,MATCH(121,$S$5:$S$1204,0),14))</f>
        <v/>
      </c>
      <c r="O125" s="15" t="str">
        <f t="array" ref="O125">IF(121&gt;$S$1204,"",INDEX($T$5:$AJ$1204,MATCH(121,$S$5:$S$1204,0),15))</f>
        <v/>
      </c>
      <c r="P125" s="8" t="str">
        <f t="array" ref="P125">IF(121&gt;$S$1204,"",INDEX($T$5:$AJ$1204,MATCH(121,$S$5:$S$1204,0),16))</f>
        <v/>
      </c>
      <c r="Q125" s="8" t="str">
        <f t="array" ref="Q125">IF(121&gt;$S$1204,"",INDEX($T$5:$AJ$1204,MATCH(121,$S$5:$S$1204,0),17))</f>
        <v/>
      </c>
      <c r="R125" s="17"/>
      <c r="S125" s="17">
        <f>S124+IF(M1_Administrativo!A129="",0,1)</f>
        <v>0</v>
      </c>
      <c r="T125" s="17" t="str">
        <f>IF(M1_Administrativo!A129="","",IF(M1_Administrativo!A129="","",M1_Administrativo!A129))</f>
        <v/>
      </c>
      <c r="U125" s="17" t="str">
        <f>IF(M1_Administrativo!A129="","",IF(M1_Administrativo!R129="","",M1_Administrativo!R129))</f>
        <v/>
      </c>
      <c r="V125" s="17" t="str">
        <f>IF(M1_Administrativo!A129="","",IF(M1_Administrativo!D129="","",M1_Administrativo!D129))</f>
        <v/>
      </c>
      <c r="W125" s="17" t="str">
        <f>IF(M1_Administrativo!A129="","",IF(M1_Administrativo!B129="","",M1_Administrativo!B129))</f>
        <v/>
      </c>
      <c r="X125" s="17" t="str">
        <f>IF(M1_Administrativo!A129="","",IF(M1_Administrativo!C129="","",M1_Administrativo!C129))</f>
        <v/>
      </c>
      <c r="Y125" s="17" t="str">
        <f>IF(M1_Administrativo!A129="","",IF(M1_Administrativo!E129="","",M1_Administrativo!E129))</f>
        <v/>
      </c>
      <c r="Z125" s="17" t="str">
        <f>IF(M1_Administrativo!A129="","",IF(M1_Administrativo!F129="","",M1_Administrativo!F129))</f>
        <v/>
      </c>
      <c r="AA125" s="17" t="str">
        <f>IF(M1_Administrativo!A129="","","M1 Administrativo")</f>
        <v/>
      </c>
      <c r="AB125" s="17" t="str">
        <f>IF(M1_Administrativo!A129="","",IF(M1_Administrativo!G129="","",M1_Administrativo!G129))</f>
        <v/>
      </c>
      <c r="AC125" s="17" t="str">
        <f>IF(M1_Administrativo!A129="","",IF(M1_Administrativo!M129="","",M1_Administrativo!M129))</f>
        <v/>
      </c>
      <c r="AD125" s="17" t="str">
        <f>IF(M1_Administrativo!A129="","","RA")</f>
        <v/>
      </c>
      <c r="AE125" s="17" t="str">
        <f>IF(M1_Administrativo!A129="","",IF(M1_Administrativo!O129="","",M1_Administrativo!O129))</f>
        <v/>
      </c>
      <c r="AF125" s="17" t="str">
        <f>IF(M1_Administrativo!A129="","",IF(M1_Administrativo!P129="","",M1_Administrativo!P129))</f>
        <v/>
      </c>
      <c r="AG125" s="17" t="str">
        <f>IF(M1_Administrativo!A129="","",IF(M1_Administrativo!Q129="","",M1_Administrativo!Q129))</f>
        <v/>
      </c>
      <c r="AH125" s="17" t="str">
        <f>IF(M1_Administrativo!A129="","","")</f>
        <v/>
      </c>
      <c r="AI125" s="17" t="str">
        <f>IF(M1_Administrativo!A129="","","M1_Administrativo!129")</f>
        <v/>
      </c>
      <c r="AJ125" s="17" t="str">
        <f>IF(M1_Administrativo!A129="","",IF(M1_Administrativo!M129="","Pendiente de resultado","Disponible"))</f>
        <v/>
      </c>
    </row>
    <row r="126" spans="1:36" ht="55.5" customHeight="1">
      <c r="A126" s="6" t="str">
        <f t="array" ref="A126">IF(122&gt;$S$1204,"",INDEX($T$5:$AJ$1204,MATCH(122,$S$5:$S$1204,0),1))</f>
        <v/>
      </c>
      <c r="B126" s="8" t="str">
        <f t="array" ref="B126">IF(122&gt;$S$1204,"",INDEX($T$5:$AJ$1204,MATCH(122,$S$5:$S$1204,0),2))</f>
        <v/>
      </c>
      <c r="C126" s="10" t="str">
        <f t="array" ref="C126">IF(122&gt;$S$1204,"",INDEX($T$5:$AJ$1204,MATCH(122,$S$5:$S$1204,0),3))</f>
        <v/>
      </c>
      <c r="D126" s="8" t="str">
        <f t="array" ref="D126">IF(122&gt;$S$1204,"",INDEX($T$5:$AJ$1204,MATCH(122,$S$5:$S$1204,0),4))</f>
        <v/>
      </c>
      <c r="E126" s="8" t="str">
        <f t="array" ref="E126">IF(122&gt;$S$1204,"",INDEX($T$5:$AJ$1204,MATCH(122,$S$5:$S$1204,0),5))</f>
        <v/>
      </c>
      <c r="F126" s="8" t="str">
        <f t="array" ref="F126">IF(122&gt;$S$1204,"",INDEX($T$5:$AJ$1204,MATCH(122,$S$5:$S$1204,0),6))</f>
        <v/>
      </c>
      <c r="G126" s="8" t="str">
        <f t="array" ref="G126">IF(122&gt;$S$1204,"",INDEX($T$5:$AJ$1204,MATCH(122,$S$5:$S$1204,0),7))</f>
        <v/>
      </c>
      <c r="H126" s="8" t="str">
        <f t="array" ref="H126">IF(122&gt;$S$1204,"",INDEX($T$5:$AJ$1204,MATCH(122,$S$5:$S$1204,0),8))</f>
        <v/>
      </c>
      <c r="I126" s="8" t="str">
        <f t="array" ref="I126">IF(122&gt;$S$1204,"",INDEX($T$5:$AJ$1204,MATCH(122,$S$5:$S$1204,0),9))</f>
        <v/>
      </c>
      <c r="J126" s="14" t="str">
        <f t="array" ref="J126">IF(122&gt;$S$1204,"",INDEX($T$5:$AJ$1204,MATCH(122,$S$5:$S$1204,0),10))</f>
        <v/>
      </c>
      <c r="K126" s="8" t="str">
        <f t="array" ref="K126">IF(122&gt;$S$1204,"",INDEX($T$5:$AJ$1204,MATCH(122,$S$5:$S$1204,0),11))</f>
        <v/>
      </c>
      <c r="L126" s="8" t="str">
        <f t="array" ref="L126">IF(122&gt;$S$1204,"",INDEX($T$5:$AJ$1204,MATCH(122,$S$5:$S$1204,0),12))</f>
        <v/>
      </c>
      <c r="M126" s="8" t="str">
        <f t="array" ref="M126">IF(122&gt;$S$1204,"",INDEX($T$5:$AJ$1204,MATCH(122,$S$5:$S$1204,0),13))</f>
        <v/>
      </c>
      <c r="N126" s="8" t="str">
        <f t="array" ref="N126">IF(122&gt;$S$1204,"",INDEX($T$5:$AJ$1204,MATCH(122,$S$5:$S$1204,0),14))</f>
        <v/>
      </c>
      <c r="O126" s="15" t="str">
        <f t="array" ref="O126">IF(122&gt;$S$1204,"",INDEX($T$5:$AJ$1204,MATCH(122,$S$5:$S$1204,0),15))</f>
        <v/>
      </c>
      <c r="P126" s="8" t="str">
        <f t="array" ref="P126">IF(122&gt;$S$1204,"",INDEX($T$5:$AJ$1204,MATCH(122,$S$5:$S$1204,0),16))</f>
        <v/>
      </c>
      <c r="Q126" s="8" t="str">
        <f t="array" ref="Q126">IF(122&gt;$S$1204,"",INDEX($T$5:$AJ$1204,MATCH(122,$S$5:$S$1204,0),17))</f>
        <v/>
      </c>
      <c r="R126" s="17"/>
      <c r="S126" s="17">
        <f>S125+IF(M1_Administrativo!A130="",0,1)</f>
        <v>0</v>
      </c>
      <c r="T126" s="17" t="str">
        <f>IF(M1_Administrativo!A130="","",IF(M1_Administrativo!A130="","",M1_Administrativo!A130))</f>
        <v/>
      </c>
      <c r="U126" s="17" t="str">
        <f>IF(M1_Administrativo!A130="","",IF(M1_Administrativo!R130="","",M1_Administrativo!R130))</f>
        <v/>
      </c>
      <c r="V126" s="17" t="str">
        <f>IF(M1_Administrativo!A130="","",IF(M1_Administrativo!D130="","",M1_Administrativo!D130))</f>
        <v/>
      </c>
      <c r="W126" s="17" t="str">
        <f>IF(M1_Administrativo!A130="","",IF(M1_Administrativo!B130="","",M1_Administrativo!B130))</f>
        <v/>
      </c>
      <c r="X126" s="17" t="str">
        <f>IF(M1_Administrativo!A130="","",IF(M1_Administrativo!C130="","",M1_Administrativo!C130))</f>
        <v/>
      </c>
      <c r="Y126" s="17" t="str">
        <f>IF(M1_Administrativo!A130="","",IF(M1_Administrativo!E130="","",M1_Administrativo!E130))</f>
        <v/>
      </c>
      <c r="Z126" s="17" t="str">
        <f>IF(M1_Administrativo!A130="","",IF(M1_Administrativo!F130="","",M1_Administrativo!F130))</f>
        <v/>
      </c>
      <c r="AA126" s="17" t="str">
        <f>IF(M1_Administrativo!A130="","","M1 Administrativo")</f>
        <v/>
      </c>
      <c r="AB126" s="17" t="str">
        <f>IF(M1_Administrativo!A130="","",IF(M1_Administrativo!G130="","",M1_Administrativo!G130))</f>
        <v/>
      </c>
      <c r="AC126" s="17" t="str">
        <f>IF(M1_Administrativo!A130="","",IF(M1_Administrativo!M130="","",M1_Administrativo!M130))</f>
        <v/>
      </c>
      <c r="AD126" s="17" t="str">
        <f>IF(M1_Administrativo!A130="","","RA")</f>
        <v/>
      </c>
      <c r="AE126" s="17" t="str">
        <f>IF(M1_Administrativo!A130="","",IF(M1_Administrativo!O130="","",M1_Administrativo!O130))</f>
        <v/>
      </c>
      <c r="AF126" s="17" t="str">
        <f>IF(M1_Administrativo!A130="","",IF(M1_Administrativo!P130="","",M1_Administrativo!P130))</f>
        <v/>
      </c>
      <c r="AG126" s="17" t="str">
        <f>IF(M1_Administrativo!A130="","",IF(M1_Administrativo!Q130="","",M1_Administrativo!Q130))</f>
        <v/>
      </c>
      <c r="AH126" s="17" t="str">
        <f>IF(M1_Administrativo!A130="","","")</f>
        <v/>
      </c>
      <c r="AI126" s="17" t="str">
        <f>IF(M1_Administrativo!A130="","","M1_Administrativo!130")</f>
        <v/>
      </c>
      <c r="AJ126" s="17" t="str">
        <f>IF(M1_Administrativo!A130="","",IF(M1_Administrativo!M130="","Pendiente de resultado","Disponible"))</f>
        <v/>
      </c>
    </row>
    <row r="127" spans="1:36" ht="55.5" customHeight="1">
      <c r="A127" s="6" t="str">
        <f t="array" ref="A127">IF(123&gt;$S$1204,"",INDEX($T$5:$AJ$1204,MATCH(123,$S$5:$S$1204,0),1))</f>
        <v/>
      </c>
      <c r="B127" s="8" t="str">
        <f t="array" ref="B127">IF(123&gt;$S$1204,"",INDEX($T$5:$AJ$1204,MATCH(123,$S$5:$S$1204,0),2))</f>
        <v/>
      </c>
      <c r="C127" s="10" t="str">
        <f t="array" ref="C127">IF(123&gt;$S$1204,"",INDEX($T$5:$AJ$1204,MATCH(123,$S$5:$S$1204,0),3))</f>
        <v/>
      </c>
      <c r="D127" s="8" t="str">
        <f t="array" ref="D127">IF(123&gt;$S$1204,"",INDEX($T$5:$AJ$1204,MATCH(123,$S$5:$S$1204,0),4))</f>
        <v/>
      </c>
      <c r="E127" s="8" t="str">
        <f t="array" ref="E127">IF(123&gt;$S$1204,"",INDEX($T$5:$AJ$1204,MATCH(123,$S$5:$S$1204,0),5))</f>
        <v/>
      </c>
      <c r="F127" s="8" t="str">
        <f t="array" ref="F127">IF(123&gt;$S$1204,"",INDEX($T$5:$AJ$1204,MATCH(123,$S$5:$S$1204,0),6))</f>
        <v/>
      </c>
      <c r="G127" s="8" t="str">
        <f t="array" ref="G127">IF(123&gt;$S$1204,"",INDEX($T$5:$AJ$1204,MATCH(123,$S$5:$S$1204,0),7))</f>
        <v/>
      </c>
      <c r="H127" s="8" t="str">
        <f t="array" ref="H127">IF(123&gt;$S$1204,"",INDEX($T$5:$AJ$1204,MATCH(123,$S$5:$S$1204,0),8))</f>
        <v/>
      </c>
      <c r="I127" s="8" t="str">
        <f t="array" ref="I127">IF(123&gt;$S$1204,"",INDEX($T$5:$AJ$1204,MATCH(123,$S$5:$S$1204,0),9))</f>
        <v/>
      </c>
      <c r="J127" s="14" t="str">
        <f t="array" ref="J127">IF(123&gt;$S$1204,"",INDEX($T$5:$AJ$1204,MATCH(123,$S$5:$S$1204,0),10))</f>
        <v/>
      </c>
      <c r="K127" s="8" t="str">
        <f t="array" ref="K127">IF(123&gt;$S$1204,"",INDEX($T$5:$AJ$1204,MATCH(123,$S$5:$S$1204,0),11))</f>
        <v/>
      </c>
      <c r="L127" s="8" t="str">
        <f t="array" ref="L127">IF(123&gt;$S$1204,"",INDEX($T$5:$AJ$1204,MATCH(123,$S$5:$S$1204,0),12))</f>
        <v/>
      </c>
      <c r="M127" s="8" t="str">
        <f t="array" ref="M127">IF(123&gt;$S$1204,"",INDEX($T$5:$AJ$1204,MATCH(123,$S$5:$S$1204,0),13))</f>
        <v/>
      </c>
      <c r="N127" s="8" t="str">
        <f t="array" ref="N127">IF(123&gt;$S$1204,"",INDEX($T$5:$AJ$1204,MATCH(123,$S$5:$S$1204,0),14))</f>
        <v/>
      </c>
      <c r="O127" s="15" t="str">
        <f t="array" ref="O127">IF(123&gt;$S$1204,"",INDEX($T$5:$AJ$1204,MATCH(123,$S$5:$S$1204,0),15))</f>
        <v/>
      </c>
      <c r="P127" s="8" t="str">
        <f t="array" ref="P127">IF(123&gt;$S$1204,"",INDEX($T$5:$AJ$1204,MATCH(123,$S$5:$S$1204,0),16))</f>
        <v/>
      </c>
      <c r="Q127" s="8" t="str">
        <f t="array" ref="Q127">IF(123&gt;$S$1204,"",INDEX($T$5:$AJ$1204,MATCH(123,$S$5:$S$1204,0),17))</f>
        <v/>
      </c>
      <c r="R127" s="17"/>
      <c r="S127" s="17">
        <f>S126+IF(M1_Administrativo!A131="",0,1)</f>
        <v>0</v>
      </c>
      <c r="T127" s="17" t="str">
        <f>IF(M1_Administrativo!A131="","",IF(M1_Administrativo!A131="","",M1_Administrativo!A131))</f>
        <v/>
      </c>
      <c r="U127" s="17" t="str">
        <f>IF(M1_Administrativo!A131="","",IF(M1_Administrativo!R131="","",M1_Administrativo!R131))</f>
        <v/>
      </c>
      <c r="V127" s="17" t="str">
        <f>IF(M1_Administrativo!A131="","",IF(M1_Administrativo!D131="","",M1_Administrativo!D131))</f>
        <v/>
      </c>
      <c r="W127" s="17" t="str">
        <f>IF(M1_Administrativo!A131="","",IF(M1_Administrativo!B131="","",M1_Administrativo!B131))</f>
        <v/>
      </c>
      <c r="X127" s="17" t="str">
        <f>IF(M1_Administrativo!A131="","",IF(M1_Administrativo!C131="","",M1_Administrativo!C131))</f>
        <v/>
      </c>
      <c r="Y127" s="17" t="str">
        <f>IF(M1_Administrativo!A131="","",IF(M1_Administrativo!E131="","",M1_Administrativo!E131))</f>
        <v/>
      </c>
      <c r="Z127" s="17" t="str">
        <f>IF(M1_Administrativo!A131="","",IF(M1_Administrativo!F131="","",M1_Administrativo!F131))</f>
        <v/>
      </c>
      <c r="AA127" s="17" t="str">
        <f>IF(M1_Administrativo!A131="","","M1 Administrativo")</f>
        <v/>
      </c>
      <c r="AB127" s="17" t="str">
        <f>IF(M1_Administrativo!A131="","",IF(M1_Administrativo!G131="","",M1_Administrativo!G131))</f>
        <v/>
      </c>
      <c r="AC127" s="17" t="str">
        <f>IF(M1_Administrativo!A131="","",IF(M1_Administrativo!M131="","",M1_Administrativo!M131))</f>
        <v/>
      </c>
      <c r="AD127" s="17" t="str">
        <f>IF(M1_Administrativo!A131="","","RA")</f>
        <v/>
      </c>
      <c r="AE127" s="17" t="str">
        <f>IF(M1_Administrativo!A131="","",IF(M1_Administrativo!O131="","",M1_Administrativo!O131))</f>
        <v/>
      </c>
      <c r="AF127" s="17" t="str">
        <f>IF(M1_Administrativo!A131="","",IF(M1_Administrativo!P131="","",M1_Administrativo!P131))</f>
        <v/>
      </c>
      <c r="AG127" s="17" t="str">
        <f>IF(M1_Administrativo!A131="","",IF(M1_Administrativo!Q131="","",M1_Administrativo!Q131))</f>
        <v/>
      </c>
      <c r="AH127" s="17" t="str">
        <f>IF(M1_Administrativo!A131="","","")</f>
        <v/>
      </c>
      <c r="AI127" s="17" t="str">
        <f>IF(M1_Administrativo!A131="","","M1_Administrativo!131")</f>
        <v/>
      </c>
      <c r="AJ127" s="17" t="str">
        <f>IF(M1_Administrativo!A131="","",IF(M1_Administrativo!M131="","Pendiente de resultado","Disponible"))</f>
        <v/>
      </c>
    </row>
    <row r="128" spans="1:36" ht="55.5" customHeight="1">
      <c r="A128" s="6" t="str">
        <f t="array" ref="A128">IF(124&gt;$S$1204,"",INDEX($T$5:$AJ$1204,MATCH(124,$S$5:$S$1204,0),1))</f>
        <v/>
      </c>
      <c r="B128" s="8" t="str">
        <f t="array" ref="B128">IF(124&gt;$S$1204,"",INDEX($T$5:$AJ$1204,MATCH(124,$S$5:$S$1204,0),2))</f>
        <v/>
      </c>
      <c r="C128" s="10" t="str">
        <f t="array" ref="C128">IF(124&gt;$S$1204,"",INDEX($T$5:$AJ$1204,MATCH(124,$S$5:$S$1204,0),3))</f>
        <v/>
      </c>
      <c r="D128" s="8" t="str">
        <f t="array" ref="D128">IF(124&gt;$S$1204,"",INDEX($T$5:$AJ$1204,MATCH(124,$S$5:$S$1204,0),4))</f>
        <v/>
      </c>
      <c r="E128" s="8" t="str">
        <f t="array" ref="E128">IF(124&gt;$S$1204,"",INDEX($T$5:$AJ$1204,MATCH(124,$S$5:$S$1204,0),5))</f>
        <v/>
      </c>
      <c r="F128" s="8" t="str">
        <f t="array" ref="F128">IF(124&gt;$S$1204,"",INDEX($T$5:$AJ$1204,MATCH(124,$S$5:$S$1204,0),6))</f>
        <v/>
      </c>
      <c r="G128" s="8" t="str">
        <f t="array" ref="G128">IF(124&gt;$S$1204,"",INDEX($T$5:$AJ$1204,MATCH(124,$S$5:$S$1204,0),7))</f>
        <v/>
      </c>
      <c r="H128" s="8" t="str">
        <f t="array" ref="H128">IF(124&gt;$S$1204,"",INDEX($T$5:$AJ$1204,MATCH(124,$S$5:$S$1204,0),8))</f>
        <v/>
      </c>
      <c r="I128" s="8" t="str">
        <f t="array" ref="I128">IF(124&gt;$S$1204,"",INDEX($T$5:$AJ$1204,MATCH(124,$S$5:$S$1204,0),9))</f>
        <v/>
      </c>
      <c r="J128" s="14" t="str">
        <f t="array" ref="J128">IF(124&gt;$S$1204,"",INDEX($T$5:$AJ$1204,MATCH(124,$S$5:$S$1204,0),10))</f>
        <v/>
      </c>
      <c r="K128" s="8" t="str">
        <f t="array" ref="K128">IF(124&gt;$S$1204,"",INDEX($T$5:$AJ$1204,MATCH(124,$S$5:$S$1204,0),11))</f>
        <v/>
      </c>
      <c r="L128" s="8" t="str">
        <f t="array" ref="L128">IF(124&gt;$S$1204,"",INDEX($T$5:$AJ$1204,MATCH(124,$S$5:$S$1204,0),12))</f>
        <v/>
      </c>
      <c r="M128" s="8" t="str">
        <f t="array" ref="M128">IF(124&gt;$S$1204,"",INDEX($T$5:$AJ$1204,MATCH(124,$S$5:$S$1204,0),13))</f>
        <v/>
      </c>
      <c r="N128" s="8" t="str">
        <f t="array" ref="N128">IF(124&gt;$S$1204,"",INDEX($T$5:$AJ$1204,MATCH(124,$S$5:$S$1204,0),14))</f>
        <v/>
      </c>
      <c r="O128" s="15" t="str">
        <f t="array" ref="O128">IF(124&gt;$S$1204,"",INDEX($T$5:$AJ$1204,MATCH(124,$S$5:$S$1204,0),15))</f>
        <v/>
      </c>
      <c r="P128" s="8" t="str">
        <f t="array" ref="P128">IF(124&gt;$S$1204,"",INDEX($T$5:$AJ$1204,MATCH(124,$S$5:$S$1204,0),16))</f>
        <v/>
      </c>
      <c r="Q128" s="8" t="str">
        <f t="array" ref="Q128">IF(124&gt;$S$1204,"",INDEX($T$5:$AJ$1204,MATCH(124,$S$5:$S$1204,0),17))</f>
        <v/>
      </c>
      <c r="R128" s="17"/>
      <c r="S128" s="17">
        <f>S127+IF(M1_Administrativo!A132="",0,1)</f>
        <v>0</v>
      </c>
      <c r="T128" s="17" t="str">
        <f>IF(M1_Administrativo!A132="","",IF(M1_Administrativo!A132="","",M1_Administrativo!A132))</f>
        <v/>
      </c>
      <c r="U128" s="17" t="str">
        <f>IF(M1_Administrativo!A132="","",IF(M1_Administrativo!R132="","",M1_Administrativo!R132))</f>
        <v/>
      </c>
      <c r="V128" s="17" t="str">
        <f>IF(M1_Administrativo!A132="","",IF(M1_Administrativo!D132="","",M1_Administrativo!D132))</f>
        <v/>
      </c>
      <c r="W128" s="17" t="str">
        <f>IF(M1_Administrativo!A132="","",IF(M1_Administrativo!B132="","",M1_Administrativo!B132))</f>
        <v/>
      </c>
      <c r="X128" s="17" t="str">
        <f>IF(M1_Administrativo!A132="","",IF(M1_Administrativo!C132="","",M1_Administrativo!C132))</f>
        <v/>
      </c>
      <c r="Y128" s="17" t="str">
        <f>IF(M1_Administrativo!A132="","",IF(M1_Administrativo!E132="","",M1_Administrativo!E132))</f>
        <v/>
      </c>
      <c r="Z128" s="17" t="str">
        <f>IF(M1_Administrativo!A132="","",IF(M1_Administrativo!F132="","",M1_Administrativo!F132))</f>
        <v/>
      </c>
      <c r="AA128" s="17" t="str">
        <f>IF(M1_Administrativo!A132="","","M1 Administrativo")</f>
        <v/>
      </c>
      <c r="AB128" s="17" t="str">
        <f>IF(M1_Administrativo!A132="","",IF(M1_Administrativo!G132="","",M1_Administrativo!G132))</f>
        <v/>
      </c>
      <c r="AC128" s="17" t="str">
        <f>IF(M1_Administrativo!A132="","",IF(M1_Administrativo!M132="","",M1_Administrativo!M132))</f>
        <v/>
      </c>
      <c r="AD128" s="17" t="str">
        <f>IF(M1_Administrativo!A132="","","RA")</f>
        <v/>
      </c>
      <c r="AE128" s="17" t="str">
        <f>IF(M1_Administrativo!A132="","",IF(M1_Administrativo!O132="","",M1_Administrativo!O132))</f>
        <v/>
      </c>
      <c r="AF128" s="17" t="str">
        <f>IF(M1_Administrativo!A132="","",IF(M1_Administrativo!P132="","",M1_Administrativo!P132))</f>
        <v/>
      </c>
      <c r="AG128" s="17" t="str">
        <f>IF(M1_Administrativo!A132="","",IF(M1_Administrativo!Q132="","",M1_Administrativo!Q132))</f>
        <v/>
      </c>
      <c r="AH128" s="17" t="str">
        <f>IF(M1_Administrativo!A132="","","")</f>
        <v/>
      </c>
      <c r="AI128" s="17" t="str">
        <f>IF(M1_Administrativo!A132="","","M1_Administrativo!132")</f>
        <v/>
      </c>
      <c r="AJ128" s="17" t="str">
        <f>IF(M1_Administrativo!A132="","",IF(M1_Administrativo!M132="","Pendiente de resultado","Disponible"))</f>
        <v/>
      </c>
    </row>
    <row r="129" spans="1:36" ht="55.5" customHeight="1">
      <c r="A129" s="6" t="str">
        <f t="array" ref="A129">IF(125&gt;$S$1204,"",INDEX($T$5:$AJ$1204,MATCH(125,$S$5:$S$1204,0),1))</f>
        <v/>
      </c>
      <c r="B129" s="8" t="str">
        <f t="array" ref="B129">IF(125&gt;$S$1204,"",INDEX($T$5:$AJ$1204,MATCH(125,$S$5:$S$1204,0),2))</f>
        <v/>
      </c>
      <c r="C129" s="10" t="str">
        <f t="array" ref="C129">IF(125&gt;$S$1204,"",INDEX($T$5:$AJ$1204,MATCH(125,$S$5:$S$1204,0),3))</f>
        <v/>
      </c>
      <c r="D129" s="8" t="str">
        <f t="array" ref="D129">IF(125&gt;$S$1204,"",INDEX($T$5:$AJ$1204,MATCH(125,$S$5:$S$1204,0),4))</f>
        <v/>
      </c>
      <c r="E129" s="8" t="str">
        <f t="array" ref="E129">IF(125&gt;$S$1204,"",INDEX($T$5:$AJ$1204,MATCH(125,$S$5:$S$1204,0),5))</f>
        <v/>
      </c>
      <c r="F129" s="8" t="str">
        <f t="array" ref="F129">IF(125&gt;$S$1204,"",INDEX($T$5:$AJ$1204,MATCH(125,$S$5:$S$1204,0),6))</f>
        <v/>
      </c>
      <c r="G129" s="8" t="str">
        <f t="array" ref="G129">IF(125&gt;$S$1204,"",INDEX($T$5:$AJ$1204,MATCH(125,$S$5:$S$1204,0),7))</f>
        <v/>
      </c>
      <c r="H129" s="8" t="str">
        <f t="array" ref="H129">IF(125&gt;$S$1204,"",INDEX($T$5:$AJ$1204,MATCH(125,$S$5:$S$1204,0),8))</f>
        <v/>
      </c>
      <c r="I129" s="8" t="str">
        <f t="array" ref="I129">IF(125&gt;$S$1204,"",INDEX($T$5:$AJ$1204,MATCH(125,$S$5:$S$1204,0),9))</f>
        <v/>
      </c>
      <c r="J129" s="14" t="str">
        <f t="array" ref="J129">IF(125&gt;$S$1204,"",INDEX($T$5:$AJ$1204,MATCH(125,$S$5:$S$1204,0),10))</f>
        <v/>
      </c>
      <c r="K129" s="8" t="str">
        <f t="array" ref="K129">IF(125&gt;$S$1204,"",INDEX($T$5:$AJ$1204,MATCH(125,$S$5:$S$1204,0),11))</f>
        <v/>
      </c>
      <c r="L129" s="8" t="str">
        <f t="array" ref="L129">IF(125&gt;$S$1204,"",INDEX($T$5:$AJ$1204,MATCH(125,$S$5:$S$1204,0),12))</f>
        <v/>
      </c>
      <c r="M129" s="8" t="str">
        <f t="array" ref="M129">IF(125&gt;$S$1204,"",INDEX($T$5:$AJ$1204,MATCH(125,$S$5:$S$1204,0),13))</f>
        <v/>
      </c>
      <c r="N129" s="8" t="str">
        <f t="array" ref="N129">IF(125&gt;$S$1204,"",INDEX($T$5:$AJ$1204,MATCH(125,$S$5:$S$1204,0),14))</f>
        <v/>
      </c>
      <c r="O129" s="15" t="str">
        <f t="array" ref="O129">IF(125&gt;$S$1204,"",INDEX($T$5:$AJ$1204,MATCH(125,$S$5:$S$1204,0),15))</f>
        <v/>
      </c>
      <c r="P129" s="8" t="str">
        <f t="array" ref="P129">IF(125&gt;$S$1204,"",INDEX($T$5:$AJ$1204,MATCH(125,$S$5:$S$1204,0),16))</f>
        <v/>
      </c>
      <c r="Q129" s="8" t="str">
        <f t="array" ref="Q129">IF(125&gt;$S$1204,"",INDEX($T$5:$AJ$1204,MATCH(125,$S$5:$S$1204,0),17))</f>
        <v/>
      </c>
      <c r="R129" s="17"/>
      <c r="S129" s="17">
        <f>S128+IF(M1_Administrativo!A133="",0,1)</f>
        <v>0</v>
      </c>
      <c r="T129" s="17" t="str">
        <f>IF(M1_Administrativo!A133="","",IF(M1_Administrativo!A133="","",M1_Administrativo!A133))</f>
        <v/>
      </c>
      <c r="U129" s="17" t="str">
        <f>IF(M1_Administrativo!A133="","",IF(M1_Administrativo!R133="","",M1_Administrativo!R133))</f>
        <v/>
      </c>
      <c r="V129" s="17" t="str">
        <f>IF(M1_Administrativo!A133="","",IF(M1_Administrativo!D133="","",M1_Administrativo!D133))</f>
        <v/>
      </c>
      <c r="W129" s="17" t="str">
        <f>IF(M1_Administrativo!A133="","",IF(M1_Administrativo!B133="","",M1_Administrativo!B133))</f>
        <v/>
      </c>
      <c r="X129" s="17" t="str">
        <f>IF(M1_Administrativo!A133="","",IF(M1_Administrativo!C133="","",M1_Administrativo!C133))</f>
        <v/>
      </c>
      <c r="Y129" s="17" t="str">
        <f>IF(M1_Administrativo!A133="","",IF(M1_Administrativo!E133="","",M1_Administrativo!E133))</f>
        <v/>
      </c>
      <c r="Z129" s="17" t="str">
        <f>IF(M1_Administrativo!A133="","",IF(M1_Administrativo!F133="","",M1_Administrativo!F133))</f>
        <v/>
      </c>
      <c r="AA129" s="17" t="str">
        <f>IF(M1_Administrativo!A133="","","M1 Administrativo")</f>
        <v/>
      </c>
      <c r="AB129" s="17" t="str">
        <f>IF(M1_Administrativo!A133="","",IF(M1_Administrativo!G133="","",M1_Administrativo!G133))</f>
        <v/>
      </c>
      <c r="AC129" s="17" t="str">
        <f>IF(M1_Administrativo!A133="","",IF(M1_Administrativo!M133="","",M1_Administrativo!M133))</f>
        <v/>
      </c>
      <c r="AD129" s="17" t="str">
        <f>IF(M1_Administrativo!A133="","","RA")</f>
        <v/>
      </c>
      <c r="AE129" s="17" t="str">
        <f>IF(M1_Administrativo!A133="","",IF(M1_Administrativo!O133="","",M1_Administrativo!O133))</f>
        <v/>
      </c>
      <c r="AF129" s="17" t="str">
        <f>IF(M1_Administrativo!A133="","",IF(M1_Administrativo!P133="","",M1_Administrativo!P133))</f>
        <v/>
      </c>
      <c r="AG129" s="17" t="str">
        <f>IF(M1_Administrativo!A133="","",IF(M1_Administrativo!Q133="","",M1_Administrativo!Q133))</f>
        <v/>
      </c>
      <c r="AH129" s="17" t="str">
        <f>IF(M1_Administrativo!A133="","","")</f>
        <v/>
      </c>
      <c r="AI129" s="17" t="str">
        <f>IF(M1_Administrativo!A133="","","M1_Administrativo!133")</f>
        <v/>
      </c>
      <c r="AJ129" s="17" t="str">
        <f>IF(M1_Administrativo!A133="","",IF(M1_Administrativo!M133="","Pendiente de resultado","Disponible"))</f>
        <v/>
      </c>
    </row>
    <row r="130" spans="1:36" ht="55.5" customHeight="1">
      <c r="A130" s="6" t="str">
        <f t="array" ref="A130">IF(126&gt;$S$1204,"",INDEX($T$5:$AJ$1204,MATCH(126,$S$5:$S$1204,0),1))</f>
        <v/>
      </c>
      <c r="B130" s="8" t="str">
        <f t="array" ref="B130">IF(126&gt;$S$1204,"",INDEX($T$5:$AJ$1204,MATCH(126,$S$5:$S$1204,0),2))</f>
        <v/>
      </c>
      <c r="C130" s="10" t="str">
        <f t="array" ref="C130">IF(126&gt;$S$1204,"",INDEX($T$5:$AJ$1204,MATCH(126,$S$5:$S$1204,0),3))</f>
        <v/>
      </c>
      <c r="D130" s="8" t="str">
        <f t="array" ref="D130">IF(126&gt;$S$1204,"",INDEX($T$5:$AJ$1204,MATCH(126,$S$5:$S$1204,0),4))</f>
        <v/>
      </c>
      <c r="E130" s="8" t="str">
        <f t="array" ref="E130">IF(126&gt;$S$1204,"",INDEX($T$5:$AJ$1204,MATCH(126,$S$5:$S$1204,0),5))</f>
        <v/>
      </c>
      <c r="F130" s="8" t="str">
        <f t="array" ref="F130">IF(126&gt;$S$1204,"",INDEX($T$5:$AJ$1204,MATCH(126,$S$5:$S$1204,0),6))</f>
        <v/>
      </c>
      <c r="G130" s="8" t="str">
        <f t="array" ref="G130">IF(126&gt;$S$1204,"",INDEX($T$5:$AJ$1204,MATCH(126,$S$5:$S$1204,0),7))</f>
        <v/>
      </c>
      <c r="H130" s="8" t="str">
        <f t="array" ref="H130">IF(126&gt;$S$1204,"",INDEX($T$5:$AJ$1204,MATCH(126,$S$5:$S$1204,0),8))</f>
        <v/>
      </c>
      <c r="I130" s="8" t="str">
        <f t="array" ref="I130">IF(126&gt;$S$1204,"",INDEX($T$5:$AJ$1204,MATCH(126,$S$5:$S$1204,0),9))</f>
        <v/>
      </c>
      <c r="J130" s="14" t="str">
        <f t="array" ref="J130">IF(126&gt;$S$1204,"",INDEX($T$5:$AJ$1204,MATCH(126,$S$5:$S$1204,0),10))</f>
        <v/>
      </c>
      <c r="K130" s="8" t="str">
        <f t="array" ref="K130">IF(126&gt;$S$1204,"",INDEX($T$5:$AJ$1204,MATCH(126,$S$5:$S$1204,0),11))</f>
        <v/>
      </c>
      <c r="L130" s="8" t="str">
        <f t="array" ref="L130">IF(126&gt;$S$1204,"",INDEX($T$5:$AJ$1204,MATCH(126,$S$5:$S$1204,0),12))</f>
        <v/>
      </c>
      <c r="M130" s="8" t="str">
        <f t="array" ref="M130">IF(126&gt;$S$1204,"",INDEX($T$5:$AJ$1204,MATCH(126,$S$5:$S$1204,0),13))</f>
        <v/>
      </c>
      <c r="N130" s="8" t="str">
        <f t="array" ref="N130">IF(126&gt;$S$1204,"",INDEX($T$5:$AJ$1204,MATCH(126,$S$5:$S$1204,0),14))</f>
        <v/>
      </c>
      <c r="O130" s="15" t="str">
        <f t="array" ref="O130">IF(126&gt;$S$1204,"",INDEX($T$5:$AJ$1204,MATCH(126,$S$5:$S$1204,0),15))</f>
        <v/>
      </c>
      <c r="P130" s="8" t="str">
        <f t="array" ref="P130">IF(126&gt;$S$1204,"",INDEX($T$5:$AJ$1204,MATCH(126,$S$5:$S$1204,0),16))</f>
        <v/>
      </c>
      <c r="Q130" s="8" t="str">
        <f t="array" ref="Q130">IF(126&gt;$S$1204,"",INDEX($T$5:$AJ$1204,MATCH(126,$S$5:$S$1204,0),17))</f>
        <v/>
      </c>
      <c r="R130" s="17"/>
      <c r="S130" s="17">
        <f>S129+IF(M1_Administrativo!A134="",0,1)</f>
        <v>0</v>
      </c>
      <c r="T130" s="17" t="str">
        <f>IF(M1_Administrativo!A134="","",IF(M1_Administrativo!A134="","",M1_Administrativo!A134))</f>
        <v/>
      </c>
      <c r="U130" s="17" t="str">
        <f>IF(M1_Administrativo!A134="","",IF(M1_Administrativo!R134="","",M1_Administrativo!R134))</f>
        <v/>
      </c>
      <c r="V130" s="17" t="str">
        <f>IF(M1_Administrativo!A134="","",IF(M1_Administrativo!D134="","",M1_Administrativo!D134))</f>
        <v/>
      </c>
      <c r="W130" s="17" t="str">
        <f>IF(M1_Administrativo!A134="","",IF(M1_Administrativo!B134="","",M1_Administrativo!B134))</f>
        <v/>
      </c>
      <c r="X130" s="17" t="str">
        <f>IF(M1_Administrativo!A134="","",IF(M1_Administrativo!C134="","",M1_Administrativo!C134))</f>
        <v/>
      </c>
      <c r="Y130" s="17" t="str">
        <f>IF(M1_Administrativo!A134="","",IF(M1_Administrativo!E134="","",M1_Administrativo!E134))</f>
        <v/>
      </c>
      <c r="Z130" s="17" t="str">
        <f>IF(M1_Administrativo!A134="","",IF(M1_Administrativo!F134="","",M1_Administrativo!F134))</f>
        <v/>
      </c>
      <c r="AA130" s="17" t="str">
        <f>IF(M1_Administrativo!A134="","","M1 Administrativo")</f>
        <v/>
      </c>
      <c r="AB130" s="17" t="str">
        <f>IF(M1_Administrativo!A134="","",IF(M1_Administrativo!G134="","",M1_Administrativo!G134))</f>
        <v/>
      </c>
      <c r="AC130" s="17" t="str">
        <f>IF(M1_Administrativo!A134="","",IF(M1_Administrativo!M134="","",M1_Administrativo!M134))</f>
        <v/>
      </c>
      <c r="AD130" s="17" t="str">
        <f>IF(M1_Administrativo!A134="","","RA")</f>
        <v/>
      </c>
      <c r="AE130" s="17" t="str">
        <f>IF(M1_Administrativo!A134="","",IF(M1_Administrativo!O134="","",M1_Administrativo!O134))</f>
        <v/>
      </c>
      <c r="AF130" s="17" t="str">
        <f>IF(M1_Administrativo!A134="","",IF(M1_Administrativo!P134="","",M1_Administrativo!P134))</f>
        <v/>
      </c>
      <c r="AG130" s="17" t="str">
        <f>IF(M1_Administrativo!A134="","",IF(M1_Administrativo!Q134="","",M1_Administrativo!Q134))</f>
        <v/>
      </c>
      <c r="AH130" s="17" t="str">
        <f>IF(M1_Administrativo!A134="","","")</f>
        <v/>
      </c>
      <c r="AI130" s="17" t="str">
        <f>IF(M1_Administrativo!A134="","","M1_Administrativo!134")</f>
        <v/>
      </c>
      <c r="AJ130" s="17" t="str">
        <f>IF(M1_Administrativo!A134="","",IF(M1_Administrativo!M134="","Pendiente de resultado","Disponible"))</f>
        <v/>
      </c>
    </row>
    <row r="131" spans="1:36" ht="55.5" customHeight="1">
      <c r="A131" s="6" t="str">
        <f t="array" ref="A131">IF(127&gt;$S$1204,"",INDEX($T$5:$AJ$1204,MATCH(127,$S$5:$S$1204,0),1))</f>
        <v/>
      </c>
      <c r="B131" s="8" t="str">
        <f t="array" ref="B131">IF(127&gt;$S$1204,"",INDEX($T$5:$AJ$1204,MATCH(127,$S$5:$S$1204,0),2))</f>
        <v/>
      </c>
      <c r="C131" s="10" t="str">
        <f t="array" ref="C131">IF(127&gt;$S$1204,"",INDEX($T$5:$AJ$1204,MATCH(127,$S$5:$S$1204,0),3))</f>
        <v/>
      </c>
      <c r="D131" s="8" t="str">
        <f t="array" ref="D131">IF(127&gt;$S$1204,"",INDEX($T$5:$AJ$1204,MATCH(127,$S$5:$S$1204,0),4))</f>
        <v/>
      </c>
      <c r="E131" s="8" t="str">
        <f t="array" ref="E131">IF(127&gt;$S$1204,"",INDEX($T$5:$AJ$1204,MATCH(127,$S$5:$S$1204,0),5))</f>
        <v/>
      </c>
      <c r="F131" s="8" t="str">
        <f t="array" ref="F131">IF(127&gt;$S$1204,"",INDEX($T$5:$AJ$1204,MATCH(127,$S$5:$S$1204,0),6))</f>
        <v/>
      </c>
      <c r="G131" s="8" t="str">
        <f t="array" ref="G131">IF(127&gt;$S$1204,"",INDEX($T$5:$AJ$1204,MATCH(127,$S$5:$S$1204,0),7))</f>
        <v/>
      </c>
      <c r="H131" s="8" t="str">
        <f t="array" ref="H131">IF(127&gt;$S$1204,"",INDEX($T$5:$AJ$1204,MATCH(127,$S$5:$S$1204,0),8))</f>
        <v/>
      </c>
      <c r="I131" s="8" t="str">
        <f t="array" ref="I131">IF(127&gt;$S$1204,"",INDEX($T$5:$AJ$1204,MATCH(127,$S$5:$S$1204,0),9))</f>
        <v/>
      </c>
      <c r="J131" s="14" t="str">
        <f t="array" ref="J131">IF(127&gt;$S$1204,"",INDEX($T$5:$AJ$1204,MATCH(127,$S$5:$S$1204,0),10))</f>
        <v/>
      </c>
      <c r="K131" s="8" t="str">
        <f t="array" ref="K131">IF(127&gt;$S$1204,"",INDEX($T$5:$AJ$1204,MATCH(127,$S$5:$S$1204,0),11))</f>
        <v/>
      </c>
      <c r="L131" s="8" t="str">
        <f t="array" ref="L131">IF(127&gt;$S$1204,"",INDEX($T$5:$AJ$1204,MATCH(127,$S$5:$S$1204,0),12))</f>
        <v/>
      </c>
      <c r="M131" s="8" t="str">
        <f t="array" ref="M131">IF(127&gt;$S$1204,"",INDEX($T$5:$AJ$1204,MATCH(127,$S$5:$S$1204,0),13))</f>
        <v/>
      </c>
      <c r="N131" s="8" t="str">
        <f t="array" ref="N131">IF(127&gt;$S$1204,"",INDEX($T$5:$AJ$1204,MATCH(127,$S$5:$S$1204,0),14))</f>
        <v/>
      </c>
      <c r="O131" s="15" t="str">
        <f t="array" ref="O131">IF(127&gt;$S$1204,"",INDEX($T$5:$AJ$1204,MATCH(127,$S$5:$S$1204,0),15))</f>
        <v/>
      </c>
      <c r="P131" s="8" t="str">
        <f t="array" ref="P131">IF(127&gt;$S$1204,"",INDEX($T$5:$AJ$1204,MATCH(127,$S$5:$S$1204,0),16))</f>
        <v/>
      </c>
      <c r="Q131" s="8" t="str">
        <f t="array" ref="Q131">IF(127&gt;$S$1204,"",INDEX($T$5:$AJ$1204,MATCH(127,$S$5:$S$1204,0),17))</f>
        <v/>
      </c>
      <c r="R131" s="17"/>
      <c r="S131" s="17">
        <f>S130+IF(M1_Administrativo!A135="",0,1)</f>
        <v>0</v>
      </c>
      <c r="T131" s="17" t="str">
        <f>IF(M1_Administrativo!A135="","",IF(M1_Administrativo!A135="","",M1_Administrativo!A135))</f>
        <v/>
      </c>
      <c r="U131" s="17" t="str">
        <f>IF(M1_Administrativo!A135="","",IF(M1_Administrativo!R135="","",M1_Administrativo!R135))</f>
        <v/>
      </c>
      <c r="V131" s="17" t="str">
        <f>IF(M1_Administrativo!A135="","",IF(M1_Administrativo!D135="","",M1_Administrativo!D135))</f>
        <v/>
      </c>
      <c r="W131" s="17" t="str">
        <f>IF(M1_Administrativo!A135="","",IF(M1_Administrativo!B135="","",M1_Administrativo!B135))</f>
        <v/>
      </c>
      <c r="X131" s="17" t="str">
        <f>IF(M1_Administrativo!A135="","",IF(M1_Administrativo!C135="","",M1_Administrativo!C135))</f>
        <v/>
      </c>
      <c r="Y131" s="17" t="str">
        <f>IF(M1_Administrativo!A135="","",IF(M1_Administrativo!E135="","",M1_Administrativo!E135))</f>
        <v/>
      </c>
      <c r="Z131" s="17" t="str">
        <f>IF(M1_Administrativo!A135="","",IF(M1_Administrativo!F135="","",M1_Administrativo!F135))</f>
        <v/>
      </c>
      <c r="AA131" s="17" t="str">
        <f>IF(M1_Administrativo!A135="","","M1 Administrativo")</f>
        <v/>
      </c>
      <c r="AB131" s="17" t="str">
        <f>IF(M1_Administrativo!A135="","",IF(M1_Administrativo!G135="","",M1_Administrativo!G135))</f>
        <v/>
      </c>
      <c r="AC131" s="17" t="str">
        <f>IF(M1_Administrativo!A135="","",IF(M1_Administrativo!M135="","",M1_Administrativo!M135))</f>
        <v/>
      </c>
      <c r="AD131" s="17" t="str">
        <f>IF(M1_Administrativo!A135="","","RA")</f>
        <v/>
      </c>
      <c r="AE131" s="17" t="str">
        <f>IF(M1_Administrativo!A135="","",IF(M1_Administrativo!O135="","",M1_Administrativo!O135))</f>
        <v/>
      </c>
      <c r="AF131" s="17" t="str">
        <f>IF(M1_Administrativo!A135="","",IF(M1_Administrativo!P135="","",M1_Administrativo!P135))</f>
        <v/>
      </c>
      <c r="AG131" s="17" t="str">
        <f>IF(M1_Administrativo!A135="","",IF(M1_Administrativo!Q135="","",M1_Administrativo!Q135))</f>
        <v/>
      </c>
      <c r="AH131" s="17" t="str">
        <f>IF(M1_Administrativo!A135="","","")</f>
        <v/>
      </c>
      <c r="AI131" s="17" t="str">
        <f>IF(M1_Administrativo!A135="","","M1_Administrativo!135")</f>
        <v/>
      </c>
      <c r="AJ131" s="17" t="str">
        <f>IF(M1_Administrativo!A135="","",IF(M1_Administrativo!M135="","Pendiente de resultado","Disponible"))</f>
        <v/>
      </c>
    </row>
    <row r="132" spans="1:36" ht="55.5" customHeight="1">
      <c r="A132" s="6" t="str">
        <f t="array" ref="A132">IF(128&gt;$S$1204,"",INDEX($T$5:$AJ$1204,MATCH(128,$S$5:$S$1204,0),1))</f>
        <v/>
      </c>
      <c r="B132" s="8" t="str">
        <f t="array" ref="B132">IF(128&gt;$S$1204,"",INDEX($T$5:$AJ$1204,MATCH(128,$S$5:$S$1204,0),2))</f>
        <v/>
      </c>
      <c r="C132" s="10" t="str">
        <f t="array" ref="C132">IF(128&gt;$S$1204,"",INDEX($T$5:$AJ$1204,MATCH(128,$S$5:$S$1204,0),3))</f>
        <v/>
      </c>
      <c r="D132" s="8" t="str">
        <f t="array" ref="D132">IF(128&gt;$S$1204,"",INDEX($T$5:$AJ$1204,MATCH(128,$S$5:$S$1204,0),4))</f>
        <v/>
      </c>
      <c r="E132" s="8" t="str">
        <f t="array" ref="E132">IF(128&gt;$S$1204,"",INDEX($T$5:$AJ$1204,MATCH(128,$S$5:$S$1204,0),5))</f>
        <v/>
      </c>
      <c r="F132" s="8" t="str">
        <f t="array" ref="F132">IF(128&gt;$S$1204,"",INDEX($T$5:$AJ$1204,MATCH(128,$S$5:$S$1204,0),6))</f>
        <v/>
      </c>
      <c r="G132" s="8" t="str">
        <f t="array" ref="G132">IF(128&gt;$S$1204,"",INDEX($T$5:$AJ$1204,MATCH(128,$S$5:$S$1204,0),7))</f>
        <v/>
      </c>
      <c r="H132" s="8" t="str">
        <f t="array" ref="H132">IF(128&gt;$S$1204,"",INDEX($T$5:$AJ$1204,MATCH(128,$S$5:$S$1204,0),8))</f>
        <v/>
      </c>
      <c r="I132" s="8" t="str">
        <f t="array" ref="I132">IF(128&gt;$S$1204,"",INDEX($T$5:$AJ$1204,MATCH(128,$S$5:$S$1204,0),9))</f>
        <v/>
      </c>
      <c r="J132" s="14" t="str">
        <f t="array" ref="J132">IF(128&gt;$S$1204,"",INDEX($T$5:$AJ$1204,MATCH(128,$S$5:$S$1204,0),10))</f>
        <v/>
      </c>
      <c r="K132" s="8" t="str">
        <f t="array" ref="K132">IF(128&gt;$S$1204,"",INDEX($T$5:$AJ$1204,MATCH(128,$S$5:$S$1204,0),11))</f>
        <v/>
      </c>
      <c r="L132" s="8" t="str">
        <f t="array" ref="L132">IF(128&gt;$S$1204,"",INDEX($T$5:$AJ$1204,MATCH(128,$S$5:$S$1204,0),12))</f>
        <v/>
      </c>
      <c r="M132" s="8" t="str">
        <f t="array" ref="M132">IF(128&gt;$S$1204,"",INDEX($T$5:$AJ$1204,MATCH(128,$S$5:$S$1204,0),13))</f>
        <v/>
      </c>
      <c r="N132" s="8" t="str">
        <f t="array" ref="N132">IF(128&gt;$S$1204,"",INDEX($T$5:$AJ$1204,MATCH(128,$S$5:$S$1204,0),14))</f>
        <v/>
      </c>
      <c r="O132" s="15" t="str">
        <f t="array" ref="O132">IF(128&gt;$S$1204,"",INDEX($T$5:$AJ$1204,MATCH(128,$S$5:$S$1204,0),15))</f>
        <v/>
      </c>
      <c r="P132" s="8" t="str">
        <f t="array" ref="P132">IF(128&gt;$S$1204,"",INDEX($T$5:$AJ$1204,MATCH(128,$S$5:$S$1204,0),16))</f>
        <v/>
      </c>
      <c r="Q132" s="8" t="str">
        <f t="array" ref="Q132">IF(128&gt;$S$1204,"",INDEX($T$5:$AJ$1204,MATCH(128,$S$5:$S$1204,0),17))</f>
        <v/>
      </c>
      <c r="R132" s="17"/>
      <c r="S132" s="17">
        <f>S131+IF(M1_Administrativo!A136="",0,1)</f>
        <v>0</v>
      </c>
      <c r="T132" s="17" t="str">
        <f>IF(M1_Administrativo!A136="","",IF(M1_Administrativo!A136="","",M1_Administrativo!A136))</f>
        <v/>
      </c>
      <c r="U132" s="17" t="str">
        <f>IF(M1_Administrativo!A136="","",IF(M1_Administrativo!R136="","",M1_Administrativo!R136))</f>
        <v/>
      </c>
      <c r="V132" s="17" t="str">
        <f>IF(M1_Administrativo!A136="","",IF(M1_Administrativo!D136="","",M1_Administrativo!D136))</f>
        <v/>
      </c>
      <c r="W132" s="17" t="str">
        <f>IF(M1_Administrativo!A136="","",IF(M1_Administrativo!B136="","",M1_Administrativo!B136))</f>
        <v/>
      </c>
      <c r="X132" s="17" t="str">
        <f>IF(M1_Administrativo!A136="","",IF(M1_Administrativo!C136="","",M1_Administrativo!C136))</f>
        <v/>
      </c>
      <c r="Y132" s="17" t="str">
        <f>IF(M1_Administrativo!A136="","",IF(M1_Administrativo!E136="","",M1_Administrativo!E136))</f>
        <v/>
      </c>
      <c r="Z132" s="17" t="str">
        <f>IF(M1_Administrativo!A136="","",IF(M1_Administrativo!F136="","",M1_Administrativo!F136))</f>
        <v/>
      </c>
      <c r="AA132" s="17" t="str">
        <f>IF(M1_Administrativo!A136="","","M1 Administrativo")</f>
        <v/>
      </c>
      <c r="AB132" s="17" t="str">
        <f>IF(M1_Administrativo!A136="","",IF(M1_Administrativo!G136="","",M1_Administrativo!G136))</f>
        <v/>
      </c>
      <c r="AC132" s="17" t="str">
        <f>IF(M1_Administrativo!A136="","",IF(M1_Administrativo!M136="","",M1_Administrativo!M136))</f>
        <v/>
      </c>
      <c r="AD132" s="17" t="str">
        <f>IF(M1_Administrativo!A136="","","RA")</f>
        <v/>
      </c>
      <c r="AE132" s="17" t="str">
        <f>IF(M1_Administrativo!A136="","",IF(M1_Administrativo!O136="","",M1_Administrativo!O136))</f>
        <v/>
      </c>
      <c r="AF132" s="17" t="str">
        <f>IF(M1_Administrativo!A136="","",IF(M1_Administrativo!P136="","",M1_Administrativo!P136))</f>
        <v/>
      </c>
      <c r="AG132" s="17" t="str">
        <f>IF(M1_Administrativo!A136="","",IF(M1_Administrativo!Q136="","",M1_Administrativo!Q136))</f>
        <v/>
      </c>
      <c r="AH132" s="17" t="str">
        <f>IF(M1_Administrativo!A136="","","")</f>
        <v/>
      </c>
      <c r="AI132" s="17" t="str">
        <f>IF(M1_Administrativo!A136="","","M1_Administrativo!136")</f>
        <v/>
      </c>
      <c r="AJ132" s="17" t="str">
        <f>IF(M1_Administrativo!A136="","",IF(M1_Administrativo!M136="","Pendiente de resultado","Disponible"))</f>
        <v/>
      </c>
    </row>
    <row r="133" spans="1:36" ht="55.5" customHeight="1">
      <c r="A133" s="6" t="str">
        <f t="array" ref="A133">IF(129&gt;$S$1204,"",INDEX($T$5:$AJ$1204,MATCH(129,$S$5:$S$1204,0),1))</f>
        <v/>
      </c>
      <c r="B133" s="8" t="str">
        <f t="array" ref="B133">IF(129&gt;$S$1204,"",INDEX($T$5:$AJ$1204,MATCH(129,$S$5:$S$1204,0),2))</f>
        <v/>
      </c>
      <c r="C133" s="10" t="str">
        <f t="array" ref="C133">IF(129&gt;$S$1204,"",INDEX($T$5:$AJ$1204,MATCH(129,$S$5:$S$1204,0),3))</f>
        <v/>
      </c>
      <c r="D133" s="8" t="str">
        <f t="array" ref="D133">IF(129&gt;$S$1204,"",INDEX($T$5:$AJ$1204,MATCH(129,$S$5:$S$1204,0),4))</f>
        <v/>
      </c>
      <c r="E133" s="8" t="str">
        <f t="array" ref="E133">IF(129&gt;$S$1204,"",INDEX($T$5:$AJ$1204,MATCH(129,$S$5:$S$1204,0),5))</f>
        <v/>
      </c>
      <c r="F133" s="8" t="str">
        <f t="array" ref="F133">IF(129&gt;$S$1204,"",INDEX($T$5:$AJ$1204,MATCH(129,$S$5:$S$1204,0),6))</f>
        <v/>
      </c>
      <c r="G133" s="8" t="str">
        <f t="array" ref="G133">IF(129&gt;$S$1204,"",INDEX($T$5:$AJ$1204,MATCH(129,$S$5:$S$1204,0),7))</f>
        <v/>
      </c>
      <c r="H133" s="8" t="str">
        <f t="array" ref="H133">IF(129&gt;$S$1204,"",INDEX($T$5:$AJ$1204,MATCH(129,$S$5:$S$1204,0),8))</f>
        <v/>
      </c>
      <c r="I133" s="8" t="str">
        <f t="array" ref="I133">IF(129&gt;$S$1204,"",INDEX($T$5:$AJ$1204,MATCH(129,$S$5:$S$1204,0),9))</f>
        <v/>
      </c>
      <c r="J133" s="14" t="str">
        <f t="array" ref="J133">IF(129&gt;$S$1204,"",INDEX($T$5:$AJ$1204,MATCH(129,$S$5:$S$1204,0),10))</f>
        <v/>
      </c>
      <c r="K133" s="8" t="str">
        <f t="array" ref="K133">IF(129&gt;$S$1204,"",INDEX($T$5:$AJ$1204,MATCH(129,$S$5:$S$1204,0),11))</f>
        <v/>
      </c>
      <c r="L133" s="8" t="str">
        <f t="array" ref="L133">IF(129&gt;$S$1204,"",INDEX($T$5:$AJ$1204,MATCH(129,$S$5:$S$1204,0),12))</f>
        <v/>
      </c>
      <c r="M133" s="8" t="str">
        <f t="array" ref="M133">IF(129&gt;$S$1204,"",INDEX($T$5:$AJ$1204,MATCH(129,$S$5:$S$1204,0),13))</f>
        <v/>
      </c>
      <c r="N133" s="8" t="str">
        <f t="array" ref="N133">IF(129&gt;$S$1204,"",INDEX($T$5:$AJ$1204,MATCH(129,$S$5:$S$1204,0),14))</f>
        <v/>
      </c>
      <c r="O133" s="15" t="str">
        <f t="array" ref="O133">IF(129&gt;$S$1204,"",INDEX($T$5:$AJ$1204,MATCH(129,$S$5:$S$1204,0),15))</f>
        <v/>
      </c>
      <c r="P133" s="8" t="str">
        <f t="array" ref="P133">IF(129&gt;$S$1204,"",INDEX($T$5:$AJ$1204,MATCH(129,$S$5:$S$1204,0),16))</f>
        <v/>
      </c>
      <c r="Q133" s="8" t="str">
        <f t="array" ref="Q133">IF(129&gt;$S$1204,"",INDEX($T$5:$AJ$1204,MATCH(129,$S$5:$S$1204,0),17))</f>
        <v/>
      </c>
      <c r="R133" s="17"/>
      <c r="S133" s="17">
        <f>S132+IF(M1_Administrativo!A137="",0,1)</f>
        <v>0</v>
      </c>
      <c r="T133" s="17" t="str">
        <f>IF(M1_Administrativo!A137="","",IF(M1_Administrativo!A137="","",M1_Administrativo!A137))</f>
        <v/>
      </c>
      <c r="U133" s="17" t="str">
        <f>IF(M1_Administrativo!A137="","",IF(M1_Administrativo!R137="","",M1_Administrativo!R137))</f>
        <v/>
      </c>
      <c r="V133" s="17" t="str">
        <f>IF(M1_Administrativo!A137="","",IF(M1_Administrativo!D137="","",M1_Administrativo!D137))</f>
        <v/>
      </c>
      <c r="W133" s="17" t="str">
        <f>IF(M1_Administrativo!A137="","",IF(M1_Administrativo!B137="","",M1_Administrativo!B137))</f>
        <v/>
      </c>
      <c r="X133" s="17" t="str">
        <f>IF(M1_Administrativo!A137="","",IF(M1_Administrativo!C137="","",M1_Administrativo!C137))</f>
        <v/>
      </c>
      <c r="Y133" s="17" t="str">
        <f>IF(M1_Administrativo!A137="","",IF(M1_Administrativo!E137="","",M1_Administrativo!E137))</f>
        <v/>
      </c>
      <c r="Z133" s="17" t="str">
        <f>IF(M1_Administrativo!A137="","",IF(M1_Administrativo!F137="","",M1_Administrativo!F137))</f>
        <v/>
      </c>
      <c r="AA133" s="17" t="str">
        <f>IF(M1_Administrativo!A137="","","M1 Administrativo")</f>
        <v/>
      </c>
      <c r="AB133" s="17" t="str">
        <f>IF(M1_Administrativo!A137="","",IF(M1_Administrativo!G137="","",M1_Administrativo!G137))</f>
        <v/>
      </c>
      <c r="AC133" s="17" t="str">
        <f>IF(M1_Administrativo!A137="","",IF(M1_Administrativo!M137="","",M1_Administrativo!M137))</f>
        <v/>
      </c>
      <c r="AD133" s="17" t="str">
        <f>IF(M1_Administrativo!A137="","","RA")</f>
        <v/>
      </c>
      <c r="AE133" s="17" t="str">
        <f>IF(M1_Administrativo!A137="","",IF(M1_Administrativo!O137="","",M1_Administrativo!O137))</f>
        <v/>
      </c>
      <c r="AF133" s="17" t="str">
        <f>IF(M1_Administrativo!A137="","",IF(M1_Administrativo!P137="","",M1_Administrativo!P137))</f>
        <v/>
      </c>
      <c r="AG133" s="17" t="str">
        <f>IF(M1_Administrativo!A137="","",IF(M1_Administrativo!Q137="","",M1_Administrativo!Q137))</f>
        <v/>
      </c>
      <c r="AH133" s="17" t="str">
        <f>IF(M1_Administrativo!A137="","","")</f>
        <v/>
      </c>
      <c r="AI133" s="17" t="str">
        <f>IF(M1_Administrativo!A137="","","M1_Administrativo!137")</f>
        <v/>
      </c>
      <c r="AJ133" s="17" t="str">
        <f>IF(M1_Administrativo!A137="","",IF(M1_Administrativo!M137="","Pendiente de resultado","Disponible"))</f>
        <v/>
      </c>
    </row>
    <row r="134" spans="1:36" ht="55.5" customHeight="1">
      <c r="A134" s="6" t="str">
        <f t="array" ref="A134">IF(130&gt;$S$1204,"",INDEX($T$5:$AJ$1204,MATCH(130,$S$5:$S$1204,0),1))</f>
        <v/>
      </c>
      <c r="B134" s="8" t="str">
        <f t="array" ref="B134">IF(130&gt;$S$1204,"",INDEX($T$5:$AJ$1204,MATCH(130,$S$5:$S$1204,0),2))</f>
        <v/>
      </c>
      <c r="C134" s="10" t="str">
        <f t="array" ref="C134">IF(130&gt;$S$1204,"",INDEX($T$5:$AJ$1204,MATCH(130,$S$5:$S$1204,0),3))</f>
        <v/>
      </c>
      <c r="D134" s="8" t="str">
        <f t="array" ref="D134">IF(130&gt;$S$1204,"",INDEX($T$5:$AJ$1204,MATCH(130,$S$5:$S$1204,0),4))</f>
        <v/>
      </c>
      <c r="E134" s="8" t="str">
        <f t="array" ref="E134">IF(130&gt;$S$1204,"",INDEX($T$5:$AJ$1204,MATCH(130,$S$5:$S$1204,0),5))</f>
        <v/>
      </c>
      <c r="F134" s="8" t="str">
        <f t="array" ref="F134">IF(130&gt;$S$1204,"",INDEX($T$5:$AJ$1204,MATCH(130,$S$5:$S$1204,0),6))</f>
        <v/>
      </c>
      <c r="G134" s="8" t="str">
        <f t="array" ref="G134">IF(130&gt;$S$1204,"",INDEX($T$5:$AJ$1204,MATCH(130,$S$5:$S$1204,0),7))</f>
        <v/>
      </c>
      <c r="H134" s="8" t="str">
        <f t="array" ref="H134">IF(130&gt;$S$1204,"",INDEX($T$5:$AJ$1204,MATCH(130,$S$5:$S$1204,0),8))</f>
        <v/>
      </c>
      <c r="I134" s="8" t="str">
        <f t="array" ref="I134">IF(130&gt;$S$1204,"",INDEX($T$5:$AJ$1204,MATCH(130,$S$5:$S$1204,0),9))</f>
        <v/>
      </c>
      <c r="J134" s="14" t="str">
        <f t="array" ref="J134">IF(130&gt;$S$1204,"",INDEX($T$5:$AJ$1204,MATCH(130,$S$5:$S$1204,0),10))</f>
        <v/>
      </c>
      <c r="K134" s="8" t="str">
        <f t="array" ref="K134">IF(130&gt;$S$1204,"",INDEX($T$5:$AJ$1204,MATCH(130,$S$5:$S$1204,0),11))</f>
        <v/>
      </c>
      <c r="L134" s="8" t="str">
        <f t="array" ref="L134">IF(130&gt;$S$1204,"",INDEX($T$5:$AJ$1204,MATCH(130,$S$5:$S$1204,0),12))</f>
        <v/>
      </c>
      <c r="M134" s="8" t="str">
        <f t="array" ref="M134">IF(130&gt;$S$1204,"",INDEX($T$5:$AJ$1204,MATCH(130,$S$5:$S$1204,0),13))</f>
        <v/>
      </c>
      <c r="N134" s="8" t="str">
        <f t="array" ref="N134">IF(130&gt;$S$1204,"",INDEX($T$5:$AJ$1204,MATCH(130,$S$5:$S$1204,0),14))</f>
        <v/>
      </c>
      <c r="O134" s="15" t="str">
        <f t="array" ref="O134">IF(130&gt;$S$1204,"",INDEX($T$5:$AJ$1204,MATCH(130,$S$5:$S$1204,0),15))</f>
        <v/>
      </c>
      <c r="P134" s="8" t="str">
        <f t="array" ref="P134">IF(130&gt;$S$1204,"",INDEX($T$5:$AJ$1204,MATCH(130,$S$5:$S$1204,0),16))</f>
        <v/>
      </c>
      <c r="Q134" s="8" t="str">
        <f t="array" ref="Q134">IF(130&gt;$S$1204,"",INDEX($T$5:$AJ$1204,MATCH(130,$S$5:$S$1204,0),17))</f>
        <v/>
      </c>
      <c r="R134" s="17"/>
      <c r="S134" s="17">
        <f>S133+IF(M1_Administrativo!A138="",0,1)</f>
        <v>0</v>
      </c>
      <c r="T134" s="17" t="str">
        <f>IF(M1_Administrativo!A138="","",IF(M1_Administrativo!A138="","",M1_Administrativo!A138))</f>
        <v/>
      </c>
      <c r="U134" s="17" t="str">
        <f>IF(M1_Administrativo!A138="","",IF(M1_Administrativo!R138="","",M1_Administrativo!R138))</f>
        <v/>
      </c>
      <c r="V134" s="17" t="str">
        <f>IF(M1_Administrativo!A138="","",IF(M1_Administrativo!D138="","",M1_Administrativo!D138))</f>
        <v/>
      </c>
      <c r="W134" s="17" t="str">
        <f>IF(M1_Administrativo!A138="","",IF(M1_Administrativo!B138="","",M1_Administrativo!B138))</f>
        <v/>
      </c>
      <c r="X134" s="17" t="str">
        <f>IF(M1_Administrativo!A138="","",IF(M1_Administrativo!C138="","",M1_Administrativo!C138))</f>
        <v/>
      </c>
      <c r="Y134" s="17" t="str">
        <f>IF(M1_Administrativo!A138="","",IF(M1_Administrativo!E138="","",M1_Administrativo!E138))</f>
        <v/>
      </c>
      <c r="Z134" s="17" t="str">
        <f>IF(M1_Administrativo!A138="","",IF(M1_Administrativo!F138="","",M1_Administrativo!F138))</f>
        <v/>
      </c>
      <c r="AA134" s="17" t="str">
        <f>IF(M1_Administrativo!A138="","","M1 Administrativo")</f>
        <v/>
      </c>
      <c r="AB134" s="17" t="str">
        <f>IF(M1_Administrativo!A138="","",IF(M1_Administrativo!G138="","",M1_Administrativo!G138))</f>
        <v/>
      </c>
      <c r="AC134" s="17" t="str">
        <f>IF(M1_Administrativo!A138="","",IF(M1_Administrativo!M138="","",M1_Administrativo!M138))</f>
        <v/>
      </c>
      <c r="AD134" s="17" t="str">
        <f>IF(M1_Administrativo!A138="","","RA")</f>
        <v/>
      </c>
      <c r="AE134" s="17" t="str">
        <f>IF(M1_Administrativo!A138="","",IF(M1_Administrativo!O138="","",M1_Administrativo!O138))</f>
        <v/>
      </c>
      <c r="AF134" s="17" t="str">
        <f>IF(M1_Administrativo!A138="","",IF(M1_Administrativo!P138="","",M1_Administrativo!P138))</f>
        <v/>
      </c>
      <c r="AG134" s="17" t="str">
        <f>IF(M1_Administrativo!A138="","",IF(M1_Administrativo!Q138="","",M1_Administrativo!Q138))</f>
        <v/>
      </c>
      <c r="AH134" s="17" t="str">
        <f>IF(M1_Administrativo!A138="","","")</f>
        <v/>
      </c>
      <c r="AI134" s="17" t="str">
        <f>IF(M1_Administrativo!A138="","","M1_Administrativo!138")</f>
        <v/>
      </c>
      <c r="AJ134" s="17" t="str">
        <f>IF(M1_Administrativo!A138="","",IF(M1_Administrativo!M138="","Pendiente de resultado","Disponible"))</f>
        <v/>
      </c>
    </row>
    <row r="135" spans="1:36" ht="55.5" customHeight="1">
      <c r="A135" s="6" t="str">
        <f t="array" ref="A135">IF(131&gt;$S$1204,"",INDEX($T$5:$AJ$1204,MATCH(131,$S$5:$S$1204,0),1))</f>
        <v/>
      </c>
      <c r="B135" s="8" t="str">
        <f t="array" ref="B135">IF(131&gt;$S$1204,"",INDEX($T$5:$AJ$1204,MATCH(131,$S$5:$S$1204,0),2))</f>
        <v/>
      </c>
      <c r="C135" s="10" t="str">
        <f t="array" ref="C135">IF(131&gt;$S$1204,"",INDEX($T$5:$AJ$1204,MATCH(131,$S$5:$S$1204,0),3))</f>
        <v/>
      </c>
      <c r="D135" s="8" t="str">
        <f t="array" ref="D135">IF(131&gt;$S$1204,"",INDEX($T$5:$AJ$1204,MATCH(131,$S$5:$S$1204,0),4))</f>
        <v/>
      </c>
      <c r="E135" s="8" t="str">
        <f t="array" ref="E135">IF(131&gt;$S$1204,"",INDEX($T$5:$AJ$1204,MATCH(131,$S$5:$S$1204,0),5))</f>
        <v/>
      </c>
      <c r="F135" s="8" t="str">
        <f t="array" ref="F135">IF(131&gt;$S$1204,"",INDEX($T$5:$AJ$1204,MATCH(131,$S$5:$S$1204,0),6))</f>
        <v/>
      </c>
      <c r="G135" s="8" t="str">
        <f t="array" ref="G135">IF(131&gt;$S$1204,"",INDEX($T$5:$AJ$1204,MATCH(131,$S$5:$S$1204,0),7))</f>
        <v/>
      </c>
      <c r="H135" s="8" t="str">
        <f t="array" ref="H135">IF(131&gt;$S$1204,"",INDEX($T$5:$AJ$1204,MATCH(131,$S$5:$S$1204,0),8))</f>
        <v/>
      </c>
      <c r="I135" s="8" t="str">
        <f t="array" ref="I135">IF(131&gt;$S$1204,"",INDEX($T$5:$AJ$1204,MATCH(131,$S$5:$S$1204,0),9))</f>
        <v/>
      </c>
      <c r="J135" s="14" t="str">
        <f t="array" ref="J135">IF(131&gt;$S$1204,"",INDEX($T$5:$AJ$1204,MATCH(131,$S$5:$S$1204,0),10))</f>
        <v/>
      </c>
      <c r="K135" s="8" t="str">
        <f t="array" ref="K135">IF(131&gt;$S$1204,"",INDEX($T$5:$AJ$1204,MATCH(131,$S$5:$S$1204,0),11))</f>
        <v/>
      </c>
      <c r="L135" s="8" t="str">
        <f t="array" ref="L135">IF(131&gt;$S$1204,"",INDEX($T$5:$AJ$1204,MATCH(131,$S$5:$S$1204,0),12))</f>
        <v/>
      </c>
      <c r="M135" s="8" t="str">
        <f t="array" ref="M135">IF(131&gt;$S$1204,"",INDEX($T$5:$AJ$1204,MATCH(131,$S$5:$S$1204,0),13))</f>
        <v/>
      </c>
      <c r="N135" s="8" t="str">
        <f t="array" ref="N135">IF(131&gt;$S$1204,"",INDEX($T$5:$AJ$1204,MATCH(131,$S$5:$S$1204,0),14))</f>
        <v/>
      </c>
      <c r="O135" s="15" t="str">
        <f t="array" ref="O135">IF(131&gt;$S$1204,"",INDEX($T$5:$AJ$1204,MATCH(131,$S$5:$S$1204,0),15))</f>
        <v/>
      </c>
      <c r="P135" s="8" t="str">
        <f t="array" ref="P135">IF(131&gt;$S$1204,"",INDEX($T$5:$AJ$1204,MATCH(131,$S$5:$S$1204,0),16))</f>
        <v/>
      </c>
      <c r="Q135" s="8" t="str">
        <f t="array" ref="Q135">IF(131&gt;$S$1204,"",INDEX($T$5:$AJ$1204,MATCH(131,$S$5:$S$1204,0),17))</f>
        <v/>
      </c>
      <c r="R135" s="17"/>
      <c r="S135" s="17">
        <f>S134+IF(M1_Administrativo!A139="",0,1)</f>
        <v>0</v>
      </c>
      <c r="T135" s="17" t="str">
        <f>IF(M1_Administrativo!A139="","",IF(M1_Administrativo!A139="","",M1_Administrativo!A139))</f>
        <v/>
      </c>
      <c r="U135" s="17" t="str">
        <f>IF(M1_Administrativo!A139="","",IF(M1_Administrativo!R139="","",M1_Administrativo!R139))</f>
        <v/>
      </c>
      <c r="V135" s="17" t="str">
        <f>IF(M1_Administrativo!A139="","",IF(M1_Administrativo!D139="","",M1_Administrativo!D139))</f>
        <v/>
      </c>
      <c r="W135" s="17" t="str">
        <f>IF(M1_Administrativo!A139="","",IF(M1_Administrativo!B139="","",M1_Administrativo!B139))</f>
        <v/>
      </c>
      <c r="X135" s="17" t="str">
        <f>IF(M1_Administrativo!A139="","",IF(M1_Administrativo!C139="","",M1_Administrativo!C139))</f>
        <v/>
      </c>
      <c r="Y135" s="17" t="str">
        <f>IF(M1_Administrativo!A139="","",IF(M1_Administrativo!E139="","",M1_Administrativo!E139))</f>
        <v/>
      </c>
      <c r="Z135" s="17" t="str">
        <f>IF(M1_Administrativo!A139="","",IF(M1_Administrativo!F139="","",M1_Administrativo!F139))</f>
        <v/>
      </c>
      <c r="AA135" s="17" t="str">
        <f>IF(M1_Administrativo!A139="","","M1 Administrativo")</f>
        <v/>
      </c>
      <c r="AB135" s="17" t="str">
        <f>IF(M1_Administrativo!A139="","",IF(M1_Administrativo!G139="","",M1_Administrativo!G139))</f>
        <v/>
      </c>
      <c r="AC135" s="17" t="str">
        <f>IF(M1_Administrativo!A139="","",IF(M1_Administrativo!M139="","",M1_Administrativo!M139))</f>
        <v/>
      </c>
      <c r="AD135" s="17" t="str">
        <f>IF(M1_Administrativo!A139="","","RA")</f>
        <v/>
      </c>
      <c r="AE135" s="17" t="str">
        <f>IF(M1_Administrativo!A139="","",IF(M1_Administrativo!O139="","",M1_Administrativo!O139))</f>
        <v/>
      </c>
      <c r="AF135" s="17" t="str">
        <f>IF(M1_Administrativo!A139="","",IF(M1_Administrativo!P139="","",M1_Administrativo!P139))</f>
        <v/>
      </c>
      <c r="AG135" s="17" t="str">
        <f>IF(M1_Administrativo!A139="","",IF(M1_Administrativo!Q139="","",M1_Administrativo!Q139))</f>
        <v/>
      </c>
      <c r="AH135" s="17" t="str">
        <f>IF(M1_Administrativo!A139="","","")</f>
        <v/>
      </c>
      <c r="AI135" s="17" t="str">
        <f>IF(M1_Administrativo!A139="","","M1_Administrativo!139")</f>
        <v/>
      </c>
      <c r="AJ135" s="17" t="str">
        <f>IF(M1_Administrativo!A139="","",IF(M1_Administrativo!M139="","Pendiente de resultado","Disponible"))</f>
        <v/>
      </c>
    </row>
    <row r="136" spans="1:36" ht="55.5" customHeight="1">
      <c r="A136" s="6" t="str">
        <f t="array" ref="A136">IF(132&gt;$S$1204,"",INDEX($T$5:$AJ$1204,MATCH(132,$S$5:$S$1204,0),1))</f>
        <v/>
      </c>
      <c r="B136" s="8" t="str">
        <f t="array" ref="B136">IF(132&gt;$S$1204,"",INDEX($T$5:$AJ$1204,MATCH(132,$S$5:$S$1204,0),2))</f>
        <v/>
      </c>
      <c r="C136" s="10" t="str">
        <f t="array" ref="C136">IF(132&gt;$S$1204,"",INDEX($T$5:$AJ$1204,MATCH(132,$S$5:$S$1204,0),3))</f>
        <v/>
      </c>
      <c r="D136" s="8" t="str">
        <f t="array" ref="D136">IF(132&gt;$S$1204,"",INDEX($T$5:$AJ$1204,MATCH(132,$S$5:$S$1204,0),4))</f>
        <v/>
      </c>
      <c r="E136" s="8" t="str">
        <f t="array" ref="E136">IF(132&gt;$S$1204,"",INDEX($T$5:$AJ$1204,MATCH(132,$S$5:$S$1204,0),5))</f>
        <v/>
      </c>
      <c r="F136" s="8" t="str">
        <f t="array" ref="F136">IF(132&gt;$S$1204,"",INDEX($T$5:$AJ$1204,MATCH(132,$S$5:$S$1204,0),6))</f>
        <v/>
      </c>
      <c r="G136" s="8" t="str">
        <f t="array" ref="G136">IF(132&gt;$S$1204,"",INDEX($T$5:$AJ$1204,MATCH(132,$S$5:$S$1204,0),7))</f>
        <v/>
      </c>
      <c r="H136" s="8" t="str">
        <f t="array" ref="H136">IF(132&gt;$S$1204,"",INDEX($T$5:$AJ$1204,MATCH(132,$S$5:$S$1204,0),8))</f>
        <v/>
      </c>
      <c r="I136" s="8" t="str">
        <f t="array" ref="I136">IF(132&gt;$S$1204,"",INDEX($T$5:$AJ$1204,MATCH(132,$S$5:$S$1204,0),9))</f>
        <v/>
      </c>
      <c r="J136" s="14" t="str">
        <f t="array" ref="J136">IF(132&gt;$S$1204,"",INDEX($T$5:$AJ$1204,MATCH(132,$S$5:$S$1204,0),10))</f>
        <v/>
      </c>
      <c r="K136" s="8" t="str">
        <f t="array" ref="K136">IF(132&gt;$S$1204,"",INDEX($T$5:$AJ$1204,MATCH(132,$S$5:$S$1204,0),11))</f>
        <v/>
      </c>
      <c r="L136" s="8" t="str">
        <f t="array" ref="L136">IF(132&gt;$S$1204,"",INDEX($T$5:$AJ$1204,MATCH(132,$S$5:$S$1204,0),12))</f>
        <v/>
      </c>
      <c r="M136" s="8" t="str">
        <f t="array" ref="M136">IF(132&gt;$S$1204,"",INDEX($T$5:$AJ$1204,MATCH(132,$S$5:$S$1204,0),13))</f>
        <v/>
      </c>
      <c r="N136" s="8" t="str">
        <f t="array" ref="N136">IF(132&gt;$S$1204,"",INDEX($T$5:$AJ$1204,MATCH(132,$S$5:$S$1204,0),14))</f>
        <v/>
      </c>
      <c r="O136" s="15" t="str">
        <f t="array" ref="O136">IF(132&gt;$S$1204,"",INDEX($T$5:$AJ$1204,MATCH(132,$S$5:$S$1204,0),15))</f>
        <v/>
      </c>
      <c r="P136" s="8" t="str">
        <f t="array" ref="P136">IF(132&gt;$S$1204,"",INDEX($T$5:$AJ$1204,MATCH(132,$S$5:$S$1204,0),16))</f>
        <v/>
      </c>
      <c r="Q136" s="8" t="str">
        <f t="array" ref="Q136">IF(132&gt;$S$1204,"",INDEX($T$5:$AJ$1204,MATCH(132,$S$5:$S$1204,0),17))</f>
        <v/>
      </c>
      <c r="R136" s="17"/>
      <c r="S136" s="17">
        <f>S135+IF(M1_Administrativo!A140="",0,1)</f>
        <v>0</v>
      </c>
      <c r="T136" s="17" t="str">
        <f>IF(M1_Administrativo!A140="","",IF(M1_Administrativo!A140="","",M1_Administrativo!A140))</f>
        <v/>
      </c>
      <c r="U136" s="17" t="str">
        <f>IF(M1_Administrativo!A140="","",IF(M1_Administrativo!R140="","",M1_Administrativo!R140))</f>
        <v/>
      </c>
      <c r="V136" s="17" t="str">
        <f>IF(M1_Administrativo!A140="","",IF(M1_Administrativo!D140="","",M1_Administrativo!D140))</f>
        <v/>
      </c>
      <c r="W136" s="17" t="str">
        <f>IF(M1_Administrativo!A140="","",IF(M1_Administrativo!B140="","",M1_Administrativo!B140))</f>
        <v/>
      </c>
      <c r="X136" s="17" t="str">
        <f>IF(M1_Administrativo!A140="","",IF(M1_Administrativo!C140="","",M1_Administrativo!C140))</f>
        <v/>
      </c>
      <c r="Y136" s="17" t="str">
        <f>IF(M1_Administrativo!A140="","",IF(M1_Administrativo!E140="","",M1_Administrativo!E140))</f>
        <v/>
      </c>
      <c r="Z136" s="17" t="str">
        <f>IF(M1_Administrativo!A140="","",IF(M1_Administrativo!F140="","",M1_Administrativo!F140))</f>
        <v/>
      </c>
      <c r="AA136" s="17" t="str">
        <f>IF(M1_Administrativo!A140="","","M1 Administrativo")</f>
        <v/>
      </c>
      <c r="AB136" s="17" t="str">
        <f>IF(M1_Administrativo!A140="","",IF(M1_Administrativo!G140="","",M1_Administrativo!G140))</f>
        <v/>
      </c>
      <c r="AC136" s="17" t="str">
        <f>IF(M1_Administrativo!A140="","",IF(M1_Administrativo!M140="","",M1_Administrativo!M140))</f>
        <v/>
      </c>
      <c r="AD136" s="17" t="str">
        <f>IF(M1_Administrativo!A140="","","RA")</f>
        <v/>
      </c>
      <c r="AE136" s="17" t="str">
        <f>IF(M1_Administrativo!A140="","",IF(M1_Administrativo!O140="","",M1_Administrativo!O140))</f>
        <v/>
      </c>
      <c r="AF136" s="17" t="str">
        <f>IF(M1_Administrativo!A140="","",IF(M1_Administrativo!P140="","",M1_Administrativo!P140))</f>
        <v/>
      </c>
      <c r="AG136" s="17" t="str">
        <f>IF(M1_Administrativo!A140="","",IF(M1_Administrativo!Q140="","",M1_Administrativo!Q140))</f>
        <v/>
      </c>
      <c r="AH136" s="17" t="str">
        <f>IF(M1_Administrativo!A140="","","")</f>
        <v/>
      </c>
      <c r="AI136" s="17" t="str">
        <f>IF(M1_Administrativo!A140="","","M1_Administrativo!140")</f>
        <v/>
      </c>
      <c r="AJ136" s="17" t="str">
        <f>IF(M1_Administrativo!A140="","",IF(M1_Administrativo!M140="","Pendiente de resultado","Disponible"))</f>
        <v/>
      </c>
    </row>
    <row r="137" spans="1:36" ht="55.5" customHeight="1">
      <c r="A137" s="6" t="str">
        <f t="array" ref="A137">IF(133&gt;$S$1204,"",INDEX($T$5:$AJ$1204,MATCH(133,$S$5:$S$1204,0),1))</f>
        <v/>
      </c>
      <c r="B137" s="8" t="str">
        <f t="array" ref="B137">IF(133&gt;$S$1204,"",INDEX($T$5:$AJ$1204,MATCH(133,$S$5:$S$1204,0),2))</f>
        <v/>
      </c>
      <c r="C137" s="10" t="str">
        <f t="array" ref="C137">IF(133&gt;$S$1204,"",INDEX($T$5:$AJ$1204,MATCH(133,$S$5:$S$1204,0),3))</f>
        <v/>
      </c>
      <c r="D137" s="8" t="str">
        <f t="array" ref="D137">IF(133&gt;$S$1204,"",INDEX($T$5:$AJ$1204,MATCH(133,$S$5:$S$1204,0),4))</f>
        <v/>
      </c>
      <c r="E137" s="8" t="str">
        <f t="array" ref="E137">IF(133&gt;$S$1204,"",INDEX($T$5:$AJ$1204,MATCH(133,$S$5:$S$1204,0),5))</f>
        <v/>
      </c>
      <c r="F137" s="8" t="str">
        <f t="array" ref="F137">IF(133&gt;$S$1204,"",INDEX($T$5:$AJ$1204,MATCH(133,$S$5:$S$1204,0),6))</f>
        <v/>
      </c>
      <c r="G137" s="8" t="str">
        <f t="array" ref="G137">IF(133&gt;$S$1204,"",INDEX($T$5:$AJ$1204,MATCH(133,$S$5:$S$1204,0),7))</f>
        <v/>
      </c>
      <c r="H137" s="8" t="str">
        <f t="array" ref="H137">IF(133&gt;$S$1204,"",INDEX($T$5:$AJ$1204,MATCH(133,$S$5:$S$1204,0),8))</f>
        <v/>
      </c>
      <c r="I137" s="8" t="str">
        <f t="array" ref="I137">IF(133&gt;$S$1204,"",INDEX($T$5:$AJ$1204,MATCH(133,$S$5:$S$1204,0),9))</f>
        <v/>
      </c>
      <c r="J137" s="14" t="str">
        <f t="array" ref="J137">IF(133&gt;$S$1204,"",INDEX($T$5:$AJ$1204,MATCH(133,$S$5:$S$1204,0),10))</f>
        <v/>
      </c>
      <c r="K137" s="8" t="str">
        <f t="array" ref="K137">IF(133&gt;$S$1204,"",INDEX($T$5:$AJ$1204,MATCH(133,$S$5:$S$1204,0),11))</f>
        <v/>
      </c>
      <c r="L137" s="8" t="str">
        <f t="array" ref="L137">IF(133&gt;$S$1204,"",INDEX($T$5:$AJ$1204,MATCH(133,$S$5:$S$1204,0),12))</f>
        <v/>
      </c>
      <c r="M137" s="8" t="str">
        <f t="array" ref="M137">IF(133&gt;$S$1204,"",INDEX($T$5:$AJ$1204,MATCH(133,$S$5:$S$1204,0),13))</f>
        <v/>
      </c>
      <c r="N137" s="8" t="str">
        <f t="array" ref="N137">IF(133&gt;$S$1204,"",INDEX($T$5:$AJ$1204,MATCH(133,$S$5:$S$1204,0),14))</f>
        <v/>
      </c>
      <c r="O137" s="15" t="str">
        <f t="array" ref="O137">IF(133&gt;$S$1204,"",INDEX($T$5:$AJ$1204,MATCH(133,$S$5:$S$1204,0),15))</f>
        <v/>
      </c>
      <c r="P137" s="8" t="str">
        <f t="array" ref="P137">IF(133&gt;$S$1204,"",INDEX($T$5:$AJ$1204,MATCH(133,$S$5:$S$1204,0),16))</f>
        <v/>
      </c>
      <c r="Q137" s="8" t="str">
        <f t="array" ref="Q137">IF(133&gt;$S$1204,"",INDEX($T$5:$AJ$1204,MATCH(133,$S$5:$S$1204,0),17))</f>
        <v/>
      </c>
      <c r="R137" s="17"/>
      <c r="S137" s="17">
        <f>S136+IF(M1_Administrativo!A141="",0,1)</f>
        <v>0</v>
      </c>
      <c r="T137" s="17" t="str">
        <f>IF(M1_Administrativo!A141="","",IF(M1_Administrativo!A141="","",M1_Administrativo!A141))</f>
        <v/>
      </c>
      <c r="U137" s="17" t="str">
        <f>IF(M1_Administrativo!A141="","",IF(M1_Administrativo!R141="","",M1_Administrativo!R141))</f>
        <v/>
      </c>
      <c r="V137" s="17" t="str">
        <f>IF(M1_Administrativo!A141="","",IF(M1_Administrativo!D141="","",M1_Administrativo!D141))</f>
        <v/>
      </c>
      <c r="W137" s="17" t="str">
        <f>IF(M1_Administrativo!A141="","",IF(M1_Administrativo!B141="","",M1_Administrativo!B141))</f>
        <v/>
      </c>
      <c r="X137" s="17" t="str">
        <f>IF(M1_Administrativo!A141="","",IF(M1_Administrativo!C141="","",M1_Administrativo!C141))</f>
        <v/>
      </c>
      <c r="Y137" s="17" t="str">
        <f>IF(M1_Administrativo!A141="","",IF(M1_Administrativo!E141="","",M1_Administrativo!E141))</f>
        <v/>
      </c>
      <c r="Z137" s="17" t="str">
        <f>IF(M1_Administrativo!A141="","",IF(M1_Administrativo!F141="","",M1_Administrativo!F141))</f>
        <v/>
      </c>
      <c r="AA137" s="17" t="str">
        <f>IF(M1_Administrativo!A141="","","M1 Administrativo")</f>
        <v/>
      </c>
      <c r="AB137" s="17" t="str">
        <f>IF(M1_Administrativo!A141="","",IF(M1_Administrativo!G141="","",M1_Administrativo!G141))</f>
        <v/>
      </c>
      <c r="AC137" s="17" t="str">
        <f>IF(M1_Administrativo!A141="","",IF(M1_Administrativo!M141="","",M1_Administrativo!M141))</f>
        <v/>
      </c>
      <c r="AD137" s="17" t="str">
        <f>IF(M1_Administrativo!A141="","","RA")</f>
        <v/>
      </c>
      <c r="AE137" s="17" t="str">
        <f>IF(M1_Administrativo!A141="","",IF(M1_Administrativo!O141="","",M1_Administrativo!O141))</f>
        <v/>
      </c>
      <c r="AF137" s="17" t="str">
        <f>IF(M1_Administrativo!A141="","",IF(M1_Administrativo!P141="","",M1_Administrativo!P141))</f>
        <v/>
      </c>
      <c r="AG137" s="17" t="str">
        <f>IF(M1_Administrativo!A141="","",IF(M1_Administrativo!Q141="","",M1_Administrativo!Q141))</f>
        <v/>
      </c>
      <c r="AH137" s="17" t="str">
        <f>IF(M1_Administrativo!A141="","","")</f>
        <v/>
      </c>
      <c r="AI137" s="17" t="str">
        <f>IF(M1_Administrativo!A141="","","M1_Administrativo!141")</f>
        <v/>
      </c>
      <c r="AJ137" s="17" t="str">
        <f>IF(M1_Administrativo!A141="","",IF(M1_Administrativo!M141="","Pendiente de resultado","Disponible"))</f>
        <v/>
      </c>
    </row>
    <row r="138" spans="1:36" ht="55.5" customHeight="1">
      <c r="A138" s="6" t="str">
        <f t="array" ref="A138">IF(134&gt;$S$1204,"",INDEX($T$5:$AJ$1204,MATCH(134,$S$5:$S$1204,0),1))</f>
        <v/>
      </c>
      <c r="B138" s="8" t="str">
        <f t="array" ref="B138">IF(134&gt;$S$1204,"",INDEX($T$5:$AJ$1204,MATCH(134,$S$5:$S$1204,0),2))</f>
        <v/>
      </c>
      <c r="C138" s="10" t="str">
        <f t="array" ref="C138">IF(134&gt;$S$1204,"",INDEX($T$5:$AJ$1204,MATCH(134,$S$5:$S$1204,0),3))</f>
        <v/>
      </c>
      <c r="D138" s="8" t="str">
        <f t="array" ref="D138">IF(134&gt;$S$1204,"",INDEX($T$5:$AJ$1204,MATCH(134,$S$5:$S$1204,0),4))</f>
        <v/>
      </c>
      <c r="E138" s="8" t="str">
        <f t="array" ref="E138">IF(134&gt;$S$1204,"",INDEX($T$5:$AJ$1204,MATCH(134,$S$5:$S$1204,0),5))</f>
        <v/>
      </c>
      <c r="F138" s="8" t="str">
        <f t="array" ref="F138">IF(134&gt;$S$1204,"",INDEX($T$5:$AJ$1204,MATCH(134,$S$5:$S$1204,0),6))</f>
        <v/>
      </c>
      <c r="G138" s="8" t="str">
        <f t="array" ref="G138">IF(134&gt;$S$1204,"",INDEX($T$5:$AJ$1204,MATCH(134,$S$5:$S$1204,0),7))</f>
        <v/>
      </c>
      <c r="H138" s="8" t="str">
        <f t="array" ref="H138">IF(134&gt;$S$1204,"",INDEX($T$5:$AJ$1204,MATCH(134,$S$5:$S$1204,0),8))</f>
        <v/>
      </c>
      <c r="I138" s="8" t="str">
        <f t="array" ref="I138">IF(134&gt;$S$1204,"",INDEX($T$5:$AJ$1204,MATCH(134,$S$5:$S$1204,0),9))</f>
        <v/>
      </c>
      <c r="J138" s="14" t="str">
        <f t="array" ref="J138">IF(134&gt;$S$1204,"",INDEX($T$5:$AJ$1204,MATCH(134,$S$5:$S$1204,0),10))</f>
        <v/>
      </c>
      <c r="K138" s="8" t="str">
        <f t="array" ref="K138">IF(134&gt;$S$1204,"",INDEX($T$5:$AJ$1204,MATCH(134,$S$5:$S$1204,0),11))</f>
        <v/>
      </c>
      <c r="L138" s="8" t="str">
        <f t="array" ref="L138">IF(134&gt;$S$1204,"",INDEX($T$5:$AJ$1204,MATCH(134,$S$5:$S$1204,0),12))</f>
        <v/>
      </c>
      <c r="M138" s="8" t="str">
        <f t="array" ref="M138">IF(134&gt;$S$1204,"",INDEX($T$5:$AJ$1204,MATCH(134,$S$5:$S$1204,0),13))</f>
        <v/>
      </c>
      <c r="N138" s="8" t="str">
        <f t="array" ref="N138">IF(134&gt;$S$1204,"",INDEX($T$5:$AJ$1204,MATCH(134,$S$5:$S$1204,0),14))</f>
        <v/>
      </c>
      <c r="O138" s="15" t="str">
        <f t="array" ref="O138">IF(134&gt;$S$1204,"",INDEX($T$5:$AJ$1204,MATCH(134,$S$5:$S$1204,0),15))</f>
        <v/>
      </c>
      <c r="P138" s="8" t="str">
        <f t="array" ref="P138">IF(134&gt;$S$1204,"",INDEX($T$5:$AJ$1204,MATCH(134,$S$5:$S$1204,0),16))</f>
        <v/>
      </c>
      <c r="Q138" s="8" t="str">
        <f t="array" ref="Q138">IF(134&gt;$S$1204,"",INDEX($T$5:$AJ$1204,MATCH(134,$S$5:$S$1204,0),17))</f>
        <v/>
      </c>
      <c r="R138" s="17"/>
      <c r="S138" s="17">
        <f>S137+IF(M1_Administrativo!A142="",0,1)</f>
        <v>0</v>
      </c>
      <c r="T138" s="17" t="str">
        <f>IF(M1_Administrativo!A142="","",IF(M1_Administrativo!A142="","",M1_Administrativo!A142))</f>
        <v/>
      </c>
      <c r="U138" s="17" t="str">
        <f>IF(M1_Administrativo!A142="","",IF(M1_Administrativo!R142="","",M1_Administrativo!R142))</f>
        <v/>
      </c>
      <c r="V138" s="17" t="str">
        <f>IF(M1_Administrativo!A142="","",IF(M1_Administrativo!D142="","",M1_Administrativo!D142))</f>
        <v/>
      </c>
      <c r="W138" s="17" t="str">
        <f>IF(M1_Administrativo!A142="","",IF(M1_Administrativo!B142="","",M1_Administrativo!B142))</f>
        <v/>
      </c>
      <c r="X138" s="17" t="str">
        <f>IF(M1_Administrativo!A142="","",IF(M1_Administrativo!C142="","",M1_Administrativo!C142))</f>
        <v/>
      </c>
      <c r="Y138" s="17" t="str">
        <f>IF(M1_Administrativo!A142="","",IF(M1_Administrativo!E142="","",M1_Administrativo!E142))</f>
        <v/>
      </c>
      <c r="Z138" s="17" t="str">
        <f>IF(M1_Administrativo!A142="","",IF(M1_Administrativo!F142="","",M1_Administrativo!F142))</f>
        <v/>
      </c>
      <c r="AA138" s="17" t="str">
        <f>IF(M1_Administrativo!A142="","","M1 Administrativo")</f>
        <v/>
      </c>
      <c r="AB138" s="17" t="str">
        <f>IF(M1_Administrativo!A142="","",IF(M1_Administrativo!G142="","",M1_Administrativo!G142))</f>
        <v/>
      </c>
      <c r="AC138" s="17" t="str">
        <f>IF(M1_Administrativo!A142="","",IF(M1_Administrativo!M142="","",M1_Administrativo!M142))</f>
        <v/>
      </c>
      <c r="AD138" s="17" t="str">
        <f>IF(M1_Administrativo!A142="","","RA")</f>
        <v/>
      </c>
      <c r="AE138" s="17" t="str">
        <f>IF(M1_Administrativo!A142="","",IF(M1_Administrativo!O142="","",M1_Administrativo!O142))</f>
        <v/>
      </c>
      <c r="AF138" s="17" t="str">
        <f>IF(M1_Administrativo!A142="","",IF(M1_Administrativo!P142="","",M1_Administrativo!P142))</f>
        <v/>
      </c>
      <c r="AG138" s="17" t="str">
        <f>IF(M1_Administrativo!A142="","",IF(M1_Administrativo!Q142="","",M1_Administrativo!Q142))</f>
        <v/>
      </c>
      <c r="AH138" s="17" t="str">
        <f>IF(M1_Administrativo!A142="","","")</f>
        <v/>
      </c>
      <c r="AI138" s="17" t="str">
        <f>IF(M1_Administrativo!A142="","","M1_Administrativo!142")</f>
        <v/>
      </c>
      <c r="AJ138" s="17" t="str">
        <f>IF(M1_Administrativo!A142="","",IF(M1_Administrativo!M142="","Pendiente de resultado","Disponible"))</f>
        <v/>
      </c>
    </row>
    <row r="139" spans="1:36" ht="55.5" customHeight="1">
      <c r="A139" s="6" t="str">
        <f t="array" ref="A139">IF(135&gt;$S$1204,"",INDEX($T$5:$AJ$1204,MATCH(135,$S$5:$S$1204,0),1))</f>
        <v/>
      </c>
      <c r="B139" s="8" t="str">
        <f t="array" ref="B139">IF(135&gt;$S$1204,"",INDEX($T$5:$AJ$1204,MATCH(135,$S$5:$S$1204,0),2))</f>
        <v/>
      </c>
      <c r="C139" s="10" t="str">
        <f t="array" ref="C139">IF(135&gt;$S$1204,"",INDEX($T$5:$AJ$1204,MATCH(135,$S$5:$S$1204,0),3))</f>
        <v/>
      </c>
      <c r="D139" s="8" t="str">
        <f t="array" ref="D139">IF(135&gt;$S$1204,"",INDEX($T$5:$AJ$1204,MATCH(135,$S$5:$S$1204,0),4))</f>
        <v/>
      </c>
      <c r="E139" s="8" t="str">
        <f t="array" ref="E139">IF(135&gt;$S$1204,"",INDEX($T$5:$AJ$1204,MATCH(135,$S$5:$S$1204,0),5))</f>
        <v/>
      </c>
      <c r="F139" s="8" t="str">
        <f t="array" ref="F139">IF(135&gt;$S$1204,"",INDEX($T$5:$AJ$1204,MATCH(135,$S$5:$S$1204,0),6))</f>
        <v/>
      </c>
      <c r="G139" s="8" t="str">
        <f t="array" ref="G139">IF(135&gt;$S$1204,"",INDEX($T$5:$AJ$1204,MATCH(135,$S$5:$S$1204,0),7))</f>
        <v/>
      </c>
      <c r="H139" s="8" t="str">
        <f t="array" ref="H139">IF(135&gt;$S$1204,"",INDEX($T$5:$AJ$1204,MATCH(135,$S$5:$S$1204,0),8))</f>
        <v/>
      </c>
      <c r="I139" s="8" t="str">
        <f t="array" ref="I139">IF(135&gt;$S$1204,"",INDEX($T$5:$AJ$1204,MATCH(135,$S$5:$S$1204,0),9))</f>
        <v/>
      </c>
      <c r="J139" s="14" t="str">
        <f t="array" ref="J139">IF(135&gt;$S$1204,"",INDEX($T$5:$AJ$1204,MATCH(135,$S$5:$S$1204,0),10))</f>
        <v/>
      </c>
      <c r="K139" s="8" t="str">
        <f t="array" ref="K139">IF(135&gt;$S$1204,"",INDEX($T$5:$AJ$1204,MATCH(135,$S$5:$S$1204,0),11))</f>
        <v/>
      </c>
      <c r="L139" s="8" t="str">
        <f t="array" ref="L139">IF(135&gt;$S$1204,"",INDEX($T$5:$AJ$1204,MATCH(135,$S$5:$S$1204,0),12))</f>
        <v/>
      </c>
      <c r="M139" s="8" t="str">
        <f t="array" ref="M139">IF(135&gt;$S$1204,"",INDEX($T$5:$AJ$1204,MATCH(135,$S$5:$S$1204,0),13))</f>
        <v/>
      </c>
      <c r="N139" s="8" t="str">
        <f t="array" ref="N139">IF(135&gt;$S$1204,"",INDEX($T$5:$AJ$1204,MATCH(135,$S$5:$S$1204,0),14))</f>
        <v/>
      </c>
      <c r="O139" s="15" t="str">
        <f t="array" ref="O139">IF(135&gt;$S$1204,"",INDEX($T$5:$AJ$1204,MATCH(135,$S$5:$S$1204,0),15))</f>
        <v/>
      </c>
      <c r="P139" s="8" t="str">
        <f t="array" ref="P139">IF(135&gt;$S$1204,"",INDEX($T$5:$AJ$1204,MATCH(135,$S$5:$S$1204,0),16))</f>
        <v/>
      </c>
      <c r="Q139" s="8" t="str">
        <f t="array" ref="Q139">IF(135&gt;$S$1204,"",INDEX($T$5:$AJ$1204,MATCH(135,$S$5:$S$1204,0),17))</f>
        <v/>
      </c>
      <c r="R139" s="17"/>
      <c r="S139" s="17">
        <f>S138+IF(M1_Administrativo!A143="",0,1)</f>
        <v>0</v>
      </c>
      <c r="T139" s="17" t="str">
        <f>IF(M1_Administrativo!A143="","",IF(M1_Administrativo!A143="","",M1_Administrativo!A143))</f>
        <v/>
      </c>
      <c r="U139" s="17" t="str">
        <f>IF(M1_Administrativo!A143="","",IF(M1_Administrativo!R143="","",M1_Administrativo!R143))</f>
        <v/>
      </c>
      <c r="V139" s="17" t="str">
        <f>IF(M1_Administrativo!A143="","",IF(M1_Administrativo!D143="","",M1_Administrativo!D143))</f>
        <v/>
      </c>
      <c r="W139" s="17" t="str">
        <f>IF(M1_Administrativo!A143="","",IF(M1_Administrativo!B143="","",M1_Administrativo!B143))</f>
        <v/>
      </c>
      <c r="X139" s="17" t="str">
        <f>IF(M1_Administrativo!A143="","",IF(M1_Administrativo!C143="","",M1_Administrativo!C143))</f>
        <v/>
      </c>
      <c r="Y139" s="17" t="str">
        <f>IF(M1_Administrativo!A143="","",IF(M1_Administrativo!E143="","",M1_Administrativo!E143))</f>
        <v/>
      </c>
      <c r="Z139" s="17" t="str">
        <f>IF(M1_Administrativo!A143="","",IF(M1_Administrativo!F143="","",M1_Administrativo!F143))</f>
        <v/>
      </c>
      <c r="AA139" s="17" t="str">
        <f>IF(M1_Administrativo!A143="","","M1 Administrativo")</f>
        <v/>
      </c>
      <c r="AB139" s="17" t="str">
        <f>IF(M1_Administrativo!A143="","",IF(M1_Administrativo!G143="","",M1_Administrativo!G143))</f>
        <v/>
      </c>
      <c r="AC139" s="17" t="str">
        <f>IF(M1_Administrativo!A143="","",IF(M1_Administrativo!M143="","",M1_Administrativo!M143))</f>
        <v/>
      </c>
      <c r="AD139" s="17" t="str">
        <f>IF(M1_Administrativo!A143="","","RA")</f>
        <v/>
      </c>
      <c r="AE139" s="17" t="str">
        <f>IF(M1_Administrativo!A143="","",IF(M1_Administrativo!O143="","",M1_Administrativo!O143))</f>
        <v/>
      </c>
      <c r="AF139" s="17" t="str">
        <f>IF(M1_Administrativo!A143="","",IF(M1_Administrativo!P143="","",M1_Administrativo!P143))</f>
        <v/>
      </c>
      <c r="AG139" s="17" t="str">
        <f>IF(M1_Administrativo!A143="","",IF(M1_Administrativo!Q143="","",M1_Administrativo!Q143))</f>
        <v/>
      </c>
      <c r="AH139" s="17" t="str">
        <f>IF(M1_Administrativo!A143="","","")</f>
        <v/>
      </c>
      <c r="AI139" s="17" t="str">
        <f>IF(M1_Administrativo!A143="","","M1_Administrativo!143")</f>
        <v/>
      </c>
      <c r="AJ139" s="17" t="str">
        <f>IF(M1_Administrativo!A143="","",IF(M1_Administrativo!M143="","Pendiente de resultado","Disponible"))</f>
        <v/>
      </c>
    </row>
    <row r="140" spans="1:36" ht="55.5" customHeight="1">
      <c r="A140" s="6" t="str">
        <f t="array" ref="A140">IF(136&gt;$S$1204,"",INDEX($T$5:$AJ$1204,MATCH(136,$S$5:$S$1204,0),1))</f>
        <v/>
      </c>
      <c r="B140" s="8" t="str">
        <f t="array" ref="B140">IF(136&gt;$S$1204,"",INDEX($T$5:$AJ$1204,MATCH(136,$S$5:$S$1204,0),2))</f>
        <v/>
      </c>
      <c r="C140" s="10" t="str">
        <f t="array" ref="C140">IF(136&gt;$S$1204,"",INDEX($T$5:$AJ$1204,MATCH(136,$S$5:$S$1204,0),3))</f>
        <v/>
      </c>
      <c r="D140" s="8" t="str">
        <f t="array" ref="D140">IF(136&gt;$S$1204,"",INDEX($T$5:$AJ$1204,MATCH(136,$S$5:$S$1204,0),4))</f>
        <v/>
      </c>
      <c r="E140" s="8" t="str">
        <f t="array" ref="E140">IF(136&gt;$S$1204,"",INDEX($T$5:$AJ$1204,MATCH(136,$S$5:$S$1204,0),5))</f>
        <v/>
      </c>
      <c r="F140" s="8" t="str">
        <f t="array" ref="F140">IF(136&gt;$S$1204,"",INDEX($T$5:$AJ$1204,MATCH(136,$S$5:$S$1204,0),6))</f>
        <v/>
      </c>
      <c r="G140" s="8" t="str">
        <f t="array" ref="G140">IF(136&gt;$S$1204,"",INDEX($T$5:$AJ$1204,MATCH(136,$S$5:$S$1204,0),7))</f>
        <v/>
      </c>
      <c r="H140" s="8" t="str">
        <f t="array" ref="H140">IF(136&gt;$S$1204,"",INDEX($T$5:$AJ$1204,MATCH(136,$S$5:$S$1204,0),8))</f>
        <v/>
      </c>
      <c r="I140" s="8" t="str">
        <f t="array" ref="I140">IF(136&gt;$S$1204,"",INDEX($T$5:$AJ$1204,MATCH(136,$S$5:$S$1204,0),9))</f>
        <v/>
      </c>
      <c r="J140" s="14" t="str">
        <f t="array" ref="J140">IF(136&gt;$S$1204,"",INDEX($T$5:$AJ$1204,MATCH(136,$S$5:$S$1204,0),10))</f>
        <v/>
      </c>
      <c r="K140" s="8" t="str">
        <f t="array" ref="K140">IF(136&gt;$S$1204,"",INDEX($T$5:$AJ$1204,MATCH(136,$S$5:$S$1204,0),11))</f>
        <v/>
      </c>
      <c r="L140" s="8" t="str">
        <f t="array" ref="L140">IF(136&gt;$S$1204,"",INDEX($T$5:$AJ$1204,MATCH(136,$S$5:$S$1204,0),12))</f>
        <v/>
      </c>
      <c r="M140" s="8" t="str">
        <f t="array" ref="M140">IF(136&gt;$S$1204,"",INDEX($T$5:$AJ$1204,MATCH(136,$S$5:$S$1204,0),13))</f>
        <v/>
      </c>
      <c r="N140" s="8" t="str">
        <f t="array" ref="N140">IF(136&gt;$S$1204,"",INDEX($T$5:$AJ$1204,MATCH(136,$S$5:$S$1204,0),14))</f>
        <v/>
      </c>
      <c r="O140" s="15" t="str">
        <f t="array" ref="O140">IF(136&gt;$S$1204,"",INDEX($T$5:$AJ$1204,MATCH(136,$S$5:$S$1204,0),15))</f>
        <v/>
      </c>
      <c r="P140" s="8" t="str">
        <f t="array" ref="P140">IF(136&gt;$S$1204,"",INDEX($T$5:$AJ$1204,MATCH(136,$S$5:$S$1204,0),16))</f>
        <v/>
      </c>
      <c r="Q140" s="8" t="str">
        <f t="array" ref="Q140">IF(136&gt;$S$1204,"",INDEX($T$5:$AJ$1204,MATCH(136,$S$5:$S$1204,0),17))</f>
        <v/>
      </c>
      <c r="R140" s="17"/>
      <c r="S140" s="17">
        <f>S139+IF(M1_Administrativo!A144="",0,1)</f>
        <v>0</v>
      </c>
      <c r="T140" s="17" t="str">
        <f>IF(M1_Administrativo!A144="","",IF(M1_Administrativo!A144="","",M1_Administrativo!A144))</f>
        <v/>
      </c>
      <c r="U140" s="17" t="str">
        <f>IF(M1_Administrativo!A144="","",IF(M1_Administrativo!R144="","",M1_Administrativo!R144))</f>
        <v/>
      </c>
      <c r="V140" s="17" t="str">
        <f>IF(M1_Administrativo!A144="","",IF(M1_Administrativo!D144="","",M1_Administrativo!D144))</f>
        <v/>
      </c>
      <c r="W140" s="17" t="str">
        <f>IF(M1_Administrativo!A144="","",IF(M1_Administrativo!B144="","",M1_Administrativo!B144))</f>
        <v/>
      </c>
      <c r="X140" s="17" t="str">
        <f>IF(M1_Administrativo!A144="","",IF(M1_Administrativo!C144="","",M1_Administrativo!C144))</f>
        <v/>
      </c>
      <c r="Y140" s="17" t="str">
        <f>IF(M1_Administrativo!A144="","",IF(M1_Administrativo!E144="","",M1_Administrativo!E144))</f>
        <v/>
      </c>
      <c r="Z140" s="17" t="str">
        <f>IF(M1_Administrativo!A144="","",IF(M1_Administrativo!F144="","",M1_Administrativo!F144))</f>
        <v/>
      </c>
      <c r="AA140" s="17" t="str">
        <f>IF(M1_Administrativo!A144="","","M1 Administrativo")</f>
        <v/>
      </c>
      <c r="AB140" s="17" t="str">
        <f>IF(M1_Administrativo!A144="","",IF(M1_Administrativo!G144="","",M1_Administrativo!G144))</f>
        <v/>
      </c>
      <c r="AC140" s="17" t="str">
        <f>IF(M1_Administrativo!A144="","",IF(M1_Administrativo!M144="","",M1_Administrativo!M144))</f>
        <v/>
      </c>
      <c r="AD140" s="17" t="str">
        <f>IF(M1_Administrativo!A144="","","RA")</f>
        <v/>
      </c>
      <c r="AE140" s="17" t="str">
        <f>IF(M1_Administrativo!A144="","",IF(M1_Administrativo!O144="","",M1_Administrativo!O144))</f>
        <v/>
      </c>
      <c r="AF140" s="17" t="str">
        <f>IF(M1_Administrativo!A144="","",IF(M1_Administrativo!P144="","",M1_Administrativo!P144))</f>
        <v/>
      </c>
      <c r="AG140" s="17" t="str">
        <f>IF(M1_Administrativo!A144="","",IF(M1_Administrativo!Q144="","",M1_Administrativo!Q144))</f>
        <v/>
      </c>
      <c r="AH140" s="17" t="str">
        <f>IF(M1_Administrativo!A144="","","")</f>
        <v/>
      </c>
      <c r="AI140" s="17" t="str">
        <f>IF(M1_Administrativo!A144="","","M1_Administrativo!144")</f>
        <v/>
      </c>
      <c r="AJ140" s="17" t="str">
        <f>IF(M1_Administrativo!A144="","",IF(M1_Administrativo!M144="","Pendiente de resultado","Disponible"))</f>
        <v/>
      </c>
    </row>
    <row r="141" spans="1:36" ht="55.5" customHeight="1">
      <c r="A141" s="6" t="str">
        <f t="array" ref="A141">IF(137&gt;$S$1204,"",INDEX($T$5:$AJ$1204,MATCH(137,$S$5:$S$1204,0),1))</f>
        <v/>
      </c>
      <c r="B141" s="8" t="str">
        <f t="array" ref="B141">IF(137&gt;$S$1204,"",INDEX($T$5:$AJ$1204,MATCH(137,$S$5:$S$1204,0),2))</f>
        <v/>
      </c>
      <c r="C141" s="10" t="str">
        <f t="array" ref="C141">IF(137&gt;$S$1204,"",INDEX($T$5:$AJ$1204,MATCH(137,$S$5:$S$1204,0),3))</f>
        <v/>
      </c>
      <c r="D141" s="8" t="str">
        <f t="array" ref="D141">IF(137&gt;$S$1204,"",INDEX($T$5:$AJ$1204,MATCH(137,$S$5:$S$1204,0),4))</f>
        <v/>
      </c>
      <c r="E141" s="8" t="str">
        <f t="array" ref="E141">IF(137&gt;$S$1204,"",INDEX($T$5:$AJ$1204,MATCH(137,$S$5:$S$1204,0),5))</f>
        <v/>
      </c>
      <c r="F141" s="8" t="str">
        <f t="array" ref="F141">IF(137&gt;$S$1204,"",INDEX($T$5:$AJ$1204,MATCH(137,$S$5:$S$1204,0),6))</f>
        <v/>
      </c>
      <c r="G141" s="8" t="str">
        <f t="array" ref="G141">IF(137&gt;$S$1204,"",INDEX($T$5:$AJ$1204,MATCH(137,$S$5:$S$1204,0),7))</f>
        <v/>
      </c>
      <c r="H141" s="8" t="str">
        <f t="array" ref="H141">IF(137&gt;$S$1204,"",INDEX($T$5:$AJ$1204,MATCH(137,$S$5:$S$1204,0),8))</f>
        <v/>
      </c>
      <c r="I141" s="8" t="str">
        <f t="array" ref="I141">IF(137&gt;$S$1204,"",INDEX($T$5:$AJ$1204,MATCH(137,$S$5:$S$1204,0),9))</f>
        <v/>
      </c>
      <c r="J141" s="14" t="str">
        <f t="array" ref="J141">IF(137&gt;$S$1204,"",INDEX($T$5:$AJ$1204,MATCH(137,$S$5:$S$1204,0),10))</f>
        <v/>
      </c>
      <c r="K141" s="8" t="str">
        <f t="array" ref="K141">IF(137&gt;$S$1204,"",INDEX($T$5:$AJ$1204,MATCH(137,$S$5:$S$1204,0),11))</f>
        <v/>
      </c>
      <c r="L141" s="8" t="str">
        <f t="array" ref="L141">IF(137&gt;$S$1204,"",INDEX($T$5:$AJ$1204,MATCH(137,$S$5:$S$1204,0),12))</f>
        <v/>
      </c>
      <c r="M141" s="8" t="str">
        <f t="array" ref="M141">IF(137&gt;$S$1204,"",INDEX($T$5:$AJ$1204,MATCH(137,$S$5:$S$1204,0),13))</f>
        <v/>
      </c>
      <c r="N141" s="8" t="str">
        <f t="array" ref="N141">IF(137&gt;$S$1204,"",INDEX($T$5:$AJ$1204,MATCH(137,$S$5:$S$1204,0),14))</f>
        <v/>
      </c>
      <c r="O141" s="15" t="str">
        <f t="array" ref="O141">IF(137&gt;$S$1204,"",INDEX($T$5:$AJ$1204,MATCH(137,$S$5:$S$1204,0),15))</f>
        <v/>
      </c>
      <c r="P141" s="8" t="str">
        <f t="array" ref="P141">IF(137&gt;$S$1204,"",INDEX($T$5:$AJ$1204,MATCH(137,$S$5:$S$1204,0),16))</f>
        <v/>
      </c>
      <c r="Q141" s="8" t="str">
        <f t="array" ref="Q141">IF(137&gt;$S$1204,"",INDEX($T$5:$AJ$1204,MATCH(137,$S$5:$S$1204,0),17))</f>
        <v/>
      </c>
      <c r="R141" s="17"/>
      <c r="S141" s="17">
        <f>S140+IF(M1_Administrativo!A145="",0,1)</f>
        <v>0</v>
      </c>
      <c r="T141" s="17" t="str">
        <f>IF(M1_Administrativo!A145="","",IF(M1_Administrativo!A145="","",M1_Administrativo!A145))</f>
        <v/>
      </c>
      <c r="U141" s="17" t="str">
        <f>IF(M1_Administrativo!A145="","",IF(M1_Administrativo!R145="","",M1_Administrativo!R145))</f>
        <v/>
      </c>
      <c r="V141" s="17" t="str">
        <f>IF(M1_Administrativo!A145="","",IF(M1_Administrativo!D145="","",M1_Administrativo!D145))</f>
        <v/>
      </c>
      <c r="W141" s="17" t="str">
        <f>IF(M1_Administrativo!A145="","",IF(M1_Administrativo!B145="","",M1_Administrativo!B145))</f>
        <v/>
      </c>
      <c r="X141" s="17" t="str">
        <f>IF(M1_Administrativo!A145="","",IF(M1_Administrativo!C145="","",M1_Administrativo!C145))</f>
        <v/>
      </c>
      <c r="Y141" s="17" t="str">
        <f>IF(M1_Administrativo!A145="","",IF(M1_Administrativo!E145="","",M1_Administrativo!E145))</f>
        <v/>
      </c>
      <c r="Z141" s="17" t="str">
        <f>IF(M1_Administrativo!A145="","",IF(M1_Administrativo!F145="","",M1_Administrativo!F145))</f>
        <v/>
      </c>
      <c r="AA141" s="17" t="str">
        <f>IF(M1_Administrativo!A145="","","M1 Administrativo")</f>
        <v/>
      </c>
      <c r="AB141" s="17" t="str">
        <f>IF(M1_Administrativo!A145="","",IF(M1_Administrativo!G145="","",M1_Administrativo!G145))</f>
        <v/>
      </c>
      <c r="AC141" s="17" t="str">
        <f>IF(M1_Administrativo!A145="","",IF(M1_Administrativo!M145="","",M1_Administrativo!M145))</f>
        <v/>
      </c>
      <c r="AD141" s="17" t="str">
        <f>IF(M1_Administrativo!A145="","","RA")</f>
        <v/>
      </c>
      <c r="AE141" s="17" t="str">
        <f>IF(M1_Administrativo!A145="","",IF(M1_Administrativo!O145="","",M1_Administrativo!O145))</f>
        <v/>
      </c>
      <c r="AF141" s="17" t="str">
        <f>IF(M1_Administrativo!A145="","",IF(M1_Administrativo!P145="","",M1_Administrativo!P145))</f>
        <v/>
      </c>
      <c r="AG141" s="17" t="str">
        <f>IF(M1_Administrativo!A145="","",IF(M1_Administrativo!Q145="","",M1_Administrativo!Q145))</f>
        <v/>
      </c>
      <c r="AH141" s="17" t="str">
        <f>IF(M1_Administrativo!A145="","","")</f>
        <v/>
      </c>
      <c r="AI141" s="17" t="str">
        <f>IF(M1_Administrativo!A145="","","M1_Administrativo!145")</f>
        <v/>
      </c>
      <c r="AJ141" s="17" t="str">
        <f>IF(M1_Administrativo!A145="","",IF(M1_Administrativo!M145="","Pendiente de resultado","Disponible"))</f>
        <v/>
      </c>
    </row>
    <row r="142" spans="1:36" ht="55.5" customHeight="1">
      <c r="A142" s="6" t="str">
        <f t="array" ref="A142">IF(138&gt;$S$1204,"",INDEX($T$5:$AJ$1204,MATCH(138,$S$5:$S$1204,0),1))</f>
        <v/>
      </c>
      <c r="B142" s="8" t="str">
        <f t="array" ref="B142">IF(138&gt;$S$1204,"",INDEX($T$5:$AJ$1204,MATCH(138,$S$5:$S$1204,0),2))</f>
        <v/>
      </c>
      <c r="C142" s="10" t="str">
        <f t="array" ref="C142">IF(138&gt;$S$1204,"",INDEX($T$5:$AJ$1204,MATCH(138,$S$5:$S$1204,0),3))</f>
        <v/>
      </c>
      <c r="D142" s="8" t="str">
        <f t="array" ref="D142">IF(138&gt;$S$1204,"",INDEX($T$5:$AJ$1204,MATCH(138,$S$5:$S$1204,0),4))</f>
        <v/>
      </c>
      <c r="E142" s="8" t="str">
        <f t="array" ref="E142">IF(138&gt;$S$1204,"",INDEX($T$5:$AJ$1204,MATCH(138,$S$5:$S$1204,0),5))</f>
        <v/>
      </c>
      <c r="F142" s="8" t="str">
        <f t="array" ref="F142">IF(138&gt;$S$1204,"",INDEX($T$5:$AJ$1204,MATCH(138,$S$5:$S$1204,0),6))</f>
        <v/>
      </c>
      <c r="G142" s="8" t="str">
        <f t="array" ref="G142">IF(138&gt;$S$1204,"",INDEX($T$5:$AJ$1204,MATCH(138,$S$5:$S$1204,0),7))</f>
        <v/>
      </c>
      <c r="H142" s="8" t="str">
        <f t="array" ref="H142">IF(138&gt;$S$1204,"",INDEX($T$5:$AJ$1204,MATCH(138,$S$5:$S$1204,0),8))</f>
        <v/>
      </c>
      <c r="I142" s="8" t="str">
        <f t="array" ref="I142">IF(138&gt;$S$1204,"",INDEX($T$5:$AJ$1204,MATCH(138,$S$5:$S$1204,0),9))</f>
        <v/>
      </c>
      <c r="J142" s="14" t="str">
        <f t="array" ref="J142">IF(138&gt;$S$1204,"",INDEX($T$5:$AJ$1204,MATCH(138,$S$5:$S$1204,0),10))</f>
        <v/>
      </c>
      <c r="K142" s="8" t="str">
        <f t="array" ref="K142">IF(138&gt;$S$1204,"",INDEX($T$5:$AJ$1204,MATCH(138,$S$5:$S$1204,0),11))</f>
        <v/>
      </c>
      <c r="L142" s="8" t="str">
        <f t="array" ref="L142">IF(138&gt;$S$1204,"",INDEX($T$5:$AJ$1204,MATCH(138,$S$5:$S$1204,0),12))</f>
        <v/>
      </c>
      <c r="M142" s="8" t="str">
        <f t="array" ref="M142">IF(138&gt;$S$1204,"",INDEX($T$5:$AJ$1204,MATCH(138,$S$5:$S$1204,0),13))</f>
        <v/>
      </c>
      <c r="N142" s="8" t="str">
        <f t="array" ref="N142">IF(138&gt;$S$1204,"",INDEX($T$5:$AJ$1204,MATCH(138,$S$5:$S$1204,0),14))</f>
        <v/>
      </c>
      <c r="O142" s="15" t="str">
        <f t="array" ref="O142">IF(138&gt;$S$1204,"",INDEX($T$5:$AJ$1204,MATCH(138,$S$5:$S$1204,0),15))</f>
        <v/>
      </c>
      <c r="P142" s="8" t="str">
        <f t="array" ref="P142">IF(138&gt;$S$1204,"",INDEX($T$5:$AJ$1204,MATCH(138,$S$5:$S$1204,0),16))</f>
        <v/>
      </c>
      <c r="Q142" s="8" t="str">
        <f t="array" ref="Q142">IF(138&gt;$S$1204,"",INDEX($T$5:$AJ$1204,MATCH(138,$S$5:$S$1204,0),17))</f>
        <v/>
      </c>
      <c r="R142" s="17"/>
      <c r="S142" s="17">
        <f>S141+IF(M1_Administrativo!A146="",0,1)</f>
        <v>0</v>
      </c>
      <c r="T142" s="17" t="str">
        <f>IF(M1_Administrativo!A146="","",IF(M1_Administrativo!A146="","",M1_Administrativo!A146))</f>
        <v/>
      </c>
      <c r="U142" s="17" t="str">
        <f>IF(M1_Administrativo!A146="","",IF(M1_Administrativo!R146="","",M1_Administrativo!R146))</f>
        <v/>
      </c>
      <c r="V142" s="17" t="str">
        <f>IF(M1_Administrativo!A146="","",IF(M1_Administrativo!D146="","",M1_Administrativo!D146))</f>
        <v/>
      </c>
      <c r="W142" s="17" t="str">
        <f>IF(M1_Administrativo!A146="","",IF(M1_Administrativo!B146="","",M1_Administrativo!B146))</f>
        <v/>
      </c>
      <c r="X142" s="17" t="str">
        <f>IF(M1_Administrativo!A146="","",IF(M1_Administrativo!C146="","",M1_Administrativo!C146))</f>
        <v/>
      </c>
      <c r="Y142" s="17" t="str">
        <f>IF(M1_Administrativo!A146="","",IF(M1_Administrativo!E146="","",M1_Administrativo!E146))</f>
        <v/>
      </c>
      <c r="Z142" s="17" t="str">
        <f>IF(M1_Administrativo!A146="","",IF(M1_Administrativo!F146="","",M1_Administrativo!F146))</f>
        <v/>
      </c>
      <c r="AA142" s="17" t="str">
        <f>IF(M1_Administrativo!A146="","","M1 Administrativo")</f>
        <v/>
      </c>
      <c r="AB142" s="17" t="str">
        <f>IF(M1_Administrativo!A146="","",IF(M1_Administrativo!G146="","",M1_Administrativo!G146))</f>
        <v/>
      </c>
      <c r="AC142" s="17" t="str">
        <f>IF(M1_Administrativo!A146="","",IF(M1_Administrativo!M146="","",M1_Administrativo!M146))</f>
        <v/>
      </c>
      <c r="AD142" s="17" t="str">
        <f>IF(M1_Administrativo!A146="","","RA")</f>
        <v/>
      </c>
      <c r="AE142" s="17" t="str">
        <f>IF(M1_Administrativo!A146="","",IF(M1_Administrativo!O146="","",M1_Administrativo!O146))</f>
        <v/>
      </c>
      <c r="AF142" s="17" t="str">
        <f>IF(M1_Administrativo!A146="","",IF(M1_Administrativo!P146="","",M1_Administrativo!P146))</f>
        <v/>
      </c>
      <c r="AG142" s="17" t="str">
        <f>IF(M1_Administrativo!A146="","",IF(M1_Administrativo!Q146="","",M1_Administrativo!Q146))</f>
        <v/>
      </c>
      <c r="AH142" s="17" t="str">
        <f>IF(M1_Administrativo!A146="","","")</f>
        <v/>
      </c>
      <c r="AI142" s="17" t="str">
        <f>IF(M1_Administrativo!A146="","","M1_Administrativo!146")</f>
        <v/>
      </c>
      <c r="AJ142" s="17" t="str">
        <f>IF(M1_Administrativo!A146="","",IF(M1_Administrativo!M146="","Pendiente de resultado","Disponible"))</f>
        <v/>
      </c>
    </row>
    <row r="143" spans="1:36" ht="55.5" customHeight="1">
      <c r="A143" s="6" t="str">
        <f t="array" ref="A143">IF(139&gt;$S$1204,"",INDEX($T$5:$AJ$1204,MATCH(139,$S$5:$S$1204,0),1))</f>
        <v/>
      </c>
      <c r="B143" s="8" t="str">
        <f t="array" ref="B143">IF(139&gt;$S$1204,"",INDEX($T$5:$AJ$1204,MATCH(139,$S$5:$S$1204,0),2))</f>
        <v/>
      </c>
      <c r="C143" s="10" t="str">
        <f t="array" ref="C143">IF(139&gt;$S$1204,"",INDEX($T$5:$AJ$1204,MATCH(139,$S$5:$S$1204,0),3))</f>
        <v/>
      </c>
      <c r="D143" s="8" t="str">
        <f t="array" ref="D143">IF(139&gt;$S$1204,"",INDEX($T$5:$AJ$1204,MATCH(139,$S$5:$S$1204,0),4))</f>
        <v/>
      </c>
      <c r="E143" s="8" t="str">
        <f t="array" ref="E143">IF(139&gt;$S$1204,"",INDEX($T$5:$AJ$1204,MATCH(139,$S$5:$S$1204,0),5))</f>
        <v/>
      </c>
      <c r="F143" s="8" t="str">
        <f t="array" ref="F143">IF(139&gt;$S$1204,"",INDEX($T$5:$AJ$1204,MATCH(139,$S$5:$S$1204,0),6))</f>
        <v/>
      </c>
      <c r="G143" s="8" t="str">
        <f t="array" ref="G143">IF(139&gt;$S$1204,"",INDEX($T$5:$AJ$1204,MATCH(139,$S$5:$S$1204,0),7))</f>
        <v/>
      </c>
      <c r="H143" s="8" t="str">
        <f t="array" ref="H143">IF(139&gt;$S$1204,"",INDEX($T$5:$AJ$1204,MATCH(139,$S$5:$S$1204,0),8))</f>
        <v/>
      </c>
      <c r="I143" s="8" t="str">
        <f t="array" ref="I143">IF(139&gt;$S$1204,"",INDEX($T$5:$AJ$1204,MATCH(139,$S$5:$S$1204,0),9))</f>
        <v/>
      </c>
      <c r="J143" s="14" t="str">
        <f t="array" ref="J143">IF(139&gt;$S$1204,"",INDEX($T$5:$AJ$1204,MATCH(139,$S$5:$S$1204,0),10))</f>
        <v/>
      </c>
      <c r="K143" s="8" t="str">
        <f t="array" ref="K143">IF(139&gt;$S$1204,"",INDEX($T$5:$AJ$1204,MATCH(139,$S$5:$S$1204,0),11))</f>
        <v/>
      </c>
      <c r="L143" s="8" t="str">
        <f t="array" ref="L143">IF(139&gt;$S$1204,"",INDEX($T$5:$AJ$1204,MATCH(139,$S$5:$S$1204,0),12))</f>
        <v/>
      </c>
      <c r="M143" s="8" t="str">
        <f t="array" ref="M143">IF(139&gt;$S$1204,"",INDEX($T$5:$AJ$1204,MATCH(139,$S$5:$S$1204,0),13))</f>
        <v/>
      </c>
      <c r="N143" s="8" t="str">
        <f t="array" ref="N143">IF(139&gt;$S$1204,"",INDEX($T$5:$AJ$1204,MATCH(139,$S$5:$S$1204,0),14))</f>
        <v/>
      </c>
      <c r="O143" s="15" t="str">
        <f t="array" ref="O143">IF(139&gt;$S$1204,"",INDEX($T$5:$AJ$1204,MATCH(139,$S$5:$S$1204,0),15))</f>
        <v/>
      </c>
      <c r="P143" s="8" t="str">
        <f t="array" ref="P143">IF(139&gt;$S$1204,"",INDEX($T$5:$AJ$1204,MATCH(139,$S$5:$S$1204,0),16))</f>
        <v/>
      </c>
      <c r="Q143" s="8" t="str">
        <f t="array" ref="Q143">IF(139&gt;$S$1204,"",INDEX($T$5:$AJ$1204,MATCH(139,$S$5:$S$1204,0),17))</f>
        <v/>
      </c>
      <c r="R143" s="17"/>
      <c r="S143" s="17">
        <f>S142+IF(M1_Administrativo!A147="",0,1)</f>
        <v>0</v>
      </c>
      <c r="T143" s="17" t="str">
        <f>IF(M1_Administrativo!A147="","",IF(M1_Administrativo!A147="","",M1_Administrativo!A147))</f>
        <v/>
      </c>
      <c r="U143" s="17" t="str">
        <f>IF(M1_Administrativo!A147="","",IF(M1_Administrativo!R147="","",M1_Administrativo!R147))</f>
        <v/>
      </c>
      <c r="V143" s="17" t="str">
        <f>IF(M1_Administrativo!A147="","",IF(M1_Administrativo!D147="","",M1_Administrativo!D147))</f>
        <v/>
      </c>
      <c r="W143" s="17" t="str">
        <f>IF(M1_Administrativo!A147="","",IF(M1_Administrativo!B147="","",M1_Administrativo!B147))</f>
        <v/>
      </c>
      <c r="X143" s="17" t="str">
        <f>IF(M1_Administrativo!A147="","",IF(M1_Administrativo!C147="","",M1_Administrativo!C147))</f>
        <v/>
      </c>
      <c r="Y143" s="17" t="str">
        <f>IF(M1_Administrativo!A147="","",IF(M1_Administrativo!E147="","",M1_Administrativo!E147))</f>
        <v/>
      </c>
      <c r="Z143" s="17" t="str">
        <f>IF(M1_Administrativo!A147="","",IF(M1_Administrativo!F147="","",M1_Administrativo!F147))</f>
        <v/>
      </c>
      <c r="AA143" s="17" t="str">
        <f>IF(M1_Administrativo!A147="","","M1 Administrativo")</f>
        <v/>
      </c>
      <c r="AB143" s="17" t="str">
        <f>IF(M1_Administrativo!A147="","",IF(M1_Administrativo!G147="","",M1_Administrativo!G147))</f>
        <v/>
      </c>
      <c r="AC143" s="17" t="str">
        <f>IF(M1_Administrativo!A147="","",IF(M1_Administrativo!M147="","",M1_Administrativo!M147))</f>
        <v/>
      </c>
      <c r="AD143" s="17" t="str">
        <f>IF(M1_Administrativo!A147="","","RA")</f>
        <v/>
      </c>
      <c r="AE143" s="17" t="str">
        <f>IF(M1_Administrativo!A147="","",IF(M1_Administrativo!O147="","",M1_Administrativo!O147))</f>
        <v/>
      </c>
      <c r="AF143" s="17" t="str">
        <f>IF(M1_Administrativo!A147="","",IF(M1_Administrativo!P147="","",M1_Administrativo!P147))</f>
        <v/>
      </c>
      <c r="AG143" s="17" t="str">
        <f>IF(M1_Administrativo!A147="","",IF(M1_Administrativo!Q147="","",M1_Administrativo!Q147))</f>
        <v/>
      </c>
      <c r="AH143" s="17" t="str">
        <f>IF(M1_Administrativo!A147="","","")</f>
        <v/>
      </c>
      <c r="AI143" s="17" t="str">
        <f>IF(M1_Administrativo!A147="","","M1_Administrativo!147")</f>
        <v/>
      </c>
      <c r="AJ143" s="17" t="str">
        <f>IF(M1_Administrativo!A147="","",IF(M1_Administrativo!M147="","Pendiente de resultado","Disponible"))</f>
        <v/>
      </c>
    </row>
    <row r="144" spans="1:36" ht="55.5" customHeight="1">
      <c r="A144" s="6" t="str">
        <f t="array" ref="A144">IF(140&gt;$S$1204,"",INDEX($T$5:$AJ$1204,MATCH(140,$S$5:$S$1204,0),1))</f>
        <v/>
      </c>
      <c r="B144" s="8" t="str">
        <f t="array" ref="B144">IF(140&gt;$S$1204,"",INDEX($T$5:$AJ$1204,MATCH(140,$S$5:$S$1204,0),2))</f>
        <v/>
      </c>
      <c r="C144" s="10" t="str">
        <f t="array" ref="C144">IF(140&gt;$S$1204,"",INDEX($T$5:$AJ$1204,MATCH(140,$S$5:$S$1204,0),3))</f>
        <v/>
      </c>
      <c r="D144" s="8" t="str">
        <f t="array" ref="D144">IF(140&gt;$S$1204,"",INDEX($T$5:$AJ$1204,MATCH(140,$S$5:$S$1204,0),4))</f>
        <v/>
      </c>
      <c r="E144" s="8" t="str">
        <f t="array" ref="E144">IF(140&gt;$S$1204,"",INDEX($T$5:$AJ$1204,MATCH(140,$S$5:$S$1204,0),5))</f>
        <v/>
      </c>
      <c r="F144" s="8" t="str">
        <f t="array" ref="F144">IF(140&gt;$S$1204,"",INDEX($T$5:$AJ$1204,MATCH(140,$S$5:$S$1204,0),6))</f>
        <v/>
      </c>
      <c r="G144" s="8" t="str">
        <f t="array" ref="G144">IF(140&gt;$S$1204,"",INDEX($T$5:$AJ$1204,MATCH(140,$S$5:$S$1204,0),7))</f>
        <v/>
      </c>
      <c r="H144" s="8" t="str">
        <f t="array" ref="H144">IF(140&gt;$S$1204,"",INDEX($T$5:$AJ$1204,MATCH(140,$S$5:$S$1204,0),8))</f>
        <v/>
      </c>
      <c r="I144" s="8" t="str">
        <f t="array" ref="I144">IF(140&gt;$S$1204,"",INDEX($T$5:$AJ$1204,MATCH(140,$S$5:$S$1204,0),9))</f>
        <v/>
      </c>
      <c r="J144" s="14" t="str">
        <f t="array" ref="J144">IF(140&gt;$S$1204,"",INDEX($T$5:$AJ$1204,MATCH(140,$S$5:$S$1204,0),10))</f>
        <v/>
      </c>
      <c r="K144" s="8" t="str">
        <f t="array" ref="K144">IF(140&gt;$S$1204,"",INDEX($T$5:$AJ$1204,MATCH(140,$S$5:$S$1204,0),11))</f>
        <v/>
      </c>
      <c r="L144" s="8" t="str">
        <f t="array" ref="L144">IF(140&gt;$S$1204,"",INDEX($T$5:$AJ$1204,MATCH(140,$S$5:$S$1204,0),12))</f>
        <v/>
      </c>
      <c r="M144" s="8" t="str">
        <f t="array" ref="M144">IF(140&gt;$S$1204,"",INDEX($T$5:$AJ$1204,MATCH(140,$S$5:$S$1204,0),13))</f>
        <v/>
      </c>
      <c r="N144" s="8" t="str">
        <f t="array" ref="N144">IF(140&gt;$S$1204,"",INDEX($T$5:$AJ$1204,MATCH(140,$S$5:$S$1204,0),14))</f>
        <v/>
      </c>
      <c r="O144" s="15" t="str">
        <f t="array" ref="O144">IF(140&gt;$S$1204,"",INDEX($T$5:$AJ$1204,MATCH(140,$S$5:$S$1204,0),15))</f>
        <v/>
      </c>
      <c r="P144" s="8" t="str">
        <f t="array" ref="P144">IF(140&gt;$S$1204,"",INDEX($T$5:$AJ$1204,MATCH(140,$S$5:$S$1204,0),16))</f>
        <v/>
      </c>
      <c r="Q144" s="8" t="str">
        <f t="array" ref="Q144">IF(140&gt;$S$1204,"",INDEX($T$5:$AJ$1204,MATCH(140,$S$5:$S$1204,0),17))</f>
        <v/>
      </c>
      <c r="R144" s="17"/>
      <c r="S144" s="17">
        <f>S143+IF(M1_Administrativo!A148="",0,1)</f>
        <v>0</v>
      </c>
      <c r="T144" s="17" t="str">
        <f>IF(M1_Administrativo!A148="","",IF(M1_Administrativo!A148="","",M1_Administrativo!A148))</f>
        <v/>
      </c>
      <c r="U144" s="17" t="str">
        <f>IF(M1_Administrativo!A148="","",IF(M1_Administrativo!R148="","",M1_Administrativo!R148))</f>
        <v/>
      </c>
      <c r="V144" s="17" t="str">
        <f>IF(M1_Administrativo!A148="","",IF(M1_Administrativo!D148="","",M1_Administrativo!D148))</f>
        <v/>
      </c>
      <c r="W144" s="17" t="str">
        <f>IF(M1_Administrativo!A148="","",IF(M1_Administrativo!B148="","",M1_Administrativo!B148))</f>
        <v/>
      </c>
      <c r="X144" s="17" t="str">
        <f>IF(M1_Administrativo!A148="","",IF(M1_Administrativo!C148="","",M1_Administrativo!C148))</f>
        <v/>
      </c>
      <c r="Y144" s="17" t="str">
        <f>IF(M1_Administrativo!A148="","",IF(M1_Administrativo!E148="","",M1_Administrativo!E148))</f>
        <v/>
      </c>
      <c r="Z144" s="17" t="str">
        <f>IF(M1_Administrativo!A148="","",IF(M1_Administrativo!F148="","",M1_Administrativo!F148))</f>
        <v/>
      </c>
      <c r="AA144" s="17" t="str">
        <f>IF(M1_Administrativo!A148="","","M1 Administrativo")</f>
        <v/>
      </c>
      <c r="AB144" s="17" t="str">
        <f>IF(M1_Administrativo!A148="","",IF(M1_Administrativo!G148="","",M1_Administrativo!G148))</f>
        <v/>
      </c>
      <c r="AC144" s="17" t="str">
        <f>IF(M1_Administrativo!A148="","",IF(M1_Administrativo!M148="","",M1_Administrativo!M148))</f>
        <v/>
      </c>
      <c r="AD144" s="17" t="str">
        <f>IF(M1_Administrativo!A148="","","RA")</f>
        <v/>
      </c>
      <c r="AE144" s="17" t="str">
        <f>IF(M1_Administrativo!A148="","",IF(M1_Administrativo!O148="","",M1_Administrativo!O148))</f>
        <v/>
      </c>
      <c r="AF144" s="17" t="str">
        <f>IF(M1_Administrativo!A148="","",IF(M1_Administrativo!P148="","",M1_Administrativo!P148))</f>
        <v/>
      </c>
      <c r="AG144" s="17" t="str">
        <f>IF(M1_Administrativo!A148="","",IF(M1_Administrativo!Q148="","",M1_Administrativo!Q148))</f>
        <v/>
      </c>
      <c r="AH144" s="17" t="str">
        <f>IF(M1_Administrativo!A148="","","")</f>
        <v/>
      </c>
      <c r="AI144" s="17" t="str">
        <f>IF(M1_Administrativo!A148="","","M1_Administrativo!148")</f>
        <v/>
      </c>
      <c r="AJ144" s="17" t="str">
        <f>IF(M1_Administrativo!A148="","",IF(M1_Administrativo!M148="","Pendiente de resultado","Disponible"))</f>
        <v/>
      </c>
    </row>
    <row r="145" spans="1:36" ht="55.5" customHeight="1">
      <c r="A145" s="6" t="str">
        <f t="array" ref="A145">IF(141&gt;$S$1204,"",INDEX($T$5:$AJ$1204,MATCH(141,$S$5:$S$1204,0),1))</f>
        <v/>
      </c>
      <c r="B145" s="8" t="str">
        <f t="array" ref="B145">IF(141&gt;$S$1204,"",INDEX($T$5:$AJ$1204,MATCH(141,$S$5:$S$1204,0),2))</f>
        <v/>
      </c>
      <c r="C145" s="10" t="str">
        <f t="array" ref="C145">IF(141&gt;$S$1204,"",INDEX($T$5:$AJ$1204,MATCH(141,$S$5:$S$1204,0),3))</f>
        <v/>
      </c>
      <c r="D145" s="8" t="str">
        <f t="array" ref="D145">IF(141&gt;$S$1204,"",INDEX($T$5:$AJ$1204,MATCH(141,$S$5:$S$1204,0),4))</f>
        <v/>
      </c>
      <c r="E145" s="8" t="str">
        <f t="array" ref="E145">IF(141&gt;$S$1204,"",INDEX($T$5:$AJ$1204,MATCH(141,$S$5:$S$1204,0),5))</f>
        <v/>
      </c>
      <c r="F145" s="8" t="str">
        <f t="array" ref="F145">IF(141&gt;$S$1204,"",INDEX($T$5:$AJ$1204,MATCH(141,$S$5:$S$1204,0),6))</f>
        <v/>
      </c>
      <c r="G145" s="8" t="str">
        <f t="array" ref="G145">IF(141&gt;$S$1204,"",INDEX($T$5:$AJ$1204,MATCH(141,$S$5:$S$1204,0),7))</f>
        <v/>
      </c>
      <c r="H145" s="8" t="str">
        <f t="array" ref="H145">IF(141&gt;$S$1204,"",INDEX($T$5:$AJ$1204,MATCH(141,$S$5:$S$1204,0),8))</f>
        <v/>
      </c>
      <c r="I145" s="8" t="str">
        <f t="array" ref="I145">IF(141&gt;$S$1204,"",INDEX($T$5:$AJ$1204,MATCH(141,$S$5:$S$1204,0),9))</f>
        <v/>
      </c>
      <c r="J145" s="14" t="str">
        <f t="array" ref="J145">IF(141&gt;$S$1204,"",INDEX($T$5:$AJ$1204,MATCH(141,$S$5:$S$1204,0),10))</f>
        <v/>
      </c>
      <c r="K145" s="8" t="str">
        <f t="array" ref="K145">IF(141&gt;$S$1204,"",INDEX($T$5:$AJ$1204,MATCH(141,$S$5:$S$1204,0),11))</f>
        <v/>
      </c>
      <c r="L145" s="8" t="str">
        <f t="array" ref="L145">IF(141&gt;$S$1204,"",INDEX($T$5:$AJ$1204,MATCH(141,$S$5:$S$1204,0),12))</f>
        <v/>
      </c>
      <c r="M145" s="8" t="str">
        <f t="array" ref="M145">IF(141&gt;$S$1204,"",INDEX($T$5:$AJ$1204,MATCH(141,$S$5:$S$1204,0),13))</f>
        <v/>
      </c>
      <c r="N145" s="8" t="str">
        <f t="array" ref="N145">IF(141&gt;$S$1204,"",INDEX($T$5:$AJ$1204,MATCH(141,$S$5:$S$1204,0),14))</f>
        <v/>
      </c>
      <c r="O145" s="15" t="str">
        <f t="array" ref="O145">IF(141&gt;$S$1204,"",INDEX($T$5:$AJ$1204,MATCH(141,$S$5:$S$1204,0),15))</f>
        <v/>
      </c>
      <c r="P145" s="8" t="str">
        <f t="array" ref="P145">IF(141&gt;$S$1204,"",INDEX($T$5:$AJ$1204,MATCH(141,$S$5:$S$1204,0),16))</f>
        <v/>
      </c>
      <c r="Q145" s="8" t="str">
        <f t="array" ref="Q145">IF(141&gt;$S$1204,"",INDEX($T$5:$AJ$1204,MATCH(141,$S$5:$S$1204,0),17))</f>
        <v/>
      </c>
      <c r="R145" s="17"/>
      <c r="S145" s="17">
        <f>S144+IF(M1_Administrativo!A149="",0,1)</f>
        <v>0</v>
      </c>
      <c r="T145" s="17" t="str">
        <f>IF(M1_Administrativo!A149="","",IF(M1_Administrativo!A149="","",M1_Administrativo!A149))</f>
        <v/>
      </c>
      <c r="U145" s="17" t="str">
        <f>IF(M1_Administrativo!A149="","",IF(M1_Administrativo!R149="","",M1_Administrativo!R149))</f>
        <v/>
      </c>
      <c r="V145" s="17" t="str">
        <f>IF(M1_Administrativo!A149="","",IF(M1_Administrativo!D149="","",M1_Administrativo!D149))</f>
        <v/>
      </c>
      <c r="W145" s="17" t="str">
        <f>IF(M1_Administrativo!A149="","",IF(M1_Administrativo!B149="","",M1_Administrativo!B149))</f>
        <v/>
      </c>
      <c r="X145" s="17" t="str">
        <f>IF(M1_Administrativo!A149="","",IF(M1_Administrativo!C149="","",M1_Administrativo!C149))</f>
        <v/>
      </c>
      <c r="Y145" s="17" t="str">
        <f>IF(M1_Administrativo!A149="","",IF(M1_Administrativo!E149="","",M1_Administrativo!E149))</f>
        <v/>
      </c>
      <c r="Z145" s="17" t="str">
        <f>IF(M1_Administrativo!A149="","",IF(M1_Administrativo!F149="","",M1_Administrativo!F149))</f>
        <v/>
      </c>
      <c r="AA145" s="17" t="str">
        <f>IF(M1_Administrativo!A149="","","M1 Administrativo")</f>
        <v/>
      </c>
      <c r="AB145" s="17" t="str">
        <f>IF(M1_Administrativo!A149="","",IF(M1_Administrativo!G149="","",M1_Administrativo!G149))</f>
        <v/>
      </c>
      <c r="AC145" s="17" t="str">
        <f>IF(M1_Administrativo!A149="","",IF(M1_Administrativo!M149="","",M1_Administrativo!M149))</f>
        <v/>
      </c>
      <c r="AD145" s="17" t="str">
        <f>IF(M1_Administrativo!A149="","","RA")</f>
        <v/>
      </c>
      <c r="AE145" s="17" t="str">
        <f>IF(M1_Administrativo!A149="","",IF(M1_Administrativo!O149="","",M1_Administrativo!O149))</f>
        <v/>
      </c>
      <c r="AF145" s="17" t="str">
        <f>IF(M1_Administrativo!A149="","",IF(M1_Administrativo!P149="","",M1_Administrativo!P149))</f>
        <v/>
      </c>
      <c r="AG145" s="17" t="str">
        <f>IF(M1_Administrativo!A149="","",IF(M1_Administrativo!Q149="","",M1_Administrativo!Q149))</f>
        <v/>
      </c>
      <c r="AH145" s="17" t="str">
        <f>IF(M1_Administrativo!A149="","","")</f>
        <v/>
      </c>
      <c r="AI145" s="17" t="str">
        <f>IF(M1_Administrativo!A149="","","M1_Administrativo!149")</f>
        <v/>
      </c>
      <c r="AJ145" s="17" t="str">
        <f>IF(M1_Administrativo!A149="","",IF(M1_Administrativo!M149="","Pendiente de resultado","Disponible"))</f>
        <v/>
      </c>
    </row>
    <row r="146" spans="1:36" ht="55.5" customHeight="1">
      <c r="A146" s="6" t="str">
        <f t="array" ref="A146">IF(142&gt;$S$1204,"",INDEX($T$5:$AJ$1204,MATCH(142,$S$5:$S$1204,0),1))</f>
        <v/>
      </c>
      <c r="B146" s="8" t="str">
        <f t="array" ref="B146">IF(142&gt;$S$1204,"",INDEX($T$5:$AJ$1204,MATCH(142,$S$5:$S$1204,0),2))</f>
        <v/>
      </c>
      <c r="C146" s="10" t="str">
        <f t="array" ref="C146">IF(142&gt;$S$1204,"",INDEX($T$5:$AJ$1204,MATCH(142,$S$5:$S$1204,0),3))</f>
        <v/>
      </c>
      <c r="D146" s="8" t="str">
        <f t="array" ref="D146">IF(142&gt;$S$1204,"",INDEX($T$5:$AJ$1204,MATCH(142,$S$5:$S$1204,0),4))</f>
        <v/>
      </c>
      <c r="E146" s="8" t="str">
        <f t="array" ref="E146">IF(142&gt;$S$1204,"",INDEX($T$5:$AJ$1204,MATCH(142,$S$5:$S$1204,0),5))</f>
        <v/>
      </c>
      <c r="F146" s="8" t="str">
        <f t="array" ref="F146">IF(142&gt;$S$1204,"",INDEX($T$5:$AJ$1204,MATCH(142,$S$5:$S$1204,0),6))</f>
        <v/>
      </c>
      <c r="G146" s="8" t="str">
        <f t="array" ref="G146">IF(142&gt;$S$1204,"",INDEX($T$5:$AJ$1204,MATCH(142,$S$5:$S$1204,0),7))</f>
        <v/>
      </c>
      <c r="H146" s="8" t="str">
        <f t="array" ref="H146">IF(142&gt;$S$1204,"",INDEX($T$5:$AJ$1204,MATCH(142,$S$5:$S$1204,0),8))</f>
        <v/>
      </c>
      <c r="I146" s="8" t="str">
        <f t="array" ref="I146">IF(142&gt;$S$1204,"",INDEX($T$5:$AJ$1204,MATCH(142,$S$5:$S$1204,0),9))</f>
        <v/>
      </c>
      <c r="J146" s="14" t="str">
        <f t="array" ref="J146">IF(142&gt;$S$1204,"",INDEX($T$5:$AJ$1204,MATCH(142,$S$5:$S$1204,0),10))</f>
        <v/>
      </c>
      <c r="K146" s="8" t="str">
        <f t="array" ref="K146">IF(142&gt;$S$1204,"",INDEX($T$5:$AJ$1204,MATCH(142,$S$5:$S$1204,0),11))</f>
        <v/>
      </c>
      <c r="L146" s="8" t="str">
        <f t="array" ref="L146">IF(142&gt;$S$1204,"",INDEX($T$5:$AJ$1204,MATCH(142,$S$5:$S$1204,0),12))</f>
        <v/>
      </c>
      <c r="M146" s="8" t="str">
        <f t="array" ref="M146">IF(142&gt;$S$1204,"",INDEX($T$5:$AJ$1204,MATCH(142,$S$5:$S$1204,0),13))</f>
        <v/>
      </c>
      <c r="N146" s="8" t="str">
        <f t="array" ref="N146">IF(142&gt;$S$1204,"",INDEX($T$5:$AJ$1204,MATCH(142,$S$5:$S$1204,0),14))</f>
        <v/>
      </c>
      <c r="O146" s="15" t="str">
        <f t="array" ref="O146">IF(142&gt;$S$1204,"",INDEX($T$5:$AJ$1204,MATCH(142,$S$5:$S$1204,0),15))</f>
        <v/>
      </c>
      <c r="P146" s="8" t="str">
        <f t="array" ref="P146">IF(142&gt;$S$1204,"",INDEX($T$5:$AJ$1204,MATCH(142,$S$5:$S$1204,0),16))</f>
        <v/>
      </c>
      <c r="Q146" s="8" t="str">
        <f t="array" ref="Q146">IF(142&gt;$S$1204,"",INDEX($T$5:$AJ$1204,MATCH(142,$S$5:$S$1204,0),17))</f>
        <v/>
      </c>
      <c r="R146" s="17"/>
      <c r="S146" s="17">
        <f>S145+IF(M1_Administrativo!A150="",0,1)</f>
        <v>0</v>
      </c>
      <c r="T146" s="17" t="str">
        <f>IF(M1_Administrativo!A150="","",IF(M1_Administrativo!A150="","",M1_Administrativo!A150))</f>
        <v/>
      </c>
      <c r="U146" s="17" t="str">
        <f>IF(M1_Administrativo!A150="","",IF(M1_Administrativo!R150="","",M1_Administrativo!R150))</f>
        <v/>
      </c>
      <c r="V146" s="17" t="str">
        <f>IF(M1_Administrativo!A150="","",IF(M1_Administrativo!D150="","",M1_Administrativo!D150))</f>
        <v/>
      </c>
      <c r="W146" s="17" t="str">
        <f>IF(M1_Administrativo!A150="","",IF(M1_Administrativo!B150="","",M1_Administrativo!B150))</f>
        <v/>
      </c>
      <c r="X146" s="17" t="str">
        <f>IF(M1_Administrativo!A150="","",IF(M1_Administrativo!C150="","",M1_Administrativo!C150))</f>
        <v/>
      </c>
      <c r="Y146" s="17" t="str">
        <f>IF(M1_Administrativo!A150="","",IF(M1_Administrativo!E150="","",M1_Administrativo!E150))</f>
        <v/>
      </c>
      <c r="Z146" s="17" t="str">
        <f>IF(M1_Administrativo!A150="","",IF(M1_Administrativo!F150="","",M1_Administrativo!F150))</f>
        <v/>
      </c>
      <c r="AA146" s="17" t="str">
        <f>IF(M1_Administrativo!A150="","","M1 Administrativo")</f>
        <v/>
      </c>
      <c r="AB146" s="17" t="str">
        <f>IF(M1_Administrativo!A150="","",IF(M1_Administrativo!G150="","",M1_Administrativo!G150))</f>
        <v/>
      </c>
      <c r="AC146" s="17" t="str">
        <f>IF(M1_Administrativo!A150="","",IF(M1_Administrativo!M150="","",M1_Administrativo!M150))</f>
        <v/>
      </c>
      <c r="AD146" s="17" t="str">
        <f>IF(M1_Administrativo!A150="","","RA")</f>
        <v/>
      </c>
      <c r="AE146" s="17" t="str">
        <f>IF(M1_Administrativo!A150="","",IF(M1_Administrativo!O150="","",M1_Administrativo!O150))</f>
        <v/>
      </c>
      <c r="AF146" s="17" t="str">
        <f>IF(M1_Administrativo!A150="","",IF(M1_Administrativo!P150="","",M1_Administrativo!P150))</f>
        <v/>
      </c>
      <c r="AG146" s="17" t="str">
        <f>IF(M1_Administrativo!A150="","",IF(M1_Administrativo!Q150="","",M1_Administrativo!Q150))</f>
        <v/>
      </c>
      <c r="AH146" s="17" t="str">
        <f>IF(M1_Administrativo!A150="","","")</f>
        <v/>
      </c>
      <c r="AI146" s="17" t="str">
        <f>IF(M1_Administrativo!A150="","","M1_Administrativo!150")</f>
        <v/>
      </c>
      <c r="AJ146" s="17" t="str">
        <f>IF(M1_Administrativo!A150="","",IF(M1_Administrativo!M150="","Pendiente de resultado","Disponible"))</f>
        <v/>
      </c>
    </row>
    <row r="147" spans="1:36" ht="55.5" customHeight="1">
      <c r="A147" s="6" t="str">
        <f t="array" ref="A147">IF(143&gt;$S$1204,"",INDEX($T$5:$AJ$1204,MATCH(143,$S$5:$S$1204,0),1))</f>
        <v/>
      </c>
      <c r="B147" s="8" t="str">
        <f t="array" ref="B147">IF(143&gt;$S$1204,"",INDEX($T$5:$AJ$1204,MATCH(143,$S$5:$S$1204,0),2))</f>
        <v/>
      </c>
      <c r="C147" s="10" t="str">
        <f t="array" ref="C147">IF(143&gt;$S$1204,"",INDEX($T$5:$AJ$1204,MATCH(143,$S$5:$S$1204,0),3))</f>
        <v/>
      </c>
      <c r="D147" s="8" t="str">
        <f t="array" ref="D147">IF(143&gt;$S$1204,"",INDEX($T$5:$AJ$1204,MATCH(143,$S$5:$S$1204,0),4))</f>
        <v/>
      </c>
      <c r="E147" s="8" t="str">
        <f t="array" ref="E147">IF(143&gt;$S$1204,"",INDEX($T$5:$AJ$1204,MATCH(143,$S$5:$S$1204,0),5))</f>
        <v/>
      </c>
      <c r="F147" s="8" t="str">
        <f t="array" ref="F147">IF(143&gt;$S$1204,"",INDEX($T$5:$AJ$1204,MATCH(143,$S$5:$S$1204,0),6))</f>
        <v/>
      </c>
      <c r="G147" s="8" t="str">
        <f t="array" ref="G147">IF(143&gt;$S$1204,"",INDEX($T$5:$AJ$1204,MATCH(143,$S$5:$S$1204,0),7))</f>
        <v/>
      </c>
      <c r="H147" s="8" t="str">
        <f t="array" ref="H147">IF(143&gt;$S$1204,"",INDEX($T$5:$AJ$1204,MATCH(143,$S$5:$S$1204,0),8))</f>
        <v/>
      </c>
      <c r="I147" s="8" t="str">
        <f t="array" ref="I147">IF(143&gt;$S$1204,"",INDEX($T$5:$AJ$1204,MATCH(143,$S$5:$S$1204,0),9))</f>
        <v/>
      </c>
      <c r="J147" s="14" t="str">
        <f t="array" ref="J147">IF(143&gt;$S$1204,"",INDEX($T$5:$AJ$1204,MATCH(143,$S$5:$S$1204,0),10))</f>
        <v/>
      </c>
      <c r="K147" s="8" t="str">
        <f t="array" ref="K147">IF(143&gt;$S$1204,"",INDEX($T$5:$AJ$1204,MATCH(143,$S$5:$S$1204,0),11))</f>
        <v/>
      </c>
      <c r="L147" s="8" t="str">
        <f t="array" ref="L147">IF(143&gt;$S$1204,"",INDEX($T$5:$AJ$1204,MATCH(143,$S$5:$S$1204,0),12))</f>
        <v/>
      </c>
      <c r="M147" s="8" t="str">
        <f t="array" ref="M147">IF(143&gt;$S$1204,"",INDEX($T$5:$AJ$1204,MATCH(143,$S$5:$S$1204,0),13))</f>
        <v/>
      </c>
      <c r="N147" s="8" t="str">
        <f t="array" ref="N147">IF(143&gt;$S$1204,"",INDEX($T$5:$AJ$1204,MATCH(143,$S$5:$S$1204,0),14))</f>
        <v/>
      </c>
      <c r="O147" s="15" t="str">
        <f t="array" ref="O147">IF(143&gt;$S$1204,"",INDEX($T$5:$AJ$1204,MATCH(143,$S$5:$S$1204,0),15))</f>
        <v/>
      </c>
      <c r="P147" s="8" t="str">
        <f t="array" ref="P147">IF(143&gt;$S$1204,"",INDEX($T$5:$AJ$1204,MATCH(143,$S$5:$S$1204,0),16))</f>
        <v/>
      </c>
      <c r="Q147" s="8" t="str">
        <f t="array" ref="Q147">IF(143&gt;$S$1204,"",INDEX($T$5:$AJ$1204,MATCH(143,$S$5:$S$1204,0),17))</f>
        <v/>
      </c>
      <c r="R147" s="17"/>
      <c r="S147" s="17">
        <f>S146+IF(M1_Administrativo!A151="",0,1)</f>
        <v>0</v>
      </c>
      <c r="T147" s="17" t="str">
        <f>IF(M1_Administrativo!A151="","",IF(M1_Administrativo!A151="","",M1_Administrativo!A151))</f>
        <v/>
      </c>
      <c r="U147" s="17" t="str">
        <f>IF(M1_Administrativo!A151="","",IF(M1_Administrativo!R151="","",M1_Administrativo!R151))</f>
        <v/>
      </c>
      <c r="V147" s="17" t="str">
        <f>IF(M1_Administrativo!A151="","",IF(M1_Administrativo!D151="","",M1_Administrativo!D151))</f>
        <v/>
      </c>
      <c r="W147" s="17" t="str">
        <f>IF(M1_Administrativo!A151="","",IF(M1_Administrativo!B151="","",M1_Administrativo!B151))</f>
        <v/>
      </c>
      <c r="X147" s="17" t="str">
        <f>IF(M1_Administrativo!A151="","",IF(M1_Administrativo!C151="","",M1_Administrativo!C151))</f>
        <v/>
      </c>
      <c r="Y147" s="17" t="str">
        <f>IF(M1_Administrativo!A151="","",IF(M1_Administrativo!E151="","",M1_Administrativo!E151))</f>
        <v/>
      </c>
      <c r="Z147" s="17" t="str">
        <f>IF(M1_Administrativo!A151="","",IF(M1_Administrativo!F151="","",M1_Administrativo!F151))</f>
        <v/>
      </c>
      <c r="AA147" s="17" t="str">
        <f>IF(M1_Administrativo!A151="","","M1 Administrativo")</f>
        <v/>
      </c>
      <c r="AB147" s="17" t="str">
        <f>IF(M1_Administrativo!A151="","",IF(M1_Administrativo!G151="","",M1_Administrativo!G151))</f>
        <v/>
      </c>
      <c r="AC147" s="17" t="str">
        <f>IF(M1_Administrativo!A151="","",IF(M1_Administrativo!M151="","",M1_Administrativo!M151))</f>
        <v/>
      </c>
      <c r="AD147" s="17" t="str">
        <f>IF(M1_Administrativo!A151="","","RA")</f>
        <v/>
      </c>
      <c r="AE147" s="17" t="str">
        <f>IF(M1_Administrativo!A151="","",IF(M1_Administrativo!O151="","",M1_Administrativo!O151))</f>
        <v/>
      </c>
      <c r="AF147" s="17" t="str">
        <f>IF(M1_Administrativo!A151="","",IF(M1_Administrativo!P151="","",M1_Administrativo!P151))</f>
        <v/>
      </c>
      <c r="AG147" s="17" t="str">
        <f>IF(M1_Administrativo!A151="","",IF(M1_Administrativo!Q151="","",M1_Administrativo!Q151))</f>
        <v/>
      </c>
      <c r="AH147" s="17" t="str">
        <f>IF(M1_Administrativo!A151="","","")</f>
        <v/>
      </c>
      <c r="AI147" s="17" t="str">
        <f>IF(M1_Administrativo!A151="","","M1_Administrativo!151")</f>
        <v/>
      </c>
      <c r="AJ147" s="17" t="str">
        <f>IF(M1_Administrativo!A151="","",IF(M1_Administrativo!M151="","Pendiente de resultado","Disponible"))</f>
        <v/>
      </c>
    </row>
    <row r="148" spans="1:36" ht="55.5" customHeight="1">
      <c r="A148" s="6" t="str">
        <f t="array" ref="A148">IF(144&gt;$S$1204,"",INDEX($T$5:$AJ$1204,MATCH(144,$S$5:$S$1204,0),1))</f>
        <v/>
      </c>
      <c r="B148" s="8" t="str">
        <f t="array" ref="B148">IF(144&gt;$S$1204,"",INDEX($T$5:$AJ$1204,MATCH(144,$S$5:$S$1204,0),2))</f>
        <v/>
      </c>
      <c r="C148" s="10" t="str">
        <f t="array" ref="C148">IF(144&gt;$S$1204,"",INDEX($T$5:$AJ$1204,MATCH(144,$S$5:$S$1204,0),3))</f>
        <v/>
      </c>
      <c r="D148" s="8" t="str">
        <f t="array" ref="D148">IF(144&gt;$S$1204,"",INDEX($T$5:$AJ$1204,MATCH(144,$S$5:$S$1204,0),4))</f>
        <v/>
      </c>
      <c r="E148" s="8" t="str">
        <f t="array" ref="E148">IF(144&gt;$S$1204,"",INDEX($T$5:$AJ$1204,MATCH(144,$S$5:$S$1204,0),5))</f>
        <v/>
      </c>
      <c r="F148" s="8" t="str">
        <f t="array" ref="F148">IF(144&gt;$S$1204,"",INDEX($T$5:$AJ$1204,MATCH(144,$S$5:$S$1204,0),6))</f>
        <v/>
      </c>
      <c r="G148" s="8" t="str">
        <f t="array" ref="G148">IF(144&gt;$S$1204,"",INDEX($T$5:$AJ$1204,MATCH(144,$S$5:$S$1204,0),7))</f>
        <v/>
      </c>
      <c r="H148" s="8" t="str">
        <f t="array" ref="H148">IF(144&gt;$S$1204,"",INDEX($T$5:$AJ$1204,MATCH(144,$S$5:$S$1204,0),8))</f>
        <v/>
      </c>
      <c r="I148" s="8" t="str">
        <f t="array" ref="I148">IF(144&gt;$S$1204,"",INDEX($T$5:$AJ$1204,MATCH(144,$S$5:$S$1204,0),9))</f>
        <v/>
      </c>
      <c r="J148" s="14" t="str">
        <f t="array" ref="J148">IF(144&gt;$S$1204,"",INDEX($T$5:$AJ$1204,MATCH(144,$S$5:$S$1204,0),10))</f>
        <v/>
      </c>
      <c r="K148" s="8" t="str">
        <f t="array" ref="K148">IF(144&gt;$S$1204,"",INDEX($T$5:$AJ$1204,MATCH(144,$S$5:$S$1204,0),11))</f>
        <v/>
      </c>
      <c r="L148" s="8" t="str">
        <f t="array" ref="L148">IF(144&gt;$S$1204,"",INDEX($T$5:$AJ$1204,MATCH(144,$S$5:$S$1204,0),12))</f>
        <v/>
      </c>
      <c r="M148" s="8" t="str">
        <f t="array" ref="M148">IF(144&gt;$S$1204,"",INDEX($T$5:$AJ$1204,MATCH(144,$S$5:$S$1204,0),13))</f>
        <v/>
      </c>
      <c r="N148" s="8" t="str">
        <f t="array" ref="N148">IF(144&gt;$S$1204,"",INDEX($T$5:$AJ$1204,MATCH(144,$S$5:$S$1204,0),14))</f>
        <v/>
      </c>
      <c r="O148" s="15" t="str">
        <f t="array" ref="O148">IF(144&gt;$S$1204,"",INDEX($T$5:$AJ$1204,MATCH(144,$S$5:$S$1204,0),15))</f>
        <v/>
      </c>
      <c r="P148" s="8" t="str">
        <f t="array" ref="P148">IF(144&gt;$S$1204,"",INDEX($T$5:$AJ$1204,MATCH(144,$S$5:$S$1204,0),16))</f>
        <v/>
      </c>
      <c r="Q148" s="8" t="str">
        <f t="array" ref="Q148">IF(144&gt;$S$1204,"",INDEX($T$5:$AJ$1204,MATCH(144,$S$5:$S$1204,0),17))</f>
        <v/>
      </c>
      <c r="R148" s="17"/>
      <c r="S148" s="17">
        <f>S147+IF(M1_Administrativo!A152="",0,1)</f>
        <v>0</v>
      </c>
      <c r="T148" s="17" t="str">
        <f>IF(M1_Administrativo!A152="","",IF(M1_Administrativo!A152="","",M1_Administrativo!A152))</f>
        <v/>
      </c>
      <c r="U148" s="17" t="str">
        <f>IF(M1_Administrativo!A152="","",IF(M1_Administrativo!R152="","",M1_Administrativo!R152))</f>
        <v/>
      </c>
      <c r="V148" s="17" t="str">
        <f>IF(M1_Administrativo!A152="","",IF(M1_Administrativo!D152="","",M1_Administrativo!D152))</f>
        <v/>
      </c>
      <c r="W148" s="17" t="str">
        <f>IF(M1_Administrativo!A152="","",IF(M1_Administrativo!B152="","",M1_Administrativo!B152))</f>
        <v/>
      </c>
      <c r="X148" s="17" t="str">
        <f>IF(M1_Administrativo!A152="","",IF(M1_Administrativo!C152="","",M1_Administrativo!C152))</f>
        <v/>
      </c>
      <c r="Y148" s="17" t="str">
        <f>IF(M1_Administrativo!A152="","",IF(M1_Administrativo!E152="","",M1_Administrativo!E152))</f>
        <v/>
      </c>
      <c r="Z148" s="17" t="str">
        <f>IF(M1_Administrativo!A152="","",IF(M1_Administrativo!F152="","",M1_Administrativo!F152))</f>
        <v/>
      </c>
      <c r="AA148" s="17" t="str">
        <f>IF(M1_Administrativo!A152="","","M1 Administrativo")</f>
        <v/>
      </c>
      <c r="AB148" s="17" t="str">
        <f>IF(M1_Administrativo!A152="","",IF(M1_Administrativo!G152="","",M1_Administrativo!G152))</f>
        <v/>
      </c>
      <c r="AC148" s="17" t="str">
        <f>IF(M1_Administrativo!A152="","",IF(M1_Administrativo!M152="","",M1_Administrativo!M152))</f>
        <v/>
      </c>
      <c r="AD148" s="17" t="str">
        <f>IF(M1_Administrativo!A152="","","RA")</f>
        <v/>
      </c>
      <c r="AE148" s="17" t="str">
        <f>IF(M1_Administrativo!A152="","",IF(M1_Administrativo!O152="","",M1_Administrativo!O152))</f>
        <v/>
      </c>
      <c r="AF148" s="17" t="str">
        <f>IF(M1_Administrativo!A152="","",IF(M1_Administrativo!P152="","",M1_Administrativo!P152))</f>
        <v/>
      </c>
      <c r="AG148" s="17" t="str">
        <f>IF(M1_Administrativo!A152="","",IF(M1_Administrativo!Q152="","",M1_Administrativo!Q152))</f>
        <v/>
      </c>
      <c r="AH148" s="17" t="str">
        <f>IF(M1_Administrativo!A152="","","")</f>
        <v/>
      </c>
      <c r="AI148" s="17" t="str">
        <f>IF(M1_Administrativo!A152="","","M1_Administrativo!152")</f>
        <v/>
      </c>
      <c r="AJ148" s="17" t="str">
        <f>IF(M1_Administrativo!A152="","",IF(M1_Administrativo!M152="","Pendiente de resultado","Disponible"))</f>
        <v/>
      </c>
    </row>
    <row r="149" spans="1:36" ht="55.5" customHeight="1">
      <c r="A149" s="6" t="str">
        <f t="array" ref="A149">IF(145&gt;$S$1204,"",INDEX($T$5:$AJ$1204,MATCH(145,$S$5:$S$1204,0),1))</f>
        <v/>
      </c>
      <c r="B149" s="8" t="str">
        <f t="array" ref="B149">IF(145&gt;$S$1204,"",INDEX($T$5:$AJ$1204,MATCH(145,$S$5:$S$1204,0),2))</f>
        <v/>
      </c>
      <c r="C149" s="10" t="str">
        <f t="array" ref="C149">IF(145&gt;$S$1204,"",INDEX($T$5:$AJ$1204,MATCH(145,$S$5:$S$1204,0),3))</f>
        <v/>
      </c>
      <c r="D149" s="8" t="str">
        <f t="array" ref="D149">IF(145&gt;$S$1204,"",INDEX($T$5:$AJ$1204,MATCH(145,$S$5:$S$1204,0),4))</f>
        <v/>
      </c>
      <c r="E149" s="8" t="str">
        <f t="array" ref="E149">IF(145&gt;$S$1204,"",INDEX($T$5:$AJ$1204,MATCH(145,$S$5:$S$1204,0),5))</f>
        <v/>
      </c>
      <c r="F149" s="8" t="str">
        <f t="array" ref="F149">IF(145&gt;$S$1204,"",INDEX($T$5:$AJ$1204,MATCH(145,$S$5:$S$1204,0),6))</f>
        <v/>
      </c>
      <c r="G149" s="8" t="str">
        <f t="array" ref="G149">IF(145&gt;$S$1204,"",INDEX($T$5:$AJ$1204,MATCH(145,$S$5:$S$1204,0),7))</f>
        <v/>
      </c>
      <c r="H149" s="8" t="str">
        <f t="array" ref="H149">IF(145&gt;$S$1204,"",INDEX($T$5:$AJ$1204,MATCH(145,$S$5:$S$1204,0),8))</f>
        <v/>
      </c>
      <c r="I149" s="8" t="str">
        <f t="array" ref="I149">IF(145&gt;$S$1204,"",INDEX($T$5:$AJ$1204,MATCH(145,$S$5:$S$1204,0),9))</f>
        <v/>
      </c>
      <c r="J149" s="14" t="str">
        <f t="array" ref="J149">IF(145&gt;$S$1204,"",INDEX($T$5:$AJ$1204,MATCH(145,$S$5:$S$1204,0),10))</f>
        <v/>
      </c>
      <c r="K149" s="8" t="str">
        <f t="array" ref="K149">IF(145&gt;$S$1204,"",INDEX($T$5:$AJ$1204,MATCH(145,$S$5:$S$1204,0),11))</f>
        <v/>
      </c>
      <c r="L149" s="8" t="str">
        <f t="array" ref="L149">IF(145&gt;$S$1204,"",INDEX($T$5:$AJ$1204,MATCH(145,$S$5:$S$1204,0),12))</f>
        <v/>
      </c>
      <c r="M149" s="8" t="str">
        <f t="array" ref="M149">IF(145&gt;$S$1204,"",INDEX($T$5:$AJ$1204,MATCH(145,$S$5:$S$1204,0),13))</f>
        <v/>
      </c>
      <c r="N149" s="8" t="str">
        <f t="array" ref="N149">IF(145&gt;$S$1204,"",INDEX($T$5:$AJ$1204,MATCH(145,$S$5:$S$1204,0),14))</f>
        <v/>
      </c>
      <c r="O149" s="15" t="str">
        <f t="array" ref="O149">IF(145&gt;$S$1204,"",INDEX($T$5:$AJ$1204,MATCH(145,$S$5:$S$1204,0),15))</f>
        <v/>
      </c>
      <c r="P149" s="8" t="str">
        <f t="array" ref="P149">IF(145&gt;$S$1204,"",INDEX($T$5:$AJ$1204,MATCH(145,$S$5:$S$1204,0),16))</f>
        <v/>
      </c>
      <c r="Q149" s="8" t="str">
        <f t="array" ref="Q149">IF(145&gt;$S$1204,"",INDEX($T$5:$AJ$1204,MATCH(145,$S$5:$S$1204,0),17))</f>
        <v/>
      </c>
      <c r="R149" s="17"/>
      <c r="S149" s="17">
        <f>S148+IF(M1_Administrativo!A153="",0,1)</f>
        <v>0</v>
      </c>
      <c r="T149" s="17" t="str">
        <f>IF(M1_Administrativo!A153="","",IF(M1_Administrativo!A153="","",M1_Administrativo!A153))</f>
        <v/>
      </c>
      <c r="U149" s="17" t="str">
        <f>IF(M1_Administrativo!A153="","",IF(M1_Administrativo!R153="","",M1_Administrativo!R153))</f>
        <v/>
      </c>
      <c r="V149" s="17" t="str">
        <f>IF(M1_Administrativo!A153="","",IF(M1_Administrativo!D153="","",M1_Administrativo!D153))</f>
        <v/>
      </c>
      <c r="W149" s="17" t="str">
        <f>IF(M1_Administrativo!A153="","",IF(M1_Administrativo!B153="","",M1_Administrativo!B153))</f>
        <v/>
      </c>
      <c r="X149" s="17" t="str">
        <f>IF(M1_Administrativo!A153="","",IF(M1_Administrativo!C153="","",M1_Administrativo!C153))</f>
        <v/>
      </c>
      <c r="Y149" s="17" t="str">
        <f>IF(M1_Administrativo!A153="","",IF(M1_Administrativo!E153="","",M1_Administrativo!E153))</f>
        <v/>
      </c>
      <c r="Z149" s="17" t="str">
        <f>IF(M1_Administrativo!A153="","",IF(M1_Administrativo!F153="","",M1_Administrativo!F153))</f>
        <v/>
      </c>
      <c r="AA149" s="17" t="str">
        <f>IF(M1_Administrativo!A153="","","M1 Administrativo")</f>
        <v/>
      </c>
      <c r="AB149" s="17" t="str">
        <f>IF(M1_Administrativo!A153="","",IF(M1_Administrativo!G153="","",M1_Administrativo!G153))</f>
        <v/>
      </c>
      <c r="AC149" s="17" t="str">
        <f>IF(M1_Administrativo!A153="","",IF(M1_Administrativo!M153="","",M1_Administrativo!M153))</f>
        <v/>
      </c>
      <c r="AD149" s="17" t="str">
        <f>IF(M1_Administrativo!A153="","","RA")</f>
        <v/>
      </c>
      <c r="AE149" s="17" t="str">
        <f>IF(M1_Administrativo!A153="","",IF(M1_Administrativo!O153="","",M1_Administrativo!O153))</f>
        <v/>
      </c>
      <c r="AF149" s="17" t="str">
        <f>IF(M1_Administrativo!A153="","",IF(M1_Administrativo!P153="","",M1_Administrativo!P153))</f>
        <v/>
      </c>
      <c r="AG149" s="17" t="str">
        <f>IF(M1_Administrativo!A153="","",IF(M1_Administrativo!Q153="","",M1_Administrativo!Q153))</f>
        <v/>
      </c>
      <c r="AH149" s="17" t="str">
        <f>IF(M1_Administrativo!A153="","","")</f>
        <v/>
      </c>
      <c r="AI149" s="17" t="str">
        <f>IF(M1_Administrativo!A153="","","M1_Administrativo!153")</f>
        <v/>
      </c>
      <c r="AJ149" s="17" t="str">
        <f>IF(M1_Administrativo!A153="","",IF(M1_Administrativo!M153="","Pendiente de resultado","Disponible"))</f>
        <v/>
      </c>
    </row>
    <row r="150" spans="1:36" ht="55.5" customHeight="1">
      <c r="A150" s="6" t="str">
        <f t="array" ref="A150">IF(146&gt;$S$1204,"",INDEX($T$5:$AJ$1204,MATCH(146,$S$5:$S$1204,0),1))</f>
        <v/>
      </c>
      <c r="B150" s="8" t="str">
        <f t="array" ref="B150">IF(146&gt;$S$1204,"",INDEX($T$5:$AJ$1204,MATCH(146,$S$5:$S$1204,0),2))</f>
        <v/>
      </c>
      <c r="C150" s="10" t="str">
        <f t="array" ref="C150">IF(146&gt;$S$1204,"",INDEX($T$5:$AJ$1204,MATCH(146,$S$5:$S$1204,0),3))</f>
        <v/>
      </c>
      <c r="D150" s="8" t="str">
        <f t="array" ref="D150">IF(146&gt;$S$1204,"",INDEX($T$5:$AJ$1204,MATCH(146,$S$5:$S$1204,0),4))</f>
        <v/>
      </c>
      <c r="E150" s="8" t="str">
        <f t="array" ref="E150">IF(146&gt;$S$1204,"",INDEX($T$5:$AJ$1204,MATCH(146,$S$5:$S$1204,0),5))</f>
        <v/>
      </c>
      <c r="F150" s="8" t="str">
        <f t="array" ref="F150">IF(146&gt;$S$1204,"",INDEX($T$5:$AJ$1204,MATCH(146,$S$5:$S$1204,0),6))</f>
        <v/>
      </c>
      <c r="G150" s="8" t="str">
        <f t="array" ref="G150">IF(146&gt;$S$1204,"",INDEX($T$5:$AJ$1204,MATCH(146,$S$5:$S$1204,0),7))</f>
        <v/>
      </c>
      <c r="H150" s="8" t="str">
        <f t="array" ref="H150">IF(146&gt;$S$1204,"",INDEX($T$5:$AJ$1204,MATCH(146,$S$5:$S$1204,0),8))</f>
        <v/>
      </c>
      <c r="I150" s="8" t="str">
        <f t="array" ref="I150">IF(146&gt;$S$1204,"",INDEX($T$5:$AJ$1204,MATCH(146,$S$5:$S$1204,0),9))</f>
        <v/>
      </c>
      <c r="J150" s="14" t="str">
        <f t="array" ref="J150">IF(146&gt;$S$1204,"",INDEX($T$5:$AJ$1204,MATCH(146,$S$5:$S$1204,0),10))</f>
        <v/>
      </c>
      <c r="K150" s="8" t="str">
        <f t="array" ref="K150">IF(146&gt;$S$1204,"",INDEX($T$5:$AJ$1204,MATCH(146,$S$5:$S$1204,0),11))</f>
        <v/>
      </c>
      <c r="L150" s="8" t="str">
        <f t="array" ref="L150">IF(146&gt;$S$1204,"",INDEX($T$5:$AJ$1204,MATCH(146,$S$5:$S$1204,0),12))</f>
        <v/>
      </c>
      <c r="M150" s="8" t="str">
        <f t="array" ref="M150">IF(146&gt;$S$1204,"",INDEX($T$5:$AJ$1204,MATCH(146,$S$5:$S$1204,0),13))</f>
        <v/>
      </c>
      <c r="N150" s="8" t="str">
        <f t="array" ref="N150">IF(146&gt;$S$1204,"",INDEX($T$5:$AJ$1204,MATCH(146,$S$5:$S$1204,0),14))</f>
        <v/>
      </c>
      <c r="O150" s="15" t="str">
        <f t="array" ref="O150">IF(146&gt;$S$1204,"",INDEX($T$5:$AJ$1204,MATCH(146,$S$5:$S$1204,0),15))</f>
        <v/>
      </c>
      <c r="P150" s="8" t="str">
        <f t="array" ref="P150">IF(146&gt;$S$1204,"",INDEX($T$5:$AJ$1204,MATCH(146,$S$5:$S$1204,0),16))</f>
        <v/>
      </c>
      <c r="Q150" s="8" t="str">
        <f t="array" ref="Q150">IF(146&gt;$S$1204,"",INDEX($T$5:$AJ$1204,MATCH(146,$S$5:$S$1204,0),17))</f>
        <v/>
      </c>
      <c r="R150" s="17"/>
      <c r="S150" s="17">
        <f>S149+IF(M1_Administrativo!A154="",0,1)</f>
        <v>0</v>
      </c>
      <c r="T150" s="17" t="str">
        <f>IF(M1_Administrativo!A154="","",IF(M1_Administrativo!A154="","",M1_Administrativo!A154))</f>
        <v/>
      </c>
      <c r="U150" s="17" t="str">
        <f>IF(M1_Administrativo!A154="","",IF(M1_Administrativo!R154="","",M1_Administrativo!R154))</f>
        <v/>
      </c>
      <c r="V150" s="17" t="str">
        <f>IF(M1_Administrativo!A154="","",IF(M1_Administrativo!D154="","",M1_Administrativo!D154))</f>
        <v/>
      </c>
      <c r="W150" s="17" t="str">
        <f>IF(M1_Administrativo!A154="","",IF(M1_Administrativo!B154="","",M1_Administrativo!B154))</f>
        <v/>
      </c>
      <c r="X150" s="17" t="str">
        <f>IF(M1_Administrativo!A154="","",IF(M1_Administrativo!C154="","",M1_Administrativo!C154))</f>
        <v/>
      </c>
      <c r="Y150" s="17" t="str">
        <f>IF(M1_Administrativo!A154="","",IF(M1_Administrativo!E154="","",M1_Administrativo!E154))</f>
        <v/>
      </c>
      <c r="Z150" s="17" t="str">
        <f>IF(M1_Administrativo!A154="","",IF(M1_Administrativo!F154="","",M1_Administrativo!F154))</f>
        <v/>
      </c>
      <c r="AA150" s="17" t="str">
        <f>IF(M1_Administrativo!A154="","","M1 Administrativo")</f>
        <v/>
      </c>
      <c r="AB150" s="17" t="str">
        <f>IF(M1_Administrativo!A154="","",IF(M1_Administrativo!G154="","",M1_Administrativo!G154))</f>
        <v/>
      </c>
      <c r="AC150" s="17" t="str">
        <f>IF(M1_Administrativo!A154="","",IF(M1_Administrativo!M154="","",M1_Administrativo!M154))</f>
        <v/>
      </c>
      <c r="AD150" s="17" t="str">
        <f>IF(M1_Administrativo!A154="","","RA")</f>
        <v/>
      </c>
      <c r="AE150" s="17" t="str">
        <f>IF(M1_Administrativo!A154="","",IF(M1_Administrativo!O154="","",M1_Administrativo!O154))</f>
        <v/>
      </c>
      <c r="AF150" s="17" t="str">
        <f>IF(M1_Administrativo!A154="","",IF(M1_Administrativo!P154="","",M1_Administrativo!P154))</f>
        <v/>
      </c>
      <c r="AG150" s="17" t="str">
        <f>IF(M1_Administrativo!A154="","",IF(M1_Administrativo!Q154="","",M1_Administrativo!Q154))</f>
        <v/>
      </c>
      <c r="AH150" s="17" t="str">
        <f>IF(M1_Administrativo!A154="","","")</f>
        <v/>
      </c>
      <c r="AI150" s="17" t="str">
        <f>IF(M1_Administrativo!A154="","","M1_Administrativo!154")</f>
        <v/>
      </c>
      <c r="AJ150" s="17" t="str">
        <f>IF(M1_Administrativo!A154="","",IF(M1_Administrativo!M154="","Pendiente de resultado","Disponible"))</f>
        <v/>
      </c>
    </row>
    <row r="151" spans="1:36" ht="55.5" customHeight="1">
      <c r="A151" s="6" t="str">
        <f t="array" ref="A151">IF(147&gt;$S$1204,"",INDEX($T$5:$AJ$1204,MATCH(147,$S$5:$S$1204,0),1))</f>
        <v/>
      </c>
      <c r="B151" s="8" t="str">
        <f t="array" ref="B151">IF(147&gt;$S$1204,"",INDEX($T$5:$AJ$1204,MATCH(147,$S$5:$S$1204,0),2))</f>
        <v/>
      </c>
      <c r="C151" s="10" t="str">
        <f t="array" ref="C151">IF(147&gt;$S$1204,"",INDEX($T$5:$AJ$1204,MATCH(147,$S$5:$S$1204,0),3))</f>
        <v/>
      </c>
      <c r="D151" s="8" t="str">
        <f t="array" ref="D151">IF(147&gt;$S$1204,"",INDEX($T$5:$AJ$1204,MATCH(147,$S$5:$S$1204,0),4))</f>
        <v/>
      </c>
      <c r="E151" s="8" t="str">
        <f t="array" ref="E151">IF(147&gt;$S$1204,"",INDEX($T$5:$AJ$1204,MATCH(147,$S$5:$S$1204,0),5))</f>
        <v/>
      </c>
      <c r="F151" s="8" t="str">
        <f t="array" ref="F151">IF(147&gt;$S$1204,"",INDEX($T$5:$AJ$1204,MATCH(147,$S$5:$S$1204,0),6))</f>
        <v/>
      </c>
      <c r="G151" s="8" t="str">
        <f t="array" ref="G151">IF(147&gt;$S$1204,"",INDEX($T$5:$AJ$1204,MATCH(147,$S$5:$S$1204,0),7))</f>
        <v/>
      </c>
      <c r="H151" s="8" t="str">
        <f t="array" ref="H151">IF(147&gt;$S$1204,"",INDEX($T$5:$AJ$1204,MATCH(147,$S$5:$S$1204,0),8))</f>
        <v/>
      </c>
      <c r="I151" s="8" t="str">
        <f t="array" ref="I151">IF(147&gt;$S$1204,"",INDEX($T$5:$AJ$1204,MATCH(147,$S$5:$S$1204,0),9))</f>
        <v/>
      </c>
      <c r="J151" s="14" t="str">
        <f t="array" ref="J151">IF(147&gt;$S$1204,"",INDEX($T$5:$AJ$1204,MATCH(147,$S$5:$S$1204,0),10))</f>
        <v/>
      </c>
      <c r="K151" s="8" t="str">
        <f t="array" ref="K151">IF(147&gt;$S$1204,"",INDEX($T$5:$AJ$1204,MATCH(147,$S$5:$S$1204,0),11))</f>
        <v/>
      </c>
      <c r="L151" s="8" t="str">
        <f t="array" ref="L151">IF(147&gt;$S$1204,"",INDEX($T$5:$AJ$1204,MATCH(147,$S$5:$S$1204,0),12))</f>
        <v/>
      </c>
      <c r="M151" s="8" t="str">
        <f t="array" ref="M151">IF(147&gt;$S$1204,"",INDEX($T$5:$AJ$1204,MATCH(147,$S$5:$S$1204,0),13))</f>
        <v/>
      </c>
      <c r="N151" s="8" t="str">
        <f t="array" ref="N151">IF(147&gt;$S$1204,"",INDEX($T$5:$AJ$1204,MATCH(147,$S$5:$S$1204,0),14))</f>
        <v/>
      </c>
      <c r="O151" s="15" t="str">
        <f t="array" ref="O151">IF(147&gt;$S$1204,"",INDEX($T$5:$AJ$1204,MATCH(147,$S$5:$S$1204,0),15))</f>
        <v/>
      </c>
      <c r="P151" s="8" t="str">
        <f t="array" ref="P151">IF(147&gt;$S$1204,"",INDEX($T$5:$AJ$1204,MATCH(147,$S$5:$S$1204,0),16))</f>
        <v/>
      </c>
      <c r="Q151" s="8" t="str">
        <f t="array" ref="Q151">IF(147&gt;$S$1204,"",INDEX($T$5:$AJ$1204,MATCH(147,$S$5:$S$1204,0),17))</f>
        <v/>
      </c>
      <c r="R151" s="17"/>
      <c r="S151" s="17">
        <f>S150+IF(M1_Administrativo!A155="",0,1)</f>
        <v>0</v>
      </c>
      <c r="T151" s="17" t="str">
        <f>IF(M1_Administrativo!A155="","",IF(M1_Administrativo!A155="","",M1_Administrativo!A155))</f>
        <v/>
      </c>
      <c r="U151" s="17" t="str">
        <f>IF(M1_Administrativo!A155="","",IF(M1_Administrativo!R155="","",M1_Administrativo!R155))</f>
        <v/>
      </c>
      <c r="V151" s="17" t="str">
        <f>IF(M1_Administrativo!A155="","",IF(M1_Administrativo!D155="","",M1_Administrativo!D155))</f>
        <v/>
      </c>
      <c r="W151" s="17" t="str">
        <f>IF(M1_Administrativo!A155="","",IF(M1_Administrativo!B155="","",M1_Administrativo!B155))</f>
        <v/>
      </c>
      <c r="X151" s="17" t="str">
        <f>IF(M1_Administrativo!A155="","",IF(M1_Administrativo!C155="","",M1_Administrativo!C155))</f>
        <v/>
      </c>
      <c r="Y151" s="17" t="str">
        <f>IF(M1_Administrativo!A155="","",IF(M1_Administrativo!E155="","",M1_Administrativo!E155))</f>
        <v/>
      </c>
      <c r="Z151" s="17" t="str">
        <f>IF(M1_Administrativo!A155="","",IF(M1_Administrativo!F155="","",M1_Administrativo!F155))</f>
        <v/>
      </c>
      <c r="AA151" s="17" t="str">
        <f>IF(M1_Administrativo!A155="","","M1 Administrativo")</f>
        <v/>
      </c>
      <c r="AB151" s="17" t="str">
        <f>IF(M1_Administrativo!A155="","",IF(M1_Administrativo!G155="","",M1_Administrativo!G155))</f>
        <v/>
      </c>
      <c r="AC151" s="17" t="str">
        <f>IF(M1_Administrativo!A155="","",IF(M1_Administrativo!M155="","",M1_Administrativo!M155))</f>
        <v/>
      </c>
      <c r="AD151" s="17" t="str">
        <f>IF(M1_Administrativo!A155="","","RA")</f>
        <v/>
      </c>
      <c r="AE151" s="17" t="str">
        <f>IF(M1_Administrativo!A155="","",IF(M1_Administrativo!O155="","",M1_Administrativo!O155))</f>
        <v/>
      </c>
      <c r="AF151" s="17" t="str">
        <f>IF(M1_Administrativo!A155="","",IF(M1_Administrativo!P155="","",M1_Administrativo!P155))</f>
        <v/>
      </c>
      <c r="AG151" s="17" t="str">
        <f>IF(M1_Administrativo!A155="","",IF(M1_Administrativo!Q155="","",M1_Administrativo!Q155))</f>
        <v/>
      </c>
      <c r="AH151" s="17" t="str">
        <f>IF(M1_Administrativo!A155="","","")</f>
        <v/>
      </c>
      <c r="AI151" s="17" t="str">
        <f>IF(M1_Administrativo!A155="","","M1_Administrativo!155")</f>
        <v/>
      </c>
      <c r="AJ151" s="17" t="str">
        <f>IF(M1_Administrativo!A155="","",IF(M1_Administrativo!M155="","Pendiente de resultado","Disponible"))</f>
        <v/>
      </c>
    </row>
    <row r="152" spans="1:36" ht="55.5" customHeight="1">
      <c r="A152" s="6" t="str">
        <f t="array" ref="A152">IF(148&gt;$S$1204,"",INDEX($T$5:$AJ$1204,MATCH(148,$S$5:$S$1204,0),1))</f>
        <v/>
      </c>
      <c r="B152" s="8" t="str">
        <f t="array" ref="B152">IF(148&gt;$S$1204,"",INDEX($T$5:$AJ$1204,MATCH(148,$S$5:$S$1204,0),2))</f>
        <v/>
      </c>
      <c r="C152" s="10" t="str">
        <f t="array" ref="C152">IF(148&gt;$S$1204,"",INDEX($T$5:$AJ$1204,MATCH(148,$S$5:$S$1204,0),3))</f>
        <v/>
      </c>
      <c r="D152" s="8" t="str">
        <f t="array" ref="D152">IF(148&gt;$S$1204,"",INDEX($T$5:$AJ$1204,MATCH(148,$S$5:$S$1204,0),4))</f>
        <v/>
      </c>
      <c r="E152" s="8" t="str">
        <f t="array" ref="E152">IF(148&gt;$S$1204,"",INDEX($T$5:$AJ$1204,MATCH(148,$S$5:$S$1204,0),5))</f>
        <v/>
      </c>
      <c r="F152" s="8" t="str">
        <f t="array" ref="F152">IF(148&gt;$S$1204,"",INDEX($T$5:$AJ$1204,MATCH(148,$S$5:$S$1204,0),6))</f>
        <v/>
      </c>
      <c r="G152" s="8" t="str">
        <f t="array" ref="G152">IF(148&gt;$S$1204,"",INDEX($T$5:$AJ$1204,MATCH(148,$S$5:$S$1204,0),7))</f>
        <v/>
      </c>
      <c r="H152" s="8" t="str">
        <f t="array" ref="H152">IF(148&gt;$S$1204,"",INDEX($T$5:$AJ$1204,MATCH(148,$S$5:$S$1204,0),8))</f>
        <v/>
      </c>
      <c r="I152" s="8" t="str">
        <f t="array" ref="I152">IF(148&gt;$S$1204,"",INDEX($T$5:$AJ$1204,MATCH(148,$S$5:$S$1204,0),9))</f>
        <v/>
      </c>
      <c r="J152" s="14" t="str">
        <f t="array" ref="J152">IF(148&gt;$S$1204,"",INDEX($T$5:$AJ$1204,MATCH(148,$S$5:$S$1204,0),10))</f>
        <v/>
      </c>
      <c r="K152" s="8" t="str">
        <f t="array" ref="K152">IF(148&gt;$S$1204,"",INDEX($T$5:$AJ$1204,MATCH(148,$S$5:$S$1204,0),11))</f>
        <v/>
      </c>
      <c r="L152" s="8" t="str">
        <f t="array" ref="L152">IF(148&gt;$S$1204,"",INDEX($T$5:$AJ$1204,MATCH(148,$S$5:$S$1204,0),12))</f>
        <v/>
      </c>
      <c r="M152" s="8" t="str">
        <f t="array" ref="M152">IF(148&gt;$S$1204,"",INDEX($T$5:$AJ$1204,MATCH(148,$S$5:$S$1204,0),13))</f>
        <v/>
      </c>
      <c r="N152" s="8" t="str">
        <f t="array" ref="N152">IF(148&gt;$S$1204,"",INDEX($T$5:$AJ$1204,MATCH(148,$S$5:$S$1204,0),14))</f>
        <v/>
      </c>
      <c r="O152" s="15" t="str">
        <f t="array" ref="O152">IF(148&gt;$S$1204,"",INDEX($T$5:$AJ$1204,MATCH(148,$S$5:$S$1204,0),15))</f>
        <v/>
      </c>
      <c r="P152" s="8" t="str">
        <f t="array" ref="P152">IF(148&gt;$S$1204,"",INDEX($T$5:$AJ$1204,MATCH(148,$S$5:$S$1204,0),16))</f>
        <v/>
      </c>
      <c r="Q152" s="8" t="str">
        <f t="array" ref="Q152">IF(148&gt;$S$1204,"",INDEX($T$5:$AJ$1204,MATCH(148,$S$5:$S$1204,0),17))</f>
        <v/>
      </c>
      <c r="R152" s="17"/>
      <c r="S152" s="17">
        <f>S151+IF(M1_Administrativo!A156="",0,1)</f>
        <v>0</v>
      </c>
      <c r="T152" s="17" t="str">
        <f>IF(M1_Administrativo!A156="","",IF(M1_Administrativo!A156="","",M1_Administrativo!A156))</f>
        <v/>
      </c>
      <c r="U152" s="17" t="str">
        <f>IF(M1_Administrativo!A156="","",IF(M1_Administrativo!R156="","",M1_Administrativo!R156))</f>
        <v/>
      </c>
      <c r="V152" s="17" t="str">
        <f>IF(M1_Administrativo!A156="","",IF(M1_Administrativo!D156="","",M1_Administrativo!D156))</f>
        <v/>
      </c>
      <c r="W152" s="17" t="str">
        <f>IF(M1_Administrativo!A156="","",IF(M1_Administrativo!B156="","",M1_Administrativo!B156))</f>
        <v/>
      </c>
      <c r="X152" s="17" t="str">
        <f>IF(M1_Administrativo!A156="","",IF(M1_Administrativo!C156="","",M1_Administrativo!C156))</f>
        <v/>
      </c>
      <c r="Y152" s="17" t="str">
        <f>IF(M1_Administrativo!A156="","",IF(M1_Administrativo!E156="","",M1_Administrativo!E156))</f>
        <v/>
      </c>
      <c r="Z152" s="17" t="str">
        <f>IF(M1_Administrativo!A156="","",IF(M1_Administrativo!F156="","",M1_Administrativo!F156))</f>
        <v/>
      </c>
      <c r="AA152" s="17" t="str">
        <f>IF(M1_Administrativo!A156="","","M1 Administrativo")</f>
        <v/>
      </c>
      <c r="AB152" s="17" t="str">
        <f>IF(M1_Administrativo!A156="","",IF(M1_Administrativo!G156="","",M1_Administrativo!G156))</f>
        <v/>
      </c>
      <c r="AC152" s="17" t="str">
        <f>IF(M1_Administrativo!A156="","",IF(M1_Administrativo!M156="","",M1_Administrativo!M156))</f>
        <v/>
      </c>
      <c r="AD152" s="17" t="str">
        <f>IF(M1_Administrativo!A156="","","RA")</f>
        <v/>
      </c>
      <c r="AE152" s="17" t="str">
        <f>IF(M1_Administrativo!A156="","",IF(M1_Administrativo!O156="","",M1_Administrativo!O156))</f>
        <v/>
      </c>
      <c r="AF152" s="17" t="str">
        <f>IF(M1_Administrativo!A156="","",IF(M1_Administrativo!P156="","",M1_Administrativo!P156))</f>
        <v/>
      </c>
      <c r="AG152" s="17" t="str">
        <f>IF(M1_Administrativo!A156="","",IF(M1_Administrativo!Q156="","",M1_Administrativo!Q156))</f>
        <v/>
      </c>
      <c r="AH152" s="17" t="str">
        <f>IF(M1_Administrativo!A156="","","")</f>
        <v/>
      </c>
      <c r="AI152" s="17" t="str">
        <f>IF(M1_Administrativo!A156="","","M1_Administrativo!156")</f>
        <v/>
      </c>
      <c r="AJ152" s="17" t="str">
        <f>IF(M1_Administrativo!A156="","",IF(M1_Administrativo!M156="","Pendiente de resultado","Disponible"))</f>
        <v/>
      </c>
    </row>
    <row r="153" spans="1:36" ht="55.5" customHeight="1">
      <c r="A153" s="6" t="str">
        <f t="array" ref="A153">IF(149&gt;$S$1204,"",INDEX($T$5:$AJ$1204,MATCH(149,$S$5:$S$1204,0),1))</f>
        <v/>
      </c>
      <c r="B153" s="8" t="str">
        <f t="array" ref="B153">IF(149&gt;$S$1204,"",INDEX($T$5:$AJ$1204,MATCH(149,$S$5:$S$1204,0),2))</f>
        <v/>
      </c>
      <c r="C153" s="10" t="str">
        <f t="array" ref="C153">IF(149&gt;$S$1204,"",INDEX($T$5:$AJ$1204,MATCH(149,$S$5:$S$1204,0),3))</f>
        <v/>
      </c>
      <c r="D153" s="8" t="str">
        <f t="array" ref="D153">IF(149&gt;$S$1204,"",INDEX($T$5:$AJ$1204,MATCH(149,$S$5:$S$1204,0),4))</f>
        <v/>
      </c>
      <c r="E153" s="8" t="str">
        <f t="array" ref="E153">IF(149&gt;$S$1204,"",INDEX($T$5:$AJ$1204,MATCH(149,$S$5:$S$1204,0),5))</f>
        <v/>
      </c>
      <c r="F153" s="8" t="str">
        <f t="array" ref="F153">IF(149&gt;$S$1204,"",INDEX($T$5:$AJ$1204,MATCH(149,$S$5:$S$1204,0),6))</f>
        <v/>
      </c>
      <c r="G153" s="8" t="str">
        <f t="array" ref="G153">IF(149&gt;$S$1204,"",INDEX($T$5:$AJ$1204,MATCH(149,$S$5:$S$1204,0),7))</f>
        <v/>
      </c>
      <c r="H153" s="8" t="str">
        <f t="array" ref="H153">IF(149&gt;$S$1204,"",INDEX($T$5:$AJ$1204,MATCH(149,$S$5:$S$1204,0),8))</f>
        <v/>
      </c>
      <c r="I153" s="8" t="str">
        <f t="array" ref="I153">IF(149&gt;$S$1204,"",INDEX($T$5:$AJ$1204,MATCH(149,$S$5:$S$1204,0),9))</f>
        <v/>
      </c>
      <c r="J153" s="14" t="str">
        <f t="array" ref="J153">IF(149&gt;$S$1204,"",INDEX($T$5:$AJ$1204,MATCH(149,$S$5:$S$1204,0),10))</f>
        <v/>
      </c>
      <c r="K153" s="8" t="str">
        <f t="array" ref="K153">IF(149&gt;$S$1204,"",INDEX($T$5:$AJ$1204,MATCH(149,$S$5:$S$1204,0),11))</f>
        <v/>
      </c>
      <c r="L153" s="8" t="str">
        <f t="array" ref="L153">IF(149&gt;$S$1204,"",INDEX($T$5:$AJ$1204,MATCH(149,$S$5:$S$1204,0),12))</f>
        <v/>
      </c>
      <c r="M153" s="8" t="str">
        <f t="array" ref="M153">IF(149&gt;$S$1204,"",INDEX($T$5:$AJ$1204,MATCH(149,$S$5:$S$1204,0),13))</f>
        <v/>
      </c>
      <c r="N153" s="8" t="str">
        <f t="array" ref="N153">IF(149&gt;$S$1204,"",INDEX($T$5:$AJ$1204,MATCH(149,$S$5:$S$1204,0),14))</f>
        <v/>
      </c>
      <c r="O153" s="15" t="str">
        <f t="array" ref="O153">IF(149&gt;$S$1204,"",INDEX($T$5:$AJ$1204,MATCH(149,$S$5:$S$1204,0),15))</f>
        <v/>
      </c>
      <c r="P153" s="8" t="str">
        <f t="array" ref="P153">IF(149&gt;$S$1204,"",INDEX($T$5:$AJ$1204,MATCH(149,$S$5:$S$1204,0),16))</f>
        <v/>
      </c>
      <c r="Q153" s="8" t="str">
        <f t="array" ref="Q153">IF(149&gt;$S$1204,"",INDEX($T$5:$AJ$1204,MATCH(149,$S$5:$S$1204,0),17))</f>
        <v/>
      </c>
      <c r="R153" s="17"/>
      <c r="S153" s="17">
        <f>S152+IF(M1_Administrativo!A157="",0,1)</f>
        <v>0</v>
      </c>
      <c r="T153" s="17" t="str">
        <f>IF(M1_Administrativo!A157="","",IF(M1_Administrativo!A157="","",M1_Administrativo!A157))</f>
        <v/>
      </c>
      <c r="U153" s="17" t="str">
        <f>IF(M1_Administrativo!A157="","",IF(M1_Administrativo!R157="","",M1_Administrativo!R157))</f>
        <v/>
      </c>
      <c r="V153" s="17" t="str">
        <f>IF(M1_Administrativo!A157="","",IF(M1_Administrativo!D157="","",M1_Administrativo!D157))</f>
        <v/>
      </c>
      <c r="W153" s="17" t="str">
        <f>IF(M1_Administrativo!A157="","",IF(M1_Administrativo!B157="","",M1_Administrativo!B157))</f>
        <v/>
      </c>
      <c r="X153" s="17" t="str">
        <f>IF(M1_Administrativo!A157="","",IF(M1_Administrativo!C157="","",M1_Administrativo!C157))</f>
        <v/>
      </c>
      <c r="Y153" s="17" t="str">
        <f>IF(M1_Administrativo!A157="","",IF(M1_Administrativo!E157="","",M1_Administrativo!E157))</f>
        <v/>
      </c>
      <c r="Z153" s="17" t="str">
        <f>IF(M1_Administrativo!A157="","",IF(M1_Administrativo!F157="","",M1_Administrativo!F157))</f>
        <v/>
      </c>
      <c r="AA153" s="17" t="str">
        <f>IF(M1_Administrativo!A157="","","M1 Administrativo")</f>
        <v/>
      </c>
      <c r="AB153" s="17" t="str">
        <f>IF(M1_Administrativo!A157="","",IF(M1_Administrativo!G157="","",M1_Administrativo!G157))</f>
        <v/>
      </c>
      <c r="AC153" s="17" t="str">
        <f>IF(M1_Administrativo!A157="","",IF(M1_Administrativo!M157="","",M1_Administrativo!M157))</f>
        <v/>
      </c>
      <c r="AD153" s="17" t="str">
        <f>IF(M1_Administrativo!A157="","","RA")</f>
        <v/>
      </c>
      <c r="AE153" s="17" t="str">
        <f>IF(M1_Administrativo!A157="","",IF(M1_Administrativo!O157="","",M1_Administrativo!O157))</f>
        <v/>
      </c>
      <c r="AF153" s="17" t="str">
        <f>IF(M1_Administrativo!A157="","",IF(M1_Administrativo!P157="","",M1_Administrativo!P157))</f>
        <v/>
      </c>
      <c r="AG153" s="17" t="str">
        <f>IF(M1_Administrativo!A157="","",IF(M1_Administrativo!Q157="","",M1_Administrativo!Q157))</f>
        <v/>
      </c>
      <c r="AH153" s="17" t="str">
        <f>IF(M1_Administrativo!A157="","","")</f>
        <v/>
      </c>
      <c r="AI153" s="17" t="str">
        <f>IF(M1_Administrativo!A157="","","M1_Administrativo!157")</f>
        <v/>
      </c>
      <c r="AJ153" s="17" t="str">
        <f>IF(M1_Administrativo!A157="","",IF(M1_Administrativo!M157="","Pendiente de resultado","Disponible"))</f>
        <v/>
      </c>
    </row>
    <row r="154" spans="1:36" ht="55.5" customHeight="1">
      <c r="A154" s="6" t="str">
        <f t="array" ref="A154">IF(150&gt;$S$1204,"",INDEX($T$5:$AJ$1204,MATCH(150,$S$5:$S$1204,0),1))</f>
        <v/>
      </c>
      <c r="B154" s="8" t="str">
        <f t="array" ref="B154">IF(150&gt;$S$1204,"",INDEX($T$5:$AJ$1204,MATCH(150,$S$5:$S$1204,0),2))</f>
        <v/>
      </c>
      <c r="C154" s="10" t="str">
        <f t="array" ref="C154">IF(150&gt;$S$1204,"",INDEX($T$5:$AJ$1204,MATCH(150,$S$5:$S$1204,0),3))</f>
        <v/>
      </c>
      <c r="D154" s="8" t="str">
        <f t="array" ref="D154">IF(150&gt;$S$1204,"",INDEX($T$5:$AJ$1204,MATCH(150,$S$5:$S$1204,0),4))</f>
        <v/>
      </c>
      <c r="E154" s="8" t="str">
        <f t="array" ref="E154">IF(150&gt;$S$1204,"",INDEX($T$5:$AJ$1204,MATCH(150,$S$5:$S$1204,0),5))</f>
        <v/>
      </c>
      <c r="F154" s="8" t="str">
        <f t="array" ref="F154">IF(150&gt;$S$1204,"",INDEX($T$5:$AJ$1204,MATCH(150,$S$5:$S$1204,0),6))</f>
        <v/>
      </c>
      <c r="G154" s="8" t="str">
        <f t="array" ref="G154">IF(150&gt;$S$1204,"",INDEX($T$5:$AJ$1204,MATCH(150,$S$5:$S$1204,0),7))</f>
        <v/>
      </c>
      <c r="H154" s="8" t="str">
        <f t="array" ref="H154">IF(150&gt;$S$1204,"",INDEX($T$5:$AJ$1204,MATCH(150,$S$5:$S$1204,0),8))</f>
        <v/>
      </c>
      <c r="I154" s="8" t="str">
        <f t="array" ref="I154">IF(150&gt;$S$1204,"",INDEX($T$5:$AJ$1204,MATCH(150,$S$5:$S$1204,0),9))</f>
        <v/>
      </c>
      <c r="J154" s="14" t="str">
        <f t="array" ref="J154">IF(150&gt;$S$1204,"",INDEX($T$5:$AJ$1204,MATCH(150,$S$5:$S$1204,0),10))</f>
        <v/>
      </c>
      <c r="K154" s="8" t="str">
        <f t="array" ref="K154">IF(150&gt;$S$1204,"",INDEX($T$5:$AJ$1204,MATCH(150,$S$5:$S$1204,0),11))</f>
        <v/>
      </c>
      <c r="L154" s="8" t="str">
        <f t="array" ref="L154">IF(150&gt;$S$1204,"",INDEX($T$5:$AJ$1204,MATCH(150,$S$5:$S$1204,0),12))</f>
        <v/>
      </c>
      <c r="M154" s="8" t="str">
        <f t="array" ref="M154">IF(150&gt;$S$1204,"",INDEX($T$5:$AJ$1204,MATCH(150,$S$5:$S$1204,0),13))</f>
        <v/>
      </c>
      <c r="N154" s="8" t="str">
        <f t="array" ref="N154">IF(150&gt;$S$1204,"",INDEX($T$5:$AJ$1204,MATCH(150,$S$5:$S$1204,0),14))</f>
        <v/>
      </c>
      <c r="O154" s="15" t="str">
        <f t="array" ref="O154">IF(150&gt;$S$1204,"",INDEX($T$5:$AJ$1204,MATCH(150,$S$5:$S$1204,0),15))</f>
        <v/>
      </c>
      <c r="P154" s="8" t="str">
        <f t="array" ref="P154">IF(150&gt;$S$1204,"",INDEX($T$5:$AJ$1204,MATCH(150,$S$5:$S$1204,0),16))</f>
        <v/>
      </c>
      <c r="Q154" s="8" t="str">
        <f t="array" ref="Q154">IF(150&gt;$S$1204,"",INDEX($T$5:$AJ$1204,MATCH(150,$S$5:$S$1204,0),17))</f>
        <v/>
      </c>
      <c r="R154" s="17"/>
      <c r="S154" s="17">
        <f>S153+IF(M1_Administrativo!A158="",0,1)</f>
        <v>0</v>
      </c>
      <c r="T154" s="17" t="str">
        <f>IF(M1_Administrativo!A158="","",IF(M1_Administrativo!A158="","",M1_Administrativo!A158))</f>
        <v/>
      </c>
      <c r="U154" s="17" t="str">
        <f>IF(M1_Administrativo!A158="","",IF(M1_Administrativo!R158="","",M1_Administrativo!R158))</f>
        <v/>
      </c>
      <c r="V154" s="17" t="str">
        <f>IF(M1_Administrativo!A158="","",IF(M1_Administrativo!D158="","",M1_Administrativo!D158))</f>
        <v/>
      </c>
      <c r="W154" s="17" t="str">
        <f>IF(M1_Administrativo!A158="","",IF(M1_Administrativo!B158="","",M1_Administrativo!B158))</f>
        <v/>
      </c>
      <c r="X154" s="17" t="str">
        <f>IF(M1_Administrativo!A158="","",IF(M1_Administrativo!C158="","",M1_Administrativo!C158))</f>
        <v/>
      </c>
      <c r="Y154" s="17" t="str">
        <f>IF(M1_Administrativo!A158="","",IF(M1_Administrativo!E158="","",M1_Administrativo!E158))</f>
        <v/>
      </c>
      <c r="Z154" s="17" t="str">
        <f>IF(M1_Administrativo!A158="","",IF(M1_Administrativo!F158="","",M1_Administrativo!F158))</f>
        <v/>
      </c>
      <c r="AA154" s="17" t="str">
        <f>IF(M1_Administrativo!A158="","","M1 Administrativo")</f>
        <v/>
      </c>
      <c r="AB154" s="17" t="str">
        <f>IF(M1_Administrativo!A158="","",IF(M1_Administrativo!G158="","",M1_Administrativo!G158))</f>
        <v/>
      </c>
      <c r="AC154" s="17" t="str">
        <f>IF(M1_Administrativo!A158="","",IF(M1_Administrativo!M158="","",M1_Administrativo!M158))</f>
        <v/>
      </c>
      <c r="AD154" s="17" t="str">
        <f>IF(M1_Administrativo!A158="","","RA")</f>
        <v/>
      </c>
      <c r="AE154" s="17" t="str">
        <f>IF(M1_Administrativo!A158="","",IF(M1_Administrativo!O158="","",M1_Administrativo!O158))</f>
        <v/>
      </c>
      <c r="AF154" s="17" t="str">
        <f>IF(M1_Administrativo!A158="","",IF(M1_Administrativo!P158="","",M1_Administrativo!P158))</f>
        <v/>
      </c>
      <c r="AG154" s="17" t="str">
        <f>IF(M1_Administrativo!A158="","",IF(M1_Administrativo!Q158="","",M1_Administrativo!Q158))</f>
        <v/>
      </c>
      <c r="AH154" s="17" t="str">
        <f>IF(M1_Administrativo!A158="","","")</f>
        <v/>
      </c>
      <c r="AI154" s="17" t="str">
        <f>IF(M1_Administrativo!A158="","","M1_Administrativo!158")</f>
        <v/>
      </c>
      <c r="AJ154" s="17" t="str">
        <f>IF(M1_Administrativo!A158="","",IF(M1_Administrativo!M158="","Pendiente de resultado","Disponible"))</f>
        <v/>
      </c>
    </row>
    <row r="155" spans="1:36" ht="55.5" customHeight="1">
      <c r="A155" s="6" t="str">
        <f t="array" ref="A155">IF(151&gt;$S$1204,"",INDEX($T$5:$AJ$1204,MATCH(151,$S$5:$S$1204,0),1))</f>
        <v/>
      </c>
      <c r="B155" s="8" t="str">
        <f t="array" ref="B155">IF(151&gt;$S$1204,"",INDEX($T$5:$AJ$1204,MATCH(151,$S$5:$S$1204,0),2))</f>
        <v/>
      </c>
      <c r="C155" s="10" t="str">
        <f t="array" ref="C155">IF(151&gt;$S$1204,"",INDEX($T$5:$AJ$1204,MATCH(151,$S$5:$S$1204,0),3))</f>
        <v/>
      </c>
      <c r="D155" s="8" t="str">
        <f t="array" ref="D155">IF(151&gt;$S$1204,"",INDEX($T$5:$AJ$1204,MATCH(151,$S$5:$S$1204,0),4))</f>
        <v/>
      </c>
      <c r="E155" s="8" t="str">
        <f t="array" ref="E155">IF(151&gt;$S$1204,"",INDEX($T$5:$AJ$1204,MATCH(151,$S$5:$S$1204,0),5))</f>
        <v/>
      </c>
      <c r="F155" s="8" t="str">
        <f t="array" ref="F155">IF(151&gt;$S$1204,"",INDEX($T$5:$AJ$1204,MATCH(151,$S$5:$S$1204,0),6))</f>
        <v/>
      </c>
      <c r="G155" s="8" t="str">
        <f t="array" ref="G155">IF(151&gt;$S$1204,"",INDEX($T$5:$AJ$1204,MATCH(151,$S$5:$S$1204,0),7))</f>
        <v/>
      </c>
      <c r="H155" s="8" t="str">
        <f t="array" ref="H155">IF(151&gt;$S$1204,"",INDEX($T$5:$AJ$1204,MATCH(151,$S$5:$S$1204,0),8))</f>
        <v/>
      </c>
      <c r="I155" s="8" t="str">
        <f t="array" ref="I155">IF(151&gt;$S$1204,"",INDEX($T$5:$AJ$1204,MATCH(151,$S$5:$S$1204,0),9))</f>
        <v/>
      </c>
      <c r="J155" s="14" t="str">
        <f t="array" ref="J155">IF(151&gt;$S$1204,"",INDEX($T$5:$AJ$1204,MATCH(151,$S$5:$S$1204,0),10))</f>
        <v/>
      </c>
      <c r="K155" s="8" t="str">
        <f t="array" ref="K155">IF(151&gt;$S$1204,"",INDEX($T$5:$AJ$1204,MATCH(151,$S$5:$S$1204,0),11))</f>
        <v/>
      </c>
      <c r="L155" s="8" t="str">
        <f t="array" ref="L155">IF(151&gt;$S$1204,"",INDEX($T$5:$AJ$1204,MATCH(151,$S$5:$S$1204,0),12))</f>
        <v/>
      </c>
      <c r="M155" s="8" t="str">
        <f t="array" ref="M155">IF(151&gt;$S$1204,"",INDEX($T$5:$AJ$1204,MATCH(151,$S$5:$S$1204,0),13))</f>
        <v/>
      </c>
      <c r="N155" s="8" t="str">
        <f t="array" ref="N155">IF(151&gt;$S$1204,"",INDEX($T$5:$AJ$1204,MATCH(151,$S$5:$S$1204,0),14))</f>
        <v/>
      </c>
      <c r="O155" s="15" t="str">
        <f t="array" ref="O155">IF(151&gt;$S$1204,"",INDEX($T$5:$AJ$1204,MATCH(151,$S$5:$S$1204,0),15))</f>
        <v/>
      </c>
      <c r="P155" s="8" t="str">
        <f t="array" ref="P155">IF(151&gt;$S$1204,"",INDEX($T$5:$AJ$1204,MATCH(151,$S$5:$S$1204,0),16))</f>
        <v/>
      </c>
      <c r="Q155" s="8" t="str">
        <f t="array" ref="Q155">IF(151&gt;$S$1204,"",INDEX($T$5:$AJ$1204,MATCH(151,$S$5:$S$1204,0),17))</f>
        <v/>
      </c>
      <c r="R155" s="17"/>
      <c r="S155" s="17">
        <f>S154+IF(M1_Administrativo!A159="",0,1)</f>
        <v>0</v>
      </c>
      <c r="T155" s="17" t="str">
        <f>IF(M1_Administrativo!A159="","",IF(M1_Administrativo!A159="","",M1_Administrativo!A159))</f>
        <v/>
      </c>
      <c r="U155" s="17" t="str">
        <f>IF(M1_Administrativo!A159="","",IF(M1_Administrativo!R159="","",M1_Administrativo!R159))</f>
        <v/>
      </c>
      <c r="V155" s="17" t="str">
        <f>IF(M1_Administrativo!A159="","",IF(M1_Administrativo!D159="","",M1_Administrativo!D159))</f>
        <v/>
      </c>
      <c r="W155" s="17" t="str">
        <f>IF(M1_Administrativo!A159="","",IF(M1_Administrativo!B159="","",M1_Administrativo!B159))</f>
        <v/>
      </c>
      <c r="X155" s="17" t="str">
        <f>IF(M1_Administrativo!A159="","",IF(M1_Administrativo!C159="","",M1_Administrativo!C159))</f>
        <v/>
      </c>
      <c r="Y155" s="17" t="str">
        <f>IF(M1_Administrativo!A159="","",IF(M1_Administrativo!E159="","",M1_Administrativo!E159))</f>
        <v/>
      </c>
      <c r="Z155" s="17" t="str">
        <f>IF(M1_Administrativo!A159="","",IF(M1_Administrativo!F159="","",M1_Administrativo!F159))</f>
        <v/>
      </c>
      <c r="AA155" s="17" t="str">
        <f>IF(M1_Administrativo!A159="","","M1 Administrativo")</f>
        <v/>
      </c>
      <c r="AB155" s="17" t="str">
        <f>IF(M1_Administrativo!A159="","",IF(M1_Administrativo!G159="","",M1_Administrativo!G159))</f>
        <v/>
      </c>
      <c r="AC155" s="17" t="str">
        <f>IF(M1_Administrativo!A159="","",IF(M1_Administrativo!M159="","",M1_Administrativo!M159))</f>
        <v/>
      </c>
      <c r="AD155" s="17" t="str">
        <f>IF(M1_Administrativo!A159="","","RA")</f>
        <v/>
      </c>
      <c r="AE155" s="17" t="str">
        <f>IF(M1_Administrativo!A159="","",IF(M1_Administrativo!O159="","",M1_Administrativo!O159))</f>
        <v/>
      </c>
      <c r="AF155" s="17" t="str">
        <f>IF(M1_Administrativo!A159="","",IF(M1_Administrativo!P159="","",M1_Administrativo!P159))</f>
        <v/>
      </c>
      <c r="AG155" s="17" t="str">
        <f>IF(M1_Administrativo!A159="","",IF(M1_Administrativo!Q159="","",M1_Administrativo!Q159))</f>
        <v/>
      </c>
      <c r="AH155" s="17" t="str">
        <f>IF(M1_Administrativo!A159="","","")</f>
        <v/>
      </c>
      <c r="AI155" s="17" t="str">
        <f>IF(M1_Administrativo!A159="","","M1_Administrativo!159")</f>
        <v/>
      </c>
      <c r="AJ155" s="17" t="str">
        <f>IF(M1_Administrativo!A159="","",IF(M1_Administrativo!M159="","Pendiente de resultado","Disponible"))</f>
        <v/>
      </c>
    </row>
    <row r="156" spans="1:36" ht="55.5" customHeight="1">
      <c r="A156" s="6" t="str">
        <f t="array" ref="A156">IF(152&gt;$S$1204,"",INDEX($T$5:$AJ$1204,MATCH(152,$S$5:$S$1204,0),1))</f>
        <v/>
      </c>
      <c r="B156" s="8" t="str">
        <f t="array" ref="B156">IF(152&gt;$S$1204,"",INDEX($T$5:$AJ$1204,MATCH(152,$S$5:$S$1204,0),2))</f>
        <v/>
      </c>
      <c r="C156" s="10" t="str">
        <f t="array" ref="C156">IF(152&gt;$S$1204,"",INDEX($T$5:$AJ$1204,MATCH(152,$S$5:$S$1204,0),3))</f>
        <v/>
      </c>
      <c r="D156" s="8" t="str">
        <f t="array" ref="D156">IF(152&gt;$S$1204,"",INDEX($T$5:$AJ$1204,MATCH(152,$S$5:$S$1204,0),4))</f>
        <v/>
      </c>
      <c r="E156" s="8" t="str">
        <f t="array" ref="E156">IF(152&gt;$S$1204,"",INDEX($T$5:$AJ$1204,MATCH(152,$S$5:$S$1204,0),5))</f>
        <v/>
      </c>
      <c r="F156" s="8" t="str">
        <f t="array" ref="F156">IF(152&gt;$S$1204,"",INDEX($T$5:$AJ$1204,MATCH(152,$S$5:$S$1204,0),6))</f>
        <v/>
      </c>
      <c r="G156" s="8" t="str">
        <f t="array" ref="G156">IF(152&gt;$S$1204,"",INDEX($T$5:$AJ$1204,MATCH(152,$S$5:$S$1204,0),7))</f>
        <v/>
      </c>
      <c r="H156" s="8" t="str">
        <f t="array" ref="H156">IF(152&gt;$S$1204,"",INDEX($T$5:$AJ$1204,MATCH(152,$S$5:$S$1204,0),8))</f>
        <v/>
      </c>
      <c r="I156" s="8" t="str">
        <f t="array" ref="I156">IF(152&gt;$S$1204,"",INDEX($T$5:$AJ$1204,MATCH(152,$S$5:$S$1204,0),9))</f>
        <v/>
      </c>
      <c r="J156" s="14" t="str">
        <f t="array" ref="J156">IF(152&gt;$S$1204,"",INDEX($T$5:$AJ$1204,MATCH(152,$S$5:$S$1204,0),10))</f>
        <v/>
      </c>
      <c r="K156" s="8" t="str">
        <f t="array" ref="K156">IF(152&gt;$S$1204,"",INDEX($T$5:$AJ$1204,MATCH(152,$S$5:$S$1204,0),11))</f>
        <v/>
      </c>
      <c r="L156" s="8" t="str">
        <f t="array" ref="L156">IF(152&gt;$S$1204,"",INDEX($T$5:$AJ$1204,MATCH(152,$S$5:$S$1204,0),12))</f>
        <v/>
      </c>
      <c r="M156" s="8" t="str">
        <f t="array" ref="M156">IF(152&gt;$S$1204,"",INDEX($T$5:$AJ$1204,MATCH(152,$S$5:$S$1204,0),13))</f>
        <v/>
      </c>
      <c r="N156" s="8" t="str">
        <f t="array" ref="N156">IF(152&gt;$S$1204,"",INDEX($T$5:$AJ$1204,MATCH(152,$S$5:$S$1204,0),14))</f>
        <v/>
      </c>
      <c r="O156" s="15" t="str">
        <f t="array" ref="O156">IF(152&gt;$S$1204,"",INDEX($T$5:$AJ$1204,MATCH(152,$S$5:$S$1204,0),15))</f>
        <v/>
      </c>
      <c r="P156" s="8" t="str">
        <f t="array" ref="P156">IF(152&gt;$S$1204,"",INDEX($T$5:$AJ$1204,MATCH(152,$S$5:$S$1204,0),16))</f>
        <v/>
      </c>
      <c r="Q156" s="8" t="str">
        <f t="array" ref="Q156">IF(152&gt;$S$1204,"",INDEX($T$5:$AJ$1204,MATCH(152,$S$5:$S$1204,0),17))</f>
        <v/>
      </c>
      <c r="R156" s="17"/>
      <c r="S156" s="17">
        <f>S155+IF(M1_Administrativo!A160="",0,1)</f>
        <v>0</v>
      </c>
      <c r="T156" s="17" t="str">
        <f>IF(M1_Administrativo!A160="","",IF(M1_Administrativo!A160="","",M1_Administrativo!A160))</f>
        <v/>
      </c>
      <c r="U156" s="17" t="str">
        <f>IF(M1_Administrativo!A160="","",IF(M1_Administrativo!R160="","",M1_Administrativo!R160))</f>
        <v/>
      </c>
      <c r="V156" s="17" t="str">
        <f>IF(M1_Administrativo!A160="","",IF(M1_Administrativo!D160="","",M1_Administrativo!D160))</f>
        <v/>
      </c>
      <c r="W156" s="17" t="str">
        <f>IF(M1_Administrativo!A160="","",IF(M1_Administrativo!B160="","",M1_Administrativo!B160))</f>
        <v/>
      </c>
      <c r="X156" s="17" t="str">
        <f>IF(M1_Administrativo!A160="","",IF(M1_Administrativo!C160="","",M1_Administrativo!C160))</f>
        <v/>
      </c>
      <c r="Y156" s="17" t="str">
        <f>IF(M1_Administrativo!A160="","",IF(M1_Administrativo!E160="","",M1_Administrativo!E160))</f>
        <v/>
      </c>
      <c r="Z156" s="17" t="str">
        <f>IF(M1_Administrativo!A160="","",IF(M1_Administrativo!F160="","",M1_Administrativo!F160))</f>
        <v/>
      </c>
      <c r="AA156" s="17" t="str">
        <f>IF(M1_Administrativo!A160="","","M1 Administrativo")</f>
        <v/>
      </c>
      <c r="AB156" s="17" t="str">
        <f>IF(M1_Administrativo!A160="","",IF(M1_Administrativo!G160="","",M1_Administrativo!G160))</f>
        <v/>
      </c>
      <c r="AC156" s="17" t="str">
        <f>IF(M1_Administrativo!A160="","",IF(M1_Administrativo!M160="","",M1_Administrativo!M160))</f>
        <v/>
      </c>
      <c r="AD156" s="17" t="str">
        <f>IF(M1_Administrativo!A160="","","RA")</f>
        <v/>
      </c>
      <c r="AE156" s="17" t="str">
        <f>IF(M1_Administrativo!A160="","",IF(M1_Administrativo!O160="","",M1_Administrativo!O160))</f>
        <v/>
      </c>
      <c r="AF156" s="17" t="str">
        <f>IF(M1_Administrativo!A160="","",IF(M1_Administrativo!P160="","",M1_Administrativo!P160))</f>
        <v/>
      </c>
      <c r="AG156" s="17" t="str">
        <f>IF(M1_Administrativo!A160="","",IF(M1_Administrativo!Q160="","",M1_Administrativo!Q160))</f>
        <v/>
      </c>
      <c r="AH156" s="17" t="str">
        <f>IF(M1_Administrativo!A160="","","")</f>
        <v/>
      </c>
      <c r="AI156" s="17" t="str">
        <f>IF(M1_Administrativo!A160="","","M1_Administrativo!160")</f>
        <v/>
      </c>
      <c r="AJ156" s="17" t="str">
        <f>IF(M1_Administrativo!A160="","",IF(M1_Administrativo!M160="","Pendiente de resultado","Disponible"))</f>
        <v/>
      </c>
    </row>
    <row r="157" spans="1:36" ht="55.5" customHeight="1">
      <c r="A157" s="6" t="str">
        <f t="array" ref="A157">IF(153&gt;$S$1204,"",INDEX($T$5:$AJ$1204,MATCH(153,$S$5:$S$1204,0),1))</f>
        <v/>
      </c>
      <c r="B157" s="8" t="str">
        <f t="array" ref="B157">IF(153&gt;$S$1204,"",INDEX($T$5:$AJ$1204,MATCH(153,$S$5:$S$1204,0),2))</f>
        <v/>
      </c>
      <c r="C157" s="10" t="str">
        <f t="array" ref="C157">IF(153&gt;$S$1204,"",INDEX($T$5:$AJ$1204,MATCH(153,$S$5:$S$1204,0),3))</f>
        <v/>
      </c>
      <c r="D157" s="8" t="str">
        <f t="array" ref="D157">IF(153&gt;$S$1204,"",INDEX($T$5:$AJ$1204,MATCH(153,$S$5:$S$1204,0),4))</f>
        <v/>
      </c>
      <c r="E157" s="8" t="str">
        <f t="array" ref="E157">IF(153&gt;$S$1204,"",INDEX($T$5:$AJ$1204,MATCH(153,$S$5:$S$1204,0),5))</f>
        <v/>
      </c>
      <c r="F157" s="8" t="str">
        <f t="array" ref="F157">IF(153&gt;$S$1204,"",INDEX($T$5:$AJ$1204,MATCH(153,$S$5:$S$1204,0),6))</f>
        <v/>
      </c>
      <c r="G157" s="8" t="str">
        <f t="array" ref="G157">IF(153&gt;$S$1204,"",INDEX($T$5:$AJ$1204,MATCH(153,$S$5:$S$1204,0),7))</f>
        <v/>
      </c>
      <c r="H157" s="8" t="str">
        <f t="array" ref="H157">IF(153&gt;$S$1204,"",INDEX($T$5:$AJ$1204,MATCH(153,$S$5:$S$1204,0),8))</f>
        <v/>
      </c>
      <c r="I157" s="8" t="str">
        <f t="array" ref="I157">IF(153&gt;$S$1204,"",INDEX($T$5:$AJ$1204,MATCH(153,$S$5:$S$1204,0),9))</f>
        <v/>
      </c>
      <c r="J157" s="14" t="str">
        <f t="array" ref="J157">IF(153&gt;$S$1204,"",INDEX($T$5:$AJ$1204,MATCH(153,$S$5:$S$1204,0),10))</f>
        <v/>
      </c>
      <c r="K157" s="8" t="str">
        <f t="array" ref="K157">IF(153&gt;$S$1204,"",INDEX($T$5:$AJ$1204,MATCH(153,$S$5:$S$1204,0),11))</f>
        <v/>
      </c>
      <c r="L157" s="8" t="str">
        <f t="array" ref="L157">IF(153&gt;$S$1204,"",INDEX($T$5:$AJ$1204,MATCH(153,$S$5:$S$1204,0),12))</f>
        <v/>
      </c>
      <c r="M157" s="8" t="str">
        <f t="array" ref="M157">IF(153&gt;$S$1204,"",INDEX($T$5:$AJ$1204,MATCH(153,$S$5:$S$1204,0),13))</f>
        <v/>
      </c>
      <c r="N157" s="8" t="str">
        <f t="array" ref="N157">IF(153&gt;$S$1204,"",INDEX($T$5:$AJ$1204,MATCH(153,$S$5:$S$1204,0),14))</f>
        <v/>
      </c>
      <c r="O157" s="15" t="str">
        <f t="array" ref="O157">IF(153&gt;$S$1204,"",INDEX($T$5:$AJ$1204,MATCH(153,$S$5:$S$1204,0),15))</f>
        <v/>
      </c>
      <c r="P157" s="8" t="str">
        <f t="array" ref="P157">IF(153&gt;$S$1204,"",INDEX($T$5:$AJ$1204,MATCH(153,$S$5:$S$1204,0),16))</f>
        <v/>
      </c>
      <c r="Q157" s="8" t="str">
        <f t="array" ref="Q157">IF(153&gt;$S$1204,"",INDEX($T$5:$AJ$1204,MATCH(153,$S$5:$S$1204,0),17))</f>
        <v/>
      </c>
      <c r="R157" s="17"/>
      <c r="S157" s="17">
        <f>S156+IF(M1_Administrativo!A161="",0,1)</f>
        <v>0</v>
      </c>
      <c r="T157" s="17" t="str">
        <f>IF(M1_Administrativo!A161="","",IF(M1_Administrativo!A161="","",M1_Administrativo!A161))</f>
        <v/>
      </c>
      <c r="U157" s="17" t="str">
        <f>IF(M1_Administrativo!A161="","",IF(M1_Administrativo!R161="","",M1_Administrativo!R161))</f>
        <v/>
      </c>
      <c r="V157" s="17" t="str">
        <f>IF(M1_Administrativo!A161="","",IF(M1_Administrativo!D161="","",M1_Administrativo!D161))</f>
        <v/>
      </c>
      <c r="W157" s="17" t="str">
        <f>IF(M1_Administrativo!A161="","",IF(M1_Administrativo!B161="","",M1_Administrativo!B161))</f>
        <v/>
      </c>
      <c r="X157" s="17" t="str">
        <f>IF(M1_Administrativo!A161="","",IF(M1_Administrativo!C161="","",M1_Administrativo!C161))</f>
        <v/>
      </c>
      <c r="Y157" s="17" t="str">
        <f>IF(M1_Administrativo!A161="","",IF(M1_Administrativo!E161="","",M1_Administrativo!E161))</f>
        <v/>
      </c>
      <c r="Z157" s="17" t="str">
        <f>IF(M1_Administrativo!A161="","",IF(M1_Administrativo!F161="","",M1_Administrativo!F161))</f>
        <v/>
      </c>
      <c r="AA157" s="17" t="str">
        <f>IF(M1_Administrativo!A161="","","M1 Administrativo")</f>
        <v/>
      </c>
      <c r="AB157" s="17" t="str">
        <f>IF(M1_Administrativo!A161="","",IF(M1_Administrativo!G161="","",M1_Administrativo!G161))</f>
        <v/>
      </c>
      <c r="AC157" s="17" t="str">
        <f>IF(M1_Administrativo!A161="","",IF(M1_Administrativo!M161="","",M1_Administrativo!M161))</f>
        <v/>
      </c>
      <c r="AD157" s="17" t="str">
        <f>IF(M1_Administrativo!A161="","","RA")</f>
        <v/>
      </c>
      <c r="AE157" s="17" t="str">
        <f>IF(M1_Administrativo!A161="","",IF(M1_Administrativo!O161="","",M1_Administrativo!O161))</f>
        <v/>
      </c>
      <c r="AF157" s="17" t="str">
        <f>IF(M1_Administrativo!A161="","",IF(M1_Administrativo!P161="","",M1_Administrativo!P161))</f>
        <v/>
      </c>
      <c r="AG157" s="17" t="str">
        <f>IF(M1_Administrativo!A161="","",IF(M1_Administrativo!Q161="","",M1_Administrativo!Q161))</f>
        <v/>
      </c>
      <c r="AH157" s="17" t="str">
        <f>IF(M1_Administrativo!A161="","","")</f>
        <v/>
      </c>
      <c r="AI157" s="17" t="str">
        <f>IF(M1_Administrativo!A161="","","M1_Administrativo!161")</f>
        <v/>
      </c>
      <c r="AJ157" s="17" t="str">
        <f>IF(M1_Administrativo!A161="","",IF(M1_Administrativo!M161="","Pendiente de resultado","Disponible"))</f>
        <v/>
      </c>
    </row>
    <row r="158" spans="1:36" ht="55.5" customHeight="1">
      <c r="A158" s="6" t="str">
        <f t="array" ref="A158">IF(154&gt;$S$1204,"",INDEX($T$5:$AJ$1204,MATCH(154,$S$5:$S$1204,0),1))</f>
        <v/>
      </c>
      <c r="B158" s="8" t="str">
        <f t="array" ref="B158">IF(154&gt;$S$1204,"",INDEX($T$5:$AJ$1204,MATCH(154,$S$5:$S$1204,0),2))</f>
        <v/>
      </c>
      <c r="C158" s="10" t="str">
        <f t="array" ref="C158">IF(154&gt;$S$1204,"",INDEX($T$5:$AJ$1204,MATCH(154,$S$5:$S$1204,0),3))</f>
        <v/>
      </c>
      <c r="D158" s="8" t="str">
        <f t="array" ref="D158">IF(154&gt;$S$1204,"",INDEX($T$5:$AJ$1204,MATCH(154,$S$5:$S$1204,0),4))</f>
        <v/>
      </c>
      <c r="E158" s="8" t="str">
        <f t="array" ref="E158">IF(154&gt;$S$1204,"",INDEX($T$5:$AJ$1204,MATCH(154,$S$5:$S$1204,0),5))</f>
        <v/>
      </c>
      <c r="F158" s="8" t="str">
        <f t="array" ref="F158">IF(154&gt;$S$1204,"",INDEX($T$5:$AJ$1204,MATCH(154,$S$5:$S$1204,0),6))</f>
        <v/>
      </c>
      <c r="G158" s="8" t="str">
        <f t="array" ref="G158">IF(154&gt;$S$1204,"",INDEX($T$5:$AJ$1204,MATCH(154,$S$5:$S$1204,0),7))</f>
        <v/>
      </c>
      <c r="H158" s="8" t="str">
        <f t="array" ref="H158">IF(154&gt;$S$1204,"",INDEX($T$5:$AJ$1204,MATCH(154,$S$5:$S$1204,0),8))</f>
        <v/>
      </c>
      <c r="I158" s="8" t="str">
        <f t="array" ref="I158">IF(154&gt;$S$1204,"",INDEX($T$5:$AJ$1204,MATCH(154,$S$5:$S$1204,0),9))</f>
        <v/>
      </c>
      <c r="J158" s="14" t="str">
        <f t="array" ref="J158">IF(154&gt;$S$1204,"",INDEX($T$5:$AJ$1204,MATCH(154,$S$5:$S$1204,0),10))</f>
        <v/>
      </c>
      <c r="K158" s="8" t="str">
        <f t="array" ref="K158">IF(154&gt;$S$1204,"",INDEX($T$5:$AJ$1204,MATCH(154,$S$5:$S$1204,0),11))</f>
        <v/>
      </c>
      <c r="L158" s="8" t="str">
        <f t="array" ref="L158">IF(154&gt;$S$1204,"",INDEX($T$5:$AJ$1204,MATCH(154,$S$5:$S$1204,0),12))</f>
        <v/>
      </c>
      <c r="M158" s="8" t="str">
        <f t="array" ref="M158">IF(154&gt;$S$1204,"",INDEX($T$5:$AJ$1204,MATCH(154,$S$5:$S$1204,0),13))</f>
        <v/>
      </c>
      <c r="N158" s="8" t="str">
        <f t="array" ref="N158">IF(154&gt;$S$1204,"",INDEX($T$5:$AJ$1204,MATCH(154,$S$5:$S$1204,0),14))</f>
        <v/>
      </c>
      <c r="O158" s="15" t="str">
        <f t="array" ref="O158">IF(154&gt;$S$1204,"",INDEX($T$5:$AJ$1204,MATCH(154,$S$5:$S$1204,0),15))</f>
        <v/>
      </c>
      <c r="P158" s="8" t="str">
        <f t="array" ref="P158">IF(154&gt;$S$1204,"",INDEX($T$5:$AJ$1204,MATCH(154,$S$5:$S$1204,0),16))</f>
        <v/>
      </c>
      <c r="Q158" s="8" t="str">
        <f t="array" ref="Q158">IF(154&gt;$S$1204,"",INDEX($T$5:$AJ$1204,MATCH(154,$S$5:$S$1204,0),17))</f>
        <v/>
      </c>
      <c r="R158" s="17"/>
      <c r="S158" s="17">
        <f>S157+IF(M1_Administrativo!A162="",0,1)</f>
        <v>0</v>
      </c>
      <c r="T158" s="17" t="str">
        <f>IF(M1_Administrativo!A162="","",IF(M1_Administrativo!A162="","",M1_Administrativo!A162))</f>
        <v/>
      </c>
      <c r="U158" s="17" t="str">
        <f>IF(M1_Administrativo!A162="","",IF(M1_Administrativo!R162="","",M1_Administrativo!R162))</f>
        <v/>
      </c>
      <c r="V158" s="17" t="str">
        <f>IF(M1_Administrativo!A162="","",IF(M1_Administrativo!D162="","",M1_Administrativo!D162))</f>
        <v/>
      </c>
      <c r="W158" s="17" t="str">
        <f>IF(M1_Administrativo!A162="","",IF(M1_Administrativo!B162="","",M1_Administrativo!B162))</f>
        <v/>
      </c>
      <c r="X158" s="17" t="str">
        <f>IF(M1_Administrativo!A162="","",IF(M1_Administrativo!C162="","",M1_Administrativo!C162))</f>
        <v/>
      </c>
      <c r="Y158" s="17" t="str">
        <f>IF(M1_Administrativo!A162="","",IF(M1_Administrativo!E162="","",M1_Administrativo!E162))</f>
        <v/>
      </c>
      <c r="Z158" s="17" t="str">
        <f>IF(M1_Administrativo!A162="","",IF(M1_Administrativo!F162="","",M1_Administrativo!F162))</f>
        <v/>
      </c>
      <c r="AA158" s="17" t="str">
        <f>IF(M1_Administrativo!A162="","","M1 Administrativo")</f>
        <v/>
      </c>
      <c r="AB158" s="17" t="str">
        <f>IF(M1_Administrativo!A162="","",IF(M1_Administrativo!G162="","",M1_Administrativo!G162))</f>
        <v/>
      </c>
      <c r="AC158" s="17" t="str">
        <f>IF(M1_Administrativo!A162="","",IF(M1_Administrativo!M162="","",M1_Administrativo!M162))</f>
        <v/>
      </c>
      <c r="AD158" s="17" t="str">
        <f>IF(M1_Administrativo!A162="","","RA")</f>
        <v/>
      </c>
      <c r="AE158" s="17" t="str">
        <f>IF(M1_Administrativo!A162="","",IF(M1_Administrativo!O162="","",M1_Administrativo!O162))</f>
        <v/>
      </c>
      <c r="AF158" s="17" t="str">
        <f>IF(M1_Administrativo!A162="","",IF(M1_Administrativo!P162="","",M1_Administrativo!P162))</f>
        <v/>
      </c>
      <c r="AG158" s="17" t="str">
        <f>IF(M1_Administrativo!A162="","",IF(M1_Administrativo!Q162="","",M1_Administrativo!Q162))</f>
        <v/>
      </c>
      <c r="AH158" s="17" t="str">
        <f>IF(M1_Administrativo!A162="","","")</f>
        <v/>
      </c>
      <c r="AI158" s="17" t="str">
        <f>IF(M1_Administrativo!A162="","","M1_Administrativo!162")</f>
        <v/>
      </c>
      <c r="AJ158" s="17" t="str">
        <f>IF(M1_Administrativo!A162="","",IF(M1_Administrativo!M162="","Pendiente de resultado","Disponible"))</f>
        <v/>
      </c>
    </row>
    <row r="159" spans="1:36" ht="55.5" customHeight="1">
      <c r="A159" s="6" t="str">
        <f t="array" ref="A159">IF(155&gt;$S$1204,"",INDEX($T$5:$AJ$1204,MATCH(155,$S$5:$S$1204,0),1))</f>
        <v/>
      </c>
      <c r="B159" s="8" t="str">
        <f t="array" ref="B159">IF(155&gt;$S$1204,"",INDEX($T$5:$AJ$1204,MATCH(155,$S$5:$S$1204,0),2))</f>
        <v/>
      </c>
      <c r="C159" s="10" t="str">
        <f t="array" ref="C159">IF(155&gt;$S$1204,"",INDEX($T$5:$AJ$1204,MATCH(155,$S$5:$S$1204,0),3))</f>
        <v/>
      </c>
      <c r="D159" s="8" t="str">
        <f t="array" ref="D159">IF(155&gt;$S$1204,"",INDEX($T$5:$AJ$1204,MATCH(155,$S$5:$S$1204,0),4))</f>
        <v/>
      </c>
      <c r="E159" s="8" t="str">
        <f t="array" ref="E159">IF(155&gt;$S$1204,"",INDEX($T$5:$AJ$1204,MATCH(155,$S$5:$S$1204,0),5))</f>
        <v/>
      </c>
      <c r="F159" s="8" t="str">
        <f t="array" ref="F159">IF(155&gt;$S$1204,"",INDEX($T$5:$AJ$1204,MATCH(155,$S$5:$S$1204,0),6))</f>
        <v/>
      </c>
      <c r="G159" s="8" t="str">
        <f t="array" ref="G159">IF(155&gt;$S$1204,"",INDEX($T$5:$AJ$1204,MATCH(155,$S$5:$S$1204,0),7))</f>
        <v/>
      </c>
      <c r="H159" s="8" t="str">
        <f t="array" ref="H159">IF(155&gt;$S$1204,"",INDEX($T$5:$AJ$1204,MATCH(155,$S$5:$S$1204,0),8))</f>
        <v/>
      </c>
      <c r="I159" s="8" t="str">
        <f t="array" ref="I159">IF(155&gt;$S$1204,"",INDEX($T$5:$AJ$1204,MATCH(155,$S$5:$S$1204,0),9))</f>
        <v/>
      </c>
      <c r="J159" s="14" t="str">
        <f t="array" ref="J159">IF(155&gt;$S$1204,"",INDEX($T$5:$AJ$1204,MATCH(155,$S$5:$S$1204,0),10))</f>
        <v/>
      </c>
      <c r="K159" s="8" t="str">
        <f t="array" ref="K159">IF(155&gt;$S$1204,"",INDEX($T$5:$AJ$1204,MATCH(155,$S$5:$S$1204,0),11))</f>
        <v/>
      </c>
      <c r="L159" s="8" t="str">
        <f t="array" ref="L159">IF(155&gt;$S$1204,"",INDEX($T$5:$AJ$1204,MATCH(155,$S$5:$S$1204,0),12))</f>
        <v/>
      </c>
      <c r="M159" s="8" t="str">
        <f t="array" ref="M159">IF(155&gt;$S$1204,"",INDEX($T$5:$AJ$1204,MATCH(155,$S$5:$S$1204,0),13))</f>
        <v/>
      </c>
      <c r="N159" s="8" t="str">
        <f t="array" ref="N159">IF(155&gt;$S$1204,"",INDEX($T$5:$AJ$1204,MATCH(155,$S$5:$S$1204,0),14))</f>
        <v/>
      </c>
      <c r="O159" s="15" t="str">
        <f t="array" ref="O159">IF(155&gt;$S$1204,"",INDEX($T$5:$AJ$1204,MATCH(155,$S$5:$S$1204,0),15))</f>
        <v/>
      </c>
      <c r="P159" s="8" t="str">
        <f t="array" ref="P159">IF(155&gt;$S$1204,"",INDEX($T$5:$AJ$1204,MATCH(155,$S$5:$S$1204,0),16))</f>
        <v/>
      </c>
      <c r="Q159" s="8" t="str">
        <f t="array" ref="Q159">IF(155&gt;$S$1204,"",INDEX($T$5:$AJ$1204,MATCH(155,$S$5:$S$1204,0),17))</f>
        <v/>
      </c>
      <c r="R159" s="17"/>
      <c r="S159" s="17">
        <f>S158+IF(M1_Administrativo!A163="",0,1)</f>
        <v>0</v>
      </c>
      <c r="T159" s="17" t="str">
        <f>IF(M1_Administrativo!A163="","",IF(M1_Administrativo!A163="","",M1_Administrativo!A163))</f>
        <v/>
      </c>
      <c r="U159" s="17" t="str">
        <f>IF(M1_Administrativo!A163="","",IF(M1_Administrativo!R163="","",M1_Administrativo!R163))</f>
        <v/>
      </c>
      <c r="V159" s="17" t="str">
        <f>IF(M1_Administrativo!A163="","",IF(M1_Administrativo!D163="","",M1_Administrativo!D163))</f>
        <v/>
      </c>
      <c r="W159" s="17" t="str">
        <f>IF(M1_Administrativo!A163="","",IF(M1_Administrativo!B163="","",M1_Administrativo!B163))</f>
        <v/>
      </c>
      <c r="X159" s="17" t="str">
        <f>IF(M1_Administrativo!A163="","",IF(M1_Administrativo!C163="","",M1_Administrativo!C163))</f>
        <v/>
      </c>
      <c r="Y159" s="17" t="str">
        <f>IF(M1_Administrativo!A163="","",IF(M1_Administrativo!E163="","",M1_Administrativo!E163))</f>
        <v/>
      </c>
      <c r="Z159" s="17" t="str">
        <f>IF(M1_Administrativo!A163="","",IF(M1_Administrativo!F163="","",M1_Administrativo!F163))</f>
        <v/>
      </c>
      <c r="AA159" s="17" t="str">
        <f>IF(M1_Administrativo!A163="","","M1 Administrativo")</f>
        <v/>
      </c>
      <c r="AB159" s="17" t="str">
        <f>IF(M1_Administrativo!A163="","",IF(M1_Administrativo!G163="","",M1_Administrativo!G163))</f>
        <v/>
      </c>
      <c r="AC159" s="17" t="str">
        <f>IF(M1_Administrativo!A163="","",IF(M1_Administrativo!M163="","",M1_Administrativo!M163))</f>
        <v/>
      </c>
      <c r="AD159" s="17" t="str">
        <f>IF(M1_Administrativo!A163="","","RA")</f>
        <v/>
      </c>
      <c r="AE159" s="17" t="str">
        <f>IF(M1_Administrativo!A163="","",IF(M1_Administrativo!O163="","",M1_Administrativo!O163))</f>
        <v/>
      </c>
      <c r="AF159" s="17" t="str">
        <f>IF(M1_Administrativo!A163="","",IF(M1_Administrativo!P163="","",M1_Administrativo!P163))</f>
        <v/>
      </c>
      <c r="AG159" s="17" t="str">
        <f>IF(M1_Administrativo!A163="","",IF(M1_Administrativo!Q163="","",M1_Administrativo!Q163))</f>
        <v/>
      </c>
      <c r="AH159" s="17" t="str">
        <f>IF(M1_Administrativo!A163="","","")</f>
        <v/>
      </c>
      <c r="AI159" s="17" t="str">
        <f>IF(M1_Administrativo!A163="","","M1_Administrativo!163")</f>
        <v/>
      </c>
      <c r="AJ159" s="17" t="str">
        <f>IF(M1_Administrativo!A163="","",IF(M1_Administrativo!M163="","Pendiente de resultado","Disponible"))</f>
        <v/>
      </c>
    </row>
    <row r="160" spans="1:36" ht="55.5" customHeight="1">
      <c r="A160" s="6" t="str">
        <f t="array" ref="A160">IF(156&gt;$S$1204,"",INDEX($T$5:$AJ$1204,MATCH(156,$S$5:$S$1204,0),1))</f>
        <v/>
      </c>
      <c r="B160" s="8" t="str">
        <f t="array" ref="B160">IF(156&gt;$S$1204,"",INDEX($T$5:$AJ$1204,MATCH(156,$S$5:$S$1204,0),2))</f>
        <v/>
      </c>
      <c r="C160" s="10" t="str">
        <f t="array" ref="C160">IF(156&gt;$S$1204,"",INDEX($T$5:$AJ$1204,MATCH(156,$S$5:$S$1204,0),3))</f>
        <v/>
      </c>
      <c r="D160" s="8" t="str">
        <f t="array" ref="D160">IF(156&gt;$S$1204,"",INDEX($T$5:$AJ$1204,MATCH(156,$S$5:$S$1204,0),4))</f>
        <v/>
      </c>
      <c r="E160" s="8" t="str">
        <f t="array" ref="E160">IF(156&gt;$S$1204,"",INDEX($T$5:$AJ$1204,MATCH(156,$S$5:$S$1204,0),5))</f>
        <v/>
      </c>
      <c r="F160" s="8" t="str">
        <f t="array" ref="F160">IF(156&gt;$S$1204,"",INDEX($T$5:$AJ$1204,MATCH(156,$S$5:$S$1204,0),6))</f>
        <v/>
      </c>
      <c r="G160" s="8" t="str">
        <f t="array" ref="G160">IF(156&gt;$S$1204,"",INDEX($T$5:$AJ$1204,MATCH(156,$S$5:$S$1204,0),7))</f>
        <v/>
      </c>
      <c r="H160" s="8" t="str">
        <f t="array" ref="H160">IF(156&gt;$S$1204,"",INDEX($T$5:$AJ$1204,MATCH(156,$S$5:$S$1204,0),8))</f>
        <v/>
      </c>
      <c r="I160" s="8" t="str">
        <f t="array" ref="I160">IF(156&gt;$S$1204,"",INDEX($T$5:$AJ$1204,MATCH(156,$S$5:$S$1204,0),9))</f>
        <v/>
      </c>
      <c r="J160" s="14" t="str">
        <f t="array" ref="J160">IF(156&gt;$S$1204,"",INDEX($T$5:$AJ$1204,MATCH(156,$S$5:$S$1204,0),10))</f>
        <v/>
      </c>
      <c r="K160" s="8" t="str">
        <f t="array" ref="K160">IF(156&gt;$S$1204,"",INDEX($T$5:$AJ$1204,MATCH(156,$S$5:$S$1204,0),11))</f>
        <v/>
      </c>
      <c r="L160" s="8" t="str">
        <f t="array" ref="L160">IF(156&gt;$S$1204,"",INDEX($T$5:$AJ$1204,MATCH(156,$S$5:$S$1204,0),12))</f>
        <v/>
      </c>
      <c r="M160" s="8" t="str">
        <f t="array" ref="M160">IF(156&gt;$S$1204,"",INDEX($T$5:$AJ$1204,MATCH(156,$S$5:$S$1204,0),13))</f>
        <v/>
      </c>
      <c r="N160" s="8" t="str">
        <f t="array" ref="N160">IF(156&gt;$S$1204,"",INDEX($T$5:$AJ$1204,MATCH(156,$S$5:$S$1204,0),14))</f>
        <v/>
      </c>
      <c r="O160" s="15" t="str">
        <f t="array" ref="O160">IF(156&gt;$S$1204,"",INDEX($T$5:$AJ$1204,MATCH(156,$S$5:$S$1204,0),15))</f>
        <v/>
      </c>
      <c r="P160" s="8" t="str">
        <f t="array" ref="P160">IF(156&gt;$S$1204,"",INDEX($T$5:$AJ$1204,MATCH(156,$S$5:$S$1204,0),16))</f>
        <v/>
      </c>
      <c r="Q160" s="8" t="str">
        <f t="array" ref="Q160">IF(156&gt;$S$1204,"",INDEX($T$5:$AJ$1204,MATCH(156,$S$5:$S$1204,0),17))</f>
        <v/>
      </c>
      <c r="R160" s="17"/>
      <c r="S160" s="17">
        <f>S159+IF(M1_Administrativo!A164="",0,1)</f>
        <v>0</v>
      </c>
      <c r="T160" s="17" t="str">
        <f>IF(M1_Administrativo!A164="","",IF(M1_Administrativo!A164="","",M1_Administrativo!A164))</f>
        <v/>
      </c>
      <c r="U160" s="17" t="str">
        <f>IF(M1_Administrativo!A164="","",IF(M1_Administrativo!R164="","",M1_Administrativo!R164))</f>
        <v/>
      </c>
      <c r="V160" s="17" t="str">
        <f>IF(M1_Administrativo!A164="","",IF(M1_Administrativo!D164="","",M1_Administrativo!D164))</f>
        <v/>
      </c>
      <c r="W160" s="17" t="str">
        <f>IF(M1_Administrativo!A164="","",IF(M1_Administrativo!B164="","",M1_Administrativo!B164))</f>
        <v/>
      </c>
      <c r="X160" s="17" t="str">
        <f>IF(M1_Administrativo!A164="","",IF(M1_Administrativo!C164="","",M1_Administrativo!C164))</f>
        <v/>
      </c>
      <c r="Y160" s="17" t="str">
        <f>IF(M1_Administrativo!A164="","",IF(M1_Administrativo!E164="","",M1_Administrativo!E164))</f>
        <v/>
      </c>
      <c r="Z160" s="17" t="str">
        <f>IF(M1_Administrativo!A164="","",IF(M1_Administrativo!F164="","",M1_Administrativo!F164))</f>
        <v/>
      </c>
      <c r="AA160" s="17" t="str">
        <f>IF(M1_Administrativo!A164="","","M1 Administrativo")</f>
        <v/>
      </c>
      <c r="AB160" s="17" t="str">
        <f>IF(M1_Administrativo!A164="","",IF(M1_Administrativo!G164="","",M1_Administrativo!G164))</f>
        <v/>
      </c>
      <c r="AC160" s="17" t="str">
        <f>IF(M1_Administrativo!A164="","",IF(M1_Administrativo!M164="","",M1_Administrativo!M164))</f>
        <v/>
      </c>
      <c r="AD160" s="17" t="str">
        <f>IF(M1_Administrativo!A164="","","RA")</f>
        <v/>
      </c>
      <c r="AE160" s="17" t="str">
        <f>IF(M1_Administrativo!A164="","",IF(M1_Administrativo!O164="","",M1_Administrativo!O164))</f>
        <v/>
      </c>
      <c r="AF160" s="17" t="str">
        <f>IF(M1_Administrativo!A164="","",IF(M1_Administrativo!P164="","",M1_Administrativo!P164))</f>
        <v/>
      </c>
      <c r="AG160" s="17" t="str">
        <f>IF(M1_Administrativo!A164="","",IF(M1_Administrativo!Q164="","",M1_Administrativo!Q164))</f>
        <v/>
      </c>
      <c r="AH160" s="17" t="str">
        <f>IF(M1_Administrativo!A164="","","")</f>
        <v/>
      </c>
      <c r="AI160" s="17" t="str">
        <f>IF(M1_Administrativo!A164="","","M1_Administrativo!164")</f>
        <v/>
      </c>
      <c r="AJ160" s="17" t="str">
        <f>IF(M1_Administrativo!A164="","",IF(M1_Administrativo!M164="","Pendiente de resultado","Disponible"))</f>
        <v/>
      </c>
    </row>
    <row r="161" spans="1:36" ht="55.5" customHeight="1">
      <c r="A161" s="6" t="str">
        <f t="array" ref="A161">IF(157&gt;$S$1204,"",INDEX($T$5:$AJ$1204,MATCH(157,$S$5:$S$1204,0),1))</f>
        <v/>
      </c>
      <c r="B161" s="8" t="str">
        <f t="array" ref="B161">IF(157&gt;$S$1204,"",INDEX($T$5:$AJ$1204,MATCH(157,$S$5:$S$1204,0),2))</f>
        <v/>
      </c>
      <c r="C161" s="10" t="str">
        <f t="array" ref="C161">IF(157&gt;$S$1204,"",INDEX($T$5:$AJ$1204,MATCH(157,$S$5:$S$1204,0),3))</f>
        <v/>
      </c>
      <c r="D161" s="8" t="str">
        <f t="array" ref="D161">IF(157&gt;$S$1204,"",INDEX($T$5:$AJ$1204,MATCH(157,$S$5:$S$1204,0),4))</f>
        <v/>
      </c>
      <c r="E161" s="8" t="str">
        <f t="array" ref="E161">IF(157&gt;$S$1204,"",INDEX($T$5:$AJ$1204,MATCH(157,$S$5:$S$1204,0),5))</f>
        <v/>
      </c>
      <c r="F161" s="8" t="str">
        <f t="array" ref="F161">IF(157&gt;$S$1204,"",INDEX($T$5:$AJ$1204,MATCH(157,$S$5:$S$1204,0),6))</f>
        <v/>
      </c>
      <c r="G161" s="8" t="str">
        <f t="array" ref="G161">IF(157&gt;$S$1204,"",INDEX($T$5:$AJ$1204,MATCH(157,$S$5:$S$1204,0),7))</f>
        <v/>
      </c>
      <c r="H161" s="8" t="str">
        <f t="array" ref="H161">IF(157&gt;$S$1204,"",INDEX($T$5:$AJ$1204,MATCH(157,$S$5:$S$1204,0),8))</f>
        <v/>
      </c>
      <c r="I161" s="8" t="str">
        <f t="array" ref="I161">IF(157&gt;$S$1204,"",INDEX($T$5:$AJ$1204,MATCH(157,$S$5:$S$1204,0),9))</f>
        <v/>
      </c>
      <c r="J161" s="14" t="str">
        <f t="array" ref="J161">IF(157&gt;$S$1204,"",INDEX($T$5:$AJ$1204,MATCH(157,$S$5:$S$1204,0),10))</f>
        <v/>
      </c>
      <c r="K161" s="8" t="str">
        <f t="array" ref="K161">IF(157&gt;$S$1204,"",INDEX($T$5:$AJ$1204,MATCH(157,$S$5:$S$1204,0),11))</f>
        <v/>
      </c>
      <c r="L161" s="8" t="str">
        <f t="array" ref="L161">IF(157&gt;$S$1204,"",INDEX($T$5:$AJ$1204,MATCH(157,$S$5:$S$1204,0),12))</f>
        <v/>
      </c>
      <c r="M161" s="8" t="str">
        <f t="array" ref="M161">IF(157&gt;$S$1204,"",INDEX($T$5:$AJ$1204,MATCH(157,$S$5:$S$1204,0),13))</f>
        <v/>
      </c>
      <c r="N161" s="8" t="str">
        <f t="array" ref="N161">IF(157&gt;$S$1204,"",INDEX($T$5:$AJ$1204,MATCH(157,$S$5:$S$1204,0),14))</f>
        <v/>
      </c>
      <c r="O161" s="15" t="str">
        <f t="array" ref="O161">IF(157&gt;$S$1204,"",INDEX($T$5:$AJ$1204,MATCH(157,$S$5:$S$1204,0),15))</f>
        <v/>
      </c>
      <c r="P161" s="8" t="str">
        <f t="array" ref="P161">IF(157&gt;$S$1204,"",INDEX($T$5:$AJ$1204,MATCH(157,$S$5:$S$1204,0),16))</f>
        <v/>
      </c>
      <c r="Q161" s="8" t="str">
        <f t="array" ref="Q161">IF(157&gt;$S$1204,"",INDEX($T$5:$AJ$1204,MATCH(157,$S$5:$S$1204,0),17))</f>
        <v/>
      </c>
      <c r="R161" s="17"/>
      <c r="S161" s="17">
        <f>S160+IF(M1_Administrativo!A165="",0,1)</f>
        <v>0</v>
      </c>
      <c r="T161" s="17" t="str">
        <f>IF(M1_Administrativo!A165="","",IF(M1_Administrativo!A165="","",M1_Administrativo!A165))</f>
        <v/>
      </c>
      <c r="U161" s="17" t="str">
        <f>IF(M1_Administrativo!A165="","",IF(M1_Administrativo!R165="","",M1_Administrativo!R165))</f>
        <v/>
      </c>
      <c r="V161" s="17" t="str">
        <f>IF(M1_Administrativo!A165="","",IF(M1_Administrativo!D165="","",M1_Administrativo!D165))</f>
        <v/>
      </c>
      <c r="W161" s="17" t="str">
        <f>IF(M1_Administrativo!A165="","",IF(M1_Administrativo!B165="","",M1_Administrativo!B165))</f>
        <v/>
      </c>
      <c r="X161" s="17" t="str">
        <f>IF(M1_Administrativo!A165="","",IF(M1_Administrativo!C165="","",M1_Administrativo!C165))</f>
        <v/>
      </c>
      <c r="Y161" s="17" t="str">
        <f>IF(M1_Administrativo!A165="","",IF(M1_Administrativo!E165="","",M1_Administrativo!E165))</f>
        <v/>
      </c>
      <c r="Z161" s="17" t="str">
        <f>IF(M1_Administrativo!A165="","",IF(M1_Administrativo!F165="","",M1_Administrativo!F165))</f>
        <v/>
      </c>
      <c r="AA161" s="17" t="str">
        <f>IF(M1_Administrativo!A165="","","M1 Administrativo")</f>
        <v/>
      </c>
      <c r="AB161" s="17" t="str">
        <f>IF(M1_Administrativo!A165="","",IF(M1_Administrativo!G165="","",M1_Administrativo!G165))</f>
        <v/>
      </c>
      <c r="AC161" s="17" t="str">
        <f>IF(M1_Administrativo!A165="","",IF(M1_Administrativo!M165="","",M1_Administrativo!M165))</f>
        <v/>
      </c>
      <c r="AD161" s="17" t="str">
        <f>IF(M1_Administrativo!A165="","","RA")</f>
        <v/>
      </c>
      <c r="AE161" s="17" t="str">
        <f>IF(M1_Administrativo!A165="","",IF(M1_Administrativo!O165="","",M1_Administrativo!O165))</f>
        <v/>
      </c>
      <c r="AF161" s="17" t="str">
        <f>IF(M1_Administrativo!A165="","",IF(M1_Administrativo!P165="","",M1_Administrativo!P165))</f>
        <v/>
      </c>
      <c r="AG161" s="17" t="str">
        <f>IF(M1_Administrativo!A165="","",IF(M1_Administrativo!Q165="","",M1_Administrativo!Q165))</f>
        <v/>
      </c>
      <c r="AH161" s="17" t="str">
        <f>IF(M1_Administrativo!A165="","","")</f>
        <v/>
      </c>
      <c r="AI161" s="17" t="str">
        <f>IF(M1_Administrativo!A165="","","M1_Administrativo!165")</f>
        <v/>
      </c>
      <c r="AJ161" s="17" t="str">
        <f>IF(M1_Administrativo!A165="","",IF(M1_Administrativo!M165="","Pendiente de resultado","Disponible"))</f>
        <v/>
      </c>
    </row>
    <row r="162" spans="1:36" ht="55.5" customHeight="1">
      <c r="A162" s="6" t="str">
        <f t="array" ref="A162">IF(158&gt;$S$1204,"",INDEX($T$5:$AJ$1204,MATCH(158,$S$5:$S$1204,0),1))</f>
        <v/>
      </c>
      <c r="B162" s="8" t="str">
        <f t="array" ref="B162">IF(158&gt;$S$1204,"",INDEX($T$5:$AJ$1204,MATCH(158,$S$5:$S$1204,0),2))</f>
        <v/>
      </c>
      <c r="C162" s="10" t="str">
        <f t="array" ref="C162">IF(158&gt;$S$1204,"",INDEX($T$5:$AJ$1204,MATCH(158,$S$5:$S$1204,0),3))</f>
        <v/>
      </c>
      <c r="D162" s="8" t="str">
        <f t="array" ref="D162">IF(158&gt;$S$1204,"",INDEX($T$5:$AJ$1204,MATCH(158,$S$5:$S$1204,0),4))</f>
        <v/>
      </c>
      <c r="E162" s="8" t="str">
        <f t="array" ref="E162">IF(158&gt;$S$1204,"",INDEX($T$5:$AJ$1204,MATCH(158,$S$5:$S$1204,0),5))</f>
        <v/>
      </c>
      <c r="F162" s="8" t="str">
        <f t="array" ref="F162">IF(158&gt;$S$1204,"",INDEX($T$5:$AJ$1204,MATCH(158,$S$5:$S$1204,0),6))</f>
        <v/>
      </c>
      <c r="G162" s="8" t="str">
        <f t="array" ref="G162">IF(158&gt;$S$1204,"",INDEX($T$5:$AJ$1204,MATCH(158,$S$5:$S$1204,0),7))</f>
        <v/>
      </c>
      <c r="H162" s="8" t="str">
        <f t="array" ref="H162">IF(158&gt;$S$1204,"",INDEX($T$5:$AJ$1204,MATCH(158,$S$5:$S$1204,0),8))</f>
        <v/>
      </c>
      <c r="I162" s="8" t="str">
        <f t="array" ref="I162">IF(158&gt;$S$1204,"",INDEX($T$5:$AJ$1204,MATCH(158,$S$5:$S$1204,0),9))</f>
        <v/>
      </c>
      <c r="J162" s="14" t="str">
        <f t="array" ref="J162">IF(158&gt;$S$1204,"",INDEX($T$5:$AJ$1204,MATCH(158,$S$5:$S$1204,0),10))</f>
        <v/>
      </c>
      <c r="K162" s="8" t="str">
        <f t="array" ref="K162">IF(158&gt;$S$1204,"",INDEX($T$5:$AJ$1204,MATCH(158,$S$5:$S$1204,0),11))</f>
        <v/>
      </c>
      <c r="L162" s="8" t="str">
        <f t="array" ref="L162">IF(158&gt;$S$1204,"",INDEX($T$5:$AJ$1204,MATCH(158,$S$5:$S$1204,0),12))</f>
        <v/>
      </c>
      <c r="M162" s="8" t="str">
        <f t="array" ref="M162">IF(158&gt;$S$1204,"",INDEX($T$5:$AJ$1204,MATCH(158,$S$5:$S$1204,0),13))</f>
        <v/>
      </c>
      <c r="N162" s="8" t="str">
        <f t="array" ref="N162">IF(158&gt;$S$1204,"",INDEX($T$5:$AJ$1204,MATCH(158,$S$5:$S$1204,0),14))</f>
        <v/>
      </c>
      <c r="O162" s="15" t="str">
        <f t="array" ref="O162">IF(158&gt;$S$1204,"",INDEX($T$5:$AJ$1204,MATCH(158,$S$5:$S$1204,0),15))</f>
        <v/>
      </c>
      <c r="P162" s="8" t="str">
        <f t="array" ref="P162">IF(158&gt;$S$1204,"",INDEX($T$5:$AJ$1204,MATCH(158,$S$5:$S$1204,0),16))</f>
        <v/>
      </c>
      <c r="Q162" s="8" t="str">
        <f t="array" ref="Q162">IF(158&gt;$S$1204,"",INDEX($T$5:$AJ$1204,MATCH(158,$S$5:$S$1204,0),17))</f>
        <v/>
      </c>
      <c r="R162" s="17"/>
      <c r="S162" s="17">
        <f>S161+IF(M1_Administrativo!A166="",0,1)</f>
        <v>0</v>
      </c>
      <c r="T162" s="17" t="str">
        <f>IF(M1_Administrativo!A166="","",IF(M1_Administrativo!A166="","",M1_Administrativo!A166))</f>
        <v/>
      </c>
      <c r="U162" s="17" t="str">
        <f>IF(M1_Administrativo!A166="","",IF(M1_Administrativo!R166="","",M1_Administrativo!R166))</f>
        <v/>
      </c>
      <c r="V162" s="17" t="str">
        <f>IF(M1_Administrativo!A166="","",IF(M1_Administrativo!D166="","",M1_Administrativo!D166))</f>
        <v/>
      </c>
      <c r="W162" s="17" t="str">
        <f>IF(M1_Administrativo!A166="","",IF(M1_Administrativo!B166="","",M1_Administrativo!B166))</f>
        <v/>
      </c>
      <c r="X162" s="17" t="str">
        <f>IF(M1_Administrativo!A166="","",IF(M1_Administrativo!C166="","",M1_Administrativo!C166))</f>
        <v/>
      </c>
      <c r="Y162" s="17" t="str">
        <f>IF(M1_Administrativo!A166="","",IF(M1_Administrativo!E166="","",M1_Administrativo!E166))</f>
        <v/>
      </c>
      <c r="Z162" s="17" t="str">
        <f>IF(M1_Administrativo!A166="","",IF(M1_Administrativo!F166="","",M1_Administrativo!F166))</f>
        <v/>
      </c>
      <c r="AA162" s="17" t="str">
        <f>IF(M1_Administrativo!A166="","","M1 Administrativo")</f>
        <v/>
      </c>
      <c r="AB162" s="17" t="str">
        <f>IF(M1_Administrativo!A166="","",IF(M1_Administrativo!G166="","",M1_Administrativo!G166))</f>
        <v/>
      </c>
      <c r="AC162" s="17" t="str">
        <f>IF(M1_Administrativo!A166="","",IF(M1_Administrativo!M166="","",M1_Administrativo!M166))</f>
        <v/>
      </c>
      <c r="AD162" s="17" t="str">
        <f>IF(M1_Administrativo!A166="","","RA")</f>
        <v/>
      </c>
      <c r="AE162" s="17" t="str">
        <f>IF(M1_Administrativo!A166="","",IF(M1_Administrativo!O166="","",M1_Administrativo!O166))</f>
        <v/>
      </c>
      <c r="AF162" s="17" t="str">
        <f>IF(M1_Administrativo!A166="","",IF(M1_Administrativo!P166="","",M1_Administrativo!P166))</f>
        <v/>
      </c>
      <c r="AG162" s="17" t="str">
        <f>IF(M1_Administrativo!A166="","",IF(M1_Administrativo!Q166="","",M1_Administrativo!Q166))</f>
        <v/>
      </c>
      <c r="AH162" s="17" t="str">
        <f>IF(M1_Administrativo!A166="","","")</f>
        <v/>
      </c>
      <c r="AI162" s="17" t="str">
        <f>IF(M1_Administrativo!A166="","","M1_Administrativo!166")</f>
        <v/>
      </c>
      <c r="AJ162" s="17" t="str">
        <f>IF(M1_Administrativo!A166="","",IF(M1_Administrativo!M166="","Pendiente de resultado","Disponible"))</f>
        <v/>
      </c>
    </row>
    <row r="163" spans="1:36" ht="55.5" customHeight="1">
      <c r="A163" s="6" t="str">
        <f t="array" ref="A163">IF(159&gt;$S$1204,"",INDEX($T$5:$AJ$1204,MATCH(159,$S$5:$S$1204,0),1))</f>
        <v/>
      </c>
      <c r="B163" s="8" t="str">
        <f t="array" ref="B163">IF(159&gt;$S$1204,"",INDEX($T$5:$AJ$1204,MATCH(159,$S$5:$S$1204,0),2))</f>
        <v/>
      </c>
      <c r="C163" s="10" t="str">
        <f t="array" ref="C163">IF(159&gt;$S$1204,"",INDEX($T$5:$AJ$1204,MATCH(159,$S$5:$S$1204,0),3))</f>
        <v/>
      </c>
      <c r="D163" s="8" t="str">
        <f t="array" ref="D163">IF(159&gt;$S$1204,"",INDEX($T$5:$AJ$1204,MATCH(159,$S$5:$S$1204,0),4))</f>
        <v/>
      </c>
      <c r="E163" s="8" t="str">
        <f t="array" ref="E163">IF(159&gt;$S$1204,"",INDEX($T$5:$AJ$1204,MATCH(159,$S$5:$S$1204,0),5))</f>
        <v/>
      </c>
      <c r="F163" s="8" t="str">
        <f t="array" ref="F163">IF(159&gt;$S$1204,"",INDEX($T$5:$AJ$1204,MATCH(159,$S$5:$S$1204,0),6))</f>
        <v/>
      </c>
      <c r="G163" s="8" t="str">
        <f t="array" ref="G163">IF(159&gt;$S$1204,"",INDEX($T$5:$AJ$1204,MATCH(159,$S$5:$S$1204,0),7))</f>
        <v/>
      </c>
      <c r="H163" s="8" t="str">
        <f t="array" ref="H163">IF(159&gt;$S$1204,"",INDEX($T$5:$AJ$1204,MATCH(159,$S$5:$S$1204,0),8))</f>
        <v/>
      </c>
      <c r="I163" s="8" t="str">
        <f t="array" ref="I163">IF(159&gt;$S$1204,"",INDEX($T$5:$AJ$1204,MATCH(159,$S$5:$S$1204,0),9))</f>
        <v/>
      </c>
      <c r="J163" s="14" t="str">
        <f t="array" ref="J163">IF(159&gt;$S$1204,"",INDEX($T$5:$AJ$1204,MATCH(159,$S$5:$S$1204,0),10))</f>
        <v/>
      </c>
      <c r="K163" s="8" t="str">
        <f t="array" ref="K163">IF(159&gt;$S$1204,"",INDEX($T$5:$AJ$1204,MATCH(159,$S$5:$S$1204,0),11))</f>
        <v/>
      </c>
      <c r="L163" s="8" t="str">
        <f t="array" ref="L163">IF(159&gt;$S$1204,"",INDEX($T$5:$AJ$1204,MATCH(159,$S$5:$S$1204,0),12))</f>
        <v/>
      </c>
      <c r="M163" s="8" t="str">
        <f t="array" ref="M163">IF(159&gt;$S$1204,"",INDEX($T$5:$AJ$1204,MATCH(159,$S$5:$S$1204,0),13))</f>
        <v/>
      </c>
      <c r="N163" s="8" t="str">
        <f t="array" ref="N163">IF(159&gt;$S$1204,"",INDEX($T$5:$AJ$1204,MATCH(159,$S$5:$S$1204,0),14))</f>
        <v/>
      </c>
      <c r="O163" s="15" t="str">
        <f t="array" ref="O163">IF(159&gt;$S$1204,"",INDEX($T$5:$AJ$1204,MATCH(159,$S$5:$S$1204,0),15))</f>
        <v/>
      </c>
      <c r="P163" s="8" t="str">
        <f t="array" ref="P163">IF(159&gt;$S$1204,"",INDEX($T$5:$AJ$1204,MATCH(159,$S$5:$S$1204,0),16))</f>
        <v/>
      </c>
      <c r="Q163" s="8" t="str">
        <f t="array" ref="Q163">IF(159&gt;$S$1204,"",INDEX($T$5:$AJ$1204,MATCH(159,$S$5:$S$1204,0),17))</f>
        <v/>
      </c>
      <c r="R163" s="17"/>
      <c r="S163" s="17">
        <f>S162+IF(M1_Administrativo!A167="",0,1)</f>
        <v>0</v>
      </c>
      <c r="T163" s="17" t="str">
        <f>IF(M1_Administrativo!A167="","",IF(M1_Administrativo!A167="","",M1_Administrativo!A167))</f>
        <v/>
      </c>
      <c r="U163" s="17" t="str">
        <f>IF(M1_Administrativo!A167="","",IF(M1_Administrativo!R167="","",M1_Administrativo!R167))</f>
        <v/>
      </c>
      <c r="V163" s="17" t="str">
        <f>IF(M1_Administrativo!A167="","",IF(M1_Administrativo!D167="","",M1_Administrativo!D167))</f>
        <v/>
      </c>
      <c r="W163" s="17" t="str">
        <f>IF(M1_Administrativo!A167="","",IF(M1_Administrativo!B167="","",M1_Administrativo!B167))</f>
        <v/>
      </c>
      <c r="X163" s="17" t="str">
        <f>IF(M1_Administrativo!A167="","",IF(M1_Administrativo!C167="","",M1_Administrativo!C167))</f>
        <v/>
      </c>
      <c r="Y163" s="17" t="str">
        <f>IF(M1_Administrativo!A167="","",IF(M1_Administrativo!E167="","",M1_Administrativo!E167))</f>
        <v/>
      </c>
      <c r="Z163" s="17" t="str">
        <f>IF(M1_Administrativo!A167="","",IF(M1_Administrativo!F167="","",M1_Administrativo!F167))</f>
        <v/>
      </c>
      <c r="AA163" s="17" t="str">
        <f>IF(M1_Administrativo!A167="","","M1 Administrativo")</f>
        <v/>
      </c>
      <c r="AB163" s="17" t="str">
        <f>IF(M1_Administrativo!A167="","",IF(M1_Administrativo!G167="","",M1_Administrativo!G167))</f>
        <v/>
      </c>
      <c r="AC163" s="17" t="str">
        <f>IF(M1_Administrativo!A167="","",IF(M1_Administrativo!M167="","",M1_Administrativo!M167))</f>
        <v/>
      </c>
      <c r="AD163" s="17" t="str">
        <f>IF(M1_Administrativo!A167="","","RA")</f>
        <v/>
      </c>
      <c r="AE163" s="17" t="str">
        <f>IF(M1_Administrativo!A167="","",IF(M1_Administrativo!O167="","",M1_Administrativo!O167))</f>
        <v/>
      </c>
      <c r="AF163" s="17" t="str">
        <f>IF(M1_Administrativo!A167="","",IF(M1_Administrativo!P167="","",M1_Administrativo!P167))</f>
        <v/>
      </c>
      <c r="AG163" s="17" t="str">
        <f>IF(M1_Administrativo!A167="","",IF(M1_Administrativo!Q167="","",M1_Administrativo!Q167))</f>
        <v/>
      </c>
      <c r="AH163" s="17" t="str">
        <f>IF(M1_Administrativo!A167="","","")</f>
        <v/>
      </c>
      <c r="AI163" s="17" t="str">
        <f>IF(M1_Administrativo!A167="","","M1_Administrativo!167")</f>
        <v/>
      </c>
      <c r="AJ163" s="17" t="str">
        <f>IF(M1_Administrativo!A167="","",IF(M1_Administrativo!M167="","Pendiente de resultado","Disponible"))</f>
        <v/>
      </c>
    </row>
    <row r="164" spans="1:36" ht="55.5" customHeight="1">
      <c r="A164" s="6" t="str">
        <f t="array" ref="A164">IF(160&gt;$S$1204,"",INDEX($T$5:$AJ$1204,MATCH(160,$S$5:$S$1204,0),1))</f>
        <v/>
      </c>
      <c r="B164" s="8" t="str">
        <f t="array" ref="B164">IF(160&gt;$S$1204,"",INDEX($T$5:$AJ$1204,MATCH(160,$S$5:$S$1204,0),2))</f>
        <v/>
      </c>
      <c r="C164" s="10" t="str">
        <f t="array" ref="C164">IF(160&gt;$S$1204,"",INDEX($T$5:$AJ$1204,MATCH(160,$S$5:$S$1204,0),3))</f>
        <v/>
      </c>
      <c r="D164" s="8" t="str">
        <f t="array" ref="D164">IF(160&gt;$S$1204,"",INDEX($T$5:$AJ$1204,MATCH(160,$S$5:$S$1204,0),4))</f>
        <v/>
      </c>
      <c r="E164" s="8" t="str">
        <f t="array" ref="E164">IF(160&gt;$S$1204,"",INDEX($T$5:$AJ$1204,MATCH(160,$S$5:$S$1204,0),5))</f>
        <v/>
      </c>
      <c r="F164" s="8" t="str">
        <f t="array" ref="F164">IF(160&gt;$S$1204,"",INDEX($T$5:$AJ$1204,MATCH(160,$S$5:$S$1204,0),6))</f>
        <v/>
      </c>
      <c r="G164" s="8" t="str">
        <f t="array" ref="G164">IF(160&gt;$S$1204,"",INDEX($T$5:$AJ$1204,MATCH(160,$S$5:$S$1204,0),7))</f>
        <v/>
      </c>
      <c r="H164" s="8" t="str">
        <f t="array" ref="H164">IF(160&gt;$S$1204,"",INDEX($T$5:$AJ$1204,MATCH(160,$S$5:$S$1204,0),8))</f>
        <v/>
      </c>
      <c r="I164" s="8" t="str">
        <f t="array" ref="I164">IF(160&gt;$S$1204,"",INDEX($T$5:$AJ$1204,MATCH(160,$S$5:$S$1204,0),9))</f>
        <v/>
      </c>
      <c r="J164" s="14" t="str">
        <f t="array" ref="J164">IF(160&gt;$S$1204,"",INDEX($T$5:$AJ$1204,MATCH(160,$S$5:$S$1204,0),10))</f>
        <v/>
      </c>
      <c r="K164" s="8" t="str">
        <f t="array" ref="K164">IF(160&gt;$S$1204,"",INDEX($T$5:$AJ$1204,MATCH(160,$S$5:$S$1204,0),11))</f>
        <v/>
      </c>
      <c r="L164" s="8" t="str">
        <f t="array" ref="L164">IF(160&gt;$S$1204,"",INDEX($T$5:$AJ$1204,MATCH(160,$S$5:$S$1204,0),12))</f>
        <v/>
      </c>
      <c r="M164" s="8" t="str">
        <f t="array" ref="M164">IF(160&gt;$S$1204,"",INDEX($T$5:$AJ$1204,MATCH(160,$S$5:$S$1204,0),13))</f>
        <v/>
      </c>
      <c r="N164" s="8" t="str">
        <f t="array" ref="N164">IF(160&gt;$S$1204,"",INDEX($T$5:$AJ$1204,MATCH(160,$S$5:$S$1204,0),14))</f>
        <v/>
      </c>
      <c r="O164" s="15" t="str">
        <f t="array" ref="O164">IF(160&gt;$S$1204,"",INDEX($T$5:$AJ$1204,MATCH(160,$S$5:$S$1204,0),15))</f>
        <v/>
      </c>
      <c r="P164" s="8" t="str">
        <f t="array" ref="P164">IF(160&gt;$S$1204,"",INDEX($T$5:$AJ$1204,MATCH(160,$S$5:$S$1204,0),16))</f>
        <v/>
      </c>
      <c r="Q164" s="8" t="str">
        <f t="array" ref="Q164">IF(160&gt;$S$1204,"",INDEX($T$5:$AJ$1204,MATCH(160,$S$5:$S$1204,0),17))</f>
        <v/>
      </c>
      <c r="R164" s="17"/>
      <c r="S164" s="17">
        <f>S163+IF(M1_Administrativo!A168="",0,1)</f>
        <v>0</v>
      </c>
      <c r="T164" s="17" t="str">
        <f>IF(M1_Administrativo!A168="","",IF(M1_Administrativo!A168="","",M1_Administrativo!A168))</f>
        <v/>
      </c>
      <c r="U164" s="17" t="str">
        <f>IF(M1_Administrativo!A168="","",IF(M1_Administrativo!R168="","",M1_Administrativo!R168))</f>
        <v/>
      </c>
      <c r="V164" s="17" t="str">
        <f>IF(M1_Administrativo!A168="","",IF(M1_Administrativo!D168="","",M1_Administrativo!D168))</f>
        <v/>
      </c>
      <c r="W164" s="17" t="str">
        <f>IF(M1_Administrativo!A168="","",IF(M1_Administrativo!B168="","",M1_Administrativo!B168))</f>
        <v/>
      </c>
      <c r="X164" s="17" t="str">
        <f>IF(M1_Administrativo!A168="","",IF(M1_Administrativo!C168="","",M1_Administrativo!C168))</f>
        <v/>
      </c>
      <c r="Y164" s="17" t="str">
        <f>IF(M1_Administrativo!A168="","",IF(M1_Administrativo!E168="","",M1_Administrativo!E168))</f>
        <v/>
      </c>
      <c r="Z164" s="17" t="str">
        <f>IF(M1_Administrativo!A168="","",IF(M1_Administrativo!F168="","",M1_Administrativo!F168))</f>
        <v/>
      </c>
      <c r="AA164" s="17" t="str">
        <f>IF(M1_Administrativo!A168="","","M1 Administrativo")</f>
        <v/>
      </c>
      <c r="AB164" s="17" t="str">
        <f>IF(M1_Administrativo!A168="","",IF(M1_Administrativo!G168="","",M1_Administrativo!G168))</f>
        <v/>
      </c>
      <c r="AC164" s="17" t="str">
        <f>IF(M1_Administrativo!A168="","",IF(M1_Administrativo!M168="","",M1_Administrativo!M168))</f>
        <v/>
      </c>
      <c r="AD164" s="17" t="str">
        <f>IF(M1_Administrativo!A168="","","RA")</f>
        <v/>
      </c>
      <c r="AE164" s="17" t="str">
        <f>IF(M1_Administrativo!A168="","",IF(M1_Administrativo!O168="","",M1_Administrativo!O168))</f>
        <v/>
      </c>
      <c r="AF164" s="17" t="str">
        <f>IF(M1_Administrativo!A168="","",IF(M1_Administrativo!P168="","",M1_Administrativo!P168))</f>
        <v/>
      </c>
      <c r="AG164" s="17" t="str">
        <f>IF(M1_Administrativo!A168="","",IF(M1_Administrativo!Q168="","",M1_Administrativo!Q168))</f>
        <v/>
      </c>
      <c r="AH164" s="17" t="str">
        <f>IF(M1_Administrativo!A168="","","")</f>
        <v/>
      </c>
      <c r="AI164" s="17" t="str">
        <f>IF(M1_Administrativo!A168="","","M1_Administrativo!168")</f>
        <v/>
      </c>
      <c r="AJ164" s="17" t="str">
        <f>IF(M1_Administrativo!A168="","",IF(M1_Administrativo!M168="","Pendiente de resultado","Disponible"))</f>
        <v/>
      </c>
    </row>
    <row r="165" spans="1:36" ht="55.5" customHeight="1">
      <c r="A165" s="6" t="str">
        <f t="array" ref="A165">IF(161&gt;$S$1204,"",INDEX($T$5:$AJ$1204,MATCH(161,$S$5:$S$1204,0),1))</f>
        <v/>
      </c>
      <c r="B165" s="8" t="str">
        <f t="array" ref="B165">IF(161&gt;$S$1204,"",INDEX($T$5:$AJ$1204,MATCH(161,$S$5:$S$1204,0),2))</f>
        <v/>
      </c>
      <c r="C165" s="10" t="str">
        <f t="array" ref="C165">IF(161&gt;$S$1204,"",INDEX($T$5:$AJ$1204,MATCH(161,$S$5:$S$1204,0),3))</f>
        <v/>
      </c>
      <c r="D165" s="8" t="str">
        <f t="array" ref="D165">IF(161&gt;$S$1204,"",INDEX($T$5:$AJ$1204,MATCH(161,$S$5:$S$1204,0),4))</f>
        <v/>
      </c>
      <c r="E165" s="8" t="str">
        <f t="array" ref="E165">IF(161&gt;$S$1204,"",INDEX($T$5:$AJ$1204,MATCH(161,$S$5:$S$1204,0),5))</f>
        <v/>
      </c>
      <c r="F165" s="8" t="str">
        <f t="array" ref="F165">IF(161&gt;$S$1204,"",INDEX($T$5:$AJ$1204,MATCH(161,$S$5:$S$1204,0),6))</f>
        <v/>
      </c>
      <c r="G165" s="8" t="str">
        <f t="array" ref="G165">IF(161&gt;$S$1204,"",INDEX($T$5:$AJ$1204,MATCH(161,$S$5:$S$1204,0),7))</f>
        <v/>
      </c>
      <c r="H165" s="8" t="str">
        <f t="array" ref="H165">IF(161&gt;$S$1204,"",INDEX($T$5:$AJ$1204,MATCH(161,$S$5:$S$1204,0),8))</f>
        <v/>
      </c>
      <c r="I165" s="8" t="str">
        <f t="array" ref="I165">IF(161&gt;$S$1204,"",INDEX($T$5:$AJ$1204,MATCH(161,$S$5:$S$1204,0),9))</f>
        <v/>
      </c>
      <c r="J165" s="14" t="str">
        <f t="array" ref="J165">IF(161&gt;$S$1204,"",INDEX($T$5:$AJ$1204,MATCH(161,$S$5:$S$1204,0),10))</f>
        <v/>
      </c>
      <c r="K165" s="8" t="str">
        <f t="array" ref="K165">IF(161&gt;$S$1204,"",INDEX($T$5:$AJ$1204,MATCH(161,$S$5:$S$1204,0),11))</f>
        <v/>
      </c>
      <c r="L165" s="8" t="str">
        <f t="array" ref="L165">IF(161&gt;$S$1204,"",INDEX($T$5:$AJ$1204,MATCH(161,$S$5:$S$1204,0),12))</f>
        <v/>
      </c>
      <c r="M165" s="8" t="str">
        <f t="array" ref="M165">IF(161&gt;$S$1204,"",INDEX($T$5:$AJ$1204,MATCH(161,$S$5:$S$1204,0),13))</f>
        <v/>
      </c>
      <c r="N165" s="8" t="str">
        <f t="array" ref="N165">IF(161&gt;$S$1204,"",INDEX($T$5:$AJ$1204,MATCH(161,$S$5:$S$1204,0),14))</f>
        <v/>
      </c>
      <c r="O165" s="15" t="str">
        <f t="array" ref="O165">IF(161&gt;$S$1204,"",INDEX($T$5:$AJ$1204,MATCH(161,$S$5:$S$1204,0),15))</f>
        <v/>
      </c>
      <c r="P165" s="8" t="str">
        <f t="array" ref="P165">IF(161&gt;$S$1204,"",INDEX($T$5:$AJ$1204,MATCH(161,$S$5:$S$1204,0),16))</f>
        <v/>
      </c>
      <c r="Q165" s="8" t="str">
        <f t="array" ref="Q165">IF(161&gt;$S$1204,"",INDEX($T$5:$AJ$1204,MATCH(161,$S$5:$S$1204,0),17))</f>
        <v/>
      </c>
      <c r="R165" s="17"/>
      <c r="S165" s="17">
        <f>S164+IF(M1_Administrativo!A169="",0,1)</f>
        <v>0</v>
      </c>
      <c r="T165" s="17" t="str">
        <f>IF(M1_Administrativo!A169="","",IF(M1_Administrativo!A169="","",M1_Administrativo!A169))</f>
        <v/>
      </c>
      <c r="U165" s="17" t="str">
        <f>IF(M1_Administrativo!A169="","",IF(M1_Administrativo!R169="","",M1_Administrativo!R169))</f>
        <v/>
      </c>
      <c r="V165" s="17" t="str">
        <f>IF(M1_Administrativo!A169="","",IF(M1_Administrativo!D169="","",M1_Administrativo!D169))</f>
        <v/>
      </c>
      <c r="W165" s="17" t="str">
        <f>IF(M1_Administrativo!A169="","",IF(M1_Administrativo!B169="","",M1_Administrativo!B169))</f>
        <v/>
      </c>
      <c r="X165" s="17" t="str">
        <f>IF(M1_Administrativo!A169="","",IF(M1_Administrativo!C169="","",M1_Administrativo!C169))</f>
        <v/>
      </c>
      <c r="Y165" s="17" t="str">
        <f>IF(M1_Administrativo!A169="","",IF(M1_Administrativo!E169="","",M1_Administrativo!E169))</f>
        <v/>
      </c>
      <c r="Z165" s="17" t="str">
        <f>IF(M1_Administrativo!A169="","",IF(M1_Administrativo!F169="","",M1_Administrativo!F169))</f>
        <v/>
      </c>
      <c r="AA165" s="17" t="str">
        <f>IF(M1_Administrativo!A169="","","M1 Administrativo")</f>
        <v/>
      </c>
      <c r="AB165" s="17" t="str">
        <f>IF(M1_Administrativo!A169="","",IF(M1_Administrativo!G169="","",M1_Administrativo!G169))</f>
        <v/>
      </c>
      <c r="AC165" s="17" t="str">
        <f>IF(M1_Administrativo!A169="","",IF(M1_Administrativo!M169="","",M1_Administrativo!M169))</f>
        <v/>
      </c>
      <c r="AD165" s="17" t="str">
        <f>IF(M1_Administrativo!A169="","","RA")</f>
        <v/>
      </c>
      <c r="AE165" s="17" t="str">
        <f>IF(M1_Administrativo!A169="","",IF(M1_Administrativo!O169="","",M1_Administrativo!O169))</f>
        <v/>
      </c>
      <c r="AF165" s="17" t="str">
        <f>IF(M1_Administrativo!A169="","",IF(M1_Administrativo!P169="","",M1_Administrativo!P169))</f>
        <v/>
      </c>
      <c r="AG165" s="17" t="str">
        <f>IF(M1_Administrativo!A169="","",IF(M1_Administrativo!Q169="","",M1_Administrativo!Q169))</f>
        <v/>
      </c>
      <c r="AH165" s="17" t="str">
        <f>IF(M1_Administrativo!A169="","","")</f>
        <v/>
      </c>
      <c r="AI165" s="17" t="str">
        <f>IF(M1_Administrativo!A169="","","M1_Administrativo!169")</f>
        <v/>
      </c>
      <c r="AJ165" s="17" t="str">
        <f>IF(M1_Administrativo!A169="","",IF(M1_Administrativo!M169="","Pendiente de resultado","Disponible"))</f>
        <v/>
      </c>
    </row>
    <row r="166" spans="1:36" ht="55.5" customHeight="1">
      <c r="A166" s="6" t="str">
        <f t="array" ref="A166">IF(162&gt;$S$1204,"",INDEX($T$5:$AJ$1204,MATCH(162,$S$5:$S$1204,0),1))</f>
        <v/>
      </c>
      <c r="B166" s="8" t="str">
        <f t="array" ref="B166">IF(162&gt;$S$1204,"",INDEX($T$5:$AJ$1204,MATCH(162,$S$5:$S$1204,0),2))</f>
        <v/>
      </c>
      <c r="C166" s="10" t="str">
        <f t="array" ref="C166">IF(162&gt;$S$1204,"",INDEX($T$5:$AJ$1204,MATCH(162,$S$5:$S$1204,0),3))</f>
        <v/>
      </c>
      <c r="D166" s="8" t="str">
        <f t="array" ref="D166">IF(162&gt;$S$1204,"",INDEX($T$5:$AJ$1204,MATCH(162,$S$5:$S$1204,0),4))</f>
        <v/>
      </c>
      <c r="E166" s="8" t="str">
        <f t="array" ref="E166">IF(162&gt;$S$1204,"",INDEX($T$5:$AJ$1204,MATCH(162,$S$5:$S$1204,0),5))</f>
        <v/>
      </c>
      <c r="F166" s="8" t="str">
        <f t="array" ref="F166">IF(162&gt;$S$1204,"",INDEX($T$5:$AJ$1204,MATCH(162,$S$5:$S$1204,0),6))</f>
        <v/>
      </c>
      <c r="G166" s="8" t="str">
        <f t="array" ref="G166">IF(162&gt;$S$1204,"",INDEX($T$5:$AJ$1204,MATCH(162,$S$5:$S$1204,0),7))</f>
        <v/>
      </c>
      <c r="H166" s="8" t="str">
        <f t="array" ref="H166">IF(162&gt;$S$1204,"",INDEX($T$5:$AJ$1204,MATCH(162,$S$5:$S$1204,0),8))</f>
        <v/>
      </c>
      <c r="I166" s="8" t="str">
        <f t="array" ref="I166">IF(162&gt;$S$1204,"",INDEX($T$5:$AJ$1204,MATCH(162,$S$5:$S$1204,0),9))</f>
        <v/>
      </c>
      <c r="J166" s="14" t="str">
        <f t="array" ref="J166">IF(162&gt;$S$1204,"",INDEX($T$5:$AJ$1204,MATCH(162,$S$5:$S$1204,0),10))</f>
        <v/>
      </c>
      <c r="K166" s="8" t="str">
        <f t="array" ref="K166">IF(162&gt;$S$1204,"",INDEX($T$5:$AJ$1204,MATCH(162,$S$5:$S$1204,0),11))</f>
        <v/>
      </c>
      <c r="L166" s="8" t="str">
        <f t="array" ref="L166">IF(162&gt;$S$1204,"",INDEX($T$5:$AJ$1204,MATCH(162,$S$5:$S$1204,0),12))</f>
        <v/>
      </c>
      <c r="M166" s="8" t="str">
        <f t="array" ref="M166">IF(162&gt;$S$1204,"",INDEX($T$5:$AJ$1204,MATCH(162,$S$5:$S$1204,0),13))</f>
        <v/>
      </c>
      <c r="N166" s="8" t="str">
        <f t="array" ref="N166">IF(162&gt;$S$1204,"",INDEX($T$5:$AJ$1204,MATCH(162,$S$5:$S$1204,0),14))</f>
        <v/>
      </c>
      <c r="O166" s="15" t="str">
        <f t="array" ref="O166">IF(162&gt;$S$1204,"",INDEX($T$5:$AJ$1204,MATCH(162,$S$5:$S$1204,0),15))</f>
        <v/>
      </c>
      <c r="P166" s="8" t="str">
        <f t="array" ref="P166">IF(162&gt;$S$1204,"",INDEX($T$5:$AJ$1204,MATCH(162,$S$5:$S$1204,0),16))</f>
        <v/>
      </c>
      <c r="Q166" s="8" t="str">
        <f t="array" ref="Q166">IF(162&gt;$S$1204,"",INDEX($T$5:$AJ$1204,MATCH(162,$S$5:$S$1204,0),17))</f>
        <v/>
      </c>
      <c r="R166" s="17"/>
      <c r="S166" s="17">
        <f>S165+IF(M1_Administrativo!A170="",0,1)</f>
        <v>0</v>
      </c>
      <c r="T166" s="17" t="str">
        <f>IF(M1_Administrativo!A170="","",IF(M1_Administrativo!A170="","",M1_Administrativo!A170))</f>
        <v/>
      </c>
      <c r="U166" s="17" t="str">
        <f>IF(M1_Administrativo!A170="","",IF(M1_Administrativo!R170="","",M1_Administrativo!R170))</f>
        <v/>
      </c>
      <c r="V166" s="17" t="str">
        <f>IF(M1_Administrativo!A170="","",IF(M1_Administrativo!D170="","",M1_Administrativo!D170))</f>
        <v/>
      </c>
      <c r="W166" s="17" t="str">
        <f>IF(M1_Administrativo!A170="","",IF(M1_Administrativo!B170="","",M1_Administrativo!B170))</f>
        <v/>
      </c>
      <c r="X166" s="17" t="str">
        <f>IF(M1_Administrativo!A170="","",IF(M1_Administrativo!C170="","",M1_Administrativo!C170))</f>
        <v/>
      </c>
      <c r="Y166" s="17" t="str">
        <f>IF(M1_Administrativo!A170="","",IF(M1_Administrativo!E170="","",M1_Administrativo!E170))</f>
        <v/>
      </c>
      <c r="Z166" s="17" t="str">
        <f>IF(M1_Administrativo!A170="","",IF(M1_Administrativo!F170="","",M1_Administrativo!F170))</f>
        <v/>
      </c>
      <c r="AA166" s="17" t="str">
        <f>IF(M1_Administrativo!A170="","","M1 Administrativo")</f>
        <v/>
      </c>
      <c r="AB166" s="17" t="str">
        <f>IF(M1_Administrativo!A170="","",IF(M1_Administrativo!G170="","",M1_Administrativo!G170))</f>
        <v/>
      </c>
      <c r="AC166" s="17" t="str">
        <f>IF(M1_Administrativo!A170="","",IF(M1_Administrativo!M170="","",M1_Administrativo!M170))</f>
        <v/>
      </c>
      <c r="AD166" s="17" t="str">
        <f>IF(M1_Administrativo!A170="","","RA")</f>
        <v/>
      </c>
      <c r="AE166" s="17" t="str">
        <f>IF(M1_Administrativo!A170="","",IF(M1_Administrativo!O170="","",M1_Administrativo!O170))</f>
        <v/>
      </c>
      <c r="AF166" s="17" t="str">
        <f>IF(M1_Administrativo!A170="","",IF(M1_Administrativo!P170="","",M1_Administrativo!P170))</f>
        <v/>
      </c>
      <c r="AG166" s="17" t="str">
        <f>IF(M1_Administrativo!A170="","",IF(M1_Administrativo!Q170="","",M1_Administrativo!Q170))</f>
        <v/>
      </c>
      <c r="AH166" s="17" t="str">
        <f>IF(M1_Administrativo!A170="","","")</f>
        <v/>
      </c>
      <c r="AI166" s="17" t="str">
        <f>IF(M1_Administrativo!A170="","","M1_Administrativo!170")</f>
        <v/>
      </c>
      <c r="AJ166" s="17" t="str">
        <f>IF(M1_Administrativo!A170="","",IF(M1_Administrativo!M170="","Pendiente de resultado","Disponible"))</f>
        <v/>
      </c>
    </row>
    <row r="167" spans="1:36" ht="55.5" customHeight="1">
      <c r="A167" s="6" t="str">
        <f t="array" ref="A167">IF(163&gt;$S$1204,"",INDEX($T$5:$AJ$1204,MATCH(163,$S$5:$S$1204,0),1))</f>
        <v/>
      </c>
      <c r="B167" s="8" t="str">
        <f t="array" ref="B167">IF(163&gt;$S$1204,"",INDEX($T$5:$AJ$1204,MATCH(163,$S$5:$S$1204,0),2))</f>
        <v/>
      </c>
      <c r="C167" s="10" t="str">
        <f t="array" ref="C167">IF(163&gt;$S$1204,"",INDEX($T$5:$AJ$1204,MATCH(163,$S$5:$S$1204,0),3))</f>
        <v/>
      </c>
      <c r="D167" s="8" t="str">
        <f t="array" ref="D167">IF(163&gt;$S$1204,"",INDEX($T$5:$AJ$1204,MATCH(163,$S$5:$S$1204,0),4))</f>
        <v/>
      </c>
      <c r="E167" s="8" t="str">
        <f t="array" ref="E167">IF(163&gt;$S$1204,"",INDEX($T$5:$AJ$1204,MATCH(163,$S$5:$S$1204,0),5))</f>
        <v/>
      </c>
      <c r="F167" s="8" t="str">
        <f t="array" ref="F167">IF(163&gt;$S$1204,"",INDEX($T$5:$AJ$1204,MATCH(163,$S$5:$S$1204,0),6))</f>
        <v/>
      </c>
      <c r="G167" s="8" t="str">
        <f t="array" ref="G167">IF(163&gt;$S$1204,"",INDEX($T$5:$AJ$1204,MATCH(163,$S$5:$S$1204,0),7))</f>
        <v/>
      </c>
      <c r="H167" s="8" t="str">
        <f t="array" ref="H167">IF(163&gt;$S$1204,"",INDEX($T$5:$AJ$1204,MATCH(163,$S$5:$S$1204,0),8))</f>
        <v/>
      </c>
      <c r="I167" s="8" t="str">
        <f t="array" ref="I167">IF(163&gt;$S$1204,"",INDEX($T$5:$AJ$1204,MATCH(163,$S$5:$S$1204,0),9))</f>
        <v/>
      </c>
      <c r="J167" s="14" t="str">
        <f t="array" ref="J167">IF(163&gt;$S$1204,"",INDEX($T$5:$AJ$1204,MATCH(163,$S$5:$S$1204,0),10))</f>
        <v/>
      </c>
      <c r="K167" s="8" t="str">
        <f t="array" ref="K167">IF(163&gt;$S$1204,"",INDEX($T$5:$AJ$1204,MATCH(163,$S$5:$S$1204,0),11))</f>
        <v/>
      </c>
      <c r="L167" s="8" t="str">
        <f t="array" ref="L167">IF(163&gt;$S$1204,"",INDEX($T$5:$AJ$1204,MATCH(163,$S$5:$S$1204,0),12))</f>
        <v/>
      </c>
      <c r="M167" s="8" t="str">
        <f t="array" ref="M167">IF(163&gt;$S$1204,"",INDEX($T$5:$AJ$1204,MATCH(163,$S$5:$S$1204,0),13))</f>
        <v/>
      </c>
      <c r="N167" s="8" t="str">
        <f t="array" ref="N167">IF(163&gt;$S$1204,"",INDEX($T$5:$AJ$1204,MATCH(163,$S$5:$S$1204,0),14))</f>
        <v/>
      </c>
      <c r="O167" s="15" t="str">
        <f t="array" ref="O167">IF(163&gt;$S$1204,"",INDEX($T$5:$AJ$1204,MATCH(163,$S$5:$S$1204,0),15))</f>
        <v/>
      </c>
      <c r="P167" s="8" t="str">
        <f t="array" ref="P167">IF(163&gt;$S$1204,"",INDEX($T$5:$AJ$1204,MATCH(163,$S$5:$S$1204,0),16))</f>
        <v/>
      </c>
      <c r="Q167" s="8" t="str">
        <f t="array" ref="Q167">IF(163&gt;$S$1204,"",INDEX($T$5:$AJ$1204,MATCH(163,$S$5:$S$1204,0),17))</f>
        <v/>
      </c>
      <c r="R167" s="17"/>
      <c r="S167" s="17">
        <f>S166+IF(M1_Administrativo!A171="",0,1)</f>
        <v>0</v>
      </c>
      <c r="T167" s="17" t="str">
        <f>IF(M1_Administrativo!A171="","",IF(M1_Administrativo!A171="","",M1_Administrativo!A171))</f>
        <v/>
      </c>
      <c r="U167" s="17" t="str">
        <f>IF(M1_Administrativo!A171="","",IF(M1_Administrativo!R171="","",M1_Administrativo!R171))</f>
        <v/>
      </c>
      <c r="V167" s="17" t="str">
        <f>IF(M1_Administrativo!A171="","",IF(M1_Administrativo!D171="","",M1_Administrativo!D171))</f>
        <v/>
      </c>
      <c r="W167" s="17" t="str">
        <f>IF(M1_Administrativo!A171="","",IF(M1_Administrativo!B171="","",M1_Administrativo!B171))</f>
        <v/>
      </c>
      <c r="X167" s="17" t="str">
        <f>IF(M1_Administrativo!A171="","",IF(M1_Administrativo!C171="","",M1_Administrativo!C171))</f>
        <v/>
      </c>
      <c r="Y167" s="17" t="str">
        <f>IF(M1_Administrativo!A171="","",IF(M1_Administrativo!E171="","",M1_Administrativo!E171))</f>
        <v/>
      </c>
      <c r="Z167" s="17" t="str">
        <f>IF(M1_Administrativo!A171="","",IF(M1_Administrativo!F171="","",M1_Administrativo!F171))</f>
        <v/>
      </c>
      <c r="AA167" s="17" t="str">
        <f>IF(M1_Administrativo!A171="","","M1 Administrativo")</f>
        <v/>
      </c>
      <c r="AB167" s="17" t="str">
        <f>IF(M1_Administrativo!A171="","",IF(M1_Administrativo!G171="","",M1_Administrativo!G171))</f>
        <v/>
      </c>
      <c r="AC167" s="17" t="str">
        <f>IF(M1_Administrativo!A171="","",IF(M1_Administrativo!M171="","",M1_Administrativo!M171))</f>
        <v/>
      </c>
      <c r="AD167" s="17" t="str">
        <f>IF(M1_Administrativo!A171="","","RA")</f>
        <v/>
      </c>
      <c r="AE167" s="17" t="str">
        <f>IF(M1_Administrativo!A171="","",IF(M1_Administrativo!O171="","",M1_Administrativo!O171))</f>
        <v/>
      </c>
      <c r="AF167" s="17" t="str">
        <f>IF(M1_Administrativo!A171="","",IF(M1_Administrativo!P171="","",M1_Administrativo!P171))</f>
        <v/>
      </c>
      <c r="AG167" s="17" t="str">
        <f>IF(M1_Administrativo!A171="","",IF(M1_Administrativo!Q171="","",M1_Administrativo!Q171))</f>
        <v/>
      </c>
      <c r="AH167" s="17" t="str">
        <f>IF(M1_Administrativo!A171="","","")</f>
        <v/>
      </c>
      <c r="AI167" s="17" t="str">
        <f>IF(M1_Administrativo!A171="","","M1_Administrativo!171")</f>
        <v/>
      </c>
      <c r="AJ167" s="17" t="str">
        <f>IF(M1_Administrativo!A171="","",IF(M1_Administrativo!M171="","Pendiente de resultado","Disponible"))</f>
        <v/>
      </c>
    </row>
    <row r="168" spans="1:36" ht="55.5" customHeight="1">
      <c r="A168" s="6" t="str">
        <f t="array" ref="A168">IF(164&gt;$S$1204,"",INDEX($T$5:$AJ$1204,MATCH(164,$S$5:$S$1204,0),1))</f>
        <v/>
      </c>
      <c r="B168" s="8" t="str">
        <f t="array" ref="B168">IF(164&gt;$S$1204,"",INDEX($T$5:$AJ$1204,MATCH(164,$S$5:$S$1204,0),2))</f>
        <v/>
      </c>
      <c r="C168" s="10" t="str">
        <f t="array" ref="C168">IF(164&gt;$S$1204,"",INDEX($T$5:$AJ$1204,MATCH(164,$S$5:$S$1204,0),3))</f>
        <v/>
      </c>
      <c r="D168" s="8" t="str">
        <f t="array" ref="D168">IF(164&gt;$S$1204,"",INDEX($T$5:$AJ$1204,MATCH(164,$S$5:$S$1204,0),4))</f>
        <v/>
      </c>
      <c r="E168" s="8" t="str">
        <f t="array" ref="E168">IF(164&gt;$S$1204,"",INDEX($T$5:$AJ$1204,MATCH(164,$S$5:$S$1204,0),5))</f>
        <v/>
      </c>
      <c r="F168" s="8" t="str">
        <f t="array" ref="F168">IF(164&gt;$S$1204,"",INDEX($T$5:$AJ$1204,MATCH(164,$S$5:$S$1204,0),6))</f>
        <v/>
      </c>
      <c r="G168" s="8" t="str">
        <f t="array" ref="G168">IF(164&gt;$S$1204,"",INDEX($T$5:$AJ$1204,MATCH(164,$S$5:$S$1204,0),7))</f>
        <v/>
      </c>
      <c r="H168" s="8" t="str">
        <f t="array" ref="H168">IF(164&gt;$S$1204,"",INDEX($T$5:$AJ$1204,MATCH(164,$S$5:$S$1204,0),8))</f>
        <v/>
      </c>
      <c r="I168" s="8" t="str">
        <f t="array" ref="I168">IF(164&gt;$S$1204,"",INDEX($T$5:$AJ$1204,MATCH(164,$S$5:$S$1204,0),9))</f>
        <v/>
      </c>
      <c r="J168" s="14" t="str">
        <f t="array" ref="J168">IF(164&gt;$S$1204,"",INDEX($T$5:$AJ$1204,MATCH(164,$S$5:$S$1204,0),10))</f>
        <v/>
      </c>
      <c r="K168" s="8" t="str">
        <f t="array" ref="K168">IF(164&gt;$S$1204,"",INDEX($T$5:$AJ$1204,MATCH(164,$S$5:$S$1204,0),11))</f>
        <v/>
      </c>
      <c r="L168" s="8" t="str">
        <f t="array" ref="L168">IF(164&gt;$S$1204,"",INDEX($T$5:$AJ$1204,MATCH(164,$S$5:$S$1204,0),12))</f>
        <v/>
      </c>
      <c r="M168" s="8" t="str">
        <f t="array" ref="M168">IF(164&gt;$S$1204,"",INDEX($T$5:$AJ$1204,MATCH(164,$S$5:$S$1204,0),13))</f>
        <v/>
      </c>
      <c r="N168" s="8" t="str">
        <f t="array" ref="N168">IF(164&gt;$S$1204,"",INDEX($T$5:$AJ$1204,MATCH(164,$S$5:$S$1204,0),14))</f>
        <v/>
      </c>
      <c r="O168" s="15" t="str">
        <f t="array" ref="O168">IF(164&gt;$S$1204,"",INDEX($T$5:$AJ$1204,MATCH(164,$S$5:$S$1204,0),15))</f>
        <v/>
      </c>
      <c r="P168" s="8" t="str">
        <f t="array" ref="P168">IF(164&gt;$S$1204,"",INDEX($T$5:$AJ$1204,MATCH(164,$S$5:$S$1204,0),16))</f>
        <v/>
      </c>
      <c r="Q168" s="8" t="str">
        <f t="array" ref="Q168">IF(164&gt;$S$1204,"",INDEX($T$5:$AJ$1204,MATCH(164,$S$5:$S$1204,0),17))</f>
        <v/>
      </c>
      <c r="R168" s="17"/>
      <c r="S168" s="17">
        <f>S167+IF(M1_Administrativo!A172="",0,1)</f>
        <v>0</v>
      </c>
      <c r="T168" s="17" t="str">
        <f>IF(M1_Administrativo!A172="","",IF(M1_Administrativo!A172="","",M1_Administrativo!A172))</f>
        <v/>
      </c>
      <c r="U168" s="17" t="str">
        <f>IF(M1_Administrativo!A172="","",IF(M1_Administrativo!R172="","",M1_Administrativo!R172))</f>
        <v/>
      </c>
      <c r="V168" s="17" t="str">
        <f>IF(M1_Administrativo!A172="","",IF(M1_Administrativo!D172="","",M1_Administrativo!D172))</f>
        <v/>
      </c>
      <c r="W168" s="17" t="str">
        <f>IF(M1_Administrativo!A172="","",IF(M1_Administrativo!B172="","",M1_Administrativo!B172))</f>
        <v/>
      </c>
      <c r="X168" s="17" t="str">
        <f>IF(M1_Administrativo!A172="","",IF(M1_Administrativo!C172="","",M1_Administrativo!C172))</f>
        <v/>
      </c>
      <c r="Y168" s="17" t="str">
        <f>IF(M1_Administrativo!A172="","",IF(M1_Administrativo!E172="","",M1_Administrativo!E172))</f>
        <v/>
      </c>
      <c r="Z168" s="17" t="str">
        <f>IF(M1_Administrativo!A172="","",IF(M1_Administrativo!F172="","",M1_Administrativo!F172))</f>
        <v/>
      </c>
      <c r="AA168" s="17" t="str">
        <f>IF(M1_Administrativo!A172="","","M1 Administrativo")</f>
        <v/>
      </c>
      <c r="AB168" s="17" t="str">
        <f>IF(M1_Administrativo!A172="","",IF(M1_Administrativo!G172="","",M1_Administrativo!G172))</f>
        <v/>
      </c>
      <c r="AC168" s="17" t="str">
        <f>IF(M1_Administrativo!A172="","",IF(M1_Administrativo!M172="","",M1_Administrativo!M172))</f>
        <v/>
      </c>
      <c r="AD168" s="17" t="str">
        <f>IF(M1_Administrativo!A172="","","RA")</f>
        <v/>
      </c>
      <c r="AE168" s="17" t="str">
        <f>IF(M1_Administrativo!A172="","",IF(M1_Administrativo!O172="","",M1_Administrativo!O172))</f>
        <v/>
      </c>
      <c r="AF168" s="17" t="str">
        <f>IF(M1_Administrativo!A172="","",IF(M1_Administrativo!P172="","",M1_Administrativo!P172))</f>
        <v/>
      </c>
      <c r="AG168" s="17" t="str">
        <f>IF(M1_Administrativo!A172="","",IF(M1_Administrativo!Q172="","",M1_Administrativo!Q172))</f>
        <v/>
      </c>
      <c r="AH168" s="17" t="str">
        <f>IF(M1_Administrativo!A172="","","")</f>
        <v/>
      </c>
      <c r="AI168" s="17" t="str">
        <f>IF(M1_Administrativo!A172="","","M1_Administrativo!172")</f>
        <v/>
      </c>
      <c r="AJ168" s="17" t="str">
        <f>IF(M1_Administrativo!A172="","",IF(M1_Administrativo!M172="","Pendiente de resultado","Disponible"))</f>
        <v/>
      </c>
    </row>
    <row r="169" spans="1:36" ht="55.5" customHeight="1">
      <c r="A169" s="6" t="str">
        <f t="array" ref="A169">IF(165&gt;$S$1204,"",INDEX($T$5:$AJ$1204,MATCH(165,$S$5:$S$1204,0),1))</f>
        <v/>
      </c>
      <c r="B169" s="8" t="str">
        <f t="array" ref="B169">IF(165&gt;$S$1204,"",INDEX($T$5:$AJ$1204,MATCH(165,$S$5:$S$1204,0),2))</f>
        <v/>
      </c>
      <c r="C169" s="10" t="str">
        <f t="array" ref="C169">IF(165&gt;$S$1204,"",INDEX($T$5:$AJ$1204,MATCH(165,$S$5:$S$1204,0),3))</f>
        <v/>
      </c>
      <c r="D169" s="8" t="str">
        <f t="array" ref="D169">IF(165&gt;$S$1204,"",INDEX($T$5:$AJ$1204,MATCH(165,$S$5:$S$1204,0),4))</f>
        <v/>
      </c>
      <c r="E169" s="8" t="str">
        <f t="array" ref="E169">IF(165&gt;$S$1204,"",INDEX($T$5:$AJ$1204,MATCH(165,$S$5:$S$1204,0),5))</f>
        <v/>
      </c>
      <c r="F169" s="8" t="str">
        <f t="array" ref="F169">IF(165&gt;$S$1204,"",INDEX($T$5:$AJ$1204,MATCH(165,$S$5:$S$1204,0),6))</f>
        <v/>
      </c>
      <c r="G169" s="8" t="str">
        <f t="array" ref="G169">IF(165&gt;$S$1204,"",INDEX($T$5:$AJ$1204,MATCH(165,$S$5:$S$1204,0),7))</f>
        <v/>
      </c>
      <c r="H169" s="8" t="str">
        <f t="array" ref="H169">IF(165&gt;$S$1204,"",INDEX($T$5:$AJ$1204,MATCH(165,$S$5:$S$1204,0),8))</f>
        <v/>
      </c>
      <c r="I169" s="8" t="str">
        <f t="array" ref="I169">IF(165&gt;$S$1204,"",INDEX($T$5:$AJ$1204,MATCH(165,$S$5:$S$1204,0),9))</f>
        <v/>
      </c>
      <c r="J169" s="14" t="str">
        <f t="array" ref="J169">IF(165&gt;$S$1204,"",INDEX($T$5:$AJ$1204,MATCH(165,$S$5:$S$1204,0),10))</f>
        <v/>
      </c>
      <c r="K169" s="8" t="str">
        <f t="array" ref="K169">IF(165&gt;$S$1204,"",INDEX($T$5:$AJ$1204,MATCH(165,$S$5:$S$1204,0),11))</f>
        <v/>
      </c>
      <c r="L169" s="8" t="str">
        <f t="array" ref="L169">IF(165&gt;$S$1204,"",INDEX($T$5:$AJ$1204,MATCH(165,$S$5:$S$1204,0),12))</f>
        <v/>
      </c>
      <c r="M169" s="8" t="str">
        <f t="array" ref="M169">IF(165&gt;$S$1204,"",INDEX($T$5:$AJ$1204,MATCH(165,$S$5:$S$1204,0),13))</f>
        <v/>
      </c>
      <c r="N169" s="8" t="str">
        <f t="array" ref="N169">IF(165&gt;$S$1204,"",INDEX($T$5:$AJ$1204,MATCH(165,$S$5:$S$1204,0),14))</f>
        <v/>
      </c>
      <c r="O169" s="15" t="str">
        <f t="array" ref="O169">IF(165&gt;$S$1204,"",INDEX($T$5:$AJ$1204,MATCH(165,$S$5:$S$1204,0),15))</f>
        <v/>
      </c>
      <c r="P169" s="8" t="str">
        <f t="array" ref="P169">IF(165&gt;$S$1204,"",INDEX($T$5:$AJ$1204,MATCH(165,$S$5:$S$1204,0),16))</f>
        <v/>
      </c>
      <c r="Q169" s="8" t="str">
        <f t="array" ref="Q169">IF(165&gt;$S$1204,"",INDEX($T$5:$AJ$1204,MATCH(165,$S$5:$S$1204,0),17))</f>
        <v/>
      </c>
      <c r="R169" s="17"/>
      <c r="S169" s="17">
        <f>S168+IF(M1_Administrativo!A173="",0,1)</f>
        <v>0</v>
      </c>
      <c r="T169" s="17" t="str">
        <f>IF(M1_Administrativo!A173="","",IF(M1_Administrativo!A173="","",M1_Administrativo!A173))</f>
        <v/>
      </c>
      <c r="U169" s="17" t="str">
        <f>IF(M1_Administrativo!A173="","",IF(M1_Administrativo!R173="","",M1_Administrativo!R173))</f>
        <v/>
      </c>
      <c r="V169" s="17" t="str">
        <f>IF(M1_Administrativo!A173="","",IF(M1_Administrativo!D173="","",M1_Administrativo!D173))</f>
        <v/>
      </c>
      <c r="W169" s="17" t="str">
        <f>IF(M1_Administrativo!A173="","",IF(M1_Administrativo!B173="","",M1_Administrativo!B173))</f>
        <v/>
      </c>
      <c r="X169" s="17" t="str">
        <f>IF(M1_Administrativo!A173="","",IF(M1_Administrativo!C173="","",M1_Administrativo!C173))</f>
        <v/>
      </c>
      <c r="Y169" s="17" t="str">
        <f>IF(M1_Administrativo!A173="","",IF(M1_Administrativo!E173="","",M1_Administrativo!E173))</f>
        <v/>
      </c>
      <c r="Z169" s="17" t="str">
        <f>IF(M1_Administrativo!A173="","",IF(M1_Administrativo!F173="","",M1_Administrativo!F173))</f>
        <v/>
      </c>
      <c r="AA169" s="17" t="str">
        <f>IF(M1_Administrativo!A173="","","M1 Administrativo")</f>
        <v/>
      </c>
      <c r="AB169" s="17" t="str">
        <f>IF(M1_Administrativo!A173="","",IF(M1_Administrativo!G173="","",M1_Administrativo!G173))</f>
        <v/>
      </c>
      <c r="AC169" s="17" t="str">
        <f>IF(M1_Administrativo!A173="","",IF(M1_Administrativo!M173="","",M1_Administrativo!M173))</f>
        <v/>
      </c>
      <c r="AD169" s="17" t="str">
        <f>IF(M1_Administrativo!A173="","","RA")</f>
        <v/>
      </c>
      <c r="AE169" s="17" t="str">
        <f>IF(M1_Administrativo!A173="","",IF(M1_Administrativo!O173="","",M1_Administrativo!O173))</f>
        <v/>
      </c>
      <c r="AF169" s="17" t="str">
        <f>IF(M1_Administrativo!A173="","",IF(M1_Administrativo!P173="","",M1_Administrativo!P173))</f>
        <v/>
      </c>
      <c r="AG169" s="17" t="str">
        <f>IF(M1_Administrativo!A173="","",IF(M1_Administrativo!Q173="","",M1_Administrativo!Q173))</f>
        <v/>
      </c>
      <c r="AH169" s="17" t="str">
        <f>IF(M1_Administrativo!A173="","","")</f>
        <v/>
      </c>
      <c r="AI169" s="17" t="str">
        <f>IF(M1_Administrativo!A173="","","M1_Administrativo!173")</f>
        <v/>
      </c>
      <c r="AJ169" s="17" t="str">
        <f>IF(M1_Administrativo!A173="","",IF(M1_Administrativo!M173="","Pendiente de resultado","Disponible"))</f>
        <v/>
      </c>
    </row>
    <row r="170" spans="1:36" ht="55.5" customHeight="1">
      <c r="A170" s="6" t="str">
        <f t="array" ref="A170">IF(166&gt;$S$1204,"",INDEX($T$5:$AJ$1204,MATCH(166,$S$5:$S$1204,0),1))</f>
        <v/>
      </c>
      <c r="B170" s="8" t="str">
        <f t="array" ref="B170">IF(166&gt;$S$1204,"",INDEX($T$5:$AJ$1204,MATCH(166,$S$5:$S$1204,0),2))</f>
        <v/>
      </c>
      <c r="C170" s="10" t="str">
        <f t="array" ref="C170">IF(166&gt;$S$1204,"",INDEX($T$5:$AJ$1204,MATCH(166,$S$5:$S$1204,0),3))</f>
        <v/>
      </c>
      <c r="D170" s="8" t="str">
        <f t="array" ref="D170">IF(166&gt;$S$1204,"",INDEX($T$5:$AJ$1204,MATCH(166,$S$5:$S$1204,0),4))</f>
        <v/>
      </c>
      <c r="E170" s="8" t="str">
        <f t="array" ref="E170">IF(166&gt;$S$1204,"",INDEX($T$5:$AJ$1204,MATCH(166,$S$5:$S$1204,0),5))</f>
        <v/>
      </c>
      <c r="F170" s="8" t="str">
        <f t="array" ref="F170">IF(166&gt;$S$1204,"",INDEX($T$5:$AJ$1204,MATCH(166,$S$5:$S$1204,0),6))</f>
        <v/>
      </c>
      <c r="G170" s="8" t="str">
        <f t="array" ref="G170">IF(166&gt;$S$1204,"",INDEX($T$5:$AJ$1204,MATCH(166,$S$5:$S$1204,0),7))</f>
        <v/>
      </c>
      <c r="H170" s="8" t="str">
        <f t="array" ref="H170">IF(166&gt;$S$1204,"",INDEX($T$5:$AJ$1204,MATCH(166,$S$5:$S$1204,0),8))</f>
        <v/>
      </c>
      <c r="I170" s="8" t="str">
        <f t="array" ref="I170">IF(166&gt;$S$1204,"",INDEX($T$5:$AJ$1204,MATCH(166,$S$5:$S$1204,0),9))</f>
        <v/>
      </c>
      <c r="J170" s="14" t="str">
        <f t="array" ref="J170">IF(166&gt;$S$1204,"",INDEX($T$5:$AJ$1204,MATCH(166,$S$5:$S$1204,0),10))</f>
        <v/>
      </c>
      <c r="K170" s="8" t="str">
        <f t="array" ref="K170">IF(166&gt;$S$1204,"",INDEX($T$5:$AJ$1204,MATCH(166,$S$5:$S$1204,0),11))</f>
        <v/>
      </c>
      <c r="L170" s="8" t="str">
        <f t="array" ref="L170">IF(166&gt;$S$1204,"",INDEX($T$5:$AJ$1204,MATCH(166,$S$5:$S$1204,0),12))</f>
        <v/>
      </c>
      <c r="M170" s="8" t="str">
        <f t="array" ref="M170">IF(166&gt;$S$1204,"",INDEX($T$5:$AJ$1204,MATCH(166,$S$5:$S$1204,0),13))</f>
        <v/>
      </c>
      <c r="N170" s="8" t="str">
        <f t="array" ref="N170">IF(166&gt;$S$1204,"",INDEX($T$5:$AJ$1204,MATCH(166,$S$5:$S$1204,0),14))</f>
        <v/>
      </c>
      <c r="O170" s="15" t="str">
        <f t="array" ref="O170">IF(166&gt;$S$1204,"",INDEX($T$5:$AJ$1204,MATCH(166,$S$5:$S$1204,0),15))</f>
        <v/>
      </c>
      <c r="P170" s="8" t="str">
        <f t="array" ref="P170">IF(166&gt;$S$1204,"",INDEX($T$5:$AJ$1204,MATCH(166,$S$5:$S$1204,0),16))</f>
        <v/>
      </c>
      <c r="Q170" s="8" t="str">
        <f t="array" ref="Q170">IF(166&gt;$S$1204,"",INDEX($T$5:$AJ$1204,MATCH(166,$S$5:$S$1204,0),17))</f>
        <v/>
      </c>
      <c r="R170" s="17"/>
      <c r="S170" s="17">
        <f>S169+IF(M1_Administrativo!A174="",0,1)</f>
        <v>0</v>
      </c>
      <c r="T170" s="17" t="str">
        <f>IF(M1_Administrativo!A174="","",IF(M1_Administrativo!A174="","",M1_Administrativo!A174))</f>
        <v/>
      </c>
      <c r="U170" s="17" t="str">
        <f>IF(M1_Administrativo!A174="","",IF(M1_Administrativo!R174="","",M1_Administrativo!R174))</f>
        <v/>
      </c>
      <c r="V170" s="17" t="str">
        <f>IF(M1_Administrativo!A174="","",IF(M1_Administrativo!D174="","",M1_Administrativo!D174))</f>
        <v/>
      </c>
      <c r="W170" s="17" t="str">
        <f>IF(M1_Administrativo!A174="","",IF(M1_Administrativo!B174="","",M1_Administrativo!B174))</f>
        <v/>
      </c>
      <c r="X170" s="17" t="str">
        <f>IF(M1_Administrativo!A174="","",IF(M1_Administrativo!C174="","",M1_Administrativo!C174))</f>
        <v/>
      </c>
      <c r="Y170" s="17" t="str">
        <f>IF(M1_Administrativo!A174="","",IF(M1_Administrativo!E174="","",M1_Administrativo!E174))</f>
        <v/>
      </c>
      <c r="Z170" s="17" t="str">
        <f>IF(M1_Administrativo!A174="","",IF(M1_Administrativo!F174="","",M1_Administrativo!F174))</f>
        <v/>
      </c>
      <c r="AA170" s="17" t="str">
        <f>IF(M1_Administrativo!A174="","","M1 Administrativo")</f>
        <v/>
      </c>
      <c r="AB170" s="17" t="str">
        <f>IF(M1_Administrativo!A174="","",IF(M1_Administrativo!G174="","",M1_Administrativo!G174))</f>
        <v/>
      </c>
      <c r="AC170" s="17" t="str">
        <f>IF(M1_Administrativo!A174="","",IF(M1_Administrativo!M174="","",M1_Administrativo!M174))</f>
        <v/>
      </c>
      <c r="AD170" s="17" t="str">
        <f>IF(M1_Administrativo!A174="","","RA")</f>
        <v/>
      </c>
      <c r="AE170" s="17" t="str">
        <f>IF(M1_Administrativo!A174="","",IF(M1_Administrativo!O174="","",M1_Administrativo!O174))</f>
        <v/>
      </c>
      <c r="AF170" s="17" t="str">
        <f>IF(M1_Administrativo!A174="","",IF(M1_Administrativo!P174="","",M1_Administrativo!P174))</f>
        <v/>
      </c>
      <c r="AG170" s="17" t="str">
        <f>IF(M1_Administrativo!A174="","",IF(M1_Administrativo!Q174="","",M1_Administrativo!Q174))</f>
        <v/>
      </c>
      <c r="AH170" s="17" t="str">
        <f>IF(M1_Administrativo!A174="","","")</f>
        <v/>
      </c>
      <c r="AI170" s="17" t="str">
        <f>IF(M1_Administrativo!A174="","","M1_Administrativo!174")</f>
        <v/>
      </c>
      <c r="AJ170" s="17" t="str">
        <f>IF(M1_Administrativo!A174="","",IF(M1_Administrativo!M174="","Pendiente de resultado","Disponible"))</f>
        <v/>
      </c>
    </row>
    <row r="171" spans="1:36" ht="55.5" customHeight="1">
      <c r="A171" s="6" t="str">
        <f t="array" ref="A171">IF(167&gt;$S$1204,"",INDEX($T$5:$AJ$1204,MATCH(167,$S$5:$S$1204,0),1))</f>
        <v/>
      </c>
      <c r="B171" s="8" t="str">
        <f t="array" ref="B171">IF(167&gt;$S$1204,"",INDEX($T$5:$AJ$1204,MATCH(167,$S$5:$S$1204,0),2))</f>
        <v/>
      </c>
      <c r="C171" s="10" t="str">
        <f t="array" ref="C171">IF(167&gt;$S$1204,"",INDEX($T$5:$AJ$1204,MATCH(167,$S$5:$S$1204,0),3))</f>
        <v/>
      </c>
      <c r="D171" s="8" t="str">
        <f t="array" ref="D171">IF(167&gt;$S$1204,"",INDEX($T$5:$AJ$1204,MATCH(167,$S$5:$S$1204,0),4))</f>
        <v/>
      </c>
      <c r="E171" s="8" t="str">
        <f t="array" ref="E171">IF(167&gt;$S$1204,"",INDEX($T$5:$AJ$1204,MATCH(167,$S$5:$S$1204,0),5))</f>
        <v/>
      </c>
      <c r="F171" s="8" t="str">
        <f t="array" ref="F171">IF(167&gt;$S$1204,"",INDEX($T$5:$AJ$1204,MATCH(167,$S$5:$S$1204,0),6))</f>
        <v/>
      </c>
      <c r="G171" s="8" t="str">
        <f t="array" ref="G171">IF(167&gt;$S$1204,"",INDEX($T$5:$AJ$1204,MATCH(167,$S$5:$S$1204,0),7))</f>
        <v/>
      </c>
      <c r="H171" s="8" t="str">
        <f t="array" ref="H171">IF(167&gt;$S$1204,"",INDEX($T$5:$AJ$1204,MATCH(167,$S$5:$S$1204,0),8))</f>
        <v/>
      </c>
      <c r="I171" s="8" t="str">
        <f t="array" ref="I171">IF(167&gt;$S$1204,"",INDEX($T$5:$AJ$1204,MATCH(167,$S$5:$S$1204,0),9))</f>
        <v/>
      </c>
      <c r="J171" s="14" t="str">
        <f t="array" ref="J171">IF(167&gt;$S$1204,"",INDEX($T$5:$AJ$1204,MATCH(167,$S$5:$S$1204,0),10))</f>
        <v/>
      </c>
      <c r="K171" s="8" t="str">
        <f t="array" ref="K171">IF(167&gt;$S$1204,"",INDEX($T$5:$AJ$1204,MATCH(167,$S$5:$S$1204,0),11))</f>
        <v/>
      </c>
      <c r="L171" s="8" t="str">
        <f t="array" ref="L171">IF(167&gt;$S$1204,"",INDEX($T$5:$AJ$1204,MATCH(167,$S$5:$S$1204,0),12))</f>
        <v/>
      </c>
      <c r="M171" s="8" t="str">
        <f t="array" ref="M171">IF(167&gt;$S$1204,"",INDEX($T$5:$AJ$1204,MATCH(167,$S$5:$S$1204,0),13))</f>
        <v/>
      </c>
      <c r="N171" s="8" t="str">
        <f t="array" ref="N171">IF(167&gt;$S$1204,"",INDEX($T$5:$AJ$1204,MATCH(167,$S$5:$S$1204,0),14))</f>
        <v/>
      </c>
      <c r="O171" s="15" t="str">
        <f t="array" ref="O171">IF(167&gt;$S$1204,"",INDEX($T$5:$AJ$1204,MATCH(167,$S$5:$S$1204,0),15))</f>
        <v/>
      </c>
      <c r="P171" s="8" t="str">
        <f t="array" ref="P171">IF(167&gt;$S$1204,"",INDEX($T$5:$AJ$1204,MATCH(167,$S$5:$S$1204,0),16))</f>
        <v/>
      </c>
      <c r="Q171" s="8" t="str">
        <f t="array" ref="Q171">IF(167&gt;$S$1204,"",INDEX($T$5:$AJ$1204,MATCH(167,$S$5:$S$1204,0),17))</f>
        <v/>
      </c>
      <c r="R171" s="17"/>
      <c r="S171" s="17">
        <f>S170+IF(M1_Administrativo!A175="",0,1)</f>
        <v>0</v>
      </c>
      <c r="T171" s="17" t="str">
        <f>IF(M1_Administrativo!A175="","",IF(M1_Administrativo!A175="","",M1_Administrativo!A175))</f>
        <v/>
      </c>
      <c r="U171" s="17" t="str">
        <f>IF(M1_Administrativo!A175="","",IF(M1_Administrativo!R175="","",M1_Administrativo!R175))</f>
        <v/>
      </c>
      <c r="V171" s="17" t="str">
        <f>IF(M1_Administrativo!A175="","",IF(M1_Administrativo!D175="","",M1_Administrativo!D175))</f>
        <v/>
      </c>
      <c r="W171" s="17" t="str">
        <f>IF(M1_Administrativo!A175="","",IF(M1_Administrativo!B175="","",M1_Administrativo!B175))</f>
        <v/>
      </c>
      <c r="X171" s="17" t="str">
        <f>IF(M1_Administrativo!A175="","",IF(M1_Administrativo!C175="","",M1_Administrativo!C175))</f>
        <v/>
      </c>
      <c r="Y171" s="17" t="str">
        <f>IF(M1_Administrativo!A175="","",IF(M1_Administrativo!E175="","",M1_Administrativo!E175))</f>
        <v/>
      </c>
      <c r="Z171" s="17" t="str">
        <f>IF(M1_Administrativo!A175="","",IF(M1_Administrativo!F175="","",M1_Administrativo!F175))</f>
        <v/>
      </c>
      <c r="AA171" s="17" t="str">
        <f>IF(M1_Administrativo!A175="","","M1 Administrativo")</f>
        <v/>
      </c>
      <c r="AB171" s="17" t="str">
        <f>IF(M1_Administrativo!A175="","",IF(M1_Administrativo!G175="","",M1_Administrativo!G175))</f>
        <v/>
      </c>
      <c r="AC171" s="17" t="str">
        <f>IF(M1_Administrativo!A175="","",IF(M1_Administrativo!M175="","",M1_Administrativo!M175))</f>
        <v/>
      </c>
      <c r="AD171" s="17" t="str">
        <f>IF(M1_Administrativo!A175="","","RA")</f>
        <v/>
      </c>
      <c r="AE171" s="17" t="str">
        <f>IF(M1_Administrativo!A175="","",IF(M1_Administrativo!O175="","",M1_Administrativo!O175))</f>
        <v/>
      </c>
      <c r="AF171" s="17" t="str">
        <f>IF(M1_Administrativo!A175="","",IF(M1_Administrativo!P175="","",M1_Administrativo!P175))</f>
        <v/>
      </c>
      <c r="AG171" s="17" t="str">
        <f>IF(M1_Administrativo!A175="","",IF(M1_Administrativo!Q175="","",M1_Administrativo!Q175))</f>
        <v/>
      </c>
      <c r="AH171" s="17" t="str">
        <f>IF(M1_Administrativo!A175="","","")</f>
        <v/>
      </c>
      <c r="AI171" s="17" t="str">
        <f>IF(M1_Administrativo!A175="","","M1_Administrativo!175")</f>
        <v/>
      </c>
      <c r="AJ171" s="17" t="str">
        <f>IF(M1_Administrativo!A175="","",IF(M1_Administrativo!M175="","Pendiente de resultado","Disponible"))</f>
        <v/>
      </c>
    </row>
    <row r="172" spans="1:36" ht="55.5" customHeight="1">
      <c r="A172" s="6" t="str">
        <f t="array" ref="A172">IF(168&gt;$S$1204,"",INDEX($T$5:$AJ$1204,MATCH(168,$S$5:$S$1204,0),1))</f>
        <v/>
      </c>
      <c r="B172" s="8" t="str">
        <f t="array" ref="B172">IF(168&gt;$S$1204,"",INDEX($T$5:$AJ$1204,MATCH(168,$S$5:$S$1204,0),2))</f>
        <v/>
      </c>
      <c r="C172" s="10" t="str">
        <f t="array" ref="C172">IF(168&gt;$S$1204,"",INDEX($T$5:$AJ$1204,MATCH(168,$S$5:$S$1204,0),3))</f>
        <v/>
      </c>
      <c r="D172" s="8" t="str">
        <f t="array" ref="D172">IF(168&gt;$S$1204,"",INDEX($T$5:$AJ$1204,MATCH(168,$S$5:$S$1204,0),4))</f>
        <v/>
      </c>
      <c r="E172" s="8" t="str">
        <f t="array" ref="E172">IF(168&gt;$S$1204,"",INDEX($T$5:$AJ$1204,MATCH(168,$S$5:$S$1204,0),5))</f>
        <v/>
      </c>
      <c r="F172" s="8" t="str">
        <f t="array" ref="F172">IF(168&gt;$S$1204,"",INDEX($T$5:$AJ$1204,MATCH(168,$S$5:$S$1204,0),6))</f>
        <v/>
      </c>
      <c r="G172" s="8" t="str">
        <f t="array" ref="G172">IF(168&gt;$S$1204,"",INDEX($T$5:$AJ$1204,MATCH(168,$S$5:$S$1204,0),7))</f>
        <v/>
      </c>
      <c r="H172" s="8" t="str">
        <f t="array" ref="H172">IF(168&gt;$S$1204,"",INDEX($T$5:$AJ$1204,MATCH(168,$S$5:$S$1204,0),8))</f>
        <v/>
      </c>
      <c r="I172" s="8" t="str">
        <f t="array" ref="I172">IF(168&gt;$S$1204,"",INDEX($T$5:$AJ$1204,MATCH(168,$S$5:$S$1204,0),9))</f>
        <v/>
      </c>
      <c r="J172" s="14" t="str">
        <f t="array" ref="J172">IF(168&gt;$S$1204,"",INDEX($T$5:$AJ$1204,MATCH(168,$S$5:$S$1204,0),10))</f>
        <v/>
      </c>
      <c r="K172" s="8" t="str">
        <f t="array" ref="K172">IF(168&gt;$S$1204,"",INDEX($T$5:$AJ$1204,MATCH(168,$S$5:$S$1204,0),11))</f>
        <v/>
      </c>
      <c r="L172" s="8" t="str">
        <f t="array" ref="L172">IF(168&gt;$S$1204,"",INDEX($T$5:$AJ$1204,MATCH(168,$S$5:$S$1204,0),12))</f>
        <v/>
      </c>
      <c r="M172" s="8" t="str">
        <f t="array" ref="M172">IF(168&gt;$S$1204,"",INDEX($T$5:$AJ$1204,MATCH(168,$S$5:$S$1204,0),13))</f>
        <v/>
      </c>
      <c r="N172" s="8" t="str">
        <f t="array" ref="N172">IF(168&gt;$S$1204,"",INDEX($T$5:$AJ$1204,MATCH(168,$S$5:$S$1204,0),14))</f>
        <v/>
      </c>
      <c r="O172" s="15" t="str">
        <f t="array" ref="O172">IF(168&gt;$S$1204,"",INDEX($T$5:$AJ$1204,MATCH(168,$S$5:$S$1204,0),15))</f>
        <v/>
      </c>
      <c r="P172" s="8" t="str">
        <f t="array" ref="P172">IF(168&gt;$S$1204,"",INDEX($T$5:$AJ$1204,MATCH(168,$S$5:$S$1204,0),16))</f>
        <v/>
      </c>
      <c r="Q172" s="8" t="str">
        <f t="array" ref="Q172">IF(168&gt;$S$1204,"",INDEX($T$5:$AJ$1204,MATCH(168,$S$5:$S$1204,0),17))</f>
        <v/>
      </c>
      <c r="R172" s="17"/>
      <c r="S172" s="17">
        <f>S171+IF(M1_Administrativo!A176="",0,1)</f>
        <v>0</v>
      </c>
      <c r="T172" s="17" t="str">
        <f>IF(M1_Administrativo!A176="","",IF(M1_Administrativo!A176="","",M1_Administrativo!A176))</f>
        <v/>
      </c>
      <c r="U172" s="17" t="str">
        <f>IF(M1_Administrativo!A176="","",IF(M1_Administrativo!R176="","",M1_Administrativo!R176))</f>
        <v/>
      </c>
      <c r="V172" s="17" t="str">
        <f>IF(M1_Administrativo!A176="","",IF(M1_Administrativo!D176="","",M1_Administrativo!D176))</f>
        <v/>
      </c>
      <c r="W172" s="17" t="str">
        <f>IF(M1_Administrativo!A176="","",IF(M1_Administrativo!B176="","",M1_Administrativo!B176))</f>
        <v/>
      </c>
      <c r="X172" s="17" t="str">
        <f>IF(M1_Administrativo!A176="","",IF(M1_Administrativo!C176="","",M1_Administrativo!C176))</f>
        <v/>
      </c>
      <c r="Y172" s="17" t="str">
        <f>IF(M1_Administrativo!A176="","",IF(M1_Administrativo!E176="","",M1_Administrativo!E176))</f>
        <v/>
      </c>
      <c r="Z172" s="17" t="str">
        <f>IF(M1_Administrativo!A176="","",IF(M1_Administrativo!F176="","",M1_Administrativo!F176))</f>
        <v/>
      </c>
      <c r="AA172" s="17" t="str">
        <f>IF(M1_Administrativo!A176="","","M1 Administrativo")</f>
        <v/>
      </c>
      <c r="AB172" s="17" t="str">
        <f>IF(M1_Administrativo!A176="","",IF(M1_Administrativo!G176="","",M1_Administrativo!G176))</f>
        <v/>
      </c>
      <c r="AC172" s="17" t="str">
        <f>IF(M1_Administrativo!A176="","",IF(M1_Administrativo!M176="","",M1_Administrativo!M176))</f>
        <v/>
      </c>
      <c r="AD172" s="17" t="str">
        <f>IF(M1_Administrativo!A176="","","RA")</f>
        <v/>
      </c>
      <c r="AE172" s="17" t="str">
        <f>IF(M1_Administrativo!A176="","",IF(M1_Administrativo!O176="","",M1_Administrativo!O176))</f>
        <v/>
      </c>
      <c r="AF172" s="17" t="str">
        <f>IF(M1_Administrativo!A176="","",IF(M1_Administrativo!P176="","",M1_Administrativo!P176))</f>
        <v/>
      </c>
      <c r="AG172" s="17" t="str">
        <f>IF(M1_Administrativo!A176="","",IF(M1_Administrativo!Q176="","",M1_Administrativo!Q176))</f>
        <v/>
      </c>
      <c r="AH172" s="17" t="str">
        <f>IF(M1_Administrativo!A176="","","")</f>
        <v/>
      </c>
      <c r="AI172" s="17" t="str">
        <f>IF(M1_Administrativo!A176="","","M1_Administrativo!176")</f>
        <v/>
      </c>
      <c r="AJ172" s="17" t="str">
        <f>IF(M1_Administrativo!A176="","",IF(M1_Administrativo!M176="","Pendiente de resultado","Disponible"))</f>
        <v/>
      </c>
    </row>
    <row r="173" spans="1:36" ht="55.5" customHeight="1">
      <c r="A173" s="6" t="str">
        <f t="array" ref="A173">IF(169&gt;$S$1204,"",INDEX($T$5:$AJ$1204,MATCH(169,$S$5:$S$1204,0),1))</f>
        <v/>
      </c>
      <c r="B173" s="8" t="str">
        <f t="array" ref="B173">IF(169&gt;$S$1204,"",INDEX($T$5:$AJ$1204,MATCH(169,$S$5:$S$1204,0),2))</f>
        <v/>
      </c>
      <c r="C173" s="10" t="str">
        <f t="array" ref="C173">IF(169&gt;$S$1204,"",INDEX($T$5:$AJ$1204,MATCH(169,$S$5:$S$1204,0),3))</f>
        <v/>
      </c>
      <c r="D173" s="8" t="str">
        <f t="array" ref="D173">IF(169&gt;$S$1204,"",INDEX($T$5:$AJ$1204,MATCH(169,$S$5:$S$1204,0),4))</f>
        <v/>
      </c>
      <c r="E173" s="8" t="str">
        <f t="array" ref="E173">IF(169&gt;$S$1204,"",INDEX($T$5:$AJ$1204,MATCH(169,$S$5:$S$1204,0),5))</f>
        <v/>
      </c>
      <c r="F173" s="8" t="str">
        <f t="array" ref="F173">IF(169&gt;$S$1204,"",INDEX($T$5:$AJ$1204,MATCH(169,$S$5:$S$1204,0),6))</f>
        <v/>
      </c>
      <c r="G173" s="8" t="str">
        <f t="array" ref="G173">IF(169&gt;$S$1204,"",INDEX($T$5:$AJ$1204,MATCH(169,$S$5:$S$1204,0),7))</f>
        <v/>
      </c>
      <c r="H173" s="8" t="str">
        <f t="array" ref="H173">IF(169&gt;$S$1204,"",INDEX($T$5:$AJ$1204,MATCH(169,$S$5:$S$1204,0),8))</f>
        <v/>
      </c>
      <c r="I173" s="8" t="str">
        <f t="array" ref="I173">IF(169&gt;$S$1204,"",INDEX($T$5:$AJ$1204,MATCH(169,$S$5:$S$1204,0),9))</f>
        <v/>
      </c>
      <c r="J173" s="14" t="str">
        <f t="array" ref="J173">IF(169&gt;$S$1204,"",INDEX($T$5:$AJ$1204,MATCH(169,$S$5:$S$1204,0),10))</f>
        <v/>
      </c>
      <c r="K173" s="8" t="str">
        <f t="array" ref="K173">IF(169&gt;$S$1204,"",INDEX($T$5:$AJ$1204,MATCH(169,$S$5:$S$1204,0),11))</f>
        <v/>
      </c>
      <c r="L173" s="8" t="str">
        <f t="array" ref="L173">IF(169&gt;$S$1204,"",INDEX($T$5:$AJ$1204,MATCH(169,$S$5:$S$1204,0),12))</f>
        <v/>
      </c>
      <c r="M173" s="8" t="str">
        <f t="array" ref="M173">IF(169&gt;$S$1204,"",INDEX($T$5:$AJ$1204,MATCH(169,$S$5:$S$1204,0),13))</f>
        <v/>
      </c>
      <c r="N173" s="8" t="str">
        <f t="array" ref="N173">IF(169&gt;$S$1204,"",INDEX($T$5:$AJ$1204,MATCH(169,$S$5:$S$1204,0),14))</f>
        <v/>
      </c>
      <c r="O173" s="15" t="str">
        <f t="array" ref="O173">IF(169&gt;$S$1204,"",INDEX($T$5:$AJ$1204,MATCH(169,$S$5:$S$1204,0),15))</f>
        <v/>
      </c>
      <c r="P173" s="8" t="str">
        <f t="array" ref="P173">IF(169&gt;$S$1204,"",INDEX($T$5:$AJ$1204,MATCH(169,$S$5:$S$1204,0),16))</f>
        <v/>
      </c>
      <c r="Q173" s="8" t="str">
        <f t="array" ref="Q173">IF(169&gt;$S$1204,"",INDEX($T$5:$AJ$1204,MATCH(169,$S$5:$S$1204,0),17))</f>
        <v/>
      </c>
      <c r="R173" s="17"/>
      <c r="S173" s="17">
        <f>S172+IF(M1_Administrativo!A177="",0,1)</f>
        <v>0</v>
      </c>
      <c r="T173" s="17" t="str">
        <f>IF(M1_Administrativo!A177="","",IF(M1_Administrativo!A177="","",M1_Administrativo!A177))</f>
        <v/>
      </c>
      <c r="U173" s="17" t="str">
        <f>IF(M1_Administrativo!A177="","",IF(M1_Administrativo!R177="","",M1_Administrativo!R177))</f>
        <v/>
      </c>
      <c r="V173" s="17" t="str">
        <f>IF(M1_Administrativo!A177="","",IF(M1_Administrativo!D177="","",M1_Administrativo!D177))</f>
        <v/>
      </c>
      <c r="W173" s="17" t="str">
        <f>IF(M1_Administrativo!A177="","",IF(M1_Administrativo!B177="","",M1_Administrativo!B177))</f>
        <v/>
      </c>
      <c r="X173" s="17" t="str">
        <f>IF(M1_Administrativo!A177="","",IF(M1_Administrativo!C177="","",M1_Administrativo!C177))</f>
        <v/>
      </c>
      <c r="Y173" s="17" t="str">
        <f>IF(M1_Administrativo!A177="","",IF(M1_Administrativo!E177="","",M1_Administrativo!E177))</f>
        <v/>
      </c>
      <c r="Z173" s="17" t="str">
        <f>IF(M1_Administrativo!A177="","",IF(M1_Administrativo!F177="","",M1_Administrativo!F177))</f>
        <v/>
      </c>
      <c r="AA173" s="17" t="str">
        <f>IF(M1_Administrativo!A177="","","M1 Administrativo")</f>
        <v/>
      </c>
      <c r="AB173" s="17" t="str">
        <f>IF(M1_Administrativo!A177="","",IF(M1_Administrativo!G177="","",M1_Administrativo!G177))</f>
        <v/>
      </c>
      <c r="AC173" s="17" t="str">
        <f>IF(M1_Administrativo!A177="","",IF(M1_Administrativo!M177="","",M1_Administrativo!M177))</f>
        <v/>
      </c>
      <c r="AD173" s="17" t="str">
        <f>IF(M1_Administrativo!A177="","","RA")</f>
        <v/>
      </c>
      <c r="AE173" s="17" t="str">
        <f>IF(M1_Administrativo!A177="","",IF(M1_Administrativo!O177="","",M1_Administrativo!O177))</f>
        <v/>
      </c>
      <c r="AF173" s="17" t="str">
        <f>IF(M1_Administrativo!A177="","",IF(M1_Administrativo!P177="","",M1_Administrativo!P177))</f>
        <v/>
      </c>
      <c r="AG173" s="17" t="str">
        <f>IF(M1_Administrativo!A177="","",IF(M1_Administrativo!Q177="","",M1_Administrativo!Q177))</f>
        <v/>
      </c>
      <c r="AH173" s="17" t="str">
        <f>IF(M1_Administrativo!A177="","","")</f>
        <v/>
      </c>
      <c r="AI173" s="17" t="str">
        <f>IF(M1_Administrativo!A177="","","M1_Administrativo!177")</f>
        <v/>
      </c>
      <c r="AJ173" s="17" t="str">
        <f>IF(M1_Administrativo!A177="","",IF(M1_Administrativo!M177="","Pendiente de resultado","Disponible"))</f>
        <v/>
      </c>
    </row>
    <row r="174" spans="1:36" ht="55.5" customHeight="1">
      <c r="A174" s="6" t="str">
        <f t="array" ref="A174">IF(170&gt;$S$1204,"",INDEX($T$5:$AJ$1204,MATCH(170,$S$5:$S$1204,0),1))</f>
        <v/>
      </c>
      <c r="B174" s="8" t="str">
        <f t="array" ref="B174">IF(170&gt;$S$1204,"",INDEX($T$5:$AJ$1204,MATCH(170,$S$5:$S$1204,0),2))</f>
        <v/>
      </c>
      <c r="C174" s="10" t="str">
        <f t="array" ref="C174">IF(170&gt;$S$1204,"",INDEX($T$5:$AJ$1204,MATCH(170,$S$5:$S$1204,0),3))</f>
        <v/>
      </c>
      <c r="D174" s="8" t="str">
        <f t="array" ref="D174">IF(170&gt;$S$1204,"",INDEX($T$5:$AJ$1204,MATCH(170,$S$5:$S$1204,0),4))</f>
        <v/>
      </c>
      <c r="E174" s="8" t="str">
        <f t="array" ref="E174">IF(170&gt;$S$1204,"",INDEX($T$5:$AJ$1204,MATCH(170,$S$5:$S$1204,0),5))</f>
        <v/>
      </c>
      <c r="F174" s="8" t="str">
        <f t="array" ref="F174">IF(170&gt;$S$1204,"",INDEX($T$5:$AJ$1204,MATCH(170,$S$5:$S$1204,0),6))</f>
        <v/>
      </c>
      <c r="G174" s="8" t="str">
        <f t="array" ref="G174">IF(170&gt;$S$1204,"",INDEX($T$5:$AJ$1204,MATCH(170,$S$5:$S$1204,0),7))</f>
        <v/>
      </c>
      <c r="H174" s="8" t="str">
        <f t="array" ref="H174">IF(170&gt;$S$1204,"",INDEX($T$5:$AJ$1204,MATCH(170,$S$5:$S$1204,0),8))</f>
        <v/>
      </c>
      <c r="I174" s="8" t="str">
        <f t="array" ref="I174">IF(170&gt;$S$1204,"",INDEX($T$5:$AJ$1204,MATCH(170,$S$5:$S$1204,0),9))</f>
        <v/>
      </c>
      <c r="J174" s="14" t="str">
        <f t="array" ref="J174">IF(170&gt;$S$1204,"",INDEX($T$5:$AJ$1204,MATCH(170,$S$5:$S$1204,0),10))</f>
        <v/>
      </c>
      <c r="K174" s="8" t="str">
        <f t="array" ref="K174">IF(170&gt;$S$1204,"",INDEX($T$5:$AJ$1204,MATCH(170,$S$5:$S$1204,0),11))</f>
        <v/>
      </c>
      <c r="L174" s="8" t="str">
        <f t="array" ref="L174">IF(170&gt;$S$1204,"",INDEX($T$5:$AJ$1204,MATCH(170,$S$5:$S$1204,0),12))</f>
        <v/>
      </c>
      <c r="M174" s="8" t="str">
        <f t="array" ref="M174">IF(170&gt;$S$1204,"",INDEX($T$5:$AJ$1204,MATCH(170,$S$5:$S$1204,0),13))</f>
        <v/>
      </c>
      <c r="N174" s="8" t="str">
        <f t="array" ref="N174">IF(170&gt;$S$1204,"",INDEX($T$5:$AJ$1204,MATCH(170,$S$5:$S$1204,0),14))</f>
        <v/>
      </c>
      <c r="O174" s="15" t="str">
        <f t="array" ref="O174">IF(170&gt;$S$1204,"",INDEX($T$5:$AJ$1204,MATCH(170,$S$5:$S$1204,0),15))</f>
        <v/>
      </c>
      <c r="P174" s="8" t="str">
        <f t="array" ref="P174">IF(170&gt;$S$1204,"",INDEX($T$5:$AJ$1204,MATCH(170,$S$5:$S$1204,0),16))</f>
        <v/>
      </c>
      <c r="Q174" s="8" t="str">
        <f t="array" ref="Q174">IF(170&gt;$S$1204,"",INDEX($T$5:$AJ$1204,MATCH(170,$S$5:$S$1204,0),17))</f>
        <v/>
      </c>
      <c r="R174" s="17"/>
      <c r="S174" s="17">
        <f>S173+IF(M1_Administrativo!A178="",0,1)</f>
        <v>0</v>
      </c>
      <c r="T174" s="17" t="str">
        <f>IF(M1_Administrativo!A178="","",IF(M1_Administrativo!A178="","",M1_Administrativo!A178))</f>
        <v/>
      </c>
      <c r="U174" s="17" t="str">
        <f>IF(M1_Administrativo!A178="","",IF(M1_Administrativo!R178="","",M1_Administrativo!R178))</f>
        <v/>
      </c>
      <c r="V174" s="17" t="str">
        <f>IF(M1_Administrativo!A178="","",IF(M1_Administrativo!D178="","",M1_Administrativo!D178))</f>
        <v/>
      </c>
      <c r="W174" s="17" t="str">
        <f>IF(M1_Administrativo!A178="","",IF(M1_Administrativo!B178="","",M1_Administrativo!B178))</f>
        <v/>
      </c>
      <c r="X174" s="17" t="str">
        <f>IF(M1_Administrativo!A178="","",IF(M1_Administrativo!C178="","",M1_Administrativo!C178))</f>
        <v/>
      </c>
      <c r="Y174" s="17" t="str">
        <f>IF(M1_Administrativo!A178="","",IF(M1_Administrativo!E178="","",M1_Administrativo!E178))</f>
        <v/>
      </c>
      <c r="Z174" s="17" t="str">
        <f>IF(M1_Administrativo!A178="","",IF(M1_Administrativo!F178="","",M1_Administrativo!F178))</f>
        <v/>
      </c>
      <c r="AA174" s="17" t="str">
        <f>IF(M1_Administrativo!A178="","","M1 Administrativo")</f>
        <v/>
      </c>
      <c r="AB174" s="17" t="str">
        <f>IF(M1_Administrativo!A178="","",IF(M1_Administrativo!G178="","",M1_Administrativo!G178))</f>
        <v/>
      </c>
      <c r="AC174" s="17" t="str">
        <f>IF(M1_Administrativo!A178="","",IF(M1_Administrativo!M178="","",M1_Administrativo!M178))</f>
        <v/>
      </c>
      <c r="AD174" s="17" t="str">
        <f>IF(M1_Administrativo!A178="","","RA")</f>
        <v/>
      </c>
      <c r="AE174" s="17" t="str">
        <f>IF(M1_Administrativo!A178="","",IF(M1_Administrativo!O178="","",M1_Administrativo!O178))</f>
        <v/>
      </c>
      <c r="AF174" s="17" t="str">
        <f>IF(M1_Administrativo!A178="","",IF(M1_Administrativo!P178="","",M1_Administrativo!P178))</f>
        <v/>
      </c>
      <c r="AG174" s="17" t="str">
        <f>IF(M1_Administrativo!A178="","",IF(M1_Administrativo!Q178="","",M1_Administrativo!Q178))</f>
        <v/>
      </c>
      <c r="AH174" s="17" t="str">
        <f>IF(M1_Administrativo!A178="","","")</f>
        <v/>
      </c>
      <c r="AI174" s="17" t="str">
        <f>IF(M1_Administrativo!A178="","","M1_Administrativo!178")</f>
        <v/>
      </c>
      <c r="AJ174" s="17" t="str">
        <f>IF(M1_Administrativo!A178="","",IF(M1_Administrativo!M178="","Pendiente de resultado","Disponible"))</f>
        <v/>
      </c>
    </row>
    <row r="175" spans="1:36" ht="55.5" customHeight="1">
      <c r="A175" s="6" t="str">
        <f t="array" ref="A175">IF(171&gt;$S$1204,"",INDEX($T$5:$AJ$1204,MATCH(171,$S$5:$S$1204,0),1))</f>
        <v/>
      </c>
      <c r="B175" s="8" t="str">
        <f t="array" ref="B175">IF(171&gt;$S$1204,"",INDEX($T$5:$AJ$1204,MATCH(171,$S$5:$S$1204,0),2))</f>
        <v/>
      </c>
      <c r="C175" s="10" t="str">
        <f t="array" ref="C175">IF(171&gt;$S$1204,"",INDEX($T$5:$AJ$1204,MATCH(171,$S$5:$S$1204,0),3))</f>
        <v/>
      </c>
      <c r="D175" s="8" t="str">
        <f t="array" ref="D175">IF(171&gt;$S$1204,"",INDEX($T$5:$AJ$1204,MATCH(171,$S$5:$S$1204,0),4))</f>
        <v/>
      </c>
      <c r="E175" s="8" t="str">
        <f t="array" ref="E175">IF(171&gt;$S$1204,"",INDEX($T$5:$AJ$1204,MATCH(171,$S$5:$S$1204,0),5))</f>
        <v/>
      </c>
      <c r="F175" s="8" t="str">
        <f t="array" ref="F175">IF(171&gt;$S$1204,"",INDEX($T$5:$AJ$1204,MATCH(171,$S$5:$S$1204,0),6))</f>
        <v/>
      </c>
      <c r="G175" s="8" t="str">
        <f t="array" ref="G175">IF(171&gt;$S$1204,"",INDEX($T$5:$AJ$1204,MATCH(171,$S$5:$S$1204,0),7))</f>
        <v/>
      </c>
      <c r="H175" s="8" t="str">
        <f t="array" ref="H175">IF(171&gt;$S$1204,"",INDEX($T$5:$AJ$1204,MATCH(171,$S$5:$S$1204,0),8))</f>
        <v/>
      </c>
      <c r="I175" s="8" t="str">
        <f t="array" ref="I175">IF(171&gt;$S$1204,"",INDEX($T$5:$AJ$1204,MATCH(171,$S$5:$S$1204,0),9))</f>
        <v/>
      </c>
      <c r="J175" s="14" t="str">
        <f t="array" ref="J175">IF(171&gt;$S$1204,"",INDEX($T$5:$AJ$1204,MATCH(171,$S$5:$S$1204,0),10))</f>
        <v/>
      </c>
      <c r="K175" s="8" t="str">
        <f t="array" ref="K175">IF(171&gt;$S$1204,"",INDEX($T$5:$AJ$1204,MATCH(171,$S$5:$S$1204,0),11))</f>
        <v/>
      </c>
      <c r="L175" s="8" t="str">
        <f t="array" ref="L175">IF(171&gt;$S$1204,"",INDEX($T$5:$AJ$1204,MATCH(171,$S$5:$S$1204,0),12))</f>
        <v/>
      </c>
      <c r="M175" s="8" t="str">
        <f t="array" ref="M175">IF(171&gt;$S$1204,"",INDEX($T$5:$AJ$1204,MATCH(171,$S$5:$S$1204,0),13))</f>
        <v/>
      </c>
      <c r="N175" s="8" t="str">
        <f t="array" ref="N175">IF(171&gt;$S$1204,"",INDEX($T$5:$AJ$1204,MATCH(171,$S$5:$S$1204,0),14))</f>
        <v/>
      </c>
      <c r="O175" s="15" t="str">
        <f t="array" ref="O175">IF(171&gt;$S$1204,"",INDEX($T$5:$AJ$1204,MATCH(171,$S$5:$S$1204,0),15))</f>
        <v/>
      </c>
      <c r="P175" s="8" t="str">
        <f t="array" ref="P175">IF(171&gt;$S$1204,"",INDEX($T$5:$AJ$1204,MATCH(171,$S$5:$S$1204,0),16))</f>
        <v/>
      </c>
      <c r="Q175" s="8" t="str">
        <f t="array" ref="Q175">IF(171&gt;$S$1204,"",INDEX($T$5:$AJ$1204,MATCH(171,$S$5:$S$1204,0),17))</f>
        <v/>
      </c>
      <c r="R175" s="17"/>
      <c r="S175" s="17">
        <f>S174+IF(M1_Administrativo!A179="",0,1)</f>
        <v>0</v>
      </c>
      <c r="T175" s="17" t="str">
        <f>IF(M1_Administrativo!A179="","",IF(M1_Administrativo!A179="","",M1_Administrativo!A179))</f>
        <v/>
      </c>
      <c r="U175" s="17" t="str">
        <f>IF(M1_Administrativo!A179="","",IF(M1_Administrativo!R179="","",M1_Administrativo!R179))</f>
        <v/>
      </c>
      <c r="V175" s="17" t="str">
        <f>IF(M1_Administrativo!A179="","",IF(M1_Administrativo!D179="","",M1_Administrativo!D179))</f>
        <v/>
      </c>
      <c r="W175" s="17" t="str">
        <f>IF(M1_Administrativo!A179="","",IF(M1_Administrativo!B179="","",M1_Administrativo!B179))</f>
        <v/>
      </c>
      <c r="X175" s="17" t="str">
        <f>IF(M1_Administrativo!A179="","",IF(M1_Administrativo!C179="","",M1_Administrativo!C179))</f>
        <v/>
      </c>
      <c r="Y175" s="17" t="str">
        <f>IF(M1_Administrativo!A179="","",IF(M1_Administrativo!E179="","",M1_Administrativo!E179))</f>
        <v/>
      </c>
      <c r="Z175" s="17" t="str">
        <f>IF(M1_Administrativo!A179="","",IF(M1_Administrativo!F179="","",M1_Administrativo!F179))</f>
        <v/>
      </c>
      <c r="AA175" s="17" t="str">
        <f>IF(M1_Administrativo!A179="","","M1 Administrativo")</f>
        <v/>
      </c>
      <c r="AB175" s="17" t="str">
        <f>IF(M1_Administrativo!A179="","",IF(M1_Administrativo!G179="","",M1_Administrativo!G179))</f>
        <v/>
      </c>
      <c r="AC175" s="17" t="str">
        <f>IF(M1_Administrativo!A179="","",IF(M1_Administrativo!M179="","",M1_Administrativo!M179))</f>
        <v/>
      </c>
      <c r="AD175" s="17" t="str">
        <f>IF(M1_Administrativo!A179="","","RA")</f>
        <v/>
      </c>
      <c r="AE175" s="17" t="str">
        <f>IF(M1_Administrativo!A179="","",IF(M1_Administrativo!O179="","",M1_Administrativo!O179))</f>
        <v/>
      </c>
      <c r="AF175" s="17" t="str">
        <f>IF(M1_Administrativo!A179="","",IF(M1_Administrativo!P179="","",M1_Administrativo!P179))</f>
        <v/>
      </c>
      <c r="AG175" s="17" t="str">
        <f>IF(M1_Administrativo!A179="","",IF(M1_Administrativo!Q179="","",M1_Administrativo!Q179))</f>
        <v/>
      </c>
      <c r="AH175" s="17" t="str">
        <f>IF(M1_Administrativo!A179="","","")</f>
        <v/>
      </c>
      <c r="AI175" s="17" t="str">
        <f>IF(M1_Administrativo!A179="","","M1_Administrativo!179")</f>
        <v/>
      </c>
      <c r="AJ175" s="17" t="str">
        <f>IF(M1_Administrativo!A179="","",IF(M1_Administrativo!M179="","Pendiente de resultado","Disponible"))</f>
        <v/>
      </c>
    </row>
    <row r="176" spans="1:36" ht="55.5" customHeight="1">
      <c r="A176" s="6" t="str">
        <f t="array" ref="A176">IF(172&gt;$S$1204,"",INDEX($T$5:$AJ$1204,MATCH(172,$S$5:$S$1204,0),1))</f>
        <v/>
      </c>
      <c r="B176" s="8" t="str">
        <f t="array" ref="B176">IF(172&gt;$S$1204,"",INDEX($T$5:$AJ$1204,MATCH(172,$S$5:$S$1204,0),2))</f>
        <v/>
      </c>
      <c r="C176" s="10" t="str">
        <f t="array" ref="C176">IF(172&gt;$S$1204,"",INDEX($T$5:$AJ$1204,MATCH(172,$S$5:$S$1204,0),3))</f>
        <v/>
      </c>
      <c r="D176" s="8" t="str">
        <f t="array" ref="D176">IF(172&gt;$S$1204,"",INDEX($T$5:$AJ$1204,MATCH(172,$S$5:$S$1204,0),4))</f>
        <v/>
      </c>
      <c r="E176" s="8" t="str">
        <f t="array" ref="E176">IF(172&gt;$S$1204,"",INDEX($T$5:$AJ$1204,MATCH(172,$S$5:$S$1204,0),5))</f>
        <v/>
      </c>
      <c r="F176" s="8" t="str">
        <f t="array" ref="F176">IF(172&gt;$S$1204,"",INDEX($T$5:$AJ$1204,MATCH(172,$S$5:$S$1204,0),6))</f>
        <v/>
      </c>
      <c r="G176" s="8" t="str">
        <f t="array" ref="G176">IF(172&gt;$S$1204,"",INDEX($T$5:$AJ$1204,MATCH(172,$S$5:$S$1204,0),7))</f>
        <v/>
      </c>
      <c r="H176" s="8" t="str">
        <f t="array" ref="H176">IF(172&gt;$S$1204,"",INDEX($T$5:$AJ$1204,MATCH(172,$S$5:$S$1204,0),8))</f>
        <v/>
      </c>
      <c r="I176" s="8" t="str">
        <f t="array" ref="I176">IF(172&gt;$S$1204,"",INDEX($T$5:$AJ$1204,MATCH(172,$S$5:$S$1204,0),9))</f>
        <v/>
      </c>
      <c r="J176" s="14" t="str">
        <f t="array" ref="J176">IF(172&gt;$S$1204,"",INDEX($T$5:$AJ$1204,MATCH(172,$S$5:$S$1204,0),10))</f>
        <v/>
      </c>
      <c r="K176" s="8" t="str">
        <f t="array" ref="K176">IF(172&gt;$S$1204,"",INDEX($T$5:$AJ$1204,MATCH(172,$S$5:$S$1204,0),11))</f>
        <v/>
      </c>
      <c r="L176" s="8" t="str">
        <f t="array" ref="L176">IF(172&gt;$S$1204,"",INDEX($T$5:$AJ$1204,MATCH(172,$S$5:$S$1204,0),12))</f>
        <v/>
      </c>
      <c r="M176" s="8" t="str">
        <f t="array" ref="M176">IF(172&gt;$S$1204,"",INDEX($T$5:$AJ$1204,MATCH(172,$S$5:$S$1204,0),13))</f>
        <v/>
      </c>
      <c r="N176" s="8" t="str">
        <f t="array" ref="N176">IF(172&gt;$S$1204,"",INDEX($T$5:$AJ$1204,MATCH(172,$S$5:$S$1204,0),14))</f>
        <v/>
      </c>
      <c r="O176" s="15" t="str">
        <f t="array" ref="O176">IF(172&gt;$S$1204,"",INDEX($T$5:$AJ$1204,MATCH(172,$S$5:$S$1204,0),15))</f>
        <v/>
      </c>
      <c r="P176" s="8" t="str">
        <f t="array" ref="P176">IF(172&gt;$S$1204,"",INDEX($T$5:$AJ$1204,MATCH(172,$S$5:$S$1204,0),16))</f>
        <v/>
      </c>
      <c r="Q176" s="8" t="str">
        <f t="array" ref="Q176">IF(172&gt;$S$1204,"",INDEX($T$5:$AJ$1204,MATCH(172,$S$5:$S$1204,0),17))</f>
        <v/>
      </c>
      <c r="R176" s="17"/>
      <c r="S176" s="17">
        <f>S175+IF(M1_Administrativo!A180="",0,1)</f>
        <v>0</v>
      </c>
      <c r="T176" s="17" t="str">
        <f>IF(M1_Administrativo!A180="","",IF(M1_Administrativo!A180="","",M1_Administrativo!A180))</f>
        <v/>
      </c>
      <c r="U176" s="17" t="str">
        <f>IF(M1_Administrativo!A180="","",IF(M1_Administrativo!R180="","",M1_Administrativo!R180))</f>
        <v/>
      </c>
      <c r="V176" s="17" t="str">
        <f>IF(M1_Administrativo!A180="","",IF(M1_Administrativo!D180="","",M1_Administrativo!D180))</f>
        <v/>
      </c>
      <c r="W176" s="17" t="str">
        <f>IF(M1_Administrativo!A180="","",IF(M1_Administrativo!B180="","",M1_Administrativo!B180))</f>
        <v/>
      </c>
      <c r="X176" s="17" t="str">
        <f>IF(M1_Administrativo!A180="","",IF(M1_Administrativo!C180="","",M1_Administrativo!C180))</f>
        <v/>
      </c>
      <c r="Y176" s="17" t="str">
        <f>IF(M1_Administrativo!A180="","",IF(M1_Administrativo!E180="","",M1_Administrativo!E180))</f>
        <v/>
      </c>
      <c r="Z176" s="17" t="str">
        <f>IF(M1_Administrativo!A180="","",IF(M1_Administrativo!F180="","",M1_Administrativo!F180))</f>
        <v/>
      </c>
      <c r="AA176" s="17" t="str">
        <f>IF(M1_Administrativo!A180="","","M1 Administrativo")</f>
        <v/>
      </c>
      <c r="AB176" s="17" t="str">
        <f>IF(M1_Administrativo!A180="","",IF(M1_Administrativo!G180="","",M1_Administrativo!G180))</f>
        <v/>
      </c>
      <c r="AC176" s="17" t="str">
        <f>IF(M1_Administrativo!A180="","",IF(M1_Administrativo!M180="","",M1_Administrativo!M180))</f>
        <v/>
      </c>
      <c r="AD176" s="17" t="str">
        <f>IF(M1_Administrativo!A180="","","RA")</f>
        <v/>
      </c>
      <c r="AE176" s="17" t="str">
        <f>IF(M1_Administrativo!A180="","",IF(M1_Administrativo!O180="","",M1_Administrativo!O180))</f>
        <v/>
      </c>
      <c r="AF176" s="17" t="str">
        <f>IF(M1_Administrativo!A180="","",IF(M1_Administrativo!P180="","",M1_Administrativo!P180))</f>
        <v/>
      </c>
      <c r="AG176" s="17" t="str">
        <f>IF(M1_Administrativo!A180="","",IF(M1_Administrativo!Q180="","",M1_Administrativo!Q180))</f>
        <v/>
      </c>
      <c r="AH176" s="17" t="str">
        <f>IF(M1_Administrativo!A180="","","")</f>
        <v/>
      </c>
      <c r="AI176" s="17" t="str">
        <f>IF(M1_Administrativo!A180="","","M1_Administrativo!180")</f>
        <v/>
      </c>
      <c r="AJ176" s="17" t="str">
        <f>IF(M1_Administrativo!A180="","",IF(M1_Administrativo!M180="","Pendiente de resultado","Disponible"))</f>
        <v/>
      </c>
    </row>
    <row r="177" spans="1:36" ht="55.5" customHeight="1">
      <c r="A177" s="6" t="str">
        <f t="array" ref="A177">IF(173&gt;$S$1204,"",INDEX($T$5:$AJ$1204,MATCH(173,$S$5:$S$1204,0),1))</f>
        <v/>
      </c>
      <c r="B177" s="8" t="str">
        <f t="array" ref="B177">IF(173&gt;$S$1204,"",INDEX($T$5:$AJ$1204,MATCH(173,$S$5:$S$1204,0),2))</f>
        <v/>
      </c>
      <c r="C177" s="10" t="str">
        <f t="array" ref="C177">IF(173&gt;$S$1204,"",INDEX($T$5:$AJ$1204,MATCH(173,$S$5:$S$1204,0),3))</f>
        <v/>
      </c>
      <c r="D177" s="8" t="str">
        <f t="array" ref="D177">IF(173&gt;$S$1204,"",INDEX($T$5:$AJ$1204,MATCH(173,$S$5:$S$1204,0),4))</f>
        <v/>
      </c>
      <c r="E177" s="8" t="str">
        <f t="array" ref="E177">IF(173&gt;$S$1204,"",INDEX($T$5:$AJ$1204,MATCH(173,$S$5:$S$1204,0),5))</f>
        <v/>
      </c>
      <c r="F177" s="8" t="str">
        <f t="array" ref="F177">IF(173&gt;$S$1204,"",INDEX($T$5:$AJ$1204,MATCH(173,$S$5:$S$1204,0),6))</f>
        <v/>
      </c>
      <c r="G177" s="8" t="str">
        <f t="array" ref="G177">IF(173&gt;$S$1204,"",INDEX($T$5:$AJ$1204,MATCH(173,$S$5:$S$1204,0),7))</f>
        <v/>
      </c>
      <c r="H177" s="8" t="str">
        <f t="array" ref="H177">IF(173&gt;$S$1204,"",INDEX($T$5:$AJ$1204,MATCH(173,$S$5:$S$1204,0),8))</f>
        <v/>
      </c>
      <c r="I177" s="8" t="str">
        <f t="array" ref="I177">IF(173&gt;$S$1204,"",INDEX($T$5:$AJ$1204,MATCH(173,$S$5:$S$1204,0),9))</f>
        <v/>
      </c>
      <c r="J177" s="14" t="str">
        <f t="array" ref="J177">IF(173&gt;$S$1204,"",INDEX($T$5:$AJ$1204,MATCH(173,$S$5:$S$1204,0),10))</f>
        <v/>
      </c>
      <c r="K177" s="8" t="str">
        <f t="array" ref="K177">IF(173&gt;$S$1204,"",INDEX($T$5:$AJ$1204,MATCH(173,$S$5:$S$1204,0),11))</f>
        <v/>
      </c>
      <c r="L177" s="8" t="str">
        <f t="array" ref="L177">IF(173&gt;$S$1204,"",INDEX($T$5:$AJ$1204,MATCH(173,$S$5:$S$1204,0),12))</f>
        <v/>
      </c>
      <c r="M177" s="8" t="str">
        <f t="array" ref="M177">IF(173&gt;$S$1204,"",INDEX($T$5:$AJ$1204,MATCH(173,$S$5:$S$1204,0),13))</f>
        <v/>
      </c>
      <c r="N177" s="8" t="str">
        <f t="array" ref="N177">IF(173&gt;$S$1204,"",INDEX($T$5:$AJ$1204,MATCH(173,$S$5:$S$1204,0),14))</f>
        <v/>
      </c>
      <c r="O177" s="15" t="str">
        <f t="array" ref="O177">IF(173&gt;$S$1204,"",INDEX($T$5:$AJ$1204,MATCH(173,$S$5:$S$1204,0),15))</f>
        <v/>
      </c>
      <c r="P177" s="8" t="str">
        <f t="array" ref="P177">IF(173&gt;$S$1204,"",INDEX($T$5:$AJ$1204,MATCH(173,$S$5:$S$1204,0),16))</f>
        <v/>
      </c>
      <c r="Q177" s="8" t="str">
        <f t="array" ref="Q177">IF(173&gt;$S$1204,"",INDEX($T$5:$AJ$1204,MATCH(173,$S$5:$S$1204,0),17))</f>
        <v/>
      </c>
      <c r="R177" s="17"/>
      <c r="S177" s="17">
        <f>S176+IF(M1_Administrativo!A181="",0,1)</f>
        <v>0</v>
      </c>
      <c r="T177" s="17" t="str">
        <f>IF(M1_Administrativo!A181="","",IF(M1_Administrativo!A181="","",M1_Administrativo!A181))</f>
        <v/>
      </c>
      <c r="U177" s="17" t="str">
        <f>IF(M1_Administrativo!A181="","",IF(M1_Administrativo!R181="","",M1_Administrativo!R181))</f>
        <v/>
      </c>
      <c r="V177" s="17" t="str">
        <f>IF(M1_Administrativo!A181="","",IF(M1_Administrativo!D181="","",M1_Administrativo!D181))</f>
        <v/>
      </c>
      <c r="W177" s="17" t="str">
        <f>IF(M1_Administrativo!A181="","",IF(M1_Administrativo!B181="","",M1_Administrativo!B181))</f>
        <v/>
      </c>
      <c r="X177" s="17" t="str">
        <f>IF(M1_Administrativo!A181="","",IF(M1_Administrativo!C181="","",M1_Administrativo!C181))</f>
        <v/>
      </c>
      <c r="Y177" s="17" t="str">
        <f>IF(M1_Administrativo!A181="","",IF(M1_Administrativo!E181="","",M1_Administrativo!E181))</f>
        <v/>
      </c>
      <c r="Z177" s="17" t="str">
        <f>IF(M1_Administrativo!A181="","",IF(M1_Administrativo!F181="","",M1_Administrativo!F181))</f>
        <v/>
      </c>
      <c r="AA177" s="17" t="str">
        <f>IF(M1_Administrativo!A181="","","M1 Administrativo")</f>
        <v/>
      </c>
      <c r="AB177" s="17" t="str">
        <f>IF(M1_Administrativo!A181="","",IF(M1_Administrativo!G181="","",M1_Administrativo!G181))</f>
        <v/>
      </c>
      <c r="AC177" s="17" t="str">
        <f>IF(M1_Administrativo!A181="","",IF(M1_Administrativo!M181="","",M1_Administrativo!M181))</f>
        <v/>
      </c>
      <c r="AD177" s="17" t="str">
        <f>IF(M1_Administrativo!A181="","","RA")</f>
        <v/>
      </c>
      <c r="AE177" s="17" t="str">
        <f>IF(M1_Administrativo!A181="","",IF(M1_Administrativo!O181="","",M1_Administrativo!O181))</f>
        <v/>
      </c>
      <c r="AF177" s="17" t="str">
        <f>IF(M1_Administrativo!A181="","",IF(M1_Administrativo!P181="","",M1_Administrativo!P181))</f>
        <v/>
      </c>
      <c r="AG177" s="17" t="str">
        <f>IF(M1_Administrativo!A181="","",IF(M1_Administrativo!Q181="","",M1_Administrativo!Q181))</f>
        <v/>
      </c>
      <c r="AH177" s="17" t="str">
        <f>IF(M1_Administrativo!A181="","","")</f>
        <v/>
      </c>
      <c r="AI177" s="17" t="str">
        <f>IF(M1_Administrativo!A181="","","M1_Administrativo!181")</f>
        <v/>
      </c>
      <c r="AJ177" s="17" t="str">
        <f>IF(M1_Administrativo!A181="","",IF(M1_Administrativo!M181="","Pendiente de resultado","Disponible"))</f>
        <v/>
      </c>
    </row>
    <row r="178" spans="1:36" ht="55.5" customHeight="1">
      <c r="A178" s="6" t="str">
        <f t="array" ref="A178">IF(174&gt;$S$1204,"",INDEX($T$5:$AJ$1204,MATCH(174,$S$5:$S$1204,0),1))</f>
        <v/>
      </c>
      <c r="B178" s="8" t="str">
        <f t="array" ref="B178">IF(174&gt;$S$1204,"",INDEX($T$5:$AJ$1204,MATCH(174,$S$5:$S$1204,0),2))</f>
        <v/>
      </c>
      <c r="C178" s="10" t="str">
        <f t="array" ref="C178">IF(174&gt;$S$1204,"",INDEX($T$5:$AJ$1204,MATCH(174,$S$5:$S$1204,0),3))</f>
        <v/>
      </c>
      <c r="D178" s="8" t="str">
        <f t="array" ref="D178">IF(174&gt;$S$1204,"",INDEX($T$5:$AJ$1204,MATCH(174,$S$5:$S$1204,0),4))</f>
        <v/>
      </c>
      <c r="E178" s="8" t="str">
        <f t="array" ref="E178">IF(174&gt;$S$1204,"",INDEX($T$5:$AJ$1204,MATCH(174,$S$5:$S$1204,0),5))</f>
        <v/>
      </c>
      <c r="F178" s="8" t="str">
        <f t="array" ref="F178">IF(174&gt;$S$1204,"",INDEX($T$5:$AJ$1204,MATCH(174,$S$5:$S$1204,0),6))</f>
        <v/>
      </c>
      <c r="G178" s="8" t="str">
        <f t="array" ref="G178">IF(174&gt;$S$1204,"",INDEX($T$5:$AJ$1204,MATCH(174,$S$5:$S$1204,0),7))</f>
        <v/>
      </c>
      <c r="H178" s="8" t="str">
        <f t="array" ref="H178">IF(174&gt;$S$1204,"",INDEX($T$5:$AJ$1204,MATCH(174,$S$5:$S$1204,0),8))</f>
        <v/>
      </c>
      <c r="I178" s="8" t="str">
        <f t="array" ref="I178">IF(174&gt;$S$1204,"",INDEX($T$5:$AJ$1204,MATCH(174,$S$5:$S$1204,0),9))</f>
        <v/>
      </c>
      <c r="J178" s="14" t="str">
        <f t="array" ref="J178">IF(174&gt;$S$1204,"",INDEX($T$5:$AJ$1204,MATCH(174,$S$5:$S$1204,0),10))</f>
        <v/>
      </c>
      <c r="K178" s="8" t="str">
        <f t="array" ref="K178">IF(174&gt;$S$1204,"",INDEX($T$5:$AJ$1204,MATCH(174,$S$5:$S$1204,0),11))</f>
        <v/>
      </c>
      <c r="L178" s="8" t="str">
        <f t="array" ref="L178">IF(174&gt;$S$1204,"",INDEX($T$5:$AJ$1204,MATCH(174,$S$5:$S$1204,0),12))</f>
        <v/>
      </c>
      <c r="M178" s="8" t="str">
        <f t="array" ref="M178">IF(174&gt;$S$1204,"",INDEX($T$5:$AJ$1204,MATCH(174,$S$5:$S$1204,0),13))</f>
        <v/>
      </c>
      <c r="N178" s="8" t="str">
        <f t="array" ref="N178">IF(174&gt;$S$1204,"",INDEX($T$5:$AJ$1204,MATCH(174,$S$5:$S$1204,0),14))</f>
        <v/>
      </c>
      <c r="O178" s="15" t="str">
        <f t="array" ref="O178">IF(174&gt;$S$1204,"",INDEX($T$5:$AJ$1204,MATCH(174,$S$5:$S$1204,0),15))</f>
        <v/>
      </c>
      <c r="P178" s="8" t="str">
        <f t="array" ref="P178">IF(174&gt;$S$1204,"",INDEX($T$5:$AJ$1204,MATCH(174,$S$5:$S$1204,0),16))</f>
        <v/>
      </c>
      <c r="Q178" s="8" t="str">
        <f t="array" ref="Q178">IF(174&gt;$S$1204,"",INDEX($T$5:$AJ$1204,MATCH(174,$S$5:$S$1204,0),17))</f>
        <v/>
      </c>
      <c r="R178" s="17"/>
      <c r="S178" s="17">
        <f>S177+IF(M1_Administrativo!A182="",0,1)</f>
        <v>0</v>
      </c>
      <c r="T178" s="17" t="str">
        <f>IF(M1_Administrativo!A182="","",IF(M1_Administrativo!A182="","",M1_Administrativo!A182))</f>
        <v/>
      </c>
      <c r="U178" s="17" t="str">
        <f>IF(M1_Administrativo!A182="","",IF(M1_Administrativo!R182="","",M1_Administrativo!R182))</f>
        <v/>
      </c>
      <c r="V178" s="17" t="str">
        <f>IF(M1_Administrativo!A182="","",IF(M1_Administrativo!D182="","",M1_Administrativo!D182))</f>
        <v/>
      </c>
      <c r="W178" s="17" t="str">
        <f>IF(M1_Administrativo!A182="","",IF(M1_Administrativo!B182="","",M1_Administrativo!B182))</f>
        <v/>
      </c>
      <c r="X178" s="17" t="str">
        <f>IF(M1_Administrativo!A182="","",IF(M1_Administrativo!C182="","",M1_Administrativo!C182))</f>
        <v/>
      </c>
      <c r="Y178" s="17" t="str">
        <f>IF(M1_Administrativo!A182="","",IF(M1_Administrativo!E182="","",M1_Administrativo!E182))</f>
        <v/>
      </c>
      <c r="Z178" s="17" t="str">
        <f>IF(M1_Administrativo!A182="","",IF(M1_Administrativo!F182="","",M1_Administrativo!F182))</f>
        <v/>
      </c>
      <c r="AA178" s="17" t="str">
        <f>IF(M1_Administrativo!A182="","","M1 Administrativo")</f>
        <v/>
      </c>
      <c r="AB178" s="17" t="str">
        <f>IF(M1_Administrativo!A182="","",IF(M1_Administrativo!G182="","",M1_Administrativo!G182))</f>
        <v/>
      </c>
      <c r="AC178" s="17" t="str">
        <f>IF(M1_Administrativo!A182="","",IF(M1_Administrativo!M182="","",M1_Administrativo!M182))</f>
        <v/>
      </c>
      <c r="AD178" s="17" t="str">
        <f>IF(M1_Administrativo!A182="","","RA")</f>
        <v/>
      </c>
      <c r="AE178" s="17" t="str">
        <f>IF(M1_Administrativo!A182="","",IF(M1_Administrativo!O182="","",M1_Administrativo!O182))</f>
        <v/>
      </c>
      <c r="AF178" s="17" t="str">
        <f>IF(M1_Administrativo!A182="","",IF(M1_Administrativo!P182="","",M1_Administrativo!P182))</f>
        <v/>
      </c>
      <c r="AG178" s="17" t="str">
        <f>IF(M1_Administrativo!A182="","",IF(M1_Administrativo!Q182="","",M1_Administrativo!Q182))</f>
        <v/>
      </c>
      <c r="AH178" s="17" t="str">
        <f>IF(M1_Administrativo!A182="","","")</f>
        <v/>
      </c>
      <c r="AI178" s="17" t="str">
        <f>IF(M1_Administrativo!A182="","","M1_Administrativo!182")</f>
        <v/>
      </c>
      <c r="AJ178" s="17" t="str">
        <f>IF(M1_Administrativo!A182="","",IF(M1_Administrativo!M182="","Pendiente de resultado","Disponible"))</f>
        <v/>
      </c>
    </row>
    <row r="179" spans="1:36" ht="55.5" customHeight="1">
      <c r="A179" s="6" t="str">
        <f t="array" ref="A179">IF(175&gt;$S$1204,"",INDEX($T$5:$AJ$1204,MATCH(175,$S$5:$S$1204,0),1))</f>
        <v/>
      </c>
      <c r="B179" s="8" t="str">
        <f t="array" ref="B179">IF(175&gt;$S$1204,"",INDEX($T$5:$AJ$1204,MATCH(175,$S$5:$S$1204,0),2))</f>
        <v/>
      </c>
      <c r="C179" s="10" t="str">
        <f t="array" ref="C179">IF(175&gt;$S$1204,"",INDEX($T$5:$AJ$1204,MATCH(175,$S$5:$S$1204,0),3))</f>
        <v/>
      </c>
      <c r="D179" s="8" t="str">
        <f t="array" ref="D179">IF(175&gt;$S$1204,"",INDEX($T$5:$AJ$1204,MATCH(175,$S$5:$S$1204,0),4))</f>
        <v/>
      </c>
      <c r="E179" s="8" t="str">
        <f t="array" ref="E179">IF(175&gt;$S$1204,"",INDEX($T$5:$AJ$1204,MATCH(175,$S$5:$S$1204,0),5))</f>
        <v/>
      </c>
      <c r="F179" s="8" t="str">
        <f t="array" ref="F179">IF(175&gt;$S$1204,"",INDEX($T$5:$AJ$1204,MATCH(175,$S$5:$S$1204,0),6))</f>
        <v/>
      </c>
      <c r="G179" s="8" t="str">
        <f t="array" ref="G179">IF(175&gt;$S$1204,"",INDEX($T$5:$AJ$1204,MATCH(175,$S$5:$S$1204,0),7))</f>
        <v/>
      </c>
      <c r="H179" s="8" t="str">
        <f t="array" ref="H179">IF(175&gt;$S$1204,"",INDEX($T$5:$AJ$1204,MATCH(175,$S$5:$S$1204,0),8))</f>
        <v/>
      </c>
      <c r="I179" s="8" t="str">
        <f t="array" ref="I179">IF(175&gt;$S$1204,"",INDEX($T$5:$AJ$1204,MATCH(175,$S$5:$S$1204,0),9))</f>
        <v/>
      </c>
      <c r="J179" s="14" t="str">
        <f t="array" ref="J179">IF(175&gt;$S$1204,"",INDEX($T$5:$AJ$1204,MATCH(175,$S$5:$S$1204,0),10))</f>
        <v/>
      </c>
      <c r="K179" s="8" t="str">
        <f t="array" ref="K179">IF(175&gt;$S$1204,"",INDEX($T$5:$AJ$1204,MATCH(175,$S$5:$S$1204,0),11))</f>
        <v/>
      </c>
      <c r="L179" s="8" t="str">
        <f t="array" ref="L179">IF(175&gt;$S$1204,"",INDEX($T$5:$AJ$1204,MATCH(175,$S$5:$S$1204,0),12))</f>
        <v/>
      </c>
      <c r="M179" s="8" t="str">
        <f t="array" ref="M179">IF(175&gt;$S$1204,"",INDEX($T$5:$AJ$1204,MATCH(175,$S$5:$S$1204,0),13))</f>
        <v/>
      </c>
      <c r="N179" s="8" t="str">
        <f t="array" ref="N179">IF(175&gt;$S$1204,"",INDEX($T$5:$AJ$1204,MATCH(175,$S$5:$S$1204,0),14))</f>
        <v/>
      </c>
      <c r="O179" s="15" t="str">
        <f t="array" ref="O179">IF(175&gt;$S$1204,"",INDEX($T$5:$AJ$1204,MATCH(175,$S$5:$S$1204,0),15))</f>
        <v/>
      </c>
      <c r="P179" s="8" t="str">
        <f t="array" ref="P179">IF(175&gt;$S$1204,"",INDEX($T$5:$AJ$1204,MATCH(175,$S$5:$S$1204,0),16))</f>
        <v/>
      </c>
      <c r="Q179" s="8" t="str">
        <f t="array" ref="Q179">IF(175&gt;$S$1204,"",INDEX($T$5:$AJ$1204,MATCH(175,$S$5:$S$1204,0),17))</f>
        <v/>
      </c>
      <c r="R179" s="17"/>
      <c r="S179" s="17">
        <f>S178+IF(M1_Administrativo!A183="",0,1)</f>
        <v>0</v>
      </c>
      <c r="T179" s="17" t="str">
        <f>IF(M1_Administrativo!A183="","",IF(M1_Administrativo!A183="","",M1_Administrativo!A183))</f>
        <v/>
      </c>
      <c r="U179" s="17" t="str">
        <f>IF(M1_Administrativo!A183="","",IF(M1_Administrativo!R183="","",M1_Administrativo!R183))</f>
        <v/>
      </c>
      <c r="V179" s="17" t="str">
        <f>IF(M1_Administrativo!A183="","",IF(M1_Administrativo!D183="","",M1_Administrativo!D183))</f>
        <v/>
      </c>
      <c r="W179" s="17" t="str">
        <f>IF(M1_Administrativo!A183="","",IF(M1_Administrativo!B183="","",M1_Administrativo!B183))</f>
        <v/>
      </c>
      <c r="X179" s="17" t="str">
        <f>IF(M1_Administrativo!A183="","",IF(M1_Administrativo!C183="","",M1_Administrativo!C183))</f>
        <v/>
      </c>
      <c r="Y179" s="17" t="str">
        <f>IF(M1_Administrativo!A183="","",IF(M1_Administrativo!E183="","",M1_Administrativo!E183))</f>
        <v/>
      </c>
      <c r="Z179" s="17" t="str">
        <f>IF(M1_Administrativo!A183="","",IF(M1_Administrativo!F183="","",M1_Administrativo!F183))</f>
        <v/>
      </c>
      <c r="AA179" s="17" t="str">
        <f>IF(M1_Administrativo!A183="","","M1 Administrativo")</f>
        <v/>
      </c>
      <c r="AB179" s="17" t="str">
        <f>IF(M1_Administrativo!A183="","",IF(M1_Administrativo!G183="","",M1_Administrativo!G183))</f>
        <v/>
      </c>
      <c r="AC179" s="17" t="str">
        <f>IF(M1_Administrativo!A183="","",IF(M1_Administrativo!M183="","",M1_Administrativo!M183))</f>
        <v/>
      </c>
      <c r="AD179" s="17" t="str">
        <f>IF(M1_Administrativo!A183="","","RA")</f>
        <v/>
      </c>
      <c r="AE179" s="17" t="str">
        <f>IF(M1_Administrativo!A183="","",IF(M1_Administrativo!O183="","",M1_Administrativo!O183))</f>
        <v/>
      </c>
      <c r="AF179" s="17" t="str">
        <f>IF(M1_Administrativo!A183="","",IF(M1_Administrativo!P183="","",M1_Administrativo!P183))</f>
        <v/>
      </c>
      <c r="AG179" s="17" t="str">
        <f>IF(M1_Administrativo!A183="","",IF(M1_Administrativo!Q183="","",M1_Administrativo!Q183))</f>
        <v/>
      </c>
      <c r="AH179" s="17" t="str">
        <f>IF(M1_Administrativo!A183="","","")</f>
        <v/>
      </c>
      <c r="AI179" s="17" t="str">
        <f>IF(M1_Administrativo!A183="","","M1_Administrativo!183")</f>
        <v/>
      </c>
      <c r="AJ179" s="17" t="str">
        <f>IF(M1_Administrativo!A183="","",IF(M1_Administrativo!M183="","Pendiente de resultado","Disponible"))</f>
        <v/>
      </c>
    </row>
    <row r="180" spans="1:36" ht="55.5" customHeight="1">
      <c r="A180" s="6" t="str">
        <f t="array" ref="A180">IF(176&gt;$S$1204,"",INDEX($T$5:$AJ$1204,MATCH(176,$S$5:$S$1204,0),1))</f>
        <v/>
      </c>
      <c r="B180" s="8" t="str">
        <f t="array" ref="B180">IF(176&gt;$S$1204,"",INDEX($T$5:$AJ$1204,MATCH(176,$S$5:$S$1204,0),2))</f>
        <v/>
      </c>
      <c r="C180" s="10" t="str">
        <f t="array" ref="C180">IF(176&gt;$S$1204,"",INDEX($T$5:$AJ$1204,MATCH(176,$S$5:$S$1204,0),3))</f>
        <v/>
      </c>
      <c r="D180" s="8" t="str">
        <f t="array" ref="D180">IF(176&gt;$S$1204,"",INDEX($T$5:$AJ$1204,MATCH(176,$S$5:$S$1204,0),4))</f>
        <v/>
      </c>
      <c r="E180" s="8" t="str">
        <f t="array" ref="E180">IF(176&gt;$S$1204,"",INDEX($T$5:$AJ$1204,MATCH(176,$S$5:$S$1204,0),5))</f>
        <v/>
      </c>
      <c r="F180" s="8" t="str">
        <f t="array" ref="F180">IF(176&gt;$S$1204,"",INDEX($T$5:$AJ$1204,MATCH(176,$S$5:$S$1204,0),6))</f>
        <v/>
      </c>
      <c r="G180" s="8" t="str">
        <f t="array" ref="G180">IF(176&gt;$S$1204,"",INDEX($T$5:$AJ$1204,MATCH(176,$S$5:$S$1204,0),7))</f>
        <v/>
      </c>
      <c r="H180" s="8" t="str">
        <f t="array" ref="H180">IF(176&gt;$S$1204,"",INDEX($T$5:$AJ$1204,MATCH(176,$S$5:$S$1204,0),8))</f>
        <v/>
      </c>
      <c r="I180" s="8" t="str">
        <f t="array" ref="I180">IF(176&gt;$S$1204,"",INDEX($T$5:$AJ$1204,MATCH(176,$S$5:$S$1204,0),9))</f>
        <v/>
      </c>
      <c r="J180" s="14" t="str">
        <f t="array" ref="J180">IF(176&gt;$S$1204,"",INDEX($T$5:$AJ$1204,MATCH(176,$S$5:$S$1204,0),10))</f>
        <v/>
      </c>
      <c r="K180" s="8" t="str">
        <f t="array" ref="K180">IF(176&gt;$S$1204,"",INDEX($T$5:$AJ$1204,MATCH(176,$S$5:$S$1204,0),11))</f>
        <v/>
      </c>
      <c r="L180" s="8" t="str">
        <f t="array" ref="L180">IF(176&gt;$S$1204,"",INDEX($T$5:$AJ$1204,MATCH(176,$S$5:$S$1204,0),12))</f>
        <v/>
      </c>
      <c r="M180" s="8" t="str">
        <f t="array" ref="M180">IF(176&gt;$S$1204,"",INDEX($T$5:$AJ$1204,MATCH(176,$S$5:$S$1204,0),13))</f>
        <v/>
      </c>
      <c r="N180" s="8" t="str">
        <f t="array" ref="N180">IF(176&gt;$S$1204,"",INDEX($T$5:$AJ$1204,MATCH(176,$S$5:$S$1204,0),14))</f>
        <v/>
      </c>
      <c r="O180" s="15" t="str">
        <f t="array" ref="O180">IF(176&gt;$S$1204,"",INDEX($T$5:$AJ$1204,MATCH(176,$S$5:$S$1204,0),15))</f>
        <v/>
      </c>
      <c r="P180" s="8" t="str">
        <f t="array" ref="P180">IF(176&gt;$S$1204,"",INDEX($T$5:$AJ$1204,MATCH(176,$S$5:$S$1204,0),16))</f>
        <v/>
      </c>
      <c r="Q180" s="8" t="str">
        <f t="array" ref="Q180">IF(176&gt;$S$1204,"",INDEX($T$5:$AJ$1204,MATCH(176,$S$5:$S$1204,0),17))</f>
        <v/>
      </c>
      <c r="R180" s="17"/>
      <c r="S180" s="17">
        <f>S179+IF(M1_Administrativo!A184="",0,1)</f>
        <v>0</v>
      </c>
      <c r="T180" s="17" t="str">
        <f>IF(M1_Administrativo!A184="","",IF(M1_Administrativo!A184="","",M1_Administrativo!A184))</f>
        <v/>
      </c>
      <c r="U180" s="17" t="str">
        <f>IF(M1_Administrativo!A184="","",IF(M1_Administrativo!R184="","",M1_Administrativo!R184))</f>
        <v/>
      </c>
      <c r="V180" s="17" t="str">
        <f>IF(M1_Administrativo!A184="","",IF(M1_Administrativo!D184="","",M1_Administrativo!D184))</f>
        <v/>
      </c>
      <c r="W180" s="17" t="str">
        <f>IF(M1_Administrativo!A184="","",IF(M1_Administrativo!B184="","",M1_Administrativo!B184))</f>
        <v/>
      </c>
      <c r="X180" s="17" t="str">
        <f>IF(M1_Administrativo!A184="","",IF(M1_Administrativo!C184="","",M1_Administrativo!C184))</f>
        <v/>
      </c>
      <c r="Y180" s="17" t="str">
        <f>IF(M1_Administrativo!A184="","",IF(M1_Administrativo!E184="","",M1_Administrativo!E184))</f>
        <v/>
      </c>
      <c r="Z180" s="17" t="str">
        <f>IF(M1_Administrativo!A184="","",IF(M1_Administrativo!F184="","",M1_Administrativo!F184))</f>
        <v/>
      </c>
      <c r="AA180" s="17" t="str">
        <f>IF(M1_Administrativo!A184="","","M1 Administrativo")</f>
        <v/>
      </c>
      <c r="AB180" s="17" t="str">
        <f>IF(M1_Administrativo!A184="","",IF(M1_Administrativo!G184="","",M1_Administrativo!G184))</f>
        <v/>
      </c>
      <c r="AC180" s="17" t="str">
        <f>IF(M1_Administrativo!A184="","",IF(M1_Administrativo!M184="","",M1_Administrativo!M184))</f>
        <v/>
      </c>
      <c r="AD180" s="17" t="str">
        <f>IF(M1_Administrativo!A184="","","RA")</f>
        <v/>
      </c>
      <c r="AE180" s="17" t="str">
        <f>IF(M1_Administrativo!A184="","",IF(M1_Administrativo!O184="","",M1_Administrativo!O184))</f>
        <v/>
      </c>
      <c r="AF180" s="17" t="str">
        <f>IF(M1_Administrativo!A184="","",IF(M1_Administrativo!P184="","",M1_Administrativo!P184))</f>
        <v/>
      </c>
      <c r="AG180" s="17" t="str">
        <f>IF(M1_Administrativo!A184="","",IF(M1_Administrativo!Q184="","",M1_Administrativo!Q184))</f>
        <v/>
      </c>
      <c r="AH180" s="17" t="str">
        <f>IF(M1_Administrativo!A184="","","")</f>
        <v/>
      </c>
      <c r="AI180" s="17" t="str">
        <f>IF(M1_Administrativo!A184="","","M1_Administrativo!184")</f>
        <v/>
      </c>
      <c r="AJ180" s="17" t="str">
        <f>IF(M1_Administrativo!A184="","",IF(M1_Administrativo!M184="","Pendiente de resultado","Disponible"))</f>
        <v/>
      </c>
    </row>
    <row r="181" spans="1:36" ht="55.5" customHeight="1">
      <c r="A181" s="6" t="str">
        <f t="array" ref="A181">IF(177&gt;$S$1204,"",INDEX($T$5:$AJ$1204,MATCH(177,$S$5:$S$1204,0),1))</f>
        <v/>
      </c>
      <c r="B181" s="8" t="str">
        <f t="array" ref="B181">IF(177&gt;$S$1204,"",INDEX($T$5:$AJ$1204,MATCH(177,$S$5:$S$1204,0),2))</f>
        <v/>
      </c>
      <c r="C181" s="10" t="str">
        <f t="array" ref="C181">IF(177&gt;$S$1204,"",INDEX($T$5:$AJ$1204,MATCH(177,$S$5:$S$1204,0),3))</f>
        <v/>
      </c>
      <c r="D181" s="8" t="str">
        <f t="array" ref="D181">IF(177&gt;$S$1204,"",INDEX($T$5:$AJ$1204,MATCH(177,$S$5:$S$1204,0),4))</f>
        <v/>
      </c>
      <c r="E181" s="8" t="str">
        <f t="array" ref="E181">IF(177&gt;$S$1204,"",INDEX($T$5:$AJ$1204,MATCH(177,$S$5:$S$1204,0),5))</f>
        <v/>
      </c>
      <c r="F181" s="8" t="str">
        <f t="array" ref="F181">IF(177&gt;$S$1204,"",INDEX($T$5:$AJ$1204,MATCH(177,$S$5:$S$1204,0),6))</f>
        <v/>
      </c>
      <c r="G181" s="8" t="str">
        <f t="array" ref="G181">IF(177&gt;$S$1204,"",INDEX($T$5:$AJ$1204,MATCH(177,$S$5:$S$1204,0),7))</f>
        <v/>
      </c>
      <c r="H181" s="8" t="str">
        <f t="array" ref="H181">IF(177&gt;$S$1204,"",INDEX($T$5:$AJ$1204,MATCH(177,$S$5:$S$1204,0),8))</f>
        <v/>
      </c>
      <c r="I181" s="8" t="str">
        <f t="array" ref="I181">IF(177&gt;$S$1204,"",INDEX($T$5:$AJ$1204,MATCH(177,$S$5:$S$1204,0),9))</f>
        <v/>
      </c>
      <c r="J181" s="14" t="str">
        <f t="array" ref="J181">IF(177&gt;$S$1204,"",INDEX($T$5:$AJ$1204,MATCH(177,$S$5:$S$1204,0),10))</f>
        <v/>
      </c>
      <c r="K181" s="8" t="str">
        <f t="array" ref="K181">IF(177&gt;$S$1204,"",INDEX($T$5:$AJ$1204,MATCH(177,$S$5:$S$1204,0),11))</f>
        <v/>
      </c>
      <c r="L181" s="8" t="str">
        <f t="array" ref="L181">IF(177&gt;$S$1204,"",INDEX($T$5:$AJ$1204,MATCH(177,$S$5:$S$1204,0),12))</f>
        <v/>
      </c>
      <c r="M181" s="8" t="str">
        <f t="array" ref="M181">IF(177&gt;$S$1204,"",INDEX($T$5:$AJ$1204,MATCH(177,$S$5:$S$1204,0),13))</f>
        <v/>
      </c>
      <c r="N181" s="8" t="str">
        <f t="array" ref="N181">IF(177&gt;$S$1204,"",INDEX($T$5:$AJ$1204,MATCH(177,$S$5:$S$1204,0),14))</f>
        <v/>
      </c>
      <c r="O181" s="15" t="str">
        <f t="array" ref="O181">IF(177&gt;$S$1204,"",INDEX($T$5:$AJ$1204,MATCH(177,$S$5:$S$1204,0),15))</f>
        <v/>
      </c>
      <c r="P181" s="8" t="str">
        <f t="array" ref="P181">IF(177&gt;$S$1204,"",INDEX($T$5:$AJ$1204,MATCH(177,$S$5:$S$1204,0),16))</f>
        <v/>
      </c>
      <c r="Q181" s="8" t="str">
        <f t="array" ref="Q181">IF(177&gt;$S$1204,"",INDEX($T$5:$AJ$1204,MATCH(177,$S$5:$S$1204,0),17))</f>
        <v/>
      </c>
      <c r="R181" s="17"/>
      <c r="S181" s="17">
        <f>S180+IF(M1_Administrativo!A185="",0,1)</f>
        <v>0</v>
      </c>
      <c r="T181" s="17" t="str">
        <f>IF(M1_Administrativo!A185="","",IF(M1_Administrativo!A185="","",M1_Administrativo!A185))</f>
        <v/>
      </c>
      <c r="U181" s="17" t="str">
        <f>IF(M1_Administrativo!A185="","",IF(M1_Administrativo!R185="","",M1_Administrativo!R185))</f>
        <v/>
      </c>
      <c r="V181" s="17" t="str">
        <f>IF(M1_Administrativo!A185="","",IF(M1_Administrativo!D185="","",M1_Administrativo!D185))</f>
        <v/>
      </c>
      <c r="W181" s="17" t="str">
        <f>IF(M1_Administrativo!A185="","",IF(M1_Administrativo!B185="","",M1_Administrativo!B185))</f>
        <v/>
      </c>
      <c r="X181" s="17" t="str">
        <f>IF(M1_Administrativo!A185="","",IF(M1_Administrativo!C185="","",M1_Administrativo!C185))</f>
        <v/>
      </c>
      <c r="Y181" s="17" t="str">
        <f>IF(M1_Administrativo!A185="","",IF(M1_Administrativo!E185="","",M1_Administrativo!E185))</f>
        <v/>
      </c>
      <c r="Z181" s="17" t="str">
        <f>IF(M1_Administrativo!A185="","",IF(M1_Administrativo!F185="","",M1_Administrativo!F185))</f>
        <v/>
      </c>
      <c r="AA181" s="17" t="str">
        <f>IF(M1_Administrativo!A185="","","M1 Administrativo")</f>
        <v/>
      </c>
      <c r="AB181" s="17" t="str">
        <f>IF(M1_Administrativo!A185="","",IF(M1_Administrativo!G185="","",M1_Administrativo!G185))</f>
        <v/>
      </c>
      <c r="AC181" s="17" t="str">
        <f>IF(M1_Administrativo!A185="","",IF(M1_Administrativo!M185="","",M1_Administrativo!M185))</f>
        <v/>
      </c>
      <c r="AD181" s="17" t="str">
        <f>IF(M1_Administrativo!A185="","","RA")</f>
        <v/>
      </c>
      <c r="AE181" s="17" t="str">
        <f>IF(M1_Administrativo!A185="","",IF(M1_Administrativo!O185="","",M1_Administrativo!O185))</f>
        <v/>
      </c>
      <c r="AF181" s="17" t="str">
        <f>IF(M1_Administrativo!A185="","",IF(M1_Administrativo!P185="","",M1_Administrativo!P185))</f>
        <v/>
      </c>
      <c r="AG181" s="17" t="str">
        <f>IF(M1_Administrativo!A185="","",IF(M1_Administrativo!Q185="","",M1_Administrativo!Q185))</f>
        <v/>
      </c>
      <c r="AH181" s="17" t="str">
        <f>IF(M1_Administrativo!A185="","","")</f>
        <v/>
      </c>
      <c r="AI181" s="17" t="str">
        <f>IF(M1_Administrativo!A185="","","M1_Administrativo!185")</f>
        <v/>
      </c>
      <c r="AJ181" s="17" t="str">
        <f>IF(M1_Administrativo!A185="","",IF(M1_Administrativo!M185="","Pendiente de resultado","Disponible"))</f>
        <v/>
      </c>
    </row>
    <row r="182" spans="1:36" ht="55.5" customHeight="1">
      <c r="A182" s="6" t="str">
        <f t="array" ref="A182">IF(178&gt;$S$1204,"",INDEX($T$5:$AJ$1204,MATCH(178,$S$5:$S$1204,0),1))</f>
        <v/>
      </c>
      <c r="B182" s="8" t="str">
        <f t="array" ref="B182">IF(178&gt;$S$1204,"",INDEX($T$5:$AJ$1204,MATCH(178,$S$5:$S$1204,0),2))</f>
        <v/>
      </c>
      <c r="C182" s="10" t="str">
        <f t="array" ref="C182">IF(178&gt;$S$1204,"",INDEX($T$5:$AJ$1204,MATCH(178,$S$5:$S$1204,0),3))</f>
        <v/>
      </c>
      <c r="D182" s="8" t="str">
        <f t="array" ref="D182">IF(178&gt;$S$1204,"",INDEX($T$5:$AJ$1204,MATCH(178,$S$5:$S$1204,0),4))</f>
        <v/>
      </c>
      <c r="E182" s="8" t="str">
        <f t="array" ref="E182">IF(178&gt;$S$1204,"",INDEX($T$5:$AJ$1204,MATCH(178,$S$5:$S$1204,0),5))</f>
        <v/>
      </c>
      <c r="F182" s="8" t="str">
        <f t="array" ref="F182">IF(178&gt;$S$1204,"",INDEX($T$5:$AJ$1204,MATCH(178,$S$5:$S$1204,0),6))</f>
        <v/>
      </c>
      <c r="G182" s="8" t="str">
        <f t="array" ref="G182">IF(178&gt;$S$1204,"",INDEX($T$5:$AJ$1204,MATCH(178,$S$5:$S$1204,0),7))</f>
        <v/>
      </c>
      <c r="H182" s="8" t="str">
        <f t="array" ref="H182">IF(178&gt;$S$1204,"",INDEX($T$5:$AJ$1204,MATCH(178,$S$5:$S$1204,0),8))</f>
        <v/>
      </c>
      <c r="I182" s="8" t="str">
        <f t="array" ref="I182">IF(178&gt;$S$1204,"",INDEX($T$5:$AJ$1204,MATCH(178,$S$5:$S$1204,0),9))</f>
        <v/>
      </c>
      <c r="J182" s="14" t="str">
        <f t="array" ref="J182">IF(178&gt;$S$1204,"",INDEX($T$5:$AJ$1204,MATCH(178,$S$5:$S$1204,0),10))</f>
        <v/>
      </c>
      <c r="K182" s="8" t="str">
        <f t="array" ref="K182">IF(178&gt;$S$1204,"",INDEX($T$5:$AJ$1204,MATCH(178,$S$5:$S$1204,0),11))</f>
        <v/>
      </c>
      <c r="L182" s="8" t="str">
        <f t="array" ref="L182">IF(178&gt;$S$1204,"",INDEX($T$5:$AJ$1204,MATCH(178,$S$5:$S$1204,0),12))</f>
        <v/>
      </c>
      <c r="M182" s="8" t="str">
        <f t="array" ref="M182">IF(178&gt;$S$1204,"",INDEX($T$5:$AJ$1204,MATCH(178,$S$5:$S$1204,0),13))</f>
        <v/>
      </c>
      <c r="N182" s="8" t="str">
        <f t="array" ref="N182">IF(178&gt;$S$1204,"",INDEX($T$5:$AJ$1204,MATCH(178,$S$5:$S$1204,0),14))</f>
        <v/>
      </c>
      <c r="O182" s="15" t="str">
        <f t="array" ref="O182">IF(178&gt;$S$1204,"",INDEX($T$5:$AJ$1204,MATCH(178,$S$5:$S$1204,0),15))</f>
        <v/>
      </c>
      <c r="P182" s="8" t="str">
        <f t="array" ref="P182">IF(178&gt;$S$1204,"",INDEX($T$5:$AJ$1204,MATCH(178,$S$5:$S$1204,0),16))</f>
        <v/>
      </c>
      <c r="Q182" s="8" t="str">
        <f t="array" ref="Q182">IF(178&gt;$S$1204,"",INDEX($T$5:$AJ$1204,MATCH(178,$S$5:$S$1204,0),17))</f>
        <v/>
      </c>
      <c r="R182" s="17"/>
      <c r="S182" s="17">
        <f>S181+IF(M1_Administrativo!A186="",0,1)</f>
        <v>0</v>
      </c>
      <c r="T182" s="17" t="str">
        <f>IF(M1_Administrativo!A186="","",IF(M1_Administrativo!A186="","",M1_Administrativo!A186))</f>
        <v/>
      </c>
      <c r="U182" s="17" t="str">
        <f>IF(M1_Administrativo!A186="","",IF(M1_Administrativo!R186="","",M1_Administrativo!R186))</f>
        <v/>
      </c>
      <c r="V182" s="17" t="str">
        <f>IF(M1_Administrativo!A186="","",IF(M1_Administrativo!D186="","",M1_Administrativo!D186))</f>
        <v/>
      </c>
      <c r="W182" s="17" t="str">
        <f>IF(M1_Administrativo!A186="","",IF(M1_Administrativo!B186="","",M1_Administrativo!B186))</f>
        <v/>
      </c>
      <c r="X182" s="17" t="str">
        <f>IF(M1_Administrativo!A186="","",IF(M1_Administrativo!C186="","",M1_Administrativo!C186))</f>
        <v/>
      </c>
      <c r="Y182" s="17" t="str">
        <f>IF(M1_Administrativo!A186="","",IF(M1_Administrativo!E186="","",M1_Administrativo!E186))</f>
        <v/>
      </c>
      <c r="Z182" s="17" t="str">
        <f>IF(M1_Administrativo!A186="","",IF(M1_Administrativo!F186="","",M1_Administrativo!F186))</f>
        <v/>
      </c>
      <c r="AA182" s="17" t="str">
        <f>IF(M1_Administrativo!A186="","","M1 Administrativo")</f>
        <v/>
      </c>
      <c r="AB182" s="17" t="str">
        <f>IF(M1_Administrativo!A186="","",IF(M1_Administrativo!G186="","",M1_Administrativo!G186))</f>
        <v/>
      </c>
      <c r="AC182" s="17" t="str">
        <f>IF(M1_Administrativo!A186="","",IF(M1_Administrativo!M186="","",M1_Administrativo!M186))</f>
        <v/>
      </c>
      <c r="AD182" s="17" t="str">
        <f>IF(M1_Administrativo!A186="","","RA")</f>
        <v/>
      </c>
      <c r="AE182" s="17" t="str">
        <f>IF(M1_Administrativo!A186="","",IF(M1_Administrativo!O186="","",M1_Administrativo!O186))</f>
        <v/>
      </c>
      <c r="AF182" s="17" t="str">
        <f>IF(M1_Administrativo!A186="","",IF(M1_Administrativo!P186="","",M1_Administrativo!P186))</f>
        <v/>
      </c>
      <c r="AG182" s="17" t="str">
        <f>IF(M1_Administrativo!A186="","",IF(M1_Administrativo!Q186="","",M1_Administrativo!Q186))</f>
        <v/>
      </c>
      <c r="AH182" s="17" t="str">
        <f>IF(M1_Administrativo!A186="","","")</f>
        <v/>
      </c>
      <c r="AI182" s="17" t="str">
        <f>IF(M1_Administrativo!A186="","","M1_Administrativo!186")</f>
        <v/>
      </c>
      <c r="AJ182" s="17" t="str">
        <f>IF(M1_Administrativo!A186="","",IF(M1_Administrativo!M186="","Pendiente de resultado","Disponible"))</f>
        <v/>
      </c>
    </row>
    <row r="183" spans="1:36" ht="55.5" customHeight="1">
      <c r="A183" s="6" t="str">
        <f t="array" ref="A183">IF(179&gt;$S$1204,"",INDEX($T$5:$AJ$1204,MATCH(179,$S$5:$S$1204,0),1))</f>
        <v/>
      </c>
      <c r="B183" s="8" t="str">
        <f t="array" ref="B183">IF(179&gt;$S$1204,"",INDEX($T$5:$AJ$1204,MATCH(179,$S$5:$S$1204,0),2))</f>
        <v/>
      </c>
      <c r="C183" s="10" t="str">
        <f t="array" ref="C183">IF(179&gt;$S$1204,"",INDEX($T$5:$AJ$1204,MATCH(179,$S$5:$S$1204,0),3))</f>
        <v/>
      </c>
      <c r="D183" s="8" t="str">
        <f t="array" ref="D183">IF(179&gt;$S$1204,"",INDEX($T$5:$AJ$1204,MATCH(179,$S$5:$S$1204,0),4))</f>
        <v/>
      </c>
      <c r="E183" s="8" t="str">
        <f t="array" ref="E183">IF(179&gt;$S$1204,"",INDEX($T$5:$AJ$1204,MATCH(179,$S$5:$S$1204,0),5))</f>
        <v/>
      </c>
      <c r="F183" s="8" t="str">
        <f t="array" ref="F183">IF(179&gt;$S$1204,"",INDEX($T$5:$AJ$1204,MATCH(179,$S$5:$S$1204,0),6))</f>
        <v/>
      </c>
      <c r="G183" s="8" t="str">
        <f t="array" ref="G183">IF(179&gt;$S$1204,"",INDEX($T$5:$AJ$1204,MATCH(179,$S$5:$S$1204,0),7))</f>
        <v/>
      </c>
      <c r="H183" s="8" t="str">
        <f t="array" ref="H183">IF(179&gt;$S$1204,"",INDEX($T$5:$AJ$1204,MATCH(179,$S$5:$S$1204,0),8))</f>
        <v/>
      </c>
      <c r="I183" s="8" t="str">
        <f t="array" ref="I183">IF(179&gt;$S$1204,"",INDEX($T$5:$AJ$1204,MATCH(179,$S$5:$S$1204,0),9))</f>
        <v/>
      </c>
      <c r="J183" s="14" t="str">
        <f t="array" ref="J183">IF(179&gt;$S$1204,"",INDEX($T$5:$AJ$1204,MATCH(179,$S$5:$S$1204,0),10))</f>
        <v/>
      </c>
      <c r="K183" s="8" t="str">
        <f t="array" ref="K183">IF(179&gt;$S$1204,"",INDEX($T$5:$AJ$1204,MATCH(179,$S$5:$S$1204,0),11))</f>
        <v/>
      </c>
      <c r="L183" s="8" t="str">
        <f t="array" ref="L183">IF(179&gt;$S$1204,"",INDEX($T$5:$AJ$1204,MATCH(179,$S$5:$S$1204,0),12))</f>
        <v/>
      </c>
      <c r="M183" s="8" t="str">
        <f t="array" ref="M183">IF(179&gt;$S$1204,"",INDEX($T$5:$AJ$1204,MATCH(179,$S$5:$S$1204,0),13))</f>
        <v/>
      </c>
      <c r="N183" s="8" t="str">
        <f t="array" ref="N183">IF(179&gt;$S$1204,"",INDEX($T$5:$AJ$1204,MATCH(179,$S$5:$S$1204,0),14))</f>
        <v/>
      </c>
      <c r="O183" s="15" t="str">
        <f t="array" ref="O183">IF(179&gt;$S$1204,"",INDEX($T$5:$AJ$1204,MATCH(179,$S$5:$S$1204,0),15))</f>
        <v/>
      </c>
      <c r="P183" s="8" t="str">
        <f t="array" ref="P183">IF(179&gt;$S$1204,"",INDEX($T$5:$AJ$1204,MATCH(179,$S$5:$S$1204,0),16))</f>
        <v/>
      </c>
      <c r="Q183" s="8" t="str">
        <f t="array" ref="Q183">IF(179&gt;$S$1204,"",INDEX($T$5:$AJ$1204,MATCH(179,$S$5:$S$1204,0),17))</f>
        <v/>
      </c>
      <c r="R183" s="17"/>
      <c r="S183" s="17">
        <f>S182+IF(M1_Administrativo!A187="",0,1)</f>
        <v>0</v>
      </c>
      <c r="T183" s="17" t="str">
        <f>IF(M1_Administrativo!A187="","",IF(M1_Administrativo!A187="","",M1_Administrativo!A187))</f>
        <v/>
      </c>
      <c r="U183" s="17" t="str">
        <f>IF(M1_Administrativo!A187="","",IF(M1_Administrativo!R187="","",M1_Administrativo!R187))</f>
        <v/>
      </c>
      <c r="V183" s="17" t="str">
        <f>IF(M1_Administrativo!A187="","",IF(M1_Administrativo!D187="","",M1_Administrativo!D187))</f>
        <v/>
      </c>
      <c r="W183" s="17" t="str">
        <f>IF(M1_Administrativo!A187="","",IF(M1_Administrativo!B187="","",M1_Administrativo!B187))</f>
        <v/>
      </c>
      <c r="X183" s="17" t="str">
        <f>IF(M1_Administrativo!A187="","",IF(M1_Administrativo!C187="","",M1_Administrativo!C187))</f>
        <v/>
      </c>
      <c r="Y183" s="17" t="str">
        <f>IF(M1_Administrativo!A187="","",IF(M1_Administrativo!E187="","",M1_Administrativo!E187))</f>
        <v/>
      </c>
      <c r="Z183" s="17" t="str">
        <f>IF(M1_Administrativo!A187="","",IF(M1_Administrativo!F187="","",M1_Administrativo!F187))</f>
        <v/>
      </c>
      <c r="AA183" s="17" t="str">
        <f>IF(M1_Administrativo!A187="","","M1 Administrativo")</f>
        <v/>
      </c>
      <c r="AB183" s="17" t="str">
        <f>IF(M1_Administrativo!A187="","",IF(M1_Administrativo!G187="","",M1_Administrativo!G187))</f>
        <v/>
      </c>
      <c r="AC183" s="17" t="str">
        <f>IF(M1_Administrativo!A187="","",IF(M1_Administrativo!M187="","",M1_Administrativo!M187))</f>
        <v/>
      </c>
      <c r="AD183" s="17" t="str">
        <f>IF(M1_Administrativo!A187="","","RA")</f>
        <v/>
      </c>
      <c r="AE183" s="17" t="str">
        <f>IF(M1_Administrativo!A187="","",IF(M1_Administrativo!O187="","",M1_Administrativo!O187))</f>
        <v/>
      </c>
      <c r="AF183" s="17" t="str">
        <f>IF(M1_Administrativo!A187="","",IF(M1_Administrativo!P187="","",M1_Administrativo!P187))</f>
        <v/>
      </c>
      <c r="AG183" s="17" t="str">
        <f>IF(M1_Administrativo!A187="","",IF(M1_Administrativo!Q187="","",M1_Administrativo!Q187))</f>
        <v/>
      </c>
      <c r="AH183" s="17" t="str">
        <f>IF(M1_Administrativo!A187="","","")</f>
        <v/>
      </c>
      <c r="AI183" s="17" t="str">
        <f>IF(M1_Administrativo!A187="","","M1_Administrativo!187")</f>
        <v/>
      </c>
      <c r="AJ183" s="17" t="str">
        <f>IF(M1_Administrativo!A187="","",IF(M1_Administrativo!M187="","Pendiente de resultado","Disponible"))</f>
        <v/>
      </c>
    </row>
    <row r="184" spans="1:36" ht="55.5" customHeight="1">
      <c r="A184" s="6" t="str">
        <f t="array" ref="A184">IF(180&gt;$S$1204,"",INDEX($T$5:$AJ$1204,MATCH(180,$S$5:$S$1204,0),1))</f>
        <v/>
      </c>
      <c r="B184" s="8" t="str">
        <f t="array" ref="B184">IF(180&gt;$S$1204,"",INDEX($T$5:$AJ$1204,MATCH(180,$S$5:$S$1204,0),2))</f>
        <v/>
      </c>
      <c r="C184" s="10" t="str">
        <f t="array" ref="C184">IF(180&gt;$S$1204,"",INDEX($T$5:$AJ$1204,MATCH(180,$S$5:$S$1204,0),3))</f>
        <v/>
      </c>
      <c r="D184" s="8" t="str">
        <f t="array" ref="D184">IF(180&gt;$S$1204,"",INDEX($T$5:$AJ$1204,MATCH(180,$S$5:$S$1204,0),4))</f>
        <v/>
      </c>
      <c r="E184" s="8" t="str">
        <f t="array" ref="E184">IF(180&gt;$S$1204,"",INDEX($T$5:$AJ$1204,MATCH(180,$S$5:$S$1204,0),5))</f>
        <v/>
      </c>
      <c r="F184" s="8" t="str">
        <f t="array" ref="F184">IF(180&gt;$S$1204,"",INDEX($T$5:$AJ$1204,MATCH(180,$S$5:$S$1204,0),6))</f>
        <v/>
      </c>
      <c r="G184" s="8" t="str">
        <f t="array" ref="G184">IF(180&gt;$S$1204,"",INDEX($T$5:$AJ$1204,MATCH(180,$S$5:$S$1204,0),7))</f>
        <v/>
      </c>
      <c r="H184" s="8" t="str">
        <f t="array" ref="H184">IF(180&gt;$S$1204,"",INDEX($T$5:$AJ$1204,MATCH(180,$S$5:$S$1204,0),8))</f>
        <v/>
      </c>
      <c r="I184" s="8" t="str">
        <f t="array" ref="I184">IF(180&gt;$S$1204,"",INDEX($T$5:$AJ$1204,MATCH(180,$S$5:$S$1204,0),9))</f>
        <v/>
      </c>
      <c r="J184" s="14" t="str">
        <f t="array" ref="J184">IF(180&gt;$S$1204,"",INDEX($T$5:$AJ$1204,MATCH(180,$S$5:$S$1204,0),10))</f>
        <v/>
      </c>
      <c r="K184" s="8" t="str">
        <f t="array" ref="K184">IF(180&gt;$S$1204,"",INDEX($T$5:$AJ$1204,MATCH(180,$S$5:$S$1204,0),11))</f>
        <v/>
      </c>
      <c r="L184" s="8" t="str">
        <f t="array" ref="L184">IF(180&gt;$S$1204,"",INDEX($T$5:$AJ$1204,MATCH(180,$S$5:$S$1204,0),12))</f>
        <v/>
      </c>
      <c r="M184" s="8" t="str">
        <f t="array" ref="M184">IF(180&gt;$S$1204,"",INDEX($T$5:$AJ$1204,MATCH(180,$S$5:$S$1204,0),13))</f>
        <v/>
      </c>
      <c r="N184" s="8" t="str">
        <f t="array" ref="N184">IF(180&gt;$S$1204,"",INDEX($T$5:$AJ$1204,MATCH(180,$S$5:$S$1204,0),14))</f>
        <v/>
      </c>
      <c r="O184" s="15" t="str">
        <f t="array" ref="O184">IF(180&gt;$S$1204,"",INDEX($T$5:$AJ$1204,MATCH(180,$S$5:$S$1204,0),15))</f>
        <v/>
      </c>
      <c r="P184" s="8" t="str">
        <f t="array" ref="P184">IF(180&gt;$S$1204,"",INDEX($T$5:$AJ$1204,MATCH(180,$S$5:$S$1204,0),16))</f>
        <v/>
      </c>
      <c r="Q184" s="8" t="str">
        <f t="array" ref="Q184">IF(180&gt;$S$1204,"",INDEX($T$5:$AJ$1204,MATCH(180,$S$5:$S$1204,0),17))</f>
        <v/>
      </c>
      <c r="R184" s="17"/>
      <c r="S184" s="17">
        <f>S183+IF(M1_Administrativo!A188="",0,1)</f>
        <v>0</v>
      </c>
      <c r="T184" s="17" t="str">
        <f>IF(M1_Administrativo!A188="","",IF(M1_Administrativo!A188="","",M1_Administrativo!A188))</f>
        <v/>
      </c>
      <c r="U184" s="17" t="str">
        <f>IF(M1_Administrativo!A188="","",IF(M1_Administrativo!R188="","",M1_Administrativo!R188))</f>
        <v/>
      </c>
      <c r="V184" s="17" t="str">
        <f>IF(M1_Administrativo!A188="","",IF(M1_Administrativo!D188="","",M1_Administrativo!D188))</f>
        <v/>
      </c>
      <c r="W184" s="17" t="str">
        <f>IF(M1_Administrativo!A188="","",IF(M1_Administrativo!B188="","",M1_Administrativo!B188))</f>
        <v/>
      </c>
      <c r="X184" s="17" t="str">
        <f>IF(M1_Administrativo!A188="","",IF(M1_Administrativo!C188="","",M1_Administrativo!C188))</f>
        <v/>
      </c>
      <c r="Y184" s="17" t="str">
        <f>IF(M1_Administrativo!A188="","",IF(M1_Administrativo!E188="","",M1_Administrativo!E188))</f>
        <v/>
      </c>
      <c r="Z184" s="17" t="str">
        <f>IF(M1_Administrativo!A188="","",IF(M1_Administrativo!F188="","",M1_Administrativo!F188))</f>
        <v/>
      </c>
      <c r="AA184" s="17" t="str">
        <f>IF(M1_Administrativo!A188="","","M1 Administrativo")</f>
        <v/>
      </c>
      <c r="AB184" s="17" t="str">
        <f>IF(M1_Administrativo!A188="","",IF(M1_Administrativo!G188="","",M1_Administrativo!G188))</f>
        <v/>
      </c>
      <c r="AC184" s="17" t="str">
        <f>IF(M1_Administrativo!A188="","",IF(M1_Administrativo!M188="","",M1_Administrativo!M188))</f>
        <v/>
      </c>
      <c r="AD184" s="17" t="str">
        <f>IF(M1_Administrativo!A188="","","RA")</f>
        <v/>
      </c>
      <c r="AE184" s="17" t="str">
        <f>IF(M1_Administrativo!A188="","",IF(M1_Administrativo!O188="","",M1_Administrativo!O188))</f>
        <v/>
      </c>
      <c r="AF184" s="17" t="str">
        <f>IF(M1_Administrativo!A188="","",IF(M1_Administrativo!P188="","",M1_Administrativo!P188))</f>
        <v/>
      </c>
      <c r="AG184" s="17" t="str">
        <f>IF(M1_Administrativo!A188="","",IF(M1_Administrativo!Q188="","",M1_Administrativo!Q188))</f>
        <v/>
      </c>
      <c r="AH184" s="17" t="str">
        <f>IF(M1_Administrativo!A188="","","")</f>
        <v/>
      </c>
      <c r="AI184" s="17" t="str">
        <f>IF(M1_Administrativo!A188="","","M1_Administrativo!188")</f>
        <v/>
      </c>
      <c r="AJ184" s="17" t="str">
        <f>IF(M1_Administrativo!A188="","",IF(M1_Administrativo!M188="","Pendiente de resultado","Disponible"))</f>
        <v/>
      </c>
    </row>
    <row r="185" spans="1:36" ht="55.5" customHeight="1">
      <c r="A185" s="6" t="str">
        <f t="array" ref="A185">IF(181&gt;$S$1204,"",INDEX($T$5:$AJ$1204,MATCH(181,$S$5:$S$1204,0),1))</f>
        <v/>
      </c>
      <c r="B185" s="8" t="str">
        <f t="array" ref="B185">IF(181&gt;$S$1204,"",INDEX($T$5:$AJ$1204,MATCH(181,$S$5:$S$1204,0),2))</f>
        <v/>
      </c>
      <c r="C185" s="10" t="str">
        <f t="array" ref="C185">IF(181&gt;$S$1204,"",INDEX($T$5:$AJ$1204,MATCH(181,$S$5:$S$1204,0),3))</f>
        <v/>
      </c>
      <c r="D185" s="8" t="str">
        <f t="array" ref="D185">IF(181&gt;$S$1204,"",INDEX($T$5:$AJ$1204,MATCH(181,$S$5:$S$1204,0),4))</f>
        <v/>
      </c>
      <c r="E185" s="8" t="str">
        <f t="array" ref="E185">IF(181&gt;$S$1204,"",INDEX($T$5:$AJ$1204,MATCH(181,$S$5:$S$1204,0),5))</f>
        <v/>
      </c>
      <c r="F185" s="8" t="str">
        <f t="array" ref="F185">IF(181&gt;$S$1204,"",INDEX($T$5:$AJ$1204,MATCH(181,$S$5:$S$1204,0),6))</f>
        <v/>
      </c>
      <c r="G185" s="8" t="str">
        <f t="array" ref="G185">IF(181&gt;$S$1204,"",INDEX($T$5:$AJ$1204,MATCH(181,$S$5:$S$1204,0),7))</f>
        <v/>
      </c>
      <c r="H185" s="8" t="str">
        <f t="array" ref="H185">IF(181&gt;$S$1204,"",INDEX($T$5:$AJ$1204,MATCH(181,$S$5:$S$1204,0),8))</f>
        <v/>
      </c>
      <c r="I185" s="8" t="str">
        <f t="array" ref="I185">IF(181&gt;$S$1204,"",INDEX($T$5:$AJ$1204,MATCH(181,$S$5:$S$1204,0),9))</f>
        <v/>
      </c>
      <c r="J185" s="14" t="str">
        <f t="array" ref="J185">IF(181&gt;$S$1204,"",INDEX($T$5:$AJ$1204,MATCH(181,$S$5:$S$1204,0),10))</f>
        <v/>
      </c>
      <c r="K185" s="8" t="str">
        <f t="array" ref="K185">IF(181&gt;$S$1204,"",INDEX($T$5:$AJ$1204,MATCH(181,$S$5:$S$1204,0),11))</f>
        <v/>
      </c>
      <c r="L185" s="8" t="str">
        <f t="array" ref="L185">IF(181&gt;$S$1204,"",INDEX($T$5:$AJ$1204,MATCH(181,$S$5:$S$1204,0),12))</f>
        <v/>
      </c>
      <c r="M185" s="8" t="str">
        <f t="array" ref="M185">IF(181&gt;$S$1204,"",INDEX($T$5:$AJ$1204,MATCH(181,$S$5:$S$1204,0),13))</f>
        <v/>
      </c>
      <c r="N185" s="8" t="str">
        <f t="array" ref="N185">IF(181&gt;$S$1204,"",INDEX($T$5:$AJ$1204,MATCH(181,$S$5:$S$1204,0),14))</f>
        <v/>
      </c>
      <c r="O185" s="15" t="str">
        <f t="array" ref="O185">IF(181&gt;$S$1204,"",INDEX($T$5:$AJ$1204,MATCH(181,$S$5:$S$1204,0),15))</f>
        <v/>
      </c>
      <c r="P185" s="8" t="str">
        <f t="array" ref="P185">IF(181&gt;$S$1204,"",INDEX($T$5:$AJ$1204,MATCH(181,$S$5:$S$1204,0),16))</f>
        <v/>
      </c>
      <c r="Q185" s="8" t="str">
        <f t="array" ref="Q185">IF(181&gt;$S$1204,"",INDEX($T$5:$AJ$1204,MATCH(181,$S$5:$S$1204,0),17))</f>
        <v/>
      </c>
      <c r="R185" s="17"/>
      <c r="S185" s="17">
        <f>S184+IF(M1_Administrativo!A189="",0,1)</f>
        <v>0</v>
      </c>
      <c r="T185" s="17" t="str">
        <f>IF(M1_Administrativo!A189="","",IF(M1_Administrativo!A189="","",M1_Administrativo!A189))</f>
        <v/>
      </c>
      <c r="U185" s="17" t="str">
        <f>IF(M1_Administrativo!A189="","",IF(M1_Administrativo!R189="","",M1_Administrativo!R189))</f>
        <v/>
      </c>
      <c r="V185" s="17" t="str">
        <f>IF(M1_Administrativo!A189="","",IF(M1_Administrativo!D189="","",M1_Administrativo!D189))</f>
        <v/>
      </c>
      <c r="W185" s="17" t="str">
        <f>IF(M1_Administrativo!A189="","",IF(M1_Administrativo!B189="","",M1_Administrativo!B189))</f>
        <v/>
      </c>
      <c r="X185" s="17" t="str">
        <f>IF(M1_Administrativo!A189="","",IF(M1_Administrativo!C189="","",M1_Administrativo!C189))</f>
        <v/>
      </c>
      <c r="Y185" s="17" t="str">
        <f>IF(M1_Administrativo!A189="","",IF(M1_Administrativo!E189="","",M1_Administrativo!E189))</f>
        <v/>
      </c>
      <c r="Z185" s="17" t="str">
        <f>IF(M1_Administrativo!A189="","",IF(M1_Administrativo!F189="","",M1_Administrativo!F189))</f>
        <v/>
      </c>
      <c r="AA185" s="17" t="str">
        <f>IF(M1_Administrativo!A189="","","M1 Administrativo")</f>
        <v/>
      </c>
      <c r="AB185" s="17" t="str">
        <f>IF(M1_Administrativo!A189="","",IF(M1_Administrativo!G189="","",M1_Administrativo!G189))</f>
        <v/>
      </c>
      <c r="AC185" s="17" t="str">
        <f>IF(M1_Administrativo!A189="","",IF(M1_Administrativo!M189="","",M1_Administrativo!M189))</f>
        <v/>
      </c>
      <c r="AD185" s="17" t="str">
        <f>IF(M1_Administrativo!A189="","","RA")</f>
        <v/>
      </c>
      <c r="AE185" s="17" t="str">
        <f>IF(M1_Administrativo!A189="","",IF(M1_Administrativo!O189="","",M1_Administrativo!O189))</f>
        <v/>
      </c>
      <c r="AF185" s="17" t="str">
        <f>IF(M1_Administrativo!A189="","",IF(M1_Administrativo!P189="","",M1_Administrativo!P189))</f>
        <v/>
      </c>
      <c r="AG185" s="17" t="str">
        <f>IF(M1_Administrativo!A189="","",IF(M1_Administrativo!Q189="","",M1_Administrativo!Q189))</f>
        <v/>
      </c>
      <c r="AH185" s="17" t="str">
        <f>IF(M1_Administrativo!A189="","","")</f>
        <v/>
      </c>
      <c r="AI185" s="17" t="str">
        <f>IF(M1_Administrativo!A189="","","M1_Administrativo!189")</f>
        <v/>
      </c>
      <c r="AJ185" s="17" t="str">
        <f>IF(M1_Administrativo!A189="","",IF(M1_Administrativo!M189="","Pendiente de resultado","Disponible"))</f>
        <v/>
      </c>
    </row>
    <row r="186" spans="1:36" ht="55.5" customHeight="1">
      <c r="A186" s="6" t="str">
        <f t="array" ref="A186">IF(182&gt;$S$1204,"",INDEX($T$5:$AJ$1204,MATCH(182,$S$5:$S$1204,0),1))</f>
        <v/>
      </c>
      <c r="B186" s="8" t="str">
        <f t="array" ref="B186">IF(182&gt;$S$1204,"",INDEX($T$5:$AJ$1204,MATCH(182,$S$5:$S$1204,0),2))</f>
        <v/>
      </c>
      <c r="C186" s="10" t="str">
        <f t="array" ref="C186">IF(182&gt;$S$1204,"",INDEX($T$5:$AJ$1204,MATCH(182,$S$5:$S$1204,0),3))</f>
        <v/>
      </c>
      <c r="D186" s="8" t="str">
        <f t="array" ref="D186">IF(182&gt;$S$1204,"",INDEX($T$5:$AJ$1204,MATCH(182,$S$5:$S$1204,0),4))</f>
        <v/>
      </c>
      <c r="E186" s="8" t="str">
        <f t="array" ref="E186">IF(182&gt;$S$1204,"",INDEX($T$5:$AJ$1204,MATCH(182,$S$5:$S$1204,0),5))</f>
        <v/>
      </c>
      <c r="F186" s="8" t="str">
        <f t="array" ref="F186">IF(182&gt;$S$1204,"",INDEX($T$5:$AJ$1204,MATCH(182,$S$5:$S$1204,0),6))</f>
        <v/>
      </c>
      <c r="G186" s="8" t="str">
        <f t="array" ref="G186">IF(182&gt;$S$1204,"",INDEX($T$5:$AJ$1204,MATCH(182,$S$5:$S$1204,0),7))</f>
        <v/>
      </c>
      <c r="H186" s="8" t="str">
        <f t="array" ref="H186">IF(182&gt;$S$1204,"",INDEX($T$5:$AJ$1204,MATCH(182,$S$5:$S$1204,0),8))</f>
        <v/>
      </c>
      <c r="I186" s="8" t="str">
        <f t="array" ref="I186">IF(182&gt;$S$1204,"",INDEX($T$5:$AJ$1204,MATCH(182,$S$5:$S$1204,0),9))</f>
        <v/>
      </c>
      <c r="J186" s="14" t="str">
        <f t="array" ref="J186">IF(182&gt;$S$1204,"",INDEX($T$5:$AJ$1204,MATCH(182,$S$5:$S$1204,0),10))</f>
        <v/>
      </c>
      <c r="K186" s="8" t="str">
        <f t="array" ref="K186">IF(182&gt;$S$1204,"",INDEX($T$5:$AJ$1204,MATCH(182,$S$5:$S$1204,0),11))</f>
        <v/>
      </c>
      <c r="L186" s="8" t="str">
        <f t="array" ref="L186">IF(182&gt;$S$1204,"",INDEX($T$5:$AJ$1204,MATCH(182,$S$5:$S$1204,0),12))</f>
        <v/>
      </c>
      <c r="M186" s="8" t="str">
        <f t="array" ref="M186">IF(182&gt;$S$1204,"",INDEX($T$5:$AJ$1204,MATCH(182,$S$5:$S$1204,0),13))</f>
        <v/>
      </c>
      <c r="N186" s="8" t="str">
        <f t="array" ref="N186">IF(182&gt;$S$1204,"",INDEX($T$5:$AJ$1204,MATCH(182,$S$5:$S$1204,0),14))</f>
        <v/>
      </c>
      <c r="O186" s="15" t="str">
        <f t="array" ref="O186">IF(182&gt;$S$1204,"",INDEX($T$5:$AJ$1204,MATCH(182,$S$5:$S$1204,0),15))</f>
        <v/>
      </c>
      <c r="P186" s="8" t="str">
        <f t="array" ref="P186">IF(182&gt;$S$1204,"",INDEX($T$5:$AJ$1204,MATCH(182,$S$5:$S$1204,0),16))</f>
        <v/>
      </c>
      <c r="Q186" s="8" t="str">
        <f t="array" ref="Q186">IF(182&gt;$S$1204,"",INDEX($T$5:$AJ$1204,MATCH(182,$S$5:$S$1204,0),17))</f>
        <v/>
      </c>
      <c r="R186" s="17"/>
      <c r="S186" s="17">
        <f>S185+IF(M1_Administrativo!A190="",0,1)</f>
        <v>0</v>
      </c>
      <c r="T186" s="17" t="str">
        <f>IF(M1_Administrativo!A190="","",IF(M1_Administrativo!A190="","",M1_Administrativo!A190))</f>
        <v/>
      </c>
      <c r="U186" s="17" t="str">
        <f>IF(M1_Administrativo!A190="","",IF(M1_Administrativo!R190="","",M1_Administrativo!R190))</f>
        <v/>
      </c>
      <c r="V186" s="17" t="str">
        <f>IF(M1_Administrativo!A190="","",IF(M1_Administrativo!D190="","",M1_Administrativo!D190))</f>
        <v/>
      </c>
      <c r="W186" s="17" t="str">
        <f>IF(M1_Administrativo!A190="","",IF(M1_Administrativo!B190="","",M1_Administrativo!B190))</f>
        <v/>
      </c>
      <c r="X186" s="17" t="str">
        <f>IF(M1_Administrativo!A190="","",IF(M1_Administrativo!C190="","",M1_Administrativo!C190))</f>
        <v/>
      </c>
      <c r="Y186" s="17" t="str">
        <f>IF(M1_Administrativo!A190="","",IF(M1_Administrativo!E190="","",M1_Administrativo!E190))</f>
        <v/>
      </c>
      <c r="Z186" s="17" t="str">
        <f>IF(M1_Administrativo!A190="","",IF(M1_Administrativo!F190="","",M1_Administrativo!F190))</f>
        <v/>
      </c>
      <c r="AA186" s="17" t="str">
        <f>IF(M1_Administrativo!A190="","","M1 Administrativo")</f>
        <v/>
      </c>
      <c r="AB186" s="17" t="str">
        <f>IF(M1_Administrativo!A190="","",IF(M1_Administrativo!G190="","",M1_Administrativo!G190))</f>
        <v/>
      </c>
      <c r="AC186" s="17" t="str">
        <f>IF(M1_Administrativo!A190="","",IF(M1_Administrativo!M190="","",M1_Administrativo!M190))</f>
        <v/>
      </c>
      <c r="AD186" s="17" t="str">
        <f>IF(M1_Administrativo!A190="","","RA")</f>
        <v/>
      </c>
      <c r="AE186" s="17" t="str">
        <f>IF(M1_Administrativo!A190="","",IF(M1_Administrativo!O190="","",M1_Administrativo!O190))</f>
        <v/>
      </c>
      <c r="AF186" s="17" t="str">
        <f>IF(M1_Administrativo!A190="","",IF(M1_Administrativo!P190="","",M1_Administrativo!P190))</f>
        <v/>
      </c>
      <c r="AG186" s="17" t="str">
        <f>IF(M1_Administrativo!A190="","",IF(M1_Administrativo!Q190="","",M1_Administrativo!Q190))</f>
        <v/>
      </c>
      <c r="AH186" s="17" t="str">
        <f>IF(M1_Administrativo!A190="","","")</f>
        <v/>
      </c>
      <c r="AI186" s="17" t="str">
        <f>IF(M1_Administrativo!A190="","","M1_Administrativo!190")</f>
        <v/>
      </c>
      <c r="AJ186" s="17" t="str">
        <f>IF(M1_Administrativo!A190="","",IF(M1_Administrativo!M190="","Pendiente de resultado","Disponible"))</f>
        <v/>
      </c>
    </row>
    <row r="187" spans="1:36" ht="55.5" customHeight="1">
      <c r="A187" s="6" t="str">
        <f t="array" ref="A187">IF(183&gt;$S$1204,"",INDEX($T$5:$AJ$1204,MATCH(183,$S$5:$S$1204,0),1))</f>
        <v/>
      </c>
      <c r="B187" s="8" t="str">
        <f t="array" ref="B187">IF(183&gt;$S$1204,"",INDEX($T$5:$AJ$1204,MATCH(183,$S$5:$S$1204,0),2))</f>
        <v/>
      </c>
      <c r="C187" s="10" t="str">
        <f t="array" ref="C187">IF(183&gt;$S$1204,"",INDEX($T$5:$AJ$1204,MATCH(183,$S$5:$S$1204,0),3))</f>
        <v/>
      </c>
      <c r="D187" s="8" t="str">
        <f t="array" ref="D187">IF(183&gt;$S$1204,"",INDEX($T$5:$AJ$1204,MATCH(183,$S$5:$S$1204,0),4))</f>
        <v/>
      </c>
      <c r="E187" s="8" t="str">
        <f t="array" ref="E187">IF(183&gt;$S$1204,"",INDEX($T$5:$AJ$1204,MATCH(183,$S$5:$S$1204,0),5))</f>
        <v/>
      </c>
      <c r="F187" s="8" t="str">
        <f t="array" ref="F187">IF(183&gt;$S$1204,"",INDEX($T$5:$AJ$1204,MATCH(183,$S$5:$S$1204,0),6))</f>
        <v/>
      </c>
      <c r="G187" s="8" t="str">
        <f t="array" ref="G187">IF(183&gt;$S$1204,"",INDEX($T$5:$AJ$1204,MATCH(183,$S$5:$S$1204,0),7))</f>
        <v/>
      </c>
      <c r="H187" s="8" t="str">
        <f t="array" ref="H187">IF(183&gt;$S$1204,"",INDEX($T$5:$AJ$1204,MATCH(183,$S$5:$S$1204,0),8))</f>
        <v/>
      </c>
      <c r="I187" s="8" t="str">
        <f t="array" ref="I187">IF(183&gt;$S$1204,"",INDEX($T$5:$AJ$1204,MATCH(183,$S$5:$S$1204,0),9))</f>
        <v/>
      </c>
      <c r="J187" s="14" t="str">
        <f t="array" ref="J187">IF(183&gt;$S$1204,"",INDEX($T$5:$AJ$1204,MATCH(183,$S$5:$S$1204,0),10))</f>
        <v/>
      </c>
      <c r="K187" s="8" t="str">
        <f t="array" ref="K187">IF(183&gt;$S$1204,"",INDEX($T$5:$AJ$1204,MATCH(183,$S$5:$S$1204,0),11))</f>
        <v/>
      </c>
      <c r="L187" s="8" t="str">
        <f t="array" ref="L187">IF(183&gt;$S$1204,"",INDEX($T$5:$AJ$1204,MATCH(183,$S$5:$S$1204,0),12))</f>
        <v/>
      </c>
      <c r="M187" s="8" t="str">
        <f t="array" ref="M187">IF(183&gt;$S$1204,"",INDEX($T$5:$AJ$1204,MATCH(183,$S$5:$S$1204,0),13))</f>
        <v/>
      </c>
      <c r="N187" s="8" t="str">
        <f t="array" ref="N187">IF(183&gt;$S$1204,"",INDEX($T$5:$AJ$1204,MATCH(183,$S$5:$S$1204,0),14))</f>
        <v/>
      </c>
      <c r="O187" s="15" t="str">
        <f t="array" ref="O187">IF(183&gt;$S$1204,"",INDEX($T$5:$AJ$1204,MATCH(183,$S$5:$S$1204,0),15))</f>
        <v/>
      </c>
      <c r="P187" s="8" t="str">
        <f t="array" ref="P187">IF(183&gt;$S$1204,"",INDEX($T$5:$AJ$1204,MATCH(183,$S$5:$S$1204,0),16))</f>
        <v/>
      </c>
      <c r="Q187" s="8" t="str">
        <f t="array" ref="Q187">IF(183&gt;$S$1204,"",INDEX($T$5:$AJ$1204,MATCH(183,$S$5:$S$1204,0),17))</f>
        <v/>
      </c>
      <c r="R187" s="17"/>
      <c r="S187" s="17">
        <f>S186+IF(M1_Administrativo!A191="",0,1)</f>
        <v>0</v>
      </c>
      <c r="T187" s="17" t="str">
        <f>IF(M1_Administrativo!A191="","",IF(M1_Administrativo!A191="","",M1_Administrativo!A191))</f>
        <v/>
      </c>
      <c r="U187" s="17" t="str">
        <f>IF(M1_Administrativo!A191="","",IF(M1_Administrativo!R191="","",M1_Administrativo!R191))</f>
        <v/>
      </c>
      <c r="V187" s="17" t="str">
        <f>IF(M1_Administrativo!A191="","",IF(M1_Administrativo!D191="","",M1_Administrativo!D191))</f>
        <v/>
      </c>
      <c r="W187" s="17" t="str">
        <f>IF(M1_Administrativo!A191="","",IF(M1_Administrativo!B191="","",M1_Administrativo!B191))</f>
        <v/>
      </c>
      <c r="X187" s="17" t="str">
        <f>IF(M1_Administrativo!A191="","",IF(M1_Administrativo!C191="","",M1_Administrativo!C191))</f>
        <v/>
      </c>
      <c r="Y187" s="17" t="str">
        <f>IF(M1_Administrativo!A191="","",IF(M1_Administrativo!E191="","",M1_Administrativo!E191))</f>
        <v/>
      </c>
      <c r="Z187" s="17" t="str">
        <f>IF(M1_Administrativo!A191="","",IF(M1_Administrativo!F191="","",M1_Administrativo!F191))</f>
        <v/>
      </c>
      <c r="AA187" s="17" t="str">
        <f>IF(M1_Administrativo!A191="","","M1 Administrativo")</f>
        <v/>
      </c>
      <c r="AB187" s="17" t="str">
        <f>IF(M1_Administrativo!A191="","",IF(M1_Administrativo!G191="","",M1_Administrativo!G191))</f>
        <v/>
      </c>
      <c r="AC187" s="17" t="str">
        <f>IF(M1_Administrativo!A191="","",IF(M1_Administrativo!M191="","",M1_Administrativo!M191))</f>
        <v/>
      </c>
      <c r="AD187" s="17" t="str">
        <f>IF(M1_Administrativo!A191="","","RA")</f>
        <v/>
      </c>
      <c r="AE187" s="17" t="str">
        <f>IF(M1_Administrativo!A191="","",IF(M1_Administrativo!O191="","",M1_Administrativo!O191))</f>
        <v/>
      </c>
      <c r="AF187" s="17" t="str">
        <f>IF(M1_Administrativo!A191="","",IF(M1_Administrativo!P191="","",M1_Administrativo!P191))</f>
        <v/>
      </c>
      <c r="AG187" s="17" t="str">
        <f>IF(M1_Administrativo!A191="","",IF(M1_Administrativo!Q191="","",M1_Administrativo!Q191))</f>
        <v/>
      </c>
      <c r="AH187" s="17" t="str">
        <f>IF(M1_Administrativo!A191="","","")</f>
        <v/>
      </c>
      <c r="AI187" s="17" t="str">
        <f>IF(M1_Administrativo!A191="","","M1_Administrativo!191")</f>
        <v/>
      </c>
      <c r="AJ187" s="17" t="str">
        <f>IF(M1_Administrativo!A191="","",IF(M1_Administrativo!M191="","Pendiente de resultado","Disponible"))</f>
        <v/>
      </c>
    </row>
    <row r="188" spans="1:36" ht="55.5" customHeight="1">
      <c r="A188" s="6" t="str">
        <f t="array" ref="A188">IF(184&gt;$S$1204,"",INDEX($T$5:$AJ$1204,MATCH(184,$S$5:$S$1204,0),1))</f>
        <v/>
      </c>
      <c r="B188" s="8" t="str">
        <f t="array" ref="B188">IF(184&gt;$S$1204,"",INDEX($T$5:$AJ$1204,MATCH(184,$S$5:$S$1204,0),2))</f>
        <v/>
      </c>
      <c r="C188" s="10" t="str">
        <f t="array" ref="C188">IF(184&gt;$S$1204,"",INDEX($T$5:$AJ$1204,MATCH(184,$S$5:$S$1204,0),3))</f>
        <v/>
      </c>
      <c r="D188" s="8" t="str">
        <f t="array" ref="D188">IF(184&gt;$S$1204,"",INDEX($T$5:$AJ$1204,MATCH(184,$S$5:$S$1204,0),4))</f>
        <v/>
      </c>
      <c r="E188" s="8" t="str">
        <f t="array" ref="E188">IF(184&gt;$S$1204,"",INDEX($T$5:$AJ$1204,MATCH(184,$S$5:$S$1204,0),5))</f>
        <v/>
      </c>
      <c r="F188" s="8" t="str">
        <f t="array" ref="F188">IF(184&gt;$S$1204,"",INDEX($T$5:$AJ$1204,MATCH(184,$S$5:$S$1204,0),6))</f>
        <v/>
      </c>
      <c r="G188" s="8" t="str">
        <f t="array" ref="G188">IF(184&gt;$S$1204,"",INDEX($T$5:$AJ$1204,MATCH(184,$S$5:$S$1204,0),7))</f>
        <v/>
      </c>
      <c r="H188" s="8" t="str">
        <f t="array" ref="H188">IF(184&gt;$S$1204,"",INDEX($T$5:$AJ$1204,MATCH(184,$S$5:$S$1204,0),8))</f>
        <v/>
      </c>
      <c r="I188" s="8" t="str">
        <f t="array" ref="I188">IF(184&gt;$S$1204,"",INDEX($T$5:$AJ$1204,MATCH(184,$S$5:$S$1204,0),9))</f>
        <v/>
      </c>
      <c r="J188" s="14" t="str">
        <f t="array" ref="J188">IF(184&gt;$S$1204,"",INDEX($T$5:$AJ$1204,MATCH(184,$S$5:$S$1204,0),10))</f>
        <v/>
      </c>
      <c r="K188" s="8" t="str">
        <f t="array" ref="K188">IF(184&gt;$S$1204,"",INDEX($T$5:$AJ$1204,MATCH(184,$S$5:$S$1204,0),11))</f>
        <v/>
      </c>
      <c r="L188" s="8" t="str">
        <f t="array" ref="L188">IF(184&gt;$S$1204,"",INDEX($T$5:$AJ$1204,MATCH(184,$S$5:$S$1204,0),12))</f>
        <v/>
      </c>
      <c r="M188" s="8" t="str">
        <f t="array" ref="M188">IF(184&gt;$S$1204,"",INDEX($T$5:$AJ$1204,MATCH(184,$S$5:$S$1204,0),13))</f>
        <v/>
      </c>
      <c r="N188" s="8" t="str">
        <f t="array" ref="N188">IF(184&gt;$S$1204,"",INDEX($T$5:$AJ$1204,MATCH(184,$S$5:$S$1204,0),14))</f>
        <v/>
      </c>
      <c r="O188" s="15" t="str">
        <f t="array" ref="O188">IF(184&gt;$S$1204,"",INDEX($T$5:$AJ$1204,MATCH(184,$S$5:$S$1204,0),15))</f>
        <v/>
      </c>
      <c r="P188" s="8" t="str">
        <f t="array" ref="P188">IF(184&gt;$S$1204,"",INDEX($T$5:$AJ$1204,MATCH(184,$S$5:$S$1204,0),16))</f>
        <v/>
      </c>
      <c r="Q188" s="8" t="str">
        <f t="array" ref="Q188">IF(184&gt;$S$1204,"",INDEX($T$5:$AJ$1204,MATCH(184,$S$5:$S$1204,0),17))</f>
        <v/>
      </c>
      <c r="R188" s="17"/>
      <c r="S188" s="17">
        <f>S187+IF(M1_Administrativo!A192="",0,1)</f>
        <v>0</v>
      </c>
      <c r="T188" s="17" t="str">
        <f>IF(M1_Administrativo!A192="","",IF(M1_Administrativo!A192="","",M1_Administrativo!A192))</f>
        <v/>
      </c>
      <c r="U188" s="17" t="str">
        <f>IF(M1_Administrativo!A192="","",IF(M1_Administrativo!R192="","",M1_Administrativo!R192))</f>
        <v/>
      </c>
      <c r="V188" s="17" t="str">
        <f>IF(M1_Administrativo!A192="","",IF(M1_Administrativo!D192="","",M1_Administrativo!D192))</f>
        <v/>
      </c>
      <c r="W188" s="17" t="str">
        <f>IF(M1_Administrativo!A192="","",IF(M1_Administrativo!B192="","",M1_Administrativo!B192))</f>
        <v/>
      </c>
      <c r="X188" s="17" t="str">
        <f>IF(M1_Administrativo!A192="","",IF(M1_Administrativo!C192="","",M1_Administrativo!C192))</f>
        <v/>
      </c>
      <c r="Y188" s="17" t="str">
        <f>IF(M1_Administrativo!A192="","",IF(M1_Administrativo!E192="","",M1_Administrativo!E192))</f>
        <v/>
      </c>
      <c r="Z188" s="17" t="str">
        <f>IF(M1_Administrativo!A192="","",IF(M1_Administrativo!F192="","",M1_Administrativo!F192))</f>
        <v/>
      </c>
      <c r="AA188" s="17" t="str">
        <f>IF(M1_Administrativo!A192="","","M1 Administrativo")</f>
        <v/>
      </c>
      <c r="AB188" s="17" t="str">
        <f>IF(M1_Administrativo!A192="","",IF(M1_Administrativo!G192="","",M1_Administrativo!G192))</f>
        <v/>
      </c>
      <c r="AC188" s="17" t="str">
        <f>IF(M1_Administrativo!A192="","",IF(M1_Administrativo!M192="","",M1_Administrativo!M192))</f>
        <v/>
      </c>
      <c r="AD188" s="17" t="str">
        <f>IF(M1_Administrativo!A192="","","RA")</f>
        <v/>
      </c>
      <c r="AE188" s="17" t="str">
        <f>IF(M1_Administrativo!A192="","",IF(M1_Administrativo!O192="","",M1_Administrativo!O192))</f>
        <v/>
      </c>
      <c r="AF188" s="17" t="str">
        <f>IF(M1_Administrativo!A192="","",IF(M1_Administrativo!P192="","",M1_Administrativo!P192))</f>
        <v/>
      </c>
      <c r="AG188" s="17" t="str">
        <f>IF(M1_Administrativo!A192="","",IF(M1_Administrativo!Q192="","",M1_Administrativo!Q192))</f>
        <v/>
      </c>
      <c r="AH188" s="17" t="str">
        <f>IF(M1_Administrativo!A192="","","")</f>
        <v/>
      </c>
      <c r="AI188" s="17" t="str">
        <f>IF(M1_Administrativo!A192="","","M1_Administrativo!192")</f>
        <v/>
      </c>
      <c r="AJ188" s="17" t="str">
        <f>IF(M1_Administrativo!A192="","",IF(M1_Administrativo!M192="","Pendiente de resultado","Disponible"))</f>
        <v/>
      </c>
    </row>
    <row r="189" spans="1:36" ht="55.5" customHeight="1">
      <c r="A189" s="6" t="str">
        <f t="array" ref="A189">IF(185&gt;$S$1204,"",INDEX($T$5:$AJ$1204,MATCH(185,$S$5:$S$1204,0),1))</f>
        <v/>
      </c>
      <c r="B189" s="8" t="str">
        <f t="array" ref="B189">IF(185&gt;$S$1204,"",INDEX($T$5:$AJ$1204,MATCH(185,$S$5:$S$1204,0),2))</f>
        <v/>
      </c>
      <c r="C189" s="10" t="str">
        <f t="array" ref="C189">IF(185&gt;$S$1204,"",INDEX($T$5:$AJ$1204,MATCH(185,$S$5:$S$1204,0),3))</f>
        <v/>
      </c>
      <c r="D189" s="8" t="str">
        <f t="array" ref="D189">IF(185&gt;$S$1204,"",INDEX($T$5:$AJ$1204,MATCH(185,$S$5:$S$1204,0),4))</f>
        <v/>
      </c>
      <c r="E189" s="8" t="str">
        <f t="array" ref="E189">IF(185&gt;$S$1204,"",INDEX($T$5:$AJ$1204,MATCH(185,$S$5:$S$1204,0),5))</f>
        <v/>
      </c>
      <c r="F189" s="8" t="str">
        <f t="array" ref="F189">IF(185&gt;$S$1204,"",INDEX($T$5:$AJ$1204,MATCH(185,$S$5:$S$1204,0),6))</f>
        <v/>
      </c>
      <c r="G189" s="8" t="str">
        <f t="array" ref="G189">IF(185&gt;$S$1204,"",INDEX($T$5:$AJ$1204,MATCH(185,$S$5:$S$1204,0),7))</f>
        <v/>
      </c>
      <c r="H189" s="8" t="str">
        <f t="array" ref="H189">IF(185&gt;$S$1204,"",INDEX($T$5:$AJ$1204,MATCH(185,$S$5:$S$1204,0),8))</f>
        <v/>
      </c>
      <c r="I189" s="8" t="str">
        <f t="array" ref="I189">IF(185&gt;$S$1204,"",INDEX($T$5:$AJ$1204,MATCH(185,$S$5:$S$1204,0),9))</f>
        <v/>
      </c>
      <c r="J189" s="14" t="str">
        <f t="array" ref="J189">IF(185&gt;$S$1204,"",INDEX($T$5:$AJ$1204,MATCH(185,$S$5:$S$1204,0),10))</f>
        <v/>
      </c>
      <c r="K189" s="8" t="str">
        <f t="array" ref="K189">IF(185&gt;$S$1204,"",INDEX($T$5:$AJ$1204,MATCH(185,$S$5:$S$1204,0),11))</f>
        <v/>
      </c>
      <c r="L189" s="8" t="str">
        <f t="array" ref="L189">IF(185&gt;$S$1204,"",INDEX($T$5:$AJ$1204,MATCH(185,$S$5:$S$1204,0),12))</f>
        <v/>
      </c>
      <c r="M189" s="8" t="str">
        <f t="array" ref="M189">IF(185&gt;$S$1204,"",INDEX($T$5:$AJ$1204,MATCH(185,$S$5:$S$1204,0),13))</f>
        <v/>
      </c>
      <c r="N189" s="8" t="str">
        <f t="array" ref="N189">IF(185&gt;$S$1204,"",INDEX($T$5:$AJ$1204,MATCH(185,$S$5:$S$1204,0),14))</f>
        <v/>
      </c>
      <c r="O189" s="15" t="str">
        <f t="array" ref="O189">IF(185&gt;$S$1204,"",INDEX($T$5:$AJ$1204,MATCH(185,$S$5:$S$1204,0),15))</f>
        <v/>
      </c>
      <c r="P189" s="8" t="str">
        <f t="array" ref="P189">IF(185&gt;$S$1204,"",INDEX($T$5:$AJ$1204,MATCH(185,$S$5:$S$1204,0),16))</f>
        <v/>
      </c>
      <c r="Q189" s="8" t="str">
        <f t="array" ref="Q189">IF(185&gt;$S$1204,"",INDEX($T$5:$AJ$1204,MATCH(185,$S$5:$S$1204,0),17))</f>
        <v/>
      </c>
      <c r="R189" s="17"/>
      <c r="S189" s="17">
        <f>S188+IF(M1_Administrativo!A193="",0,1)</f>
        <v>0</v>
      </c>
      <c r="T189" s="17" t="str">
        <f>IF(M1_Administrativo!A193="","",IF(M1_Administrativo!A193="","",M1_Administrativo!A193))</f>
        <v/>
      </c>
      <c r="U189" s="17" t="str">
        <f>IF(M1_Administrativo!A193="","",IF(M1_Administrativo!R193="","",M1_Administrativo!R193))</f>
        <v/>
      </c>
      <c r="V189" s="17" t="str">
        <f>IF(M1_Administrativo!A193="","",IF(M1_Administrativo!D193="","",M1_Administrativo!D193))</f>
        <v/>
      </c>
      <c r="W189" s="17" t="str">
        <f>IF(M1_Administrativo!A193="","",IF(M1_Administrativo!B193="","",M1_Administrativo!B193))</f>
        <v/>
      </c>
      <c r="X189" s="17" t="str">
        <f>IF(M1_Administrativo!A193="","",IF(M1_Administrativo!C193="","",M1_Administrativo!C193))</f>
        <v/>
      </c>
      <c r="Y189" s="17" t="str">
        <f>IF(M1_Administrativo!A193="","",IF(M1_Administrativo!E193="","",M1_Administrativo!E193))</f>
        <v/>
      </c>
      <c r="Z189" s="17" t="str">
        <f>IF(M1_Administrativo!A193="","",IF(M1_Administrativo!F193="","",M1_Administrativo!F193))</f>
        <v/>
      </c>
      <c r="AA189" s="17" t="str">
        <f>IF(M1_Administrativo!A193="","","M1 Administrativo")</f>
        <v/>
      </c>
      <c r="AB189" s="17" t="str">
        <f>IF(M1_Administrativo!A193="","",IF(M1_Administrativo!G193="","",M1_Administrativo!G193))</f>
        <v/>
      </c>
      <c r="AC189" s="17" t="str">
        <f>IF(M1_Administrativo!A193="","",IF(M1_Administrativo!M193="","",M1_Administrativo!M193))</f>
        <v/>
      </c>
      <c r="AD189" s="17" t="str">
        <f>IF(M1_Administrativo!A193="","","RA")</f>
        <v/>
      </c>
      <c r="AE189" s="17" t="str">
        <f>IF(M1_Administrativo!A193="","",IF(M1_Administrativo!O193="","",M1_Administrativo!O193))</f>
        <v/>
      </c>
      <c r="AF189" s="17" t="str">
        <f>IF(M1_Administrativo!A193="","",IF(M1_Administrativo!P193="","",M1_Administrativo!P193))</f>
        <v/>
      </c>
      <c r="AG189" s="17" t="str">
        <f>IF(M1_Administrativo!A193="","",IF(M1_Administrativo!Q193="","",M1_Administrativo!Q193))</f>
        <v/>
      </c>
      <c r="AH189" s="17" t="str">
        <f>IF(M1_Administrativo!A193="","","")</f>
        <v/>
      </c>
      <c r="AI189" s="17" t="str">
        <f>IF(M1_Administrativo!A193="","","M1_Administrativo!193")</f>
        <v/>
      </c>
      <c r="AJ189" s="17" t="str">
        <f>IF(M1_Administrativo!A193="","",IF(M1_Administrativo!M193="","Pendiente de resultado","Disponible"))</f>
        <v/>
      </c>
    </row>
    <row r="190" spans="1:36" ht="55.5" customHeight="1">
      <c r="A190" s="6" t="str">
        <f t="array" ref="A190">IF(186&gt;$S$1204,"",INDEX($T$5:$AJ$1204,MATCH(186,$S$5:$S$1204,0),1))</f>
        <v/>
      </c>
      <c r="B190" s="8" t="str">
        <f t="array" ref="B190">IF(186&gt;$S$1204,"",INDEX($T$5:$AJ$1204,MATCH(186,$S$5:$S$1204,0),2))</f>
        <v/>
      </c>
      <c r="C190" s="10" t="str">
        <f t="array" ref="C190">IF(186&gt;$S$1204,"",INDEX($T$5:$AJ$1204,MATCH(186,$S$5:$S$1204,0),3))</f>
        <v/>
      </c>
      <c r="D190" s="8" t="str">
        <f t="array" ref="D190">IF(186&gt;$S$1204,"",INDEX($T$5:$AJ$1204,MATCH(186,$S$5:$S$1204,0),4))</f>
        <v/>
      </c>
      <c r="E190" s="8" t="str">
        <f t="array" ref="E190">IF(186&gt;$S$1204,"",INDEX($T$5:$AJ$1204,MATCH(186,$S$5:$S$1204,0),5))</f>
        <v/>
      </c>
      <c r="F190" s="8" t="str">
        <f t="array" ref="F190">IF(186&gt;$S$1204,"",INDEX($T$5:$AJ$1204,MATCH(186,$S$5:$S$1204,0),6))</f>
        <v/>
      </c>
      <c r="G190" s="8" t="str">
        <f t="array" ref="G190">IF(186&gt;$S$1204,"",INDEX($T$5:$AJ$1204,MATCH(186,$S$5:$S$1204,0),7))</f>
        <v/>
      </c>
      <c r="H190" s="8" t="str">
        <f t="array" ref="H190">IF(186&gt;$S$1204,"",INDEX($T$5:$AJ$1204,MATCH(186,$S$5:$S$1204,0),8))</f>
        <v/>
      </c>
      <c r="I190" s="8" t="str">
        <f t="array" ref="I190">IF(186&gt;$S$1204,"",INDEX($T$5:$AJ$1204,MATCH(186,$S$5:$S$1204,0),9))</f>
        <v/>
      </c>
      <c r="J190" s="14" t="str">
        <f t="array" ref="J190">IF(186&gt;$S$1204,"",INDEX($T$5:$AJ$1204,MATCH(186,$S$5:$S$1204,0),10))</f>
        <v/>
      </c>
      <c r="K190" s="8" t="str">
        <f t="array" ref="K190">IF(186&gt;$S$1204,"",INDEX($T$5:$AJ$1204,MATCH(186,$S$5:$S$1204,0),11))</f>
        <v/>
      </c>
      <c r="L190" s="8" t="str">
        <f t="array" ref="L190">IF(186&gt;$S$1204,"",INDEX($T$5:$AJ$1204,MATCH(186,$S$5:$S$1204,0),12))</f>
        <v/>
      </c>
      <c r="M190" s="8" t="str">
        <f t="array" ref="M190">IF(186&gt;$S$1204,"",INDEX($T$5:$AJ$1204,MATCH(186,$S$5:$S$1204,0),13))</f>
        <v/>
      </c>
      <c r="N190" s="8" t="str">
        <f t="array" ref="N190">IF(186&gt;$S$1204,"",INDEX($T$5:$AJ$1204,MATCH(186,$S$5:$S$1204,0),14))</f>
        <v/>
      </c>
      <c r="O190" s="15" t="str">
        <f t="array" ref="O190">IF(186&gt;$S$1204,"",INDEX($T$5:$AJ$1204,MATCH(186,$S$5:$S$1204,0),15))</f>
        <v/>
      </c>
      <c r="P190" s="8" t="str">
        <f t="array" ref="P190">IF(186&gt;$S$1204,"",INDEX($T$5:$AJ$1204,MATCH(186,$S$5:$S$1204,0),16))</f>
        <v/>
      </c>
      <c r="Q190" s="8" t="str">
        <f t="array" ref="Q190">IF(186&gt;$S$1204,"",INDEX($T$5:$AJ$1204,MATCH(186,$S$5:$S$1204,0),17))</f>
        <v/>
      </c>
      <c r="R190" s="17"/>
      <c r="S190" s="17">
        <f>S189+IF(M1_Administrativo!A194="",0,1)</f>
        <v>0</v>
      </c>
      <c r="T190" s="17" t="str">
        <f>IF(M1_Administrativo!A194="","",IF(M1_Administrativo!A194="","",M1_Administrativo!A194))</f>
        <v/>
      </c>
      <c r="U190" s="17" t="str">
        <f>IF(M1_Administrativo!A194="","",IF(M1_Administrativo!R194="","",M1_Administrativo!R194))</f>
        <v/>
      </c>
      <c r="V190" s="17" t="str">
        <f>IF(M1_Administrativo!A194="","",IF(M1_Administrativo!D194="","",M1_Administrativo!D194))</f>
        <v/>
      </c>
      <c r="W190" s="17" t="str">
        <f>IF(M1_Administrativo!A194="","",IF(M1_Administrativo!B194="","",M1_Administrativo!B194))</f>
        <v/>
      </c>
      <c r="X190" s="17" t="str">
        <f>IF(M1_Administrativo!A194="","",IF(M1_Administrativo!C194="","",M1_Administrativo!C194))</f>
        <v/>
      </c>
      <c r="Y190" s="17" t="str">
        <f>IF(M1_Administrativo!A194="","",IF(M1_Administrativo!E194="","",M1_Administrativo!E194))</f>
        <v/>
      </c>
      <c r="Z190" s="17" t="str">
        <f>IF(M1_Administrativo!A194="","",IF(M1_Administrativo!F194="","",M1_Administrativo!F194))</f>
        <v/>
      </c>
      <c r="AA190" s="17" t="str">
        <f>IF(M1_Administrativo!A194="","","M1 Administrativo")</f>
        <v/>
      </c>
      <c r="AB190" s="17" t="str">
        <f>IF(M1_Administrativo!A194="","",IF(M1_Administrativo!G194="","",M1_Administrativo!G194))</f>
        <v/>
      </c>
      <c r="AC190" s="17" t="str">
        <f>IF(M1_Administrativo!A194="","",IF(M1_Administrativo!M194="","",M1_Administrativo!M194))</f>
        <v/>
      </c>
      <c r="AD190" s="17" t="str">
        <f>IF(M1_Administrativo!A194="","","RA")</f>
        <v/>
      </c>
      <c r="AE190" s="17" t="str">
        <f>IF(M1_Administrativo!A194="","",IF(M1_Administrativo!O194="","",M1_Administrativo!O194))</f>
        <v/>
      </c>
      <c r="AF190" s="17" t="str">
        <f>IF(M1_Administrativo!A194="","",IF(M1_Administrativo!P194="","",M1_Administrativo!P194))</f>
        <v/>
      </c>
      <c r="AG190" s="17" t="str">
        <f>IF(M1_Administrativo!A194="","",IF(M1_Administrativo!Q194="","",M1_Administrativo!Q194))</f>
        <v/>
      </c>
      <c r="AH190" s="17" t="str">
        <f>IF(M1_Administrativo!A194="","","")</f>
        <v/>
      </c>
      <c r="AI190" s="17" t="str">
        <f>IF(M1_Administrativo!A194="","","M1_Administrativo!194")</f>
        <v/>
      </c>
      <c r="AJ190" s="17" t="str">
        <f>IF(M1_Administrativo!A194="","",IF(M1_Administrativo!M194="","Pendiente de resultado","Disponible"))</f>
        <v/>
      </c>
    </row>
    <row r="191" spans="1:36" ht="55.5" customHeight="1">
      <c r="A191" s="6" t="str">
        <f t="array" ref="A191">IF(187&gt;$S$1204,"",INDEX($T$5:$AJ$1204,MATCH(187,$S$5:$S$1204,0),1))</f>
        <v/>
      </c>
      <c r="B191" s="8" t="str">
        <f t="array" ref="B191">IF(187&gt;$S$1204,"",INDEX($T$5:$AJ$1204,MATCH(187,$S$5:$S$1204,0),2))</f>
        <v/>
      </c>
      <c r="C191" s="10" t="str">
        <f t="array" ref="C191">IF(187&gt;$S$1204,"",INDEX($T$5:$AJ$1204,MATCH(187,$S$5:$S$1204,0),3))</f>
        <v/>
      </c>
      <c r="D191" s="8" t="str">
        <f t="array" ref="D191">IF(187&gt;$S$1204,"",INDEX($T$5:$AJ$1204,MATCH(187,$S$5:$S$1204,0),4))</f>
        <v/>
      </c>
      <c r="E191" s="8" t="str">
        <f t="array" ref="E191">IF(187&gt;$S$1204,"",INDEX($T$5:$AJ$1204,MATCH(187,$S$5:$S$1204,0),5))</f>
        <v/>
      </c>
      <c r="F191" s="8" t="str">
        <f t="array" ref="F191">IF(187&gt;$S$1204,"",INDEX($T$5:$AJ$1204,MATCH(187,$S$5:$S$1204,0),6))</f>
        <v/>
      </c>
      <c r="G191" s="8" t="str">
        <f t="array" ref="G191">IF(187&gt;$S$1204,"",INDEX($T$5:$AJ$1204,MATCH(187,$S$5:$S$1204,0),7))</f>
        <v/>
      </c>
      <c r="H191" s="8" t="str">
        <f t="array" ref="H191">IF(187&gt;$S$1204,"",INDEX($T$5:$AJ$1204,MATCH(187,$S$5:$S$1204,0),8))</f>
        <v/>
      </c>
      <c r="I191" s="8" t="str">
        <f t="array" ref="I191">IF(187&gt;$S$1204,"",INDEX($T$5:$AJ$1204,MATCH(187,$S$5:$S$1204,0),9))</f>
        <v/>
      </c>
      <c r="J191" s="14" t="str">
        <f t="array" ref="J191">IF(187&gt;$S$1204,"",INDEX($T$5:$AJ$1204,MATCH(187,$S$5:$S$1204,0),10))</f>
        <v/>
      </c>
      <c r="K191" s="8" t="str">
        <f t="array" ref="K191">IF(187&gt;$S$1204,"",INDEX($T$5:$AJ$1204,MATCH(187,$S$5:$S$1204,0),11))</f>
        <v/>
      </c>
      <c r="L191" s="8" t="str">
        <f t="array" ref="L191">IF(187&gt;$S$1204,"",INDEX($T$5:$AJ$1204,MATCH(187,$S$5:$S$1204,0),12))</f>
        <v/>
      </c>
      <c r="M191" s="8" t="str">
        <f t="array" ref="M191">IF(187&gt;$S$1204,"",INDEX($T$5:$AJ$1204,MATCH(187,$S$5:$S$1204,0),13))</f>
        <v/>
      </c>
      <c r="N191" s="8" t="str">
        <f t="array" ref="N191">IF(187&gt;$S$1204,"",INDEX($T$5:$AJ$1204,MATCH(187,$S$5:$S$1204,0),14))</f>
        <v/>
      </c>
      <c r="O191" s="15" t="str">
        <f t="array" ref="O191">IF(187&gt;$S$1204,"",INDEX($T$5:$AJ$1204,MATCH(187,$S$5:$S$1204,0),15))</f>
        <v/>
      </c>
      <c r="P191" s="8" t="str">
        <f t="array" ref="P191">IF(187&gt;$S$1204,"",INDEX($T$5:$AJ$1204,MATCH(187,$S$5:$S$1204,0),16))</f>
        <v/>
      </c>
      <c r="Q191" s="8" t="str">
        <f t="array" ref="Q191">IF(187&gt;$S$1204,"",INDEX($T$5:$AJ$1204,MATCH(187,$S$5:$S$1204,0),17))</f>
        <v/>
      </c>
      <c r="R191" s="17"/>
      <c r="S191" s="17">
        <f>S190+IF(M1_Administrativo!A195="",0,1)</f>
        <v>0</v>
      </c>
      <c r="T191" s="17" t="str">
        <f>IF(M1_Administrativo!A195="","",IF(M1_Administrativo!A195="","",M1_Administrativo!A195))</f>
        <v/>
      </c>
      <c r="U191" s="17" t="str">
        <f>IF(M1_Administrativo!A195="","",IF(M1_Administrativo!R195="","",M1_Administrativo!R195))</f>
        <v/>
      </c>
      <c r="V191" s="17" t="str">
        <f>IF(M1_Administrativo!A195="","",IF(M1_Administrativo!D195="","",M1_Administrativo!D195))</f>
        <v/>
      </c>
      <c r="W191" s="17" t="str">
        <f>IF(M1_Administrativo!A195="","",IF(M1_Administrativo!B195="","",M1_Administrativo!B195))</f>
        <v/>
      </c>
      <c r="X191" s="17" t="str">
        <f>IF(M1_Administrativo!A195="","",IF(M1_Administrativo!C195="","",M1_Administrativo!C195))</f>
        <v/>
      </c>
      <c r="Y191" s="17" t="str">
        <f>IF(M1_Administrativo!A195="","",IF(M1_Administrativo!E195="","",M1_Administrativo!E195))</f>
        <v/>
      </c>
      <c r="Z191" s="17" t="str">
        <f>IF(M1_Administrativo!A195="","",IF(M1_Administrativo!F195="","",M1_Administrativo!F195))</f>
        <v/>
      </c>
      <c r="AA191" s="17" t="str">
        <f>IF(M1_Administrativo!A195="","","M1 Administrativo")</f>
        <v/>
      </c>
      <c r="AB191" s="17" t="str">
        <f>IF(M1_Administrativo!A195="","",IF(M1_Administrativo!G195="","",M1_Administrativo!G195))</f>
        <v/>
      </c>
      <c r="AC191" s="17" t="str">
        <f>IF(M1_Administrativo!A195="","",IF(M1_Administrativo!M195="","",M1_Administrativo!M195))</f>
        <v/>
      </c>
      <c r="AD191" s="17" t="str">
        <f>IF(M1_Administrativo!A195="","","RA")</f>
        <v/>
      </c>
      <c r="AE191" s="17" t="str">
        <f>IF(M1_Administrativo!A195="","",IF(M1_Administrativo!O195="","",M1_Administrativo!O195))</f>
        <v/>
      </c>
      <c r="AF191" s="17" t="str">
        <f>IF(M1_Administrativo!A195="","",IF(M1_Administrativo!P195="","",M1_Administrativo!P195))</f>
        <v/>
      </c>
      <c r="AG191" s="17" t="str">
        <f>IF(M1_Administrativo!A195="","",IF(M1_Administrativo!Q195="","",M1_Administrativo!Q195))</f>
        <v/>
      </c>
      <c r="AH191" s="17" t="str">
        <f>IF(M1_Administrativo!A195="","","")</f>
        <v/>
      </c>
      <c r="AI191" s="17" t="str">
        <f>IF(M1_Administrativo!A195="","","M1_Administrativo!195")</f>
        <v/>
      </c>
      <c r="AJ191" s="17" t="str">
        <f>IF(M1_Administrativo!A195="","",IF(M1_Administrativo!M195="","Pendiente de resultado","Disponible"))</f>
        <v/>
      </c>
    </row>
    <row r="192" spans="1:36" ht="55.5" customHeight="1">
      <c r="A192" s="6" t="str">
        <f t="array" ref="A192">IF(188&gt;$S$1204,"",INDEX($T$5:$AJ$1204,MATCH(188,$S$5:$S$1204,0),1))</f>
        <v/>
      </c>
      <c r="B192" s="8" t="str">
        <f t="array" ref="B192">IF(188&gt;$S$1204,"",INDEX($T$5:$AJ$1204,MATCH(188,$S$5:$S$1204,0),2))</f>
        <v/>
      </c>
      <c r="C192" s="10" t="str">
        <f t="array" ref="C192">IF(188&gt;$S$1204,"",INDEX($T$5:$AJ$1204,MATCH(188,$S$5:$S$1204,0),3))</f>
        <v/>
      </c>
      <c r="D192" s="8" t="str">
        <f t="array" ref="D192">IF(188&gt;$S$1204,"",INDEX($T$5:$AJ$1204,MATCH(188,$S$5:$S$1204,0),4))</f>
        <v/>
      </c>
      <c r="E192" s="8" t="str">
        <f t="array" ref="E192">IF(188&gt;$S$1204,"",INDEX($T$5:$AJ$1204,MATCH(188,$S$5:$S$1204,0),5))</f>
        <v/>
      </c>
      <c r="F192" s="8" t="str">
        <f t="array" ref="F192">IF(188&gt;$S$1204,"",INDEX($T$5:$AJ$1204,MATCH(188,$S$5:$S$1204,0),6))</f>
        <v/>
      </c>
      <c r="G192" s="8" t="str">
        <f t="array" ref="G192">IF(188&gt;$S$1204,"",INDEX($T$5:$AJ$1204,MATCH(188,$S$5:$S$1204,0),7))</f>
        <v/>
      </c>
      <c r="H192" s="8" t="str">
        <f t="array" ref="H192">IF(188&gt;$S$1204,"",INDEX($T$5:$AJ$1204,MATCH(188,$S$5:$S$1204,0),8))</f>
        <v/>
      </c>
      <c r="I192" s="8" t="str">
        <f t="array" ref="I192">IF(188&gt;$S$1204,"",INDEX($T$5:$AJ$1204,MATCH(188,$S$5:$S$1204,0),9))</f>
        <v/>
      </c>
      <c r="J192" s="14" t="str">
        <f t="array" ref="J192">IF(188&gt;$S$1204,"",INDEX($T$5:$AJ$1204,MATCH(188,$S$5:$S$1204,0),10))</f>
        <v/>
      </c>
      <c r="K192" s="8" t="str">
        <f t="array" ref="K192">IF(188&gt;$S$1204,"",INDEX($T$5:$AJ$1204,MATCH(188,$S$5:$S$1204,0),11))</f>
        <v/>
      </c>
      <c r="L192" s="8" t="str">
        <f t="array" ref="L192">IF(188&gt;$S$1204,"",INDEX($T$5:$AJ$1204,MATCH(188,$S$5:$S$1204,0),12))</f>
        <v/>
      </c>
      <c r="M192" s="8" t="str">
        <f t="array" ref="M192">IF(188&gt;$S$1204,"",INDEX($T$5:$AJ$1204,MATCH(188,$S$5:$S$1204,0),13))</f>
        <v/>
      </c>
      <c r="N192" s="8" t="str">
        <f t="array" ref="N192">IF(188&gt;$S$1204,"",INDEX($T$5:$AJ$1204,MATCH(188,$S$5:$S$1204,0),14))</f>
        <v/>
      </c>
      <c r="O192" s="15" t="str">
        <f t="array" ref="O192">IF(188&gt;$S$1204,"",INDEX($T$5:$AJ$1204,MATCH(188,$S$5:$S$1204,0),15))</f>
        <v/>
      </c>
      <c r="P192" s="8" t="str">
        <f t="array" ref="P192">IF(188&gt;$S$1204,"",INDEX($T$5:$AJ$1204,MATCH(188,$S$5:$S$1204,0),16))</f>
        <v/>
      </c>
      <c r="Q192" s="8" t="str">
        <f t="array" ref="Q192">IF(188&gt;$S$1204,"",INDEX($T$5:$AJ$1204,MATCH(188,$S$5:$S$1204,0),17))</f>
        <v/>
      </c>
      <c r="R192" s="17"/>
      <c r="S192" s="17">
        <f>S191+IF(M1_Administrativo!A196="",0,1)</f>
        <v>0</v>
      </c>
      <c r="T192" s="17" t="str">
        <f>IF(M1_Administrativo!A196="","",IF(M1_Administrativo!A196="","",M1_Administrativo!A196))</f>
        <v/>
      </c>
      <c r="U192" s="17" t="str">
        <f>IF(M1_Administrativo!A196="","",IF(M1_Administrativo!R196="","",M1_Administrativo!R196))</f>
        <v/>
      </c>
      <c r="V192" s="17" t="str">
        <f>IF(M1_Administrativo!A196="","",IF(M1_Administrativo!D196="","",M1_Administrativo!D196))</f>
        <v/>
      </c>
      <c r="W192" s="17" t="str">
        <f>IF(M1_Administrativo!A196="","",IF(M1_Administrativo!B196="","",M1_Administrativo!B196))</f>
        <v/>
      </c>
      <c r="X192" s="17" t="str">
        <f>IF(M1_Administrativo!A196="","",IF(M1_Administrativo!C196="","",M1_Administrativo!C196))</f>
        <v/>
      </c>
      <c r="Y192" s="17" t="str">
        <f>IF(M1_Administrativo!A196="","",IF(M1_Administrativo!E196="","",M1_Administrativo!E196))</f>
        <v/>
      </c>
      <c r="Z192" s="17" t="str">
        <f>IF(M1_Administrativo!A196="","",IF(M1_Administrativo!F196="","",M1_Administrativo!F196))</f>
        <v/>
      </c>
      <c r="AA192" s="17" t="str">
        <f>IF(M1_Administrativo!A196="","","M1 Administrativo")</f>
        <v/>
      </c>
      <c r="AB192" s="17" t="str">
        <f>IF(M1_Administrativo!A196="","",IF(M1_Administrativo!G196="","",M1_Administrativo!G196))</f>
        <v/>
      </c>
      <c r="AC192" s="17" t="str">
        <f>IF(M1_Administrativo!A196="","",IF(M1_Administrativo!M196="","",M1_Administrativo!M196))</f>
        <v/>
      </c>
      <c r="AD192" s="17" t="str">
        <f>IF(M1_Administrativo!A196="","","RA")</f>
        <v/>
      </c>
      <c r="AE192" s="17" t="str">
        <f>IF(M1_Administrativo!A196="","",IF(M1_Administrativo!O196="","",M1_Administrativo!O196))</f>
        <v/>
      </c>
      <c r="AF192" s="17" t="str">
        <f>IF(M1_Administrativo!A196="","",IF(M1_Administrativo!P196="","",M1_Administrativo!P196))</f>
        <v/>
      </c>
      <c r="AG192" s="17" t="str">
        <f>IF(M1_Administrativo!A196="","",IF(M1_Administrativo!Q196="","",M1_Administrativo!Q196))</f>
        <v/>
      </c>
      <c r="AH192" s="17" t="str">
        <f>IF(M1_Administrativo!A196="","","")</f>
        <v/>
      </c>
      <c r="AI192" s="17" t="str">
        <f>IF(M1_Administrativo!A196="","","M1_Administrativo!196")</f>
        <v/>
      </c>
      <c r="AJ192" s="17" t="str">
        <f>IF(M1_Administrativo!A196="","",IF(M1_Administrativo!M196="","Pendiente de resultado","Disponible"))</f>
        <v/>
      </c>
    </row>
    <row r="193" spans="1:36" ht="55.5" customHeight="1">
      <c r="A193" s="6" t="str">
        <f t="array" ref="A193">IF(189&gt;$S$1204,"",INDEX($T$5:$AJ$1204,MATCH(189,$S$5:$S$1204,0),1))</f>
        <v/>
      </c>
      <c r="B193" s="8" t="str">
        <f t="array" ref="B193">IF(189&gt;$S$1204,"",INDEX($T$5:$AJ$1204,MATCH(189,$S$5:$S$1204,0),2))</f>
        <v/>
      </c>
      <c r="C193" s="10" t="str">
        <f t="array" ref="C193">IF(189&gt;$S$1204,"",INDEX($T$5:$AJ$1204,MATCH(189,$S$5:$S$1204,0),3))</f>
        <v/>
      </c>
      <c r="D193" s="8" t="str">
        <f t="array" ref="D193">IF(189&gt;$S$1204,"",INDEX($T$5:$AJ$1204,MATCH(189,$S$5:$S$1204,0),4))</f>
        <v/>
      </c>
      <c r="E193" s="8" t="str">
        <f t="array" ref="E193">IF(189&gt;$S$1204,"",INDEX($T$5:$AJ$1204,MATCH(189,$S$5:$S$1204,0),5))</f>
        <v/>
      </c>
      <c r="F193" s="8" t="str">
        <f t="array" ref="F193">IF(189&gt;$S$1204,"",INDEX($T$5:$AJ$1204,MATCH(189,$S$5:$S$1204,0),6))</f>
        <v/>
      </c>
      <c r="G193" s="8" t="str">
        <f t="array" ref="G193">IF(189&gt;$S$1204,"",INDEX($T$5:$AJ$1204,MATCH(189,$S$5:$S$1204,0),7))</f>
        <v/>
      </c>
      <c r="H193" s="8" t="str">
        <f t="array" ref="H193">IF(189&gt;$S$1204,"",INDEX($T$5:$AJ$1204,MATCH(189,$S$5:$S$1204,0),8))</f>
        <v/>
      </c>
      <c r="I193" s="8" t="str">
        <f t="array" ref="I193">IF(189&gt;$S$1204,"",INDEX($T$5:$AJ$1204,MATCH(189,$S$5:$S$1204,0),9))</f>
        <v/>
      </c>
      <c r="J193" s="14" t="str">
        <f t="array" ref="J193">IF(189&gt;$S$1204,"",INDEX($T$5:$AJ$1204,MATCH(189,$S$5:$S$1204,0),10))</f>
        <v/>
      </c>
      <c r="K193" s="8" t="str">
        <f t="array" ref="K193">IF(189&gt;$S$1204,"",INDEX($T$5:$AJ$1204,MATCH(189,$S$5:$S$1204,0),11))</f>
        <v/>
      </c>
      <c r="L193" s="8" t="str">
        <f t="array" ref="L193">IF(189&gt;$S$1204,"",INDEX($T$5:$AJ$1204,MATCH(189,$S$5:$S$1204,0),12))</f>
        <v/>
      </c>
      <c r="M193" s="8" t="str">
        <f t="array" ref="M193">IF(189&gt;$S$1204,"",INDEX($T$5:$AJ$1204,MATCH(189,$S$5:$S$1204,0),13))</f>
        <v/>
      </c>
      <c r="N193" s="8" t="str">
        <f t="array" ref="N193">IF(189&gt;$S$1204,"",INDEX($T$5:$AJ$1204,MATCH(189,$S$5:$S$1204,0),14))</f>
        <v/>
      </c>
      <c r="O193" s="15" t="str">
        <f t="array" ref="O193">IF(189&gt;$S$1204,"",INDEX($T$5:$AJ$1204,MATCH(189,$S$5:$S$1204,0),15))</f>
        <v/>
      </c>
      <c r="P193" s="8" t="str">
        <f t="array" ref="P193">IF(189&gt;$S$1204,"",INDEX($T$5:$AJ$1204,MATCH(189,$S$5:$S$1204,0),16))</f>
        <v/>
      </c>
      <c r="Q193" s="8" t="str">
        <f t="array" ref="Q193">IF(189&gt;$S$1204,"",INDEX($T$5:$AJ$1204,MATCH(189,$S$5:$S$1204,0),17))</f>
        <v/>
      </c>
      <c r="R193" s="17"/>
      <c r="S193" s="17">
        <f>S192+IF(M1_Administrativo!A197="",0,1)</f>
        <v>0</v>
      </c>
      <c r="T193" s="17" t="str">
        <f>IF(M1_Administrativo!A197="","",IF(M1_Administrativo!A197="","",M1_Administrativo!A197))</f>
        <v/>
      </c>
      <c r="U193" s="17" t="str">
        <f>IF(M1_Administrativo!A197="","",IF(M1_Administrativo!R197="","",M1_Administrativo!R197))</f>
        <v/>
      </c>
      <c r="V193" s="17" t="str">
        <f>IF(M1_Administrativo!A197="","",IF(M1_Administrativo!D197="","",M1_Administrativo!D197))</f>
        <v/>
      </c>
      <c r="W193" s="17" t="str">
        <f>IF(M1_Administrativo!A197="","",IF(M1_Administrativo!B197="","",M1_Administrativo!B197))</f>
        <v/>
      </c>
      <c r="X193" s="17" t="str">
        <f>IF(M1_Administrativo!A197="","",IF(M1_Administrativo!C197="","",M1_Administrativo!C197))</f>
        <v/>
      </c>
      <c r="Y193" s="17" t="str">
        <f>IF(M1_Administrativo!A197="","",IF(M1_Administrativo!E197="","",M1_Administrativo!E197))</f>
        <v/>
      </c>
      <c r="Z193" s="17" t="str">
        <f>IF(M1_Administrativo!A197="","",IF(M1_Administrativo!F197="","",M1_Administrativo!F197))</f>
        <v/>
      </c>
      <c r="AA193" s="17" t="str">
        <f>IF(M1_Administrativo!A197="","","M1 Administrativo")</f>
        <v/>
      </c>
      <c r="AB193" s="17" t="str">
        <f>IF(M1_Administrativo!A197="","",IF(M1_Administrativo!G197="","",M1_Administrativo!G197))</f>
        <v/>
      </c>
      <c r="AC193" s="17" t="str">
        <f>IF(M1_Administrativo!A197="","",IF(M1_Administrativo!M197="","",M1_Administrativo!M197))</f>
        <v/>
      </c>
      <c r="AD193" s="17" t="str">
        <f>IF(M1_Administrativo!A197="","","RA")</f>
        <v/>
      </c>
      <c r="AE193" s="17" t="str">
        <f>IF(M1_Administrativo!A197="","",IF(M1_Administrativo!O197="","",M1_Administrativo!O197))</f>
        <v/>
      </c>
      <c r="AF193" s="17" t="str">
        <f>IF(M1_Administrativo!A197="","",IF(M1_Administrativo!P197="","",M1_Administrativo!P197))</f>
        <v/>
      </c>
      <c r="AG193" s="17" t="str">
        <f>IF(M1_Administrativo!A197="","",IF(M1_Administrativo!Q197="","",M1_Administrativo!Q197))</f>
        <v/>
      </c>
      <c r="AH193" s="17" t="str">
        <f>IF(M1_Administrativo!A197="","","")</f>
        <v/>
      </c>
      <c r="AI193" s="17" t="str">
        <f>IF(M1_Administrativo!A197="","","M1_Administrativo!197")</f>
        <v/>
      </c>
      <c r="AJ193" s="17" t="str">
        <f>IF(M1_Administrativo!A197="","",IF(M1_Administrativo!M197="","Pendiente de resultado","Disponible"))</f>
        <v/>
      </c>
    </row>
    <row r="194" spans="1:36" ht="55.5" customHeight="1">
      <c r="A194" s="6" t="str">
        <f t="array" ref="A194">IF(190&gt;$S$1204,"",INDEX($T$5:$AJ$1204,MATCH(190,$S$5:$S$1204,0),1))</f>
        <v/>
      </c>
      <c r="B194" s="8" t="str">
        <f t="array" ref="B194">IF(190&gt;$S$1204,"",INDEX($T$5:$AJ$1204,MATCH(190,$S$5:$S$1204,0),2))</f>
        <v/>
      </c>
      <c r="C194" s="10" t="str">
        <f t="array" ref="C194">IF(190&gt;$S$1204,"",INDEX($T$5:$AJ$1204,MATCH(190,$S$5:$S$1204,0),3))</f>
        <v/>
      </c>
      <c r="D194" s="8" t="str">
        <f t="array" ref="D194">IF(190&gt;$S$1204,"",INDEX($T$5:$AJ$1204,MATCH(190,$S$5:$S$1204,0),4))</f>
        <v/>
      </c>
      <c r="E194" s="8" t="str">
        <f t="array" ref="E194">IF(190&gt;$S$1204,"",INDEX($T$5:$AJ$1204,MATCH(190,$S$5:$S$1204,0),5))</f>
        <v/>
      </c>
      <c r="F194" s="8" t="str">
        <f t="array" ref="F194">IF(190&gt;$S$1204,"",INDEX($T$5:$AJ$1204,MATCH(190,$S$5:$S$1204,0),6))</f>
        <v/>
      </c>
      <c r="G194" s="8" t="str">
        <f t="array" ref="G194">IF(190&gt;$S$1204,"",INDEX($T$5:$AJ$1204,MATCH(190,$S$5:$S$1204,0),7))</f>
        <v/>
      </c>
      <c r="H194" s="8" t="str">
        <f t="array" ref="H194">IF(190&gt;$S$1204,"",INDEX($T$5:$AJ$1204,MATCH(190,$S$5:$S$1204,0),8))</f>
        <v/>
      </c>
      <c r="I194" s="8" t="str">
        <f t="array" ref="I194">IF(190&gt;$S$1204,"",INDEX($T$5:$AJ$1204,MATCH(190,$S$5:$S$1204,0),9))</f>
        <v/>
      </c>
      <c r="J194" s="14" t="str">
        <f t="array" ref="J194">IF(190&gt;$S$1204,"",INDEX($T$5:$AJ$1204,MATCH(190,$S$5:$S$1204,0),10))</f>
        <v/>
      </c>
      <c r="K194" s="8" t="str">
        <f t="array" ref="K194">IF(190&gt;$S$1204,"",INDEX($T$5:$AJ$1204,MATCH(190,$S$5:$S$1204,0),11))</f>
        <v/>
      </c>
      <c r="L194" s="8" t="str">
        <f t="array" ref="L194">IF(190&gt;$S$1204,"",INDEX($T$5:$AJ$1204,MATCH(190,$S$5:$S$1204,0),12))</f>
        <v/>
      </c>
      <c r="M194" s="8" t="str">
        <f t="array" ref="M194">IF(190&gt;$S$1204,"",INDEX($T$5:$AJ$1204,MATCH(190,$S$5:$S$1204,0),13))</f>
        <v/>
      </c>
      <c r="N194" s="8" t="str">
        <f t="array" ref="N194">IF(190&gt;$S$1204,"",INDEX($T$5:$AJ$1204,MATCH(190,$S$5:$S$1204,0),14))</f>
        <v/>
      </c>
      <c r="O194" s="15" t="str">
        <f t="array" ref="O194">IF(190&gt;$S$1204,"",INDEX($T$5:$AJ$1204,MATCH(190,$S$5:$S$1204,0),15))</f>
        <v/>
      </c>
      <c r="P194" s="8" t="str">
        <f t="array" ref="P194">IF(190&gt;$S$1204,"",INDEX($T$5:$AJ$1204,MATCH(190,$S$5:$S$1204,0),16))</f>
        <v/>
      </c>
      <c r="Q194" s="8" t="str">
        <f t="array" ref="Q194">IF(190&gt;$S$1204,"",INDEX($T$5:$AJ$1204,MATCH(190,$S$5:$S$1204,0),17))</f>
        <v/>
      </c>
      <c r="R194" s="17"/>
      <c r="S194" s="17">
        <f>S193+IF(M1_Administrativo!A198="",0,1)</f>
        <v>0</v>
      </c>
      <c r="T194" s="17" t="str">
        <f>IF(M1_Administrativo!A198="","",IF(M1_Administrativo!A198="","",M1_Administrativo!A198))</f>
        <v/>
      </c>
      <c r="U194" s="17" t="str">
        <f>IF(M1_Administrativo!A198="","",IF(M1_Administrativo!R198="","",M1_Administrativo!R198))</f>
        <v/>
      </c>
      <c r="V194" s="17" t="str">
        <f>IF(M1_Administrativo!A198="","",IF(M1_Administrativo!D198="","",M1_Administrativo!D198))</f>
        <v/>
      </c>
      <c r="W194" s="17" t="str">
        <f>IF(M1_Administrativo!A198="","",IF(M1_Administrativo!B198="","",M1_Administrativo!B198))</f>
        <v/>
      </c>
      <c r="X194" s="17" t="str">
        <f>IF(M1_Administrativo!A198="","",IF(M1_Administrativo!C198="","",M1_Administrativo!C198))</f>
        <v/>
      </c>
      <c r="Y194" s="17" t="str">
        <f>IF(M1_Administrativo!A198="","",IF(M1_Administrativo!E198="","",M1_Administrativo!E198))</f>
        <v/>
      </c>
      <c r="Z194" s="17" t="str">
        <f>IF(M1_Administrativo!A198="","",IF(M1_Administrativo!F198="","",M1_Administrativo!F198))</f>
        <v/>
      </c>
      <c r="AA194" s="17" t="str">
        <f>IF(M1_Administrativo!A198="","","M1 Administrativo")</f>
        <v/>
      </c>
      <c r="AB194" s="17" t="str">
        <f>IF(M1_Administrativo!A198="","",IF(M1_Administrativo!G198="","",M1_Administrativo!G198))</f>
        <v/>
      </c>
      <c r="AC194" s="17" t="str">
        <f>IF(M1_Administrativo!A198="","",IF(M1_Administrativo!M198="","",M1_Administrativo!M198))</f>
        <v/>
      </c>
      <c r="AD194" s="17" t="str">
        <f>IF(M1_Administrativo!A198="","","RA")</f>
        <v/>
      </c>
      <c r="AE194" s="17" t="str">
        <f>IF(M1_Administrativo!A198="","",IF(M1_Administrativo!O198="","",M1_Administrativo!O198))</f>
        <v/>
      </c>
      <c r="AF194" s="17" t="str">
        <f>IF(M1_Administrativo!A198="","",IF(M1_Administrativo!P198="","",M1_Administrativo!P198))</f>
        <v/>
      </c>
      <c r="AG194" s="17" t="str">
        <f>IF(M1_Administrativo!A198="","",IF(M1_Administrativo!Q198="","",M1_Administrativo!Q198))</f>
        <v/>
      </c>
      <c r="AH194" s="17" t="str">
        <f>IF(M1_Administrativo!A198="","","")</f>
        <v/>
      </c>
      <c r="AI194" s="17" t="str">
        <f>IF(M1_Administrativo!A198="","","M1_Administrativo!198")</f>
        <v/>
      </c>
      <c r="AJ194" s="17" t="str">
        <f>IF(M1_Administrativo!A198="","",IF(M1_Administrativo!M198="","Pendiente de resultado","Disponible"))</f>
        <v/>
      </c>
    </row>
    <row r="195" spans="1:36" ht="55.5" customHeight="1">
      <c r="A195" s="6" t="str">
        <f t="array" ref="A195">IF(191&gt;$S$1204,"",INDEX($T$5:$AJ$1204,MATCH(191,$S$5:$S$1204,0),1))</f>
        <v/>
      </c>
      <c r="B195" s="8" t="str">
        <f t="array" ref="B195">IF(191&gt;$S$1204,"",INDEX($T$5:$AJ$1204,MATCH(191,$S$5:$S$1204,0),2))</f>
        <v/>
      </c>
      <c r="C195" s="10" t="str">
        <f t="array" ref="C195">IF(191&gt;$S$1204,"",INDEX($T$5:$AJ$1204,MATCH(191,$S$5:$S$1204,0),3))</f>
        <v/>
      </c>
      <c r="D195" s="8" t="str">
        <f t="array" ref="D195">IF(191&gt;$S$1204,"",INDEX($T$5:$AJ$1204,MATCH(191,$S$5:$S$1204,0),4))</f>
        <v/>
      </c>
      <c r="E195" s="8" t="str">
        <f t="array" ref="E195">IF(191&gt;$S$1204,"",INDEX($T$5:$AJ$1204,MATCH(191,$S$5:$S$1204,0),5))</f>
        <v/>
      </c>
      <c r="F195" s="8" t="str">
        <f t="array" ref="F195">IF(191&gt;$S$1204,"",INDEX($T$5:$AJ$1204,MATCH(191,$S$5:$S$1204,0),6))</f>
        <v/>
      </c>
      <c r="G195" s="8" t="str">
        <f t="array" ref="G195">IF(191&gt;$S$1204,"",INDEX($T$5:$AJ$1204,MATCH(191,$S$5:$S$1204,0),7))</f>
        <v/>
      </c>
      <c r="H195" s="8" t="str">
        <f t="array" ref="H195">IF(191&gt;$S$1204,"",INDEX($T$5:$AJ$1204,MATCH(191,$S$5:$S$1204,0),8))</f>
        <v/>
      </c>
      <c r="I195" s="8" t="str">
        <f t="array" ref="I195">IF(191&gt;$S$1204,"",INDEX($T$5:$AJ$1204,MATCH(191,$S$5:$S$1204,0),9))</f>
        <v/>
      </c>
      <c r="J195" s="14" t="str">
        <f t="array" ref="J195">IF(191&gt;$S$1204,"",INDEX($T$5:$AJ$1204,MATCH(191,$S$5:$S$1204,0),10))</f>
        <v/>
      </c>
      <c r="K195" s="8" t="str">
        <f t="array" ref="K195">IF(191&gt;$S$1204,"",INDEX($T$5:$AJ$1204,MATCH(191,$S$5:$S$1204,0),11))</f>
        <v/>
      </c>
      <c r="L195" s="8" t="str">
        <f t="array" ref="L195">IF(191&gt;$S$1204,"",INDEX($T$5:$AJ$1204,MATCH(191,$S$5:$S$1204,0),12))</f>
        <v/>
      </c>
      <c r="M195" s="8" t="str">
        <f t="array" ref="M195">IF(191&gt;$S$1204,"",INDEX($T$5:$AJ$1204,MATCH(191,$S$5:$S$1204,0),13))</f>
        <v/>
      </c>
      <c r="N195" s="8" t="str">
        <f t="array" ref="N195">IF(191&gt;$S$1204,"",INDEX($T$5:$AJ$1204,MATCH(191,$S$5:$S$1204,0),14))</f>
        <v/>
      </c>
      <c r="O195" s="15" t="str">
        <f t="array" ref="O195">IF(191&gt;$S$1204,"",INDEX($T$5:$AJ$1204,MATCH(191,$S$5:$S$1204,0),15))</f>
        <v/>
      </c>
      <c r="P195" s="8" t="str">
        <f t="array" ref="P195">IF(191&gt;$S$1204,"",INDEX($T$5:$AJ$1204,MATCH(191,$S$5:$S$1204,0),16))</f>
        <v/>
      </c>
      <c r="Q195" s="8" t="str">
        <f t="array" ref="Q195">IF(191&gt;$S$1204,"",INDEX($T$5:$AJ$1204,MATCH(191,$S$5:$S$1204,0),17))</f>
        <v/>
      </c>
      <c r="R195" s="17"/>
      <c r="S195" s="17">
        <f>S194+IF(M1_Administrativo!A199="",0,1)</f>
        <v>0</v>
      </c>
      <c r="T195" s="17" t="str">
        <f>IF(M1_Administrativo!A199="","",IF(M1_Administrativo!A199="","",M1_Administrativo!A199))</f>
        <v/>
      </c>
      <c r="U195" s="17" t="str">
        <f>IF(M1_Administrativo!A199="","",IF(M1_Administrativo!R199="","",M1_Administrativo!R199))</f>
        <v/>
      </c>
      <c r="V195" s="17" t="str">
        <f>IF(M1_Administrativo!A199="","",IF(M1_Administrativo!D199="","",M1_Administrativo!D199))</f>
        <v/>
      </c>
      <c r="W195" s="17" t="str">
        <f>IF(M1_Administrativo!A199="","",IF(M1_Administrativo!B199="","",M1_Administrativo!B199))</f>
        <v/>
      </c>
      <c r="X195" s="17" t="str">
        <f>IF(M1_Administrativo!A199="","",IF(M1_Administrativo!C199="","",M1_Administrativo!C199))</f>
        <v/>
      </c>
      <c r="Y195" s="17" t="str">
        <f>IF(M1_Administrativo!A199="","",IF(M1_Administrativo!E199="","",M1_Administrativo!E199))</f>
        <v/>
      </c>
      <c r="Z195" s="17" t="str">
        <f>IF(M1_Administrativo!A199="","",IF(M1_Administrativo!F199="","",M1_Administrativo!F199))</f>
        <v/>
      </c>
      <c r="AA195" s="17" t="str">
        <f>IF(M1_Administrativo!A199="","","M1 Administrativo")</f>
        <v/>
      </c>
      <c r="AB195" s="17" t="str">
        <f>IF(M1_Administrativo!A199="","",IF(M1_Administrativo!G199="","",M1_Administrativo!G199))</f>
        <v/>
      </c>
      <c r="AC195" s="17" t="str">
        <f>IF(M1_Administrativo!A199="","",IF(M1_Administrativo!M199="","",M1_Administrativo!M199))</f>
        <v/>
      </c>
      <c r="AD195" s="17" t="str">
        <f>IF(M1_Administrativo!A199="","","RA")</f>
        <v/>
      </c>
      <c r="AE195" s="17" t="str">
        <f>IF(M1_Administrativo!A199="","",IF(M1_Administrativo!O199="","",M1_Administrativo!O199))</f>
        <v/>
      </c>
      <c r="AF195" s="17" t="str">
        <f>IF(M1_Administrativo!A199="","",IF(M1_Administrativo!P199="","",M1_Administrativo!P199))</f>
        <v/>
      </c>
      <c r="AG195" s="17" t="str">
        <f>IF(M1_Administrativo!A199="","",IF(M1_Administrativo!Q199="","",M1_Administrativo!Q199))</f>
        <v/>
      </c>
      <c r="AH195" s="17" t="str">
        <f>IF(M1_Administrativo!A199="","","")</f>
        <v/>
      </c>
      <c r="AI195" s="17" t="str">
        <f>IF(M1_Administrativo!A199="","","M1_Administrativo!199")</f>
        <v/>
      </c>
      <c r="AJ195" s="17" t="str">
        <f>IF(M1_Administrativo!A199="","",IF(M1_Administrativo!M199="","Pendiente de resultado","Disponible"))</f>
        <v/>
      </c>
    </row>
    <row r="196" spans="1:36" ht="55.5" customHeight="1">
      <c r="A196" s="6" t="str">
        <f t="array" ref="A196">IF(192&gt;$S$1204,"",INDEX($T$5:$AJ$1204,MATCH(192,$S$5:$S$1204,0),1))</f>
        <v/>
      </c>
      <c r="B196" s="8" t="str">
        <f t="array" ref="B196">IF(192&gt;$S$1204,"",INDEX($T$5:$AJ$1204,MATCH(192,$S$5:$S$1204,0),2))</f>
        <v/>
      </c>
      <c r="C196" s="10" t="str">
        <f t="array" ref="C196">IF(192&gt;$S$1204,"",INDEX($T$5:$AJ$1204,MATCH(192,$S$5:$S$1204,0),3))</f>
        <v/>
      </c>
      <c r="D196" s="8" t="str">
        <f t="array" ref="D196">IF(192&gt;$S$1204,"",INDEX($T$5:$AJ$1204,MATCH(192,$S$5:$S$1204,0),4))</f>
        <v/>
      </c>
      <c r="E196" s="8" t="str">
        <f t="array" ref="E196">IF(192&gt;$S$1204,"",INDEX($T$5:$AJ$1204,MATCH(192,$S$5:$S$1204,0),5))</f>
        <v/>
      </c>
      <c r="F196" s="8" t="str">
        <f t="array" ref="F196">IF(192&gt;$S$1204,"",INDEX($T$5:$AJ$1204,MATCH(192,$S$5:$S$1204,0),6))</f>
        <v/>
      </c>
      <c r="G196" s="8" t="str">
        <f t="array" ref="G196">IF(192&gt;$S$1204,"",INDEX($T$5:$AJ$1204,MATCH(192,$S$5:$S$1204,0),7))</f>
        <v/>
      </c>
      <c r="H196" s="8" t="str">
        <f t="array" ref="H196">IF(192&gt;$S$1204,"",INDEX($T$5:$AJ$1204,MATCH(192,$S$5:$S$1204,0),8))</f>
        <v/>
      </c>
      <c r="I196" s="8" t="str">
        <f t="array" ref="I196">IF(192&gt;$S$1204,"",INDEX($T$5:$AJ$1204,MATCH(192,$S$5:$S$1204,0),9))</f>
        <v/>
      </c>
      <c r="J196" s="14" t="str">
        <f t="array" ref="J196">IF(192&gt;$S$1204,"",INDEX($T$5:$AJ$1204,MATCH(192,$S$5:$S$1204,0),10))</f>
        <v/>
      </c>
      <c r="K196" s="8" t="str">
        <f t="array" ref="K196">IF(192&gt;$S$1204,"",INDEX($T$5:$AJ$1204,MATCH(192,$S$5:$S$1204,0),11))</f>
        <v/>
      </c>
      <c r="L196" s="8" t="str">
        <f t="array" ref="L196">IF(192&gt;$S$1204,"",INDEX($T$5:$AJ$1204,MATCH(192,$S$5:$S$1204,0),12))</f>
        <v/>
      </c>
      <c r="M196" s="8" t="str">
        <f t="array" ref="M196">IF(192&gt;$S$1204,"",INDEX($T$5:$AJ$1204,MATCH(192,$S$5:$S$1204,0),13))</f>
        <v/>
      </c>
      <c r="N196" s="8" t="str">
        <f t="array" ref="N196">IF(192&gt;$S$1204,"",INDEX($T$5:$AJ$1204,MATCH(192,$S$5:$S$1204,0),14))</f>
        <v/>
      </c>
      <c r="O196" s="15" t="str">
        <f t="array" ref="O196">IF(192&gt;$S$1204,"",INDEX($T$5:$AJ$1204,MATCH(192,$S$5:$S$1204,0),15))</f>
        <v/>
      </c>
      <c r="P196" s="8" t="str">
        <f t="array" ref="P196">IF(192&gt;$S$1204,"",INDEX($T$5:$AJ$1204,MATCH(192,$S$5:$S$1204,0),16))</f>
        <v/>
      </c>
      <c r="Q196" s="8" t="str">
        <f t="array" ref="Q196">IF(192&gt;$S$1204,"",INDEX($T$5:$AJ$1204,MATCH(192,$S$5:$S$1204,0),17))</f>
        <v/>
      </c>
      <c r="R196" s="17"/>
      <c r="S196" s="17">
        <f>S195+IF(M1_Administrativo!A200="",0,1)</f>
        <v>0</v>
      </c>
      <c r="T196" s="17" t="str">
        <f>IF(M1_Administrativo!A200="","",IF(M1_Administrativo!A200="","",M1_Administrativo!A200))</f>
        <v/>
      </c>
      <c r="U196" s="17" t="str">
        <f>IF(M1_Administrativo!A200="","",IF(M1_Administrativo!R200="","",M1_Administrativo!R200))</f>
        <v/>
      </c>
      <c r="V196" s="17" t="str">
        <f>IF(M1_Administrativo!A200="","",IF(M1_Administrativo!D200="","",M1_Administrativo!D200))</f>
        <v/>
      </c>
      <c r="W196" s="17" t="str">
        <f>IF(M1_Administrativo!A200="","",IF(M1_Administrativo!B200="","",M1_Administrativo!B200))</f>
        <v/>
      </c>
      <c r="X196" s="17" t="str">
        <f>IF(M1_Administrativo!A200="","",IF(M1_Administrativo!C200="","",M1_Administrativo!C200))</f>
        <v/>
      </c>
      <c r="Y196" s="17" t="str">
        <f>IF(M1_Administrativo!A200="","",IF(M1_Administrativo!E200="","",M1_Administrativo!E200))</f>
        <v/>
      </c>
      <c r="Z196" s="17" t="str">
        <f>IF(M1_Administrativo!A200="","",IF(M1_Administrativo!F200="","",M1_Administrativo!F200))</f>
        <v/>
      </c>
      <c r="AA196" s="17" t="str">
        <f>IF(M1_Administrativo!A200="","","M1 Administrativo")</f>
        <v/>
      </c>
      <c r="AB196" s="17" t="str">
        <f>IF(M1_Administrativo!A200="","",IF(M1_Administrativo!G200="","",M1_Administrativo!G200))</f>
        <v/>
      </c>
      <c r="AC196" s="17" t="str">
        <f>IF(M1_Administrativo!A200="","",IF(M1_Administrativo!M200="","",M1_Administrativo!M200))</f>
        <v/>
      </c>
      <c r="AD196" s="17" t="str">
        <f>IF(M1_Administrativo!A200="","","RA")</f>
        <v/>
      </c>
      <c r="AE196" s="17" t="str">
        <f>IF(M1_Administrativo!A200="","",IF(M1_Administrativo!O200="","",M1_Administrativo!O200))</f>
        <v/>
      </c>
      <c r="AF196" s="17" t="str">
        <f>IF(M1_Administrativo!A200="","",IF(M1_Administrativo!P200="","",M1_Administrativo!P200))</f>
        <v/>
      </c>
      <c r="AG196" s="17" t="str">
        <f>IF(M1_Administrativo!A200="","",IF(M1_Administrativo!Q200="","",M1_Administrativo!Q200))</f>
        <v/>
      </c>
      <c r="AH196" s="17" t="str">
        <f>IF(M1_Administrativo!A200="","","")</f>
        <v/>
      </c>
      <c r="AI196" s="17" t="str">
        <f>IF(M1_Administrativo!A200="","","M1_Administrativo!200")</f>
        <v/>
      </c>
      <c r="AJ196" s="17" t="str">
        <f>IF(M1_Administrativo!A200="","",IF(M1_Administrativo!M200="","Pendiente de resultado","Disponible"))</f>
        <v/>
      </c>
    </row>
    <row r="197" spans="1:36" ht="55.5" customHeight="1">
      <c r="A197" s="6" t="str">
        <f t="array" ref="A197">IF(193&gt;$S$1204,"",INDEX($T$5:$AJ$1204,MATCH(193,$S$5:$S$1204,0),1))</f>
        <v/>
      </c>
      <c r="B197" s="8" t="str">
        <f t="array" ref="B197">IF(193&gt;$S$1204,"",INDEX($T$5:$AJ$1204,MATCH(193,$S$5:$S$1204,0),2))</f>
        <v/>
      </c>
      <c r="C197" s="10" t="str">
        <f t="array" ref="C197">IF(193&gt;$S$1204,"",INDEX($T$5:$AJ$1204,MATCH(193,$S$5:$S$1204,0),3))</f>
        <v/>
      </c>
      <c r="D197" s="8" t="str">
        <f t="array" ref="D197">IF(193&gt;$S$1204,"",INDEX($T$5:$AJ$1204,MATCH(193,$S$5:$S$1204,0),4))</f>
        <v/>
      </c>
      <c r="E197" s="8" t="str">
        <f t="array" ref="E197">IF(193&gt;$S$1204,"",INDEX($T$5:$AJ$1204,MATCH(193,$S$5:$S$1204,0),5))</f>
        <v/>
      </c>
      <c r="F197" s="8" t="str">
        <f t="array" ref="F197">IF(193&gt;$S$1204,"",INDEX($T$5:$AJ$1204,MATCH(193,$S$5:$S$1204,0),6))</f>
        <v/>
      </c>
      <c r="G197" s="8" t="str">
        <f t="array" ref="G197">IF(193&gt;$S$1204,"",INDEX($T$5:$AJ$1204,MATCH(193,$S$5:$S$1204,0),7))</f>
        <v/>
      </c>
      <c r="H197" s="8" t="str">
        <f t="array" ref="H197">IF(193&gt;$S$1204,"",INDEX($T$5:$AJ$1204,MATCH(193,$S$5:$S$1204,0),8))</f>
        <v/>
      </c>
      <c r="I197" s="8" t="str">
        <f t="array" ref="I197">IF(193&gt;$S$1204,"",INDEX($T$5:$AJ$1204,MATCH(193,$S$5:$S$1204,0),9))</f>
        <v/>
      </c>
      <c r="J197" s="14" t="str">
        <f t="array" ref="J197">IF(193&gt;$S$1204,"",INDEX($T$5:$AJ$1204,MATCH(193,$S$5:$S$1204,0),10))</f>
        <v/>
      </c>
      <c r="K197" s="8" t="str">
        <f t="array" ref="K197">IF(193&gt;$S$1204,"",INDEX($T$5:$AJ$1204,MATCH(193,$S$5:$S$1204,0),11))</f>
        <v/>
      </c>
      <c r="L197" s="8" t="str">
        <f t="array" ref="L197">IF(193&gt;$S$1204,"",INDEX($T$5:$AJ$1204,MATCH(193,$S$5:$S$1204,0),12))</f>
        <v/>
      </c>
      <c r="M197" s="8" t="str">
        <f t="array" ref="M197">IF(193&gt;$S$1204,"",INDEX($T$5:$AJ$1204,MATCH(193,$S$5:$S$1204,0),13))</f>
        <v/>
      </c>
      <c r="N197" s="8" t="str">
        <f t="array" ref="N197">IF(193&gt;$S$1204,"",INDEX($T$5:$AJ$1204,MATCH(193,$S$5:$S$1204,0),14))</f>
        <v/>
      </c>
      <c r="O197" s="15" t="str">
        <f t="array" ref="O197">IF(193&gt;$S$1204,"",INDEX($T$5:$AJ$1204,MATCH(193,$S$5:$S$1204,0),15))</f>
        <v/>
      </c>
      <c r="P197" s="8" t="str">
        <f t="array" ref="P197">IF(193&gt;$S$1204,"",INDEX($T$5:$AJ$1204,MATCH(193,$S$5:$S$1204,0),16))</f>
        <v/>
      </c>
      <c r="Q197" s="8" t="str">
        <f t="array" ref="Q197">IF(193&gt;$S$1204,"",INDEX($T$5:$AJ$1204,MATCH(193,$S$5:$S$1204,0),17))</f>
        <v/>
      </c>
      <c r="R197" s="17"/>
      <c r="S197" s="17">
        <f>S196+IF(M1_Administrativo!A201="",0,1)</f>
        <v>0</v>
      </c>
      <c r="T197" s="17" t="str">
        <f>IF(M1_Administrativo!A201="","",IF(M1_Administrativo!A201="","",M1_Administrativo!A201))</f>
        <v/>
      </c>
      <c r="U197" s="17" t="str">
        <f>IF(M1_Administrativo!A201="","",IF(M1_Administrativo!R201="","",M1_Administrativo!R201))</f>
        <v/>
      </c>
      <c r="V197" s="17" t="str">
        <f>IF(M1_Administrativo!A201="","",IF(M1_Administrativo!D201="","",M1_Administrativo!D201))</f>
        <v/>
      </c>
      <c r="W197" s="17" t="str">
        <f>IF(M1_Administrativo!A201="","",IF(M1_Administrativo!B201="","",M1_Administrativo!B201))</f>
        <v/>
      </c>
      <c r="X197" s="17" t="str">
        <f>IF(M1_Administrativo!A201="","",IF(M1_Administrativo!C201="","",M1_Administrativo!C201))</f>
        <v/>
      </c>
      <c r="Y197" s="17" t="str">
        <f>IF(M1_Administrativo!A201="","",IF(M1_Administrativo!E201="","",M1_Administrativo!E201))</f>
        <v/>
      </c>
      <c r="Z197" s="17" t="str">
        <f>IF(M1_Administrativo!A201="","",IF(M1_Administrativo!F201="","",M1_Administrativo!F201))</f>
        <v/>
      </c>
      <c r="AA197" s="17" t="str">
        <f>IF(M1_Administrativo!A201="","","M1 Administrativo")</f>
        <v/>
      </c>
      <c r="AB197" s="17" t="str">
        <f>IF(M1_Administrativo!A201="","",IF(M1_Administrativo!G201="","",M1_Administrativo!G201))</f>
        <v/>
      </c>
      <c r="AC197" s="17" t="str">
        <f>IF(M1_Administrativo!A201="","",IF(M1_Administrativo!M201="","",M1_Administrativo!M201))</f>
        <v/>
      </c>
      <c r="AD197" s="17" t="str">
        <f>IF(M1_Administrativo!A201="","","RA")</f>
        <v/>
      </c>
      <c r="AE197" s="17" t="str">
        <f>IF(M1_Administrativo!A201="","",IF(M1_Administrativo!O201="","",M1_Administrativo!O201))</f>
        <v/>
      </c>
      <c r="AF197" s="17" t="str">
        <f>IF(M1_Administrativo!A201="","",IF(M1_Administrativo!P201="","",M1_Administrativo!P201))</f>
        <v/>
      </c>
      <c r="AG197" s="17" t="str">
        <f>IF(M1_Administrativo!A201="","",IF(M1_Administrativo!Q201="","",M1_Administrativo!Q201))</f>
        <v/>
      </c>
      <c r="AH197" s="17" t="str">
        <f>IF(M1_Administrativo!A201="","","")</f>
        <v/>
      </c>
      <c r="AI197" s="17" t="str">
        <f>IF(M1_Administrativo!A201="","","M1_Administrativo!201")</f>
        <v/>
      </c>
      <c r="AJ197" s="17" t="str">
        <f>IF(M1_Administrativo!A201="","",IF(M1_Administrativo!M201="","Pendiente de resultado","Disponible"))</f>
        <v/>
      </c>
    </row>
    <row r="198" spans="1:36" ht="55.5" customHeight="1">
      <c r="A198" s="6" t="str">
        <f t="array" ref="A198">IF(194&gt;$S$1204,"",INDEX($T$5:$AJ$1204,MATCH(194,$S$5:$S$1204,0),1))</f>
        <v/>
      </c>
      <c r="B198" s="8" t="str">
        <f t="array" ref="B198">IF(194&gt;$S$1204,"",INDEX($T$5:$AJ$1204,MATCH(194,$S$5:$S$1204,0),2))</f>
        <v/>
      </c>
      <c r="C198" s="10" t="str">
        <f t="array" ref="C198">IF(194&gt;$S$1204,"",INDEX($T$5:$AJ$1204,MATCH(194,$S$5:$S$1204,0),3))</f>
        <v/>
      </c>
      <c r="D198" s="8" t="str">
        <f t="array" ref="D198">IF(194&gt;$S$1204,"",INDEX($T$5:$AJ$1204,MATCH(194,$S$5:$S$1204,0),4))</f>
        <v/>
      </c>
      <c r="E198" s="8" t="str">
        <f t="array" ref="E198">IF(194&gt;$S$1204,"",INDEX($T$5:$AJ$1204,MATCH(194,$S$5:$S$1204,0),5))</f>
        <v/>
      </c>
      <c r="F198" s="8" t="str">
        <f t="array" ref="F198">IF(194&gt;$S$1204,"",INDEX($T$5:$AJ$1204,MATCH(194,$S$5:$S$1204,0),6))</f>
        <v/>
      </c>
      <c r="G198" s="8" t="str">
        <f t="array" ref="G198">IF(194&gt;$S$1204,"",INDEX($T$5:$AJ$1204,MATCH(194,$S$5:$S$1204,0),7))</f>
        <v/>
      </c>
      <c r="H198" s="8" t="str">
        <f t="array" ref="H198">IF(194&gt;$S$1204,"",INDEX($T$5:$AJ$1204,MATCH(194,$S$5:$S$1204,0),8))</f>
        <v/>
      </c>
      <c r="I198" s="8" t="str">
        <f t="array" ref="I198">IF(194&gt;$S$1204,"",INDEX($T$5:$AJ$1204,MATCH(194,$S$5:$S$1204,0),9))</f>
        <v/>
      </c>
      <c r="J198" s="14" t="str">
        <f t="array" ref="J198">IF(194&gt;$S$1204,"",INDEX($T$5:$AJ$1204,MATCH(194,$S$5:$S$1204,0),10))</f>
        <v/>
      </c>
      <c r="K198" s="8" t="str">
        <f t="array" ref="K198">IF(194&gt;$S$1204,"",INDEX($T$5:$AJ$1204,MATCH(194,$S$5:$S$1204,0),11))</f>
        <v/>
      </c>
      <c r="L198" s="8" t="str">
        <f t="array" ref="L198">IF(194&gt;$S$1204,"",INDEX($T$5:$AJ$1204,MATCH(194,$S$5:$S$1204,0),12))</f>
        <v/>
      </c>
      <c r="M198" s="8" t="str">
        <f t="array" ref="M198">IF(194&gt;$S$1204,"",INDEX($T$5:$AJ$1204,MATCH(194,$S$5:$S$1204,0),13))</f>
        <v/>
      </c>
      <c r="N198" s="8" t="str">
        <f t="array" ref="N198">IF(194&gt;$S$1204,"",INDEX($T$5:$AJ$1204,MATCH(194,$S$5:$S$1204,0),14))</f>
        <v/>
      </c>
      <c r="O198" s="15" t="str">
        <f t="array" ref="O198">IF(194&gt;$S$1204,"",INDEX($T$5:$AJ$1204,MATCH(194,$S$5:$S$1204,0),15))</f>
        <v/>
      </c>
      <c r="P198" s="8" t="str">
        <f t="array" ref="P198">IF(194&gt;$S$1204,"",INDEX($T$5:$AJ$1204,MATCH(194,$S$5:$S$1204,0),16))</f>
        <v/>
      </c>
      <c r="Q198" s="8" t="str">
        <f t="array" ref="Q198">IF(194&gt;$S$1204,"",INDEX($T$5:$AJ$1204,MATCH(194,$S$5:$S$1204,0),17))</f>
        <v/>
      </c>
      <c r="R198" s="17"/>
      <c r="S198" s="17">
        <f>S197+IF(M1_Administrativo!A202="",0,1)</f>
        <v>0</v>
      </c>
      <c r="T198" s="17" t="str">
        <f>IF(M1_Administrativo!A202="","",IF(M1_Administrativo!A202="","",M1_Administrativo!A202))</f>
        <v/>
      </c>
      <c r="U198" s="17" t="str">
        <f>IF(M1_Administrativo!A202="","",IF(M1_Administrativo!R202="","",M1_Administrativo!R202))</f>
        <v/>
      </c>
      <c r="V198" s="17" t="str">
        <f>IF(M1_Administrativo!A202="","",IF(M1_Administrativo!D202="","",M1_Administrativo!D202))</f>
        <v/>
      </c>
      <c r="W198" s="17" t="str">
        <f>IF(M1_Administrativo!A202="","",IF(M1_Administrativo!B202="","",M1_Administrativo!B202))</f>
        <v/>
      </c>
      <c r="X198" s="17" t="str">
        <f>IF(M1_Administrativo!A202="","",IF(M1_Administrativo!C202="","",M1_Administrativo!C202))</f>
        <v/>
      </c>
      <c r="Y198" s="17" t="str">
        <f>IF(M1_Administrativo!A202="","",IF(M1_Administrativo!E202="","",M1_Administrativo!E202))</f>
        <v/>
      </c>
      <c r="Z198" s="17" t="str">
        <f>IF(M1_Administrativo!A202="","",IF(M1_Administrativo!F202="","",M1_Administrativo!F202))</f>
        <v/>
      </c>
      <c r="AA198" s="17" t="str">
        <f>IF(M1_Administrativo!A202="","","M1 Administrativo")</f>
        <v/>
      </c>
      <c r="AB198" s="17" t="str">
        <f>IF(M1_Administrativo!A202="","",IF(M1_Administrativo!G202="","",M1_Administrativo!G202))</f>
        <v/>
      </c>
      <c r="AC198" s="17" t="str">
        <f>IF(M1_Administrativo!A202="","",IF(M1_Administrativo!M202="","",M1_Administrativo!M202))</f>
        <v/>
      </c>
      <c r="AD198" s="17" t="str">
        <f>IF(M1_Administrativo!A202="","","RA")</f>
        <v/>
      </c>
      <c r="AE198" s="17" t="str">
        <f>IF(M1_Administrativo!A202="","",IF(M1_Administrativo!O202="","",M1_Administrativo!O202))</f>
        <v/>
      </c>
      <c r="AF198" s="17" t="str">
        <f>IF(M1_Administrativo!A202="","",IF(M1_Administrativo!P202="","",M1_Administrativo!P202))</f>
        <v/>
      </c>
      <c r="AG198" s="17" t="str">
        <f>IF(M1_Administrativo!A202="","",IF(M1_Administrativo!Q202="","",M1_Administrativo!Q202))</f>
        <v/>
      </c>
      <c r="AH198" s="17" t="str">
        <f>IF(M1_Administrativo!A202="","","")</f>
        <v/>
      </c>
      <c r="AI198" s="17" t="str">
        <f>IF(M1_Administrativo!A202="","","M1_Administrativo!202")</f>
        <v/>
      </c>
      <c r="AJ198" s="17" t="str">
        <f>IF(M1_Administrativo!A202="","",IF(M1_Administrativo!M202="","Pendiente de resultado","Disponible"))</f>
        <v/>
      </c>
    </row>
    <row r="199" spans="1:36" ht="55.5" customHeight="1">
      <c r="A199" s="6" t="str">
        <f t="array" ref="A199">IF(195&gt;$S$1204,"",INDEX($T$5:$AJ$1204,MATCH(195,$S$5:$S$1204,0),1))</f>
        <v/>
      </c>
      <c r="B199" s="8" t="str">
        <f t="array" ref="B199">IF(195&gt;$S$1204,"",INDEX($T$5:$AJ$1204,MATCH(195,$S$5:$S$1204,0),2))</f>
        <v/>
      </c>
      <c r="C199" s="10" t="str">
        <f t="array" ref="C199">IF(195&gt;$S$1204,"",INDEX($T$5:$AJ$1204,MATCH(195,$S$5:$S$1204,0),3))</f>
        <v/>
      </c>
      <c r="D199" s="8" t="str">
        <f t="array" ref="D199">IF(195&gt;$S$1204,"",INDEX($T$5:$AJ$1204,MATCH(195,$S$5:$S$1204,0),4))</f>
        <v/>
      </c>
      <c r="E199" s="8" t="str">
        <f t="array" ref="E199">IF(195&gt;$S$1204,"",INDEX($T$5:$AJ$1204,MATCH(195,$S$5:$S$1204,0),5))</f>
        <v/>
      </c>
      <c r="F199" s="8" t="str">
        <f t="array" ref="F199">IF(195&gt;$S$1204,"",INDEX($T$5:$AJ$1204,MATCH(195,$S$5:$S$1204,0),6))</f>
        <v/>
      </c>
      <c r="G199" s="8" t="str">
        <f t="array" ref="G199">IF(195&gt;$S$1204,"",INDEX($T$5:$AJ$1204,MATCH(195,$S$5:$S$1204,0),7))</f>
        <v/>
      </c>
      <c r="H199" s="8" t="str">
        <f t="array" ref="H199">IF(195&gt;$S$1204,"",INDEX($T$5:$AJ$1204,MATCH(195,$S$5:$S$1204,0),8))</f>
        <v/>
      </c>
      <c r="I199" s="8" t="str">
        <f t="array" ref="I199">IF(195&gt;$S$1204,"",INDEX($T$5:$AJ$1204,MATCH(195,$S$5:$S$1204,0),9))</f>
        <v/>
      </c>
      <c r="J199" s="14" t="str">
        <f t="array" ref="J199">IF(195&gt;$S$1204,"",INDEX($T$5:$AJ$1204,MATCH(195,$S$5:$S$1204,0),10))</f>
        <v/>
      </c>
      <c r="K199" s="8" t="str">
        <f t="array" ref="K199">IF(195&gt;$S$1204,"",INDEX($T$5:$AJ$1204,MATCH(195,$S$5:$S$1204,0),11))</f>
        <v/>
      </c>
      <c r="L199" s="8" t="str">
        <f t="array" ref="L199">IF(195&gt;$S$1204,"",INDEX($T$5:$AJ$1204,MATCH(195,$S$5:$S$1204,0),12))</f>
        <v/>
      </c>
      <c r="M199" s="8" t="str">
        <f t="array" ref="M199">IF(195&gt;$S$1204,"",INDEX($T$5:$AJ$1204,MATCH(195,$S$5:$S$1204,0),13))</f>
        <v/>
      </c>
      <c r="N199" s="8" t="str">
        <f t="array" ref="N199">IF(195&gt;$S$1204,"",INDEX($T$5:$AJ$1204,MATCH(195,$S$5:$S$1204,0),14))</f>
        <v/>
      </c>
      <c r="O199" s="15" t="str">
        <f t="array" ref="O199">IF(195&gt;$S$1204,"",INDEX($T$5:$AJ$1204,MATCH(195,$S$5:$S$1204,0),15))</f>
        <v/>
      </c>
      <c r="P199" s="8" t="str">
        <f t="array" ref="P199">IF(195&gt;$S$1204,"",INDEX($T$5:$AJ$1204,MATCH(195,$S$5:$S$1204,0),16))</f>
        <v/>
      </c>
      <c r="Q199" s="8" t="str">
        <f t="array" ref="Q199">IF(195&gt;$S$1204,"",INDEX($T$5:$AJ$1204,MATCH(195,$S$5:$S$1204,0),17))</f>
        <v/>
      </c>
      <c r="R199" s="17"/>
      <c r="S199" s="17">
        <f>S198+IF(M1_Administrativo!A203="",0,1)</f>
        <v>0</v>
      </c>
      <c r="T199" s="17" t="str">
        <f>IF(M1_Administrativo!A203="","",IF(M1_Administrativo!A203="","",M1_Administrativo!A203))</f>
        <v/>
      </c>
      <c r="U199" s="17" t="str">
        <f>IF(M1_Administrativo!A203="","",IF(M1_Administrativo!R203="","",M1_Administrativo!R203))</f>
        <v/>
      </c>
      <c r="V199" s="17" t="str">
        <f>IF(M1_Administrativo!A203="","",IF(M1_Administrativo!D203="","",M1_Administrativo!D203))</f>
        <v/>
      </c>
      <c r="W199" s="17" t="str">
        <f>IF(M1_Administrativo!A203="","",IF(M1_Administrativo!B203="","",M1_Administrativo!B203))</f>
        <v/>
      </c>
      <c r="X199" s="17" t="str">
        <f>IF(M1_Administrativo!A203="","",IF(M1_Administrativo!C203="","",M1_Administrativo!C203))</f>
        <v/>
      </c>
      <c r="Y199" s="17" t="str">
        <f>IF(M1_Administrativo!A203="","",IF(M1_Administrativo!E203="","",M1_Administrativo!E203))</f>
        <v/>
      </c>
      <c r="Z199" s="17" t="str">
        <f>IF(M1_Administrativo!A203="","",IF(M1_Administrativo!F203="","",M1_Administrativo!F203))</f>
        <v/>
      </c>
      <c r="AA199" s="17" t="str">
        <f>IF(M1_Administrativo!A203="","","M1 Administrativo")</f>
        <v/>
      </c>
      <c r="AB199" s="17" t="str">
        <f>IF(M1_Administrativo!A203="","",IF(M1_Administrativo!G203="","",M1_Administrativo!G203))</f>
        <v/>
      </c>
      <c r="AC199" s="17" t="str">
        <f>IF(M1_Administrativo!A203="","",IF(M1_Administrativo!M203="","",M1_Administrativo!M203))</f>
        <v/>
      </c>
      <c r="AD199" s="17" t="str">
        <f>IF(M1_Administrativo!A203="","","RA")</f>
        <v/>
      </c>
      <c r="AE199" s="17" t="str">
        <f>IF(M1_Administrativo!A203="","",IF(M1_Administrativo!O203="","",M1_Administrativo!O203))</f>
        <v/>
      </c>
      <c r="AF199" s="17" t="str">
        <f>IF(M1_Administrativo!A203="","",IF(M1_Administrativo!P203="","",M1_Administrativo!P203))</f>
        <v/>
      </c>
      <c r="AG199" s="17" t="str">
        <f>IF(M1_Administrativo!A203="","",IF(M1_Administrativo!Q203="","",M1_Administrativo!Q203))</f>
        <v/>
      </c>
      <c r="AH199" s="17" t="str">
        <f>IF(M1_Administrativo!A203="","","")</f>
        <v/>
      </c>
      <c r="AI199" s="17" t="str">
        <f>IF(M1_Administrativo!A203="","","M1_Administrativo!203")</f>
        <v/>
      </c>
      <c r="AJ199" s="17" t="str">
        <f>IF(M1_Administrativo!A203="","",IF(M1_Administrativo!M203="","Pendiente de resultado","Disponible"))</f>
        <v/>
      </c>
    </row>
    <row r="200" spans="1:36" ht="55.5" customHeight="1">
      <c r="A200" s="6" t="str">
        <f t="array" ref="A200">IF(196&gt;$S$1204,"",INDEX($T$5:$AJ$1204,MATCH(196,$S$5:$S$1204,0),1))</f>
        <v/>
      </c>
      <c r="B200" s="8" t="str">
        <f t="array" ref="B200">IF(196&gt;$S$1204,"",INDEX($T$5:$AJ$1204,MATCH(196,$S$5:$S$1204,0),2))</f>
        <v/>
      </c>
      <c r="C200" s="10" t="str">
        <f t="array" ref="C200">IF(196&gt;$S$1204,"",INDEX($T$5:$AJ$1204,MATCH(196,$S$5:$S$1204,0),3))</f>
        <v/>
      </c>
      <c r="D200" s="8" t="str">
        <f t="array" ref="D200">IF(196&gt;$S$1204,"",INDEX($T$5:$AJ$1204,MATCH(196,$S$5:$S$1204,0),4))</f>
        <v/>
      </c>
      <c r="E200" s="8" t="str">
        <f t="array" ref="E200">IF(196&gt;$S$1204,"",INDEX($T$5:$AJ$1204,MATCH(196,$S$5:$S$1204,0),5))</f>
        <v/>
      </c>
      <c r="F200" s="8" t="str">
        <f t="array" ref="F200">IF(196&gt;$S$1204,"",INDEX($T$5:$AJ$1204,MATCH(196,$S$5:$S$1204,0),6))</f>
        <v/>
      </c>
      <c r="G200" s="8" t="str">
        <f t="array" ref="G200">IF(196&gt;$S$1204,"",INDEX($T$5:$AJ$1204,MATCH(196,$S$5:$S$1204,0),7))</f>
        <v/>
      </c>
      <c r="H200" s="8" t="str">
        <f t="array" ref="H200">IF(196&gt;$S$1204,"",INDEX($T$5:$AJ$1204,MATCH(196,$S$5:$S$1204,0),8))</f>
        <v/>
      </c>
      <c r="I200" s="8" t="str">
        <f t="array" ref="I200">IF(196&gt;$S$1204,"",INDEX($T$5:$AJ$1204,MATCH(196,$S$5:$S$1204,0),9))</f>
        <v/>
      </c>
      <c r="J200" s="14" t="str">
        <f t="array" ref="J200">IF(196&gt;$S$1204,"",INDEX($T$5:$AJ$1204,MATCH(196,$S$5:$S$1204,0),10))</f>
        <v/>
      </c>
      <c r="K200" s="8" t="str">
        <f t="array" ref="K200">IF(196&gt;$S$1204,"",INDEX($T$5:$AJ$1204,MATCH(196,$S$5:$S$1204,0),11))</f>
        <v/>
      </c>
      <c r="L200" s="8" t="str">
        <f t="array" ref="L200">IF(196&gt;$S$1204,"",INDEX($T$5:$AJ$1204,MATCH(196,$S$5:$S$1204,0),12))</f>
        <v/>
      </c>
      <c r="M200" s="8" t="str">
        <f t="array" ref="M200">IF(196&gt;$S$1204,"",INDEX($T$5:$AJ$1204,MATCH(196,$S$5:$S$1204,0),13))</f>
        <v/>
      </c>
      <c r="N200" s="8" t="str">
        <f t="array" ref="N200">IF(196&gt;$S$1204,"",INDEX($T$5:$AJ$1204,MATCH(196,$S$5:$S$1204,0),14))</f>
        <v/>
      </c>
      <c r="O200" s="15" t="str">
        <f t="array" ref="O200">IF(196&gt;$S$1204,"",INDEX($T$5:$AJ$1204,MATCH(196,$S$5:$S$1204,0),15))</f>
        <v/>
      </c>
      <c r="P200" s="8" t="str">
        <f t="array" ref="P200">IF(196&gt;$S$1204,"",INDEX($T$5:$AJ$1204,MATCH(196,$S$5:$S$1204,0),16))</f>
        <v/>
      </c>
      <c r="Q200" s="8" t="str">
        <f t="array" ref="Q200">IF(196&gt;$S$1204,"",INDEX($T$5:$AJ$1204,MATCH(196,$S$5:$S$1204,0),17))</f>
        <v/>
      </c>
      <c r="R200" s="17"/>
      <c r="S200" s="17">
        <f>S199+IF(M1_Administrativo!A204="",0,1)</f>
        <v>0</v>
      </c>
      <c r="T200" s="17" t="str">
        <f>IF(M1_Administrativo!A204="","",IF(M1_Administrativo!A204="","",M1_Administrativo!A204))</f>
        <v/>
      </c>
      <c r="U200" s="17" t="str">
        <f>IF(M1_Administrativo!A204="","",IF(M1_Administrativo!R204="","",M1_Administrativo!R204))</f>
        <v/>
      </c>
      <c r="V200" s="17" t="str">
        <f>IF(M1_Administrativo!A204="","",IF(M1_Administrativo!D204="","",M1_Administrativo!D204))</f>
        <v/>
      </c>
      <c r="W200" s="17" t="str">
        <f>IF(M1_Administrativo!A204="","",IF(M1_Administrativo!B204="","",M1_Administrativo!B204))</f>
        <v/>
      </c>
      <c r="X200" s="17" t="str">
        <f>IF(M1_Administrativo!A204="","",IF(M1_Administrativo!C204="","",M1_Administrativo!C204))</f>
        <v/>
      </c>
      <c r="Y200" s="17" t="str">
        <f>IF(M1_Administrativo!A204="","",IF(M1_Administrativo!E204="","",M1_Administrativo!E204))</f>
        <v/>
      </c>
      <c r="Z200" s="17" t="str">
        <f>IF(M1_Administrativo!A204="","",IF(M1_Administrativo!F204="","",M1_Administrativo!F204))</f>
        <v/>
      </c>
      <c r="AA200" s="17" t="str">
        <f>IF(M1_Administrativo!A204="","","M1 Administrativo")</f>
        <v/>
      </c>
      <c r="AB200" s="17" t="str">
        <f>IF(M1_Administrativo!A204="","",IF(M1_Administrativo!G204="","",M1_Administrativo!G204))</f>
        <v/>
      </c>
      <c r="AC200" s="17" t="str">
        <f>IF(M1_Administrativo!A204="","",IF(M1_Administrativo!M204="","",M1_Administrativo!M204))</f>
        <v/>
      </c>
      <c r="AD200" s="17" t="str">
        <f>IF(M1_Administrativo!A204="","","RA")</f>
        <v/>
      </c>
      <c r="AE200" s="17" t="str">
        <f>IF(M1_Administrativo!A204="","",IF(M1_Administrativo!O204="","",M1_Administrativo!O204))</f>
        <v/>
      </c>
      <c r="AF200" s="17" t="str">
        <f>IF(M1_Administrativo!A204="","",IF(M1_Administrativo!P204="","",M1_Administrativo!P204))</f>
        <v/>
      </c>
      <c r="AG200" s="17" t="str">
        <f>IF(M1_Administrativo!A204="","",IF(M1_Administrativo!Q204="","",M1_Administrativo!Q204))</f>
        <v/>
      </c>
      <c r="AH200" s="17" t="str">
        <f>IF(M1_Administrativo!A204="","","")</f>
        <v/>
      </c>
      <c r="AI200" s="17" t="str">
        <f>IF(M1_Administrativo!A204="","","M1_Administrativo!204")</f>
        <v/>
      </c>
      <c r="AJ200" s="17" t="str">
        <f>IF(M1_Administrativo!A204="","",IF(M1_Administrativo!M204="","Pendiente de resultado","Disponible"))</f>
        <v/>
      </c>
    </row>
    <row r="201" spans="1:36" ht="55.5" customHeight="1">
      <c r="A201" s="6" t="str">
        <f t="array" ref="A201">IF(197&gt;$S$1204,"",INDEX($T$5:$AJ$1204,MATCH(197,$S$5:$S$1204,0),1))</f>
        <v/>
      </c>
      <c r="B201" s="8" t="str">
        <f t="array" ref="B201">IF(197&gt;$S$1204,"",INDEX($T$5:$AJ$1204,MATCH(197,$S$5:$S$1204,0),2))</f>
        <v/>
      </c>
      <c r="C201" s="10" t="str">
        <f t="array" ref="C201">IF(197&gt;$S$1204,"",INDEX($T$5:$AJ$1204,MATCH(197,$S$5:$S$1204,0),3))</f>
        <v/>
      </c>
      <c r="D201" s="8" t="str">
        <f t="array" ref="D201">IF(197&gt;$S$1204,"",INDEX($T$5:$AJ$1204,MATCH(197,$S$5:$S$1204,0),4))</f>
        <v/>
      </c>
      <c r="E201" s="8" t="str">
        <f t="array" ref="E201">IF(197&gt;$S$1204,"",INDEX($T$5:$AJ$1204,MATCH(197,$S$5:$S$1204,0),5))</f>
        <v/>
      </c>
      <c r="F201" s="8" t="str">
        <f t="array" ref="F201">IF(197&gt;$S$1204,"",INDEX($T$5:$AJ$1204,MATCH(197,$S$5:$S$1204,0),6))</f>
        <v/>
      </c>
      <c r="G201" s="8" t="str">
        <f t="array" ref="G201">IF(197&gt;$S$1204,"",INDEX($T$5:$AJ$1204,MATCH(197,$S$5:$S$1204,0),7))</f>
        <v/>
      </c>
      <c r="H201" s="8" t="str">
        <f t="array" ref="H201">IF(197&gt;$S$1204,"",INDEX($T$5:$AJ$1204,MATCH(197,$S$5:$S$1204,0),8))</f>
        <v/>
      </c>
      <c r="I201" s="8" t="str">
        <f t="array" ref="I201">IF(197&gt;$S$1204,"",INDEX($T$5:$AJ$1204,MATCH(197,$S$5:$S$1204,0),9))</f>
        <v/>
      </c>
      <c r="J201" s="14" t="str">
        <f t="array" ref="J201">IF(197&gt;$S$1204,"",INDEX($T$5:$AJ$1204,MATCH(197,$S$5:$S$1204,0),10))</f>
        <v/>
      </c>
      <c r="K201" s="8" t="str">
        <f t="array" ref="K201">IF(197&gt;$S$1204,"",INDEX($T$5:$AJ$1204,MATCH(197,$S$5:$S$1204,0),11))</f>
        <v/>
      </c>
      <c r="L201" s="8" t="str">
        <f t="array" ref="L201">IF(197&gt;$S$1204,"",INDEX($T$5:$AJ$1204,MATCH(197,$S$5:$S$1204,0),12))</f>
        <v/>
      </c>
      <c r="M201" s="8" t="str">
        <f t="array" ref="M201">IF(197&gt;$S$1204,"",INDEX($T$5:$AJ$1204,MATCH(197,$S$5:$S$1204,0),13))</f>
        <v/>
      </c>
      <c r="N201" s="8" t="str">
        <f t="array" ref="N201">IF(197&gt;$S$1204,"",INDEX($T$5:$AJ$1204,MATCH(197,$S$5:$S$1204,0),14))</f>
        <v/>
      </c>
      <c r="O201" s="15" t="str">
        <f t="array" ref="O201">IF(197&gt;$S$1204,"",INDEX($T$5:$AJ$1204,MATCH(197,$S$5:$S$1204,0),15))</f>
        <v/>
      </c>
      <c r="P201" s="8" t="str">
        <f t="array" ref="P201">IF(197&gt;$S$1204,"",INDEX($T$5:$AJ$1204,MATCH(197,$S$5:$S$1204,0),16))</f>
        <v/>
      </c>
      <c r="Q201" s="8" t="str">
        <f t="array" ref="Q201">IF(197&gt;$S$1204,"",INDEX($T$5:$AJ$1204,MATCH(197,$S$5:$S$1204,0),17))</f>
        <v/>
      </c>
      <c r="R201" s="17"/>
      <c r="S201" s="17">
        <f>S200+IF(M1_Administrativo!A205="",0,1)</f>
        <v>0</v>
      </c>
      <c r="T201" s="17" t="str">
        <f>IF(M1_Administrativo!A205="","",IF(M1_Administrativo!A205="","",M1_Administrativo!A205))</f>
        <v/>
      </c>
      <c r="U201" s="17" t="str">
        <f>IF(M1_Administrativo!A205="","",IF(M1_Administrativo!R205="","",M1_Administrativo!R205))</f>
        <v/>
      </c>
      <c r="V201" s="17" t="str">
        <f>IF(M1_Administrativo!A205="","",IF(M1_Administrativo!D205="","",M1_Administrativo!D205))</f>
        <v/>
      </c>
      <c r="W201" s="17" t="str">
        <f>IF(M1_Administrativo!A205="","",IF(M1_Administrativo!B205="","",M1_Administrativo!B205))</f>
        <v/>
      </c>
      <c r="X201" s="17" t="str">
        <f>IF(M1_Administrativo!A205="","",IF(M1_Administrativo!C205="","",M1_Administrativo!C205))</f>
        <v/>
      </c>
      <c r="Y201" s="17" t="str">
        <f>IF(M1_Administrativo!A205="","",IF(M1_Administrativo!E205="","",M1_Administrativo!E205))</f>
        <v/>
      </c>
      <c r="Z201" s="17" t="str">
        <f>IF(M1_Administrativo!A205="","",IF(M1_Administrativo!F205="","",M1_Administrativo!F205))</f>
        <v/>
      </c>
      <c r="AA201" s="17" t="str">
        <f>IF(M1_Administrativo!A205="","","M1 Administrativo")</f>
        <v/>
      </c>
      <c r="AB201" s="17" t="str">
        <f>IF(M1_Administrativo!A205="","",IF(M1_Administrativo!G205="","",M1_Administrativo!G205))</f>
        <v/>
      </c>
      <c r="AC201" s="17" t="str">
        <f>IF(M1_Administrativo!A205="","",IF(M1_Administrativo!M205="","",M1_Administrativo!M205))</f>
        <v/>
      </c>
      <c r="AD201" s="17" t="str">
        <f>IF(M1_Administrativo!A205="","","RA")</f>
        <v/>
      </c>
      <c r="AE201" s="17" t="str">
        <f>IF(M1_Administrativo!A205="","",IF(M1_Administrativo!O205="","",M1_Administrativo!O205))</f>
        <v/>
      </c>
      <c r="AF201" s="17" t="str">
        <f>IF(M1_Administrativo!A205="","",IF(M1_Administrativo!P205="","",M1_Administrativo!P205))</f>
        <v/>
      </c>
      <c r="AG201" s="17" t="str">
        <f>IF(M1_Administrativo!A205="","",IF(M1_Administrativo!Q205="","",M1_Administrativo!Q205))</f>
        <v/>
      </c>
      <c r="AH201" s="17" t="str">
        <f>IF(M1_Administrativo!A205="","","")</f>
        <v/>
      </c>
      <c r="AI201" s="17" t="str">
        <f>IF(M1_Administrativo!A205="","","M1_Administrativo!205")</f>
        <v/>
      </c>
      <c r="AJ201" s="17" t="str">
        <f>IF(M1_Administrativo!A205="","",IF(M1_Administrativo!M205="","Pendiente de resultado","Disponible"))</f>
        <v/>
      </c>
    </row>
    <row r="202" spans="1:36" ht="55.5" customHeight="1">
      <c r="A202" s="6" t="str">
        <f t="array" ref="A202">IF(198&gt;$S$1204,"",INDEX($T$5:$AJ$1204,MATCH(198,$S$5:$S$1204,0),1))</f>
        <v/>
      </c>
      <c r="B202" s="8" t="str">
        <f t="array" ref="B202">IF(198&gt;$S$1204,"",INDEX($T$5:$AJ$1204,MATCH(198,$S$5:$S$1204,0),2))</f>
        <v/>
      </c>
      <c r="C202" s="10" t="str">
        <f t="array" ref="C202">IF(198&gt;$S$1204,"",INDEX($T$5:$AJ$1204,MATCH(198,$S$5:$S$1204,0),3))</f>
        <v/>
      </c>
      <c r="D202" s="8" t="str">
        <f t="array" ref="D202">IF(198&gt;$S$1204,"",INDEX($T$5:$AJ$1204,MATCH(198,$S$5:$S$1204,0),4))</f>
        <v/>
      </c>
      <c r="E202" s="8" t="str">
        <f t="array" ref="E202">IF(198&gt;$S$1204,"",INDEX($T$5:$AJ$1204,MATCH(198,$S$5:$S$1204,0),5))</f>
        <v/>
      </c>
      <c r="F202" s="8" t="str">
        <f t="array" ref="F202">IF(198&gt;$S$1204,"",INDEX($T$5:$AJ$1204,MATCH(198,$S$5:$S$1204,0),6))</f>
        <v/>
      </c>
      <c r="G202" s="8" t="str">
        <f t="array" ref="G202">IF(198&gt;$S$1204,"",INDEX($T$5:$AJ$1204,MATCH(198,$S$5:$S$1204,0),7))</f>
        <v/>
      </c>
      <c r="H202" s="8" t="str">
        <f t="array" ref="H202">IF(198&gt;$S$1204,"",INDEX($T$5:$AJ$1204,MATCH(198,$S$5:$S$1204,0),8))</f>
        <v/>
      </c>
      <c r="I202" s="8" t="str">
        <f t="array" ref="I202">IF(198&gt;$S$1204,"",INDEX($T$5:$AJ$1204,MATCH(198,$S$5:$S$1204,0),9))</f>
        <v/>
      </c>
      <c r="J202" s="14" t="str">
        <f t="array" ref="J202">IF(198&gt;$S$1204,"",INDEX($T$5:$AJ$1204,MATCH(198,$S$5:$S$1204,0),10))</f>
        <v/>
      </c>
      <c r="K202" s="8" t="str">
        <f t="array" ref="K202">IF(198&gt;$S$1204,"",INDEX($T$5:$AJ$1204,MATCH(198,$S$5:$S$1204,0),11))</f>
        <v/>
      </c>
      <c r="L202" s="8" t="str">
        <f t="array" ref="L202">IF(198&gt;$S$1204,"",INDEX($T$5:$AJ$1204,MATCH(198,$S$5:$S$1204,0),12))</f>
        <v/>
      </c>
      <c r="M202" s="8" t="str">
        <f t="array" ref="M202">IF(198&gt;$S$1204,"",INDEX($T$5:$AJ$1204,MATCH(198,$S$5:$S$1204,0),13))</f>
        <v/>
      </c>
      <c r="N202" s="8" t="str">
        <f t="array" ref="N202">IF(198&gt;$S$1204,"",INDEX($T$5:$AJ$1204,MATCH(198,$S$5:$S$1204,0),14))</f>
        <v/>
      </c>
      <c r="O202" s="15" t="str">
        <f t="array" ref="O202">IF(198&gt;$S$1204,"",INDEX($T$5:$AJ$1204,MATCH(198,$S$5:$S$1204,0),15))</f>
        <v/>
      </c>
      <c r="P202" s="8" t="str">
        <f t="array" ref="P202">IF(198&gt;$S$1204,"",INDEX($T$5:$AJ$1204,MATCH(198,$S$5:$S$1204,0),16))</f>
        <v/>
      </c>
      <c r="Q202" s="8" t="str">
        <f t="array" ref="Q202">IF(198&gt;$S$1204,"",INDEX($T$5:$AJ$1204,MATCH(198,$S$5:$S$1204,0),17))</f>
        <v/>
      </c>
      <c r="R202" s="17"/>
      <c r="S202" s="17">
        <f>S201+IF(M1_Administrativo!A206="",0,1)</f>
        <v>0</v>
      </c>
      <c r="T202" s="17" t="str">
        <f>IF(M1_Administrativo!A206="","",IF(M1_Administrativo!A206="","",M1_Administrativo!A206))</f>
        <v/>
      </c>
      <c r="U202" s="17" t="str">
        <f>IF(M1_Administrativo!A206="","",IF(M1_Administrativo!R206="","",M1_Administrativo!R206))</f>
        <v/>
      </c>
      <c r="V202" s="17" t="str">
        <f>IF(M1_Administrativo!A206="","",IF(M1_Administrativo!D206="","",M1_Administrativo!D206))</f>
        <v/>
      </c>
      <c r="W202" s="17" t="str">
        <f>IF(M1_Administrativo!A206="","",IF(M1_Administrativo!B206="","",M1_Administrativo!B206))</f>
        <v/>
      </c>
      <c r="X202" s="17" t="str">
        <f>IF(M1_Administrativo!A206="","",IF(M1_Administrativo!C206="","",M1_Administrativo!C206))</f>
        <v/>
      </c>
      <c r="Y202" s="17" t="str">
        <f>IF(M1_Administrativo!A206="","",IF(M1_Administrativo!E206="","",M1_Administrativo!E206))</f>
        <v/>
      </c>
      <c r="Z202" s="17" t="str">
        <f>IF(M1_Administrativo!A206="","",IF(M1_Administrativo!F206="","",M1_Administrativo!F206))</f>
        <v/>
      </c>
      <c r="AA202" s="17" t="str">
        <f>IF(M1_Administrativo!A206="","","M1 Administrativo")</f>
        <v/>
      </c>
      <c r="AB202" s="17" t="str">
        <f>IF(M1_Administrativo!A206="","",IF(M1_Administrativo!G206="","",M1_Administrativo!G206))</f>
        <v/>
      </c>
      <c r="AC202" s="17" t="str">
        <f>IF(M1_Administrativo!A206="","",IF(M1_Administrativo!M206="","",M1_Administrativo!M206))</f>
        <v/>
      </c>
      <c r="AD202" s="17" t="str">
        <f>IF(M1_Administrativo!A206="","","RA")</f>
        <v/>
      </c>
      <c r="AE202" s="17" t="str">
        <f>IF(M1_Administrativo!A206="","",IF(M1_Administrativo!O206="","",M1_Administrativo!O206))</f>
        <v/>
      </c>
      <c r="AF202" s="17" t="str">
        <f>IF(M1_Administrativo!A206="","",IF(M1_Administrativo!P206="","",M1_Administrativo!P206))</f>
        <v/>
      </c>
      <c r="AG202" s="17" t="str">
        <f>IF(M1_Administrativo!A206="","",IF(M1_Administrativo!Q206="","",M1_Administrativo!Q206))</f>
        <v/>
      </c>
      <c r="AH202" s="17" t="str">
        <f>IF(M1_Administrativo!A206="","","")</f>
        <v/>
      </c>
      <c r="AI202" s="17" t="str">
        <f>IF(M1_Administrativo!A206="","","M1_Administrativo!206")</f>
        <v/>
      </c>
      <c r="AJ202" s="17" t="str">
        <f>IF(M1_Administrativo!A206="","",IF(M1_Administrativo!M206="","Pendiente de resultado","Disponible"))</f>
        <v/>
      </c>
    </row>
    <row r="203" spans="1:36" ht="55.5" customHeight="1">
      <c r="A203" s="6" t="str">
        <f t="array" ref="A203">IF(199&gt;$S$1204,"",INDEX($T$5:$AJ$1204,MATCH(199,$S$5:$S$1204,0),1))</f>
        <v/>
      </c>
      <c r="B203" s="8" t="str">
        <f t="array" ref="B203">IF(199&gt;$S$1204,"",INDEX($T$5:$AJ$1204,MATCH(199,$S$5:$S$1204,0),2))</f>
        <v/>
      </c>
      <c r="C203" s="10" t="str">
        <f t="array" ref="C203">IF(199&gt;$S$1204,"",INDEX($T$5:$AJ$1204,MATCH(199,$S$5:$S$1204,0),3))</f>
        <v/>
      </c>
      <c r="D203" s="8" t="str">
        <f t="array" ref="D203">IF(199&gt;$S$1204,"",INDEX($T$5:$AJ$1204,MATCH(199,$S$5:$S$1204,0),4))</f>
        <v/>
      </c>
      <c r="E203" s="8" t="str">
        <f t="array" ref="E203">IF(199&gt;$S$1204,"",INDEX($T$5:$AJ$1204,MATCH(199,$S$5:$S$1204,0),5))</f>
        <v/>
      </c>
      <c r="F203" s="8" t="str">
        <f t="array" ref="F203">IF(199&gt;$S$1204,"",INDEX($T$5:$AJ$1204,MATCH(199,$S$5:$S$1204,0),6))</f>
        <v/>
      </c>
      <c r="G203" s="8" t="str">
        <f t="array" ref="G203">IF(199&gt;$S$1204,"",INDEX($T$5:$AJ$1204,MATCH(199,$S$5:$S$1204,0),7))</f>
        <v/>
      </c>
      <c r="H203" s="8" t="str">
        <f t="array" ref="H203">IF(199&gt;$S$1204,"",INDEX($T$5:$AJ$1204,MATCH(199,$S$5:$S$1204,0),8))</f>
        <v/>
      </c>
      <c r="I203" s="8" t="str">
        <f t="array" ref="I203">IF(199&gt;$S$1204,"",INDEX($T$5:$AJ$1204,MATCH(199,$S$5:$S$1204,0),9))</f>
        <v/>
      </c>
      <c r="J203" s="14" t="str">
        <f t="array" ref="J203">IF(199&gt;$S$1204,"",INDEX($T$5:$AJ$1204,MATCH(199,$S$5:$S$1204,0),10))</f>
        <v/>
      </c>
      <c r="K203" s="8" t="str">
        <f t="array" ref="K203">IF(199&gt;$S$1204,"",INDEX($T$5:$AJ$1204,MATCH(199,$S$5:$S$1204,0),11))</f>
        <v/>
      </c>
      <c r="L203" s="8" t="str">
        <f t="array" ref="L203">IF(199&gt;$S$1204,"",INDEX($T$5:$AJ$1204,MATCH(199,$S$5:$S$1204,0),12))</f>
        <v/>
      </c>
      <c r="M203" s="8" t="str">
        <f t="array" ref="M203">IF(199&gt;$S$1204,"",INDEX($T$5:$AJ$1204,MATCH(199,$S$5:$S$1204,0),13))</f>
        <v/>
      </c>
      <c r="N203" s="8" t="str">
        <f t="array" ref="N203">IF(199&gt;$S$1204,"",INDEX($T$5:$AJ$1204,MATCH(199,$S$5:$S$1204,0),14))</f>
        <v/>
      </c>
      <c r="O203" s="15" t="str">
        <f t="array" ref="O203">IF(199&gt;$S$1204,"",INDEX($T$5:$AJ$1204,MATCH(199,$S$5:$S$1204,0),15))</f>
        <v/>
      </c>
      <c r="P203" s="8" t="str">
        <f t="array" ref="P203">IF(199&gt;$S$1204,"",INDEX($T$5:$AJ$1204,MATCH(199,$S$5:$S$1204,0),16))</f>
        <v/>
      </c>
      <c r="Q203" s="8" t="str">
        <f t="array" ref="Q203">IF(199&gt;$S$1204,"",INDEX($T$5:$AJ$1204,MATCH(199,$S$5:$S$1204,0),17))</f>
        <v/>
      </c>
      <c r="R203" s="17"/>
      <c r="S203" s="17">
        <f>S202+IF(M1_Administrativo!A207="",0,1)</f>
        <v>0</v>
      </c>
      <c r="T203" s="17" t="str">
        <f>IF(M1_Administrativo!A207="","",IF(M1_Administrativo!A207="","",M1_Administrativo!A207))</f>
        <v/>
      </c>
      <c r="U203" s="17" t="str">
        <f>IF(M1_Administrativo!A207="","",IF(M1_Administrativo!R207="","",M1_Administrativo!R207))</f>
        <v/>
      </c>
      <c r="V203" s="17" t="str">
        <f>IF(M1_Administrativo!A207="","",IF(M1_Administrativo!D207="","",M1_Administrativo!D207))</f>
        <v/>
      </c>
      <c r="W203" s="17" t="str">
        <f>IF(M1_Administrativo!A207="","",IF(M1_Administrativo!B207="","",M1_Administrativo!B207))</f>
        <v/>
      </c>
      <c r="X203" s="17" t="str">
        <f>IF(M1_Administrativo!A207="","",IF(M1_Administrativo!C207="","",M1_Administrativo!C207))</f>
        <v/>
      </c>
      <c r="Y203" s="17" t="str">
        <f>IF(M1_Administrativo!A207="","",IF(M1_Administrativo!E207="","",M1_Administrativo!E207))</f>
        <v/>
      </c>
      <c r="Z203" s="17" t="str">
        <f>IF(M1_Administrativo!A207="","",IF(M1_Administrativo!F207="","",M1_Administrativo!F207))</f>
        <v/>
      </c>
      <c r="AA203" s="17" t="str">
        <f>IF(M1_Administrativo!A207="","","M1 Administrativo")</f>
        <v/>
      </c>
      <c r="AB203" s="17" t="str">
        <f>IF(M1_Administrativo!A207="","",IF(M1_Administrativo!G207="","",M1_Administrativo!G207))</f>
        <v/>
      </c>
      <c r="AC203" s="17" t="str">
        <f>IF(M1_Administrativo!A207="","",IF(M1_Administrativo!M207="","",M1_Administrativo!M207))</f>
        <v/>
      </c>
      <c r="AD203" s="17" t="str">
        <f>IF(M1_Administrativo!A207="","","RA")</f>
        <v/>
      </c>
      <c r="AE203" s="17" t="str">
        <f>IF(M1_Administrativo!A207="","",IF(M1_Administrativo!O207="","",M1_Administrativo!O207))</f>
        <v/>
      </c>
      <c r="AF203" s="17" t="str">
        <f>IF(M1_Administrativo!A207="","",IF(M1_Administrativo!P207="","",M1_Administrativo!P207))</f>
        <v/>
      </c>
      <c r="AG203" s="17" t="str">
        <f>IF(M1_Administrativo!A207="","",IF(M1_Administrativo!Q207="","",M1_Administrativo!Q207))</f>
        <v/>
      </c>
      <c r="AH203" s="17" t="str">
        <f>IF(M1_Administrativo!A207="","","")</f>
        <v/>
      </c>
      <c r="AI203" s="17" t="str">
        <f>IF(M1_Administrativo!A207="","","M1_Administrativo!207")</f>
        <v/>
      </c>
      <c r="AJ203" s="17" t="str">
        <f>IF(M1_Administrativo!A207="","",IF(M1_Administrativo!M207="","Pendiente de resultado","Disponible"))</f>
        <v/>
      </c>
    </row>
    <row r="204" spans="1:36" ht="55.5" customHeight="1">
      <c r="A204" s="6" t="str">
        <f t="array" ref="A204">IF(200&gt;$S$1204,"",INDEX($T$5:$AJ$1204,MATCH(200,$S$5:$S$1204,0),1))</f>
        <v/>
      </c>
      <c r="B204" s="8" t="str">
        <f t="array" ref="B204">IF(200&gt;$S$1204,"",INDEX($T$5:$AJ$1204,MATCH(200,$S$5:$S$1204,0),2))</f>
        <v/>
      </c>
      <c r="C204" s="10" t="str">
        <f t="array" ref="C204">IF(200&gt;$S$1204,"",INDEX($T$5:$AJ$1204,MATCH(200,$S$5:$S$1204,0),3))</f>
        <v/>
      </c>
      <c r="D204" s="8" t="str">
        <f t="array" ref="D204">IF(200&gt;$S$1204,"",INDEX($T$5:$AJ$1204,MATCH(200,$S$5:$S$1204,0),4))</f>
        <v/>
      </c>
      <c r="E204" s="8" t="str">
        <f t="array" ref="E204">IF(200&gt;$S$1204,"",INDEX($T$5:$AJ$1204,MATCH(200,$S$5:$S$1204,0),5))</f>
        <v/>
      </c>
      <c r="F204" s="8" t="str">
        <f t="array" ref="F204">IF(200&gt;$S$1204,"",INDEX($T$5:$AJ$1204,MATCH(200,$S$5:$S$1204,0),6))</f>
        <v/>
      </c>
      <c r="G204" s="8" t="str">
        <f t="array" ref="G204">IF(200&gt;$S$1204,"",INDEX($T$5:$AJ$1204,MATCH(200,$S$5:$S$1204,0),7))</f>
        <v/>
      </c>
      <c r="H204" s="8" t="str">
        <f t="array" ref="H204">IF(200&gt;$S$1204,"",INDEX($T$5:$AJ$1204,MATCH(200,$S$5:$S$1204,0),8))</f>
        <v/>
      </c>
      <c r="I204" s="8" t="str">
        <f t="array" ref="I204">IF(200&gt;$S$1204,"",INDEX($T$5:$AJ$1204,MATCH(200,$S$5:$S$1204,0),9))</f>
        <v/>
      </c>
      <c r="J204" s="14" t="str">
        <f t="array" ref="J204">IF(200&gt;$S$1204,"",INDEX($T$5:$AJ$1204,MATCH(200,$S$5:$S$1204,0),10))</f>
        <v/>
      </c>
      <c r="K204" s="8" t="str">
        <f t="array" ref="K204">IF(200&gt;$S$1204,"",INDEX($T$5:$AJ$1204,MATCH(200,$S$5:$S$1204,0),11))</f>
        <v/>
      </c>
      <c r="L204" s="8" t="str">
        <f t="array" ref="L204">IF(200&gt;$S$1204,"",INDEX($T$5:$AJ$1204,MATCH(200,$S$5:$S$1204,0),12))</f>
        <v/>
      </c>
      <c r="M204" s="8" t="str">
        <f t="array" ref="M204">IF(200&gt;$S$1204,"",INDEX($T$5:$AJ$1204,MATCH(200,$S$5:$S$1204,0),13))</f>
        <v/>
      </c>
      <c r="N204" s="8" t="str">
        <f t="array" ref="N204">IF(200&gt;$S$1204,"",INDEX($T$5:$AJ$1204,MATCH(200,$S$5:$S$1204,0),14))</f>
        <v/>
      </c>
      <c r="O204" s="15" t="str">
        <f t="array" ref="O204">IF(200&gt;$S$1204,"",INDEX($T$5:$AJ$1204,MATCH(200,$S$5:$S$1204,0),15))</f>
        <v/>
      </c>
      <c r="P204" s="8" t="str">
        <f t="array" ref="P204">IF(200&gt;$S$1204,"",INDEX($T$5:$AJ$1204,MATCH(200,$S$5:$S$1204,0),16))</f>
        <v/>
      </c>
      <c r="Q204" s="8" t="str">
        <f t="array" ref="Q204">IF(200&gt;$S$1204,"",INDEX($T$5:$AJ$1204,MATCH(200,$S$5:$S$1204,0),17))</f>
        <v/>
      </c>
      <c r="R204" s="17"/>
      <c r="S204" s="17">
        <f>S203+IF(M1_Administrativo!A208="",0,1)</f>
        <v>0</v>
      </c>
      <c r="T204" s="17" t="str">
        <f>IF(M1_Administrativo!A208="","",IF(M1_Administrativo!A208="","",M1_Administrativo!A208))</f>
        <v/>
      </c>
      <c r="U204" s="17" t="str">
        <f>IF(M1_Administrativo!A208="","",IF(M1_Administrativo!R208="","",M1_Administrativo!R208))</f>
        <v/>
      </c>
      <c r="V204" s="17" t="str">
        <f>IF(M1_Administrativo!A208="","",IF(M1_Administrativo!D208="","",M1_Administrativo!D208))</f>
        <v/>
      </c>
      <c r="W204" s="17" t="str">
        <f>IF(M1_Administrativo!A208="","",IF(M1_Administrativo!B208="","",M1_Administrativo!B208))</f>
        <v/>
      </c>
      <c r="X204" s="17" t="str">
        <f>IF(M1_Administrativo!A208="","",IF(M1_Administrativo!C208="","",M1_Administrativo!C208))</f>
        <v/>
      </c>
      <c r="Y204" s="17" t="str">
        <f>IF(M1_Administrativo!A208="","",IF(M1_Administrativo!E208="","",M1_Administrativo!E208))</f>
        <v/>
      </c>
      <c r="Z204" s="17" t="str">
        <f>IF(M1_Administrativo!A208="","",IF(M1_Administrativo!F208="","",M1_Administrativo!F208))</f>
        <v/>
      </c>
      <c r="AA204" s="17" t="str">
        <f>IF(M1_Administrativo!A208="","","M1 Administrativo")</f>
        <v/>
      </c>
      <c r="AB204" s="17" t="str">
        <f>IF(M1_Administrativo!A208="","",IF(M1_Administrativo!G208="","",M1_Administrativo!G208))</f>
        <v/>
      </c>
      <c r="AC204" s="17" t="str">
        <f>IF(M1_Administrativo!A208="","",IF(M1_Administrativo!M208="","",M1_Administrativo!M208))</f>
        <v/>
      </c>
      <c r="AD204" s="17" t="str">
        <f>IF(M1_Administrativo!A208="","","RA")</f>
        <v/>
      </c>
      <c r="AE204" s="17" t="str">
        <f>IF(M1_Administrativo!A208="","",IF(M1_Administrativo!O208="","",M1_Administrativo!O208))</f>
        <v/>
      </c>
      <c r="AF204" s="17" t="str">
        <f>IF(M1_Administrativo!A208="","",IF(M1_Administrativo!P208="","",M1_Administrativo!P208))</f>
        <v/>
      </c>
      <c r="AG204" s="17" t="str">
        <f>IF(M1_Administrativo!A208="","",IF(M1_Administrativo!Q208="","",M1_Administrativo!Q208))</f>
        <v/>
      </c>
      <c r="AH204" s="17" t="str">
        <f>IF(M1_Administrativo!A208="","","")</f>
        <v/>
      </c>
      <c r="AI204" s="17" t="str">
        <f>IF(M1_Administrativo!A208="","","M1_Administrativo!208")</f>
        <v/>
      </c>
      <c r="AJ204" s="17" t="str">
        <f>IF(M1_Administrativo!A208="","",IF(M1_Administrativo!M208="","Pendiente de resultado","Disponible"))</f>
        <v/>
      </c>
    </row>
    <row r="205" spans="1:36" ht="55.5" customHeight="1">
      <c r="A205" s="6" t="str">
        <f t="array" ref="A205">IF(201&gt;$S$1204,"",INDEX($T$5:$AJ$1204,MATCH(201,$S$5:$S$1204,0),1))</f>
        <v/>
      </c>
      <c r="B205" s="8" t="str">
        <f t="array" ref="B205">IF(201&gt;$S$1204,"",INDEX($T$5:$AJ$1204,MATCH(201,$S$5:$S$1204,0),2))</f>
        <v/>
      </c>
      <c r="C205" s="10" t="str">
        <f t="array" ref="C205">IF(201&gt;$S$1204,"",INDEX($T$5:$AJ$1204,MATCH(201,$S$5:$S$1204,0),3))</f>
        <v/>
      </c>
      <c r="D205" s="8" t="str">
        <f t="array" ref="D205">IF(201&gt;$S$1204,"",INDEX($T$5:$AJ$1204,MATCH(201,$S$5:$S$1204,0),4))</f>
        <v/>
      </c>
      <c r="E205" s="8" t="str">
        <f t="array" ref="E205">IF(201&gt;$S$1204,"",INDEX($T$5:$AJ$1204,MATCH(201,$S$5:$S$1204,0),5))</f>
        <v/>
      </c>
      <c r="F205" s="8" t="str">
        <f t="array" ref="F205">IF(201&gt;$S$1204,"",INDEX($T$5:$AJ$1204,MATCH(201,$S$5:$S$1204,0),6))</f>
        <v/>
      </c>
      <c r="G205" s="8" t="str">
        <f t="array" ref="G205">IF(201&gt;$S$1204,"",INDEX($T$5:$AJ$1204,MATCH(201,$S$5:$S$1204,0),7))</f>
        <v/>
      </c>
      <c r="H205" s="8" t="str">
        <f t="array" ref="H205">IF(201&gt;$S$1204,"",INDEX($T$5:$AJ$1204,MATCH(201,$S$5:$S$1204,0),8))</f>
        <v/>
      </c>
      <c r="I205" s="8" t="str">
        <f t="array" ref="I205">IF(201&gt;$S$1204,"",INDEX($T$5:$AJ$1204,MATCH(201,$S$5:$S$1204,0),9))</f>
        <v/>
      </c>
      <c r="J205" s="14" t="str">
        <f t="array" ref="J205">IF(201&gt;$S$1204,"",INDEX($T$5:$AJ$1204,MATCH(201,$S$5:$S$1204,0),10))</f>
        <v/>
      </c>
      <c r="K205" s="8" t="str">
        <f t="array" ref="K205">IF(201&gt;$S$1204,"",INDEX($T$5:$AJ$1204,MATCH(201,$S$5:$S$1204,0),11))</f>
        <v/>
      </c>
      <c r="L205" s="8" t="str">
        <f t="array" ref="L205">IF(201&gt;$S$1204,"",INDEX($T$5:$AJ$1204,MATCH(201,$S$5:$S$1204,0),12))</f>
        <v/>
      </c>
      <c r="M205" s="8" t="str">
        <f t="array" ref="M205">IF(201&gt;$S$1204,"",INDEX($T$5:$AJ$1204,MATCH(201,$S$5:$S$1204,0),13))</f>
        <v/>
      </c>
      <c r="N205" s="8" t="str">
        <f t="array" ref="N205">IF(201&gt;$S$1204,"",INDEX($T$5:$AJ$1204,MATCH(201,$S$5:$S$1204,0),14))</f>
        <v/>
      </c>
      <c r="O205" s="15" t="str">
        <f t="array" ref="O205">IF(201&gt;$S$1204,"",INDEX($T$5:$AJ$1204,MATCH(201,$S$5:$S$1204,0),15))</f>
        <v/>
      </c>
      <c r="P205" s="8" t="str">
        <f t="array" ref="P205">IF(201&gt;$S$1204,"",INDEX($T$5:$AJ$1204,MATCH(201,$S$5:$S$1204,0),16))</f>
        <v/>
      </c>
      <c r="Q205" s="8" t="str">
        <f t="array" ref="Q205">IF(201&gt;$S$1204,"",INDEX($T$5:$AJ$1204,MATCH(201,$S$5:$S$1204,0),17))</f>
        <v/>
      </c>
      <c r="R205" s="17"/>
      <c r="S205" s="17">
        <f>S204+IF(M2_Accesos!A9="",0,1)</f>
        <v>0</v>
      </c>
      <c r="T205" s="17" t="str">
        <f>IF(M2_Accesos!A9="","",IF(M2_Accesos!A9="","",M2_Accesos!A9))</f>
        <v/>
      </c>
      <c r="U205" s="17" t="str">
        <f>IF(M2_Accesos!A9="","",IF(#REF!="","",#REF!))</f>
        <v/>
      </c>
      <c r="V205" s="18" t="str">
        <f>IF(M2_Accesos!A9="","",IF(M2_Accesos!D9="","",M2_Accesos!D9))</f>
        <v/>
      </c>
      <c r="W205" s="17" t="str">
        <f>IF(M2_Accesos!A9="","",IF(M2_Accesos!B9="","",M2_Accesos!B9))</f>
        <v/>
      </c>
      <c r="X205" s="17" t="str">
        <f>IF(M2_Accesos!A9="","",IF(M2_Accesos!C9="","",M2_Accesos!C9))</f>
        <v/>
      </c>
      <c r="Y205" s="17" t="str">
        <f>IF(M2_Accesos!A9="","",IF(M2_Accesos!E9="","",M2_Accesos!E9))</f>
        <v/>
      </c>
      <c r="Z205" s="17" t="str">
        <f>IF(M2_Accesos!A9="","",IF(M2_Accesos!F9="","",M2_Accesos!F9))</f>
        <v/>
      </c>
      <c r="AA205" s="17" t="str">
        <f>IF(M2_Accesos!A9="","","M2 Accesos")</f>
        <v/>
      </c>
      <c r="AB205" s="17" t="str">
        <f>IF(M2_Accesos!A9="","",IF(M2_Accesos!G9="","",M2_Accesos!G9))</f>
        <v/>
      </c>
      <c r="AC205" s="17" t="str">
        <f>IF(M2_Accesos!A9="","",IF(M2_Accesos!M9="","",M2_Accesos!M9))</f>
        <v/>
      </c>
      <c r="AD205" s="17" t="str">
        <f>IF(M2_Accesos!A9="","","RD")</f>
        <v/>
      </c>
      <c r="AE205" s="17" t="str">
        <f>IF(M2_Accesos!A9="","",IF(M2_Accesos!O9="","",M2_Accesos!O9))</f>
        <v/>
      </c>
      <c r="AF205" s="17" t="str">
        <f>IF(M2_Accesos!A9="","",IF(M2_Accesos!P9="","",M2_Accesos!P9))</f>
        <v/>
      </c>
      <c r="AG205" s="17" t="str">
        <f>IF(M2_Accesos!A9="","",IF(M2_Accesos!Q9="","",M2_Accesos!Q9))</f>
        <v/>
      </c>
      <c r="AH205" s="20" t="str">
        <f>IF(M2_Accesos!A9="","",IF(M2_Accesos!J9="","",M2_Accesos!J9))</f>
        <v/>
      </c>
      <c r="AI205" s="17" t="str">
        <f>IF(M2_Accesos!A9="","","M2_Accesos!9")</f>
        <v/>
      </c>
      <c r="AJ205" s="17" t="str">
        <f>IF(M2_Accesos!A9="","",IF(M2_Accesos!M9="","Pendiente de resultado","Disponible"))</f>
        <v/>
      </c>
    </row>
    <row r="206" spans="1:36" ht="55.5" customHeight="1">
      <c r="A206" s="6" t="str">
        <f t="array" ref="A206">IF(202&gt;$S$1204,"",INDEX($T$5:$AJ$1204,MATCH(202,$S$5:$S$1204,0),1))</f>
        <v/>
      </c>
      <c r="B206" s="8" t="str">
        <f t="array" ref="B206">IF(202&gt;$S$1204,"",INDEX($T$5:$AJ$1204,MATCH(202,$S$5:$S$1204,0),2))</f>
        <v/>
      </c>
      <c r="C206" s="10" t="str">
        <f t="array" ref="C206">IF(202&gt;$S$1204,"",INDEX($T$5:$AJ$1204,MATCH(202,$S$5:$S$1204,0),3))</f>
        <v/>
      </c>
      <c r="D206" s="8" t="str">
        <f t="array" ref="D206">IF(202&gt;$S$1204,"",INDEX($T$5:$AJ$1204,MATCH(202,$S$5:$S$1204,0),4))</f>
        <v/>
      </c>
      <c r="E206" s="8" t="str">
        <f t="array" ref="E206">IF(202&gt;$S$1204,"",INDEX($T$5:$AJ$1204,MATCH(202,$S$5:$S$1204,0),5))</f>
        <v/>
      </c>
      <c r="F206" s="8" t="str">
        <f t="array" ref="F206">IF(202&gt;$S$1204,"",INDEX($T$5:$AJ$1204,MATCH(202,$S$5:$S$1204,0),6))</f>
        <v/>
      </c>
      <c r="G206" s="8" t="str">
        <f t="array" ref="G206">IF(202&gt;$S$1204,"",INDEX($T$5:$AJ$1204,MATCH(202,$S$5:$S$1204,0),7))</f>
        <v/>
      </c>
      <c r="H206" s="8" t="str">
        <f t="array" ref="H206">IF(202&gt;$S$1204,"",INDEX($T$5:$AJ$1204,MATCH(202,$S$5:$S$1204,0),8))</f>
        <v/>
      </c>
      <c r="I206" s="8" t="str">
        <f t="array" ref="I206">IF(202&gt;$S$1204,"",INDEX($T$5:$AJ$1204,MATCH(202,$S$5:$S$1204,0),9))</f>
        <v/>
      </c>
      <c r="J206" s="14" t="str">
        <f t="array" ref="J206">IF(202&gt;$S$1204,"",INDEX($T$5:$AJ$1204,MATCH(202,$S$5:$S$1204,0),10))</f>
        <v/>
      </c>
      <c r="K206" s="8" t="str">
        <f t="array" ref="K206">IF(202&gt;$S$1204,"",INDEX($T$5:$AJ$1204,MATCH(202,$S$5:$S$1204,0),11))</f>
        <v/>
      </c>
      <c r="L206" s="8" t="str">
        <f t="array" ref="L206">IF(202&gt;$S$1204,"",INDEX($T$5:$AJ$1204,MATCH(202,$S$5:$S$1204,0),12))</f>
        <v/>
      </c>
      <c r="M206" s="8" t="str">
        <f t="array" ref="M206">IF(202&gt;$S$1204,"",INDEX($T$5:$AJ$1204,MATCH(202,$S$5:$S$1204,0),13))</f>
        <v/>
      </c>
      <c r="N206" s="8" t="str">
        <f t="array" ref="N206">IF(202&gt;$S$1204,"",INDEX($T$5:$AJ$1204,MATCH(202,$S$5:$S$1204,0),14))</f>
        <v/>
      </c>
      <c r="O206" s="15" t="str">
        <f t="array" ref="O206">IF(202&gt;$S$1204,"",INDEX($T$5:$AJ$1204,MATCH(202,$S$5:$S$1204,0),15))</f>
        <v/>
      </c>
      <c r="P206" s="8" t="str">
        <f t="array" ref="P206">IF(202&gt;$S$1204,"",INDEX($T$5:$AJ$1204,MATCH(202,$S$5:$S$1204,0),16))</f>
        <v/>
      </c>
      <c r="Q206" s="8" t="str">
        <f t="array" ref="Q206">IF(202&gt;$S$1204,"",INDEX($T$5:$AJ$1204,MATCH(202,$S$5:$S$1204,0),17))</f>
        <v/>
      </c>
      <c r="R206" s="17"/>
      <c r="S206" s="17">
        <f>S205+IF(M2_Accesos!A10="",0,1)</f>
        <v>0</v>
      </c>
      <c r="T206" s="17" t="str">
        <f>IF(M2_Accesos!A10="","",IF(M2_Accesos!A10="","",M2_Accesos!A10))</f>
        <v/>
      </c>
      <c r="U206" s="17" t="str">
        <f>IF(M2_Accesos!A10="","",IF(M2_Accesos!R9="","",M2_Accesos!R9))</f>
        <v/>
      </c>
      <c r="V206" s="18" t="str">
        <f>IF(M2_Accesos!A10="","",IF(M2_Accesos!D10="","",M2_Accesos!D10))</f>
        <v/>
      </c>
      <c r="W206" s="17" t="str">
        <f>IF(M2_Accesos!A10="","",IF(M2_Accesos!B10="","",M2_Accesos!B10))</f>
        <v/>
      </c>
      <c r="X206" s="17" t="str">
        <f>IF(M2_Accesos!A10="","",IF(M2_Accesos!C10="","",M2_Accesos!C10))</f>
        <v/>
      </c>
      <c r="Y206" s="17" t="str">
        <f>IF(M2_Accesos!A10="","",IF(M2_Accesos!E10="","",M2_Accesos!E10))</f>
        <v/>
      </c>
      <c r="Z206" s="17" t="str">
        <f>IF(M2_Accesos!A10="","",IF(M2_Accesos!F10="","",M2_Accesos!F10))</f>
        <v/>
      </c>
      <c r="AA206" s="17" t="str">
        <f>IF(M2_Accesos!A10="","","M2 Accesos")</f>
        <v/>
      </c>
      <c r="AB206" s="17" t="str">
        <f>IF(M2_Accesos!A10="","",IF(M2_Accesos!G10="","",M2_Accesos!G10))</f>
        <v/>
      </c>
      <c r="AC206" s="17" t="str">
        <f>IF(M2_Accesos!A10="","",IF(M2_Accesos!M10="","",M2_Accesos!M10))</f>
        <v/>
      </c>
      <c r="AD206" s="17" t="str">
        <f>IF(M2_Accesos!A10="","","RD")</f>
        <v/>
      </c>
      <c r="AE206" s="17" t="str">
        <f>IF(M2_Accesos!A10="","",IF(M2_Accesos!O10="","",M2_Accesos!O10))</f>
        <v/>
      </c>
      <c r="AF206" s="17" t="str">
        <f>IF(M2_Accesos!A10="","",IF(M2_Accesos!P10="","",M2_Accesos!P10))</f>
        <v/>
      </c>
      <c r="AG206" s="17" t="str">
        <f>IF(M2_Accesos!A10="","",IF(M2_Accesos!Q10="","",M2_Accesos!Q10))</f>
        <v/>
      </c>
      <c r="AH206" s="20" t="str">
        <f>IF(M2_Accesos!A10="","",IF(M2_Accesos!J10="","",M2_Accesos!J10))</f>
        <v/>
      </c>
      <c r="AI206" s="17" t="str">
        <f>IF(M2_Accesos!A10="","","M2_Accesos!10")</f>
        <v/>
      </c>
      <c r="AJ206" s="17" t="str">
        <f>IF(M2_Accesos!A10="","",IF(M2_Accesos!M10="","Pendiente de resultado","Disponible"))</f>
        <v/>
      </c>
    </row>
    <row r="207" spans="1:36" ht="55.5" customHeight="1">
      <c r="A207" s="6" t="str">
        <f t="array" ref="A207">IF(203&gt;$S$1204,"",INDEX($T$5:$AJ$1204,MATCH(203,$S$5:$S$1204,0),1))</f>
        <v/>
      </c>
      <c r="B207" s="8" t="str">
        <f t="array" ref="B207">IF(203&gt;$S$1204,"",INDEX($T$5:$AJ$1204,MATCH(203,$S$5:$S$1204,0),2))</f>
        <v/>
      </c>
      <c r="C207" s="10" t="str">
        <f t="array" ref="C207">IF(203&gt;$S$1204,"",INDEX($T$5:$AJ$1204,MATCH(203,$S$5:$S$1204,0),3))</f>
        <v/>
      </c>
      <c r="D207" s="8" t="str">
        <f t="array" ref="D207">IF(203&gt;$S$1204,"",INDEX($T$5:$AJ$1204,MATCH(203,$S$5:$S$1204,0),4))</f>
        <v/>
      </c>
      <c r="E207" s="8" t="str">
        <f t="array" ref="E207">IF(203&gt;$S$1204,"",INDEX($T$5:$AJ$1204,MATCH(203,$S$5:$S$1204,0),5))</f>
        <v/>
      </c>
      <c r="F207" s="8" t="str">
        <f t="array" ref="F207">IF(203&gt;$S$1204,"",INDEX($T$5:$AJ$1204,MATCH(203,$S$5:$S$1204,0),6))</f>
        <v/>
      </c>
      <c r="G207" s="8" t="str">
        <f t="array" ref="G207">IF(203&gt;$S$1204,"",INDEX($T$5:$AJ$1204,MATCH(203,$S$5:$S$1204,0),7))</f>
        <v/>
      </c>
      <c r="H207" s="8" t="str">
        <f t="array" ref="H207">IF(203&gt;$S$1204,"",INDEX($T$5:$AJ$1204,MATCH(203,$S$5:$S$1204,0),8))</f>
        <v/>
      </c>
      <c r="I207" s="8" t="str">
        <f t="array" ref="I207">IF(203&gt;$S$1204,"",INDEX($T$5:$AJ$1204,MATCH(203,$S$5:$S$1204,0),9))</f>
        <v/>
      </c>
      <c r="J207" s="14" t="str">
        <f t="array" ref="J207">IF(203&gt;$S$1204,"",INDEX($T$5:$AJ$1204,MATCH(203,$S$5:$S$1204,0),10))</f>
        <v/>
      </c>
      <c r="K207" s="8" t="str">
        <f t="array" ref="K207">IF(203&gt;$S$1204,"",INDEX($T$5:$AJ$1204,MATCH(203,$S$5:$S$1204,0),11))</f>
        <v/>
      </c>
      <c r="L207" s="8" t="str">
        <f t="array" ref="L207">IF(203&gt;$S$1204,"",INDEX($T$5:$AJ$1204,MATCH(203,$S$5:$S$1204,0),12))</f>
        <v/>
      </c>
      <c r="M207" s="8" t="str">
        <f t="array" ref="M207">IF(203&gt;$S$1204,"",INDEX($T$5:$AJ$1204,MATCH(203,$S$5:$S$1204,0),13))</f>
        <v/>
      </c>
      <c r="N207" s="8" t="str">
        <f t="array" ref="N207">IF(203&gt;$S$1204,"",INDEX($T$5:$AJ$1204,MATCH(203,$S$5:$S$1204,0),14))</f>
        <v/>
      </c>
      <c r="O207" s="15" t="str">
        <f t="array" ref="O207">IF(203&gt;$S$1204,"",INDEX($T$5:$AJ$1204,MATCH(203,$S$5:$S$1204,0),15))</f>
        <v/>
      </c>
      <c r="P207" s="8" t="str">
        <f t="array" ref="P207">IF(203&gt;$S$1204,"",INDEX($T$5:$AJ$1204,MATCH(203,$S$5:$S$1204,0),16))</f>
        <v/>
      </c>
      <c r="Q207" s="8" t="str">
        <f t="array" ref="Q207">IF(203&gt;$S$1204,"",INDEX($T$5:$AJ$1204,MATCH(203,$S$5:$S$1204,0),17))</f>
        <v/>
      </c>
      <c r="R207" s="17"/>
      <c r="S207" s="17">
        <f>S206+IF(M2_Accesos!A11="",0,1)</f>
        <v>0</v>
      </c>
      <c r="T207" s="17" t="str">
        <f>IF(M2_Accesos!A11="","",IF(M2_Accesos!A11="","",M2_Accesos!A11))</f>
        <v/>
      </c>
      <c r="U207" s="17" t="str">
        <f>IF(M2_Accesos!A11="","",IF(M2_Accesos!R11="","",M2_Accesos!R11))</f>
        <v/>
      </c>
      <c r="V207" s="17" t="str">
        <f>IF(M2_Accesos!A11="","",IF(M2_Accesos!D11="","",M2_Accesos!D11))</f>
        <v/>
      </c>
      <c r="W207" s="17" t="str">
        <f>IF(M2_Accesos!A11="","",IF(M2_Accesos!B11="","",M2_Accesos!B11))</f>
        <v/>
      </c>
      <c r="X207" s="17" t="str">
        <f>IF(M2_Accesos!A11="","",IF(M2_Accesos!C11="","",M2_Accesos!C11))</f>
        <v/>
      </c>
      <c r="Y207" s="17" t="str">
        <f>IF(M2_Accesos!A11="","",IF(M2_Accesos!E11="","",M2_Accesos!E11))</f>
        <v/>
      </c>
      <c r="Z207" s="17" t="str">
        <f>IF(M2_Accesos!A11="","",IF(M2_Accesos!F11="","",M2_Accesos!F11))</f>
        <v/>
      </c>
      <c r="AA207" s="17" t="str">
        <f>IF(M2_Accesos!A11="","","M2 Accesos")</f>
        <v/>
      </c>
      <c r="AB207" s="17" t="str">
        <f>IF(M2_Accesos!A11="","",IF(M2_Accesos!G11="","",M2_Accesos!G11))</f>
        <v/>
      </c>
      <c r="AC207" s="17" t="str">
        <f>IF(M2_Accesos!A11="","",IF(M2_Accesos!M11="","",M2_Accesos!M11))</f>
        <v/>
      </c>
      <c r="AD207" s="17" t="str">
        <f>IF(M2_Accesos!A11="","","RD")</f>
        <v/>
      </c>
      <c r="AE207" s="17" t="str">
        <f>IF(M2_Accesos!A11="","",IF(M2_Accesos!O11="","",M2_Accesos!O11))</f>
        <v/>
      </c>
      <c r="AF207" s="17" t="str">
        <f>IF(M2_Accesos!A11="","",IF(M2_Accesos!P11="","",M2_Accesos!P11))</f>
        <v/>
      </c>
      <c r="AG207" s="17" t="str">
        <f>IF(M2_Accesos!A11="","",IF(M2_Accesos!Q11="","",M2_Accesos!Q11))</f>
        <v/>
      </c>
      <c r="AH207" s="17" t="str">
        <f>IF(M2_Accesos!A11="","",IF(M2_Accesos!J11="","",M2_Accesos!J11))</f>
        <v/>
      </c>
      <c r="AI207" s="17" t="str">
        <f>IF(M2_Accesos!A11="","","M2_Accesos!11")</f>
        <v/>
      </c>
      <c r="AJ207" s="17" t="str">
        <f>IF(M2_Accesos!A11="","",IF(M2_Accesos!M11="","Pendiente de resultado","Disponible"))</f>
        <v/>
      </c>
    </row>
    <row r="208" spans="1:36" ht="55.5" customHeight="1">
      <c r="A208" s="6" t="str">
        <f t="array" ref="A208">IF(204&gt;$S$1204,"",INDEX($T$5:$AJ$1204,MATCH(204,$S$5:$S$1204,0),1))</f>
        <v/>
      </c>
      <c r="B208" s="8" t="str">
        <f t="array" ref="B208">IF(204&gt;$S$1204,"",INDEX($T$5:$AJ$1204,MATCH(204,$S$5:$S$1204,0),2))</f>
        <v/>
      </c>
      <c r="C208" s="10" t="str">
        <f t="array" ref="C208">IF(204&gt;$S$1204,"",INDEX($T$5:$AJ$1204,MATCH(204,$S$5:$S$1204,0),3))</f>
        <v/>
      </c>
      <c r="D208" s="8" t="str">
        <f t="array" ref="D208">IF(204&gt;$S$1204,"",INDEX($T$5:$AJ$1204,MATCH(204,$S$5:$S$1204,0),4))</f>
        <v/>
      </c>
      <c r="E208" s="8" t="str">
        <f t="array" ref="E208">IF(204&gt;$S$1204,"",INDEX($T$5:$AJ$1204,MATCH(204,$S$5:$S$1204,0),5))</f>
        <v/>
      </c>
      <c r="F208" s="8" t="str">
        <f t="array" ref="F208">IF(204&gt;$S$1204,"",INDEX($T$5:$AJ$1204,MATCH(204,$S$5:$S$1204,0),6))</f>
        <v/>
      </c>
      <c r="G208" s="8" t="str">
        <f t="array" ref="G208">IF(204&gt;$S$1204,"",INDEX($T$5:$AJ$1204,MATCH(204,$S$5:$S$1204,0),7))</f>
        <v/>
      </c>
      <c r="H208" s="8" t="str">
        <f t="array" ref="H208">IF(204&gt;$S$1204,"",INDEX($T$5:$AJ$1204,MATCH(204,$S$5:$S$1204,0),8))</f>
        <v/>
      </c>
      <c r="I208" s="8" t="str">
        <f t="array" ref="I208">IF(204&gt;$S$1204,"",INDEX($T$5:$AJ$1204,MATCH(204,$S$5:$S$1204,0),9))</f>
        <v/>
      </c>
      <c r="J208" s="14" t="str">
        <f t="array" ref="J208">IF(204&gt;$S$1204,"",INDEX($T$5:$AJ$1204,MATCH(204,$S$5:$S$1204,0),10))</f>
        <v/>
      </c>
      <c r="K208" s="8" t="str">
        <f t="array" ref="K208">IF(204&gt;$S$1204,"",INDEX($T$5:$AJ$1204,MATCH(204,$S$5:$S$1204,0),11))</f>
        <v/>
      </c>
      <c r="L208" s="8" t="str">
        <f t="array" ref="L208">IF(204&gt;$S$1204,"",INDEX($T$5:$AJ$1204,MATCH(204,$S$5:$S$1204,0),12))</f>
        <v/>
      </c>
      <c r="M208" s="8" t="str">
        <f t="array" ref="M208">IF(204&gt;$S$1204,"",INDEX($T$5:$AJ$1204,MATCH(204,$S$5:$S$1204,0),13))</f>
        <v/>
      </c>
      <c r="N208" s="8" t="str">
        <f t="array" ref="N208">IF(204&gt;$S$1204,"",INDEX($T$5:$AJ$1204,MATCH(204,$S$5:$S$1204,0),14))</f>
        <v/>
      </c>
      <c r="O208" s="15" t="str">
        <f t="array" ref="O208">IF(204&gt;$S$1204,"",INDEX($T$5:$AJ$1204,MATCH(204,$S$5:$S$1204,0),15))</f>
        <v/>
      </c>
      <c r="P208" s="8" t="str">
        <f t="array" ref="P208">IF(204&gt;$S$1204,"",INDEX($T$5:$AJ$1204,MATCH(204,$S$5:$S$1204,0),16))</f>
        <v/>
      </c>
      <c r="Q208" s="8" t="str">
        <f t="array" ref="Q208">IF(204&gt;$S$1204,"",INDEX($T$5:$AJ$1204,MATCH(204,$S$5:$S$1204,0),17))</f>
        <v/>
      </c>
      <c r="R208" s="17"/>
      <c r="S208" s="17">
        <f>S207+IF(M2_Accesos!A12="",0,1)</f>
        <v>0</v>
      </c>
      <c r="T208" s="17" t="str">
        <f>IF(M2_Accesos!A12="","",IF(M2_Accesos!A12="","",M2_Accesos!A12))</f>
        <v/>
      </c>
      <c r="U208" s="17" t="str">
        <f>IF(M2_Accesos!A12="","",IF(M2_Accesos!R12="","",M2_Accesos!R12))</f>
        <v/>
      </c>
      <c r="V208" s="17" t="str">
        <f>IF(M2_Accesos!A12="","",IF(M2_Accesos!D12="","",M2_Accesos!D12))</f>
        <v/>
      </c>
      <c r="W208" s="17" t="str">
        <f>IF(M2_Accesos!A12="","",IF(M2_Accesos!B12="","",M2_Accesos!B12))</f>
        <v/>
      </c>
      <c r="X208" s="17" t="str">
        <f>IF(M2_Accesos!A12="","",IF(M2_Accesos!C12="","",M2_Accesos!C12))</f>
        <v/>
      </c>
      <c r="Y208" s="17" t="str">
        <f>IF(M2_Accesos!A12="","",IF(M2_Accesos!E12="","",M2_Accesos!E12))</f>
        <v/>
      </c>
      <c r="Z208" s="17" t="str">
        <f>IF(M2_Accesos!A12="","",IF(M2_Accesos!F12="","",M2_Accesos!F12))</f>
        <v/>
      </c>
      <c r="AA208" s="17" t="str">
        <f>IF(M2_Accesos!A12="","","M2 Accesos")</f>
        <v/>
      </c>
      <c r="AB208" s="17" t="str">
        <f>IF(M2_Accesos!A12="","",IF(M2_Accesos!G12="","",M2_Accesos!G12))</f>
        <v/>
      </c>
      <c r="AC208" s="17" t="str">
        <f>IF(M2_Accesos!A12="","",IF(M2_Accesos!M12="","",M2_Accesos!M12))</f>
        <v/>
      </c>
      <c r="AD208" s="17" t="str">
        <f>IF(M2_Accesos!A12="","","RD")</f>
        <v/>
      </c>
      <c r="AE208" s="17" t="str">
        <f>IF(M2_Accesos!A12="","",IF(M2_Accesos!O12="","",M2_Accesos!O12))</f>
        <v/>
      </c>
      <c r="AF208" s="17" t="str">
        <f>IF(M2_Accesos!A12="","",IF(M2_Accesos!P12="","",M2_Accesos!P12))</f>
        <v/>
      </c>
      <c r="AG208" s="17" t="str">
        <f>IF(M2_Accesos!A12="","",IF(M2_Accesos!Q12="","",M2_Accesos!Q12))</f>
        <v/>
      </c>
      <c r="AH208" s="17" t="str">
        <f>IF(M2_Accesos!A12="","",IF(M2_Accesos!J12="","",M2_Accesos!J12))</f>
        <v/>
      </c>
      <c r="AI208" s="17" t="str">
        <f>IF(M2_Accesos!A12="","","M2_Accesos!12")</f>
        <v/>
      </c>
      <c r="AJ208" s="17" t="str">
        <f>IF(M2_Accesos!A12="","",IF(M2_Accesos!M12="","Pendiente de resultado","Disponible"))</f>
        <v/>
      </c>
    </row>
    <row r="209" spans="1:36" ht="55.5" customHeight="1">
      <c r="A209" s="6" t="str">
        <f t="array" ref="A209">IF(205&gt;$S$1204,"",INDEX($T$5:$AJ$1204,MATCH(205,$S$5:$S$1204,0),1))</f>
        <v/>
      </c>
      <c r="B209" s="8" t="str">
        <f t="array" ref="B209">IF(205&gt;$S$1204,"",INDEX($T$5:$AJ$1204,MATCH(205,$S$5:$S$1204,0),2))</f>
        <v/>
      </c>
      <c r="C209" s="10" t="str">
        <f t="array" ref="C209">IF(205&gt;$S$1204,"",INDEX($T$5:$AJ$1204,MATCH(205,$S$5:$S$1204,0),3))</f>
        <v/>
      </c>
      <c r="D209" s="8" t="str">
        <f t="array" ref="D209">IF(205&gt;$S$1204,"",INDEX($T$5:$AJ$1204,MATCH(205,$S$5:$S$1204,0),4))</f>
        <v/>
      </c>
      <c r="E209" s="8" t="str">
        <f t="array" ref="E209">IF(205&gt;$S$1204,"",INDEX($T$5:$AJ$1204,MATCH(205,$S$5:$S$1204,0),5))</f>
        <v/>
      </c>
      <c r="F209" s="8" t="str">
        <f t="array" ref="F209">IF(205&gt;$S$1204,"",INDEX($T$5:$AJ$1204,MATCH(205,$S$5:$S$1204,0),6))</f>
        <v/>
      </c>
      <c r="G209" s="8" t="str">
        <f t="array" ref="G209">IF(205&gt;$S$1204,"",INDEX($T$5:$AJ$1204,MATCH(205,$S$5:$S$1204,0),7))</f>
        <v/>
      </c>
      <c r="H209" s="8" t="str">
        <f t="array" ref="H209">IF(205&gt;$S$1204,"",INDEX($T$5:$AJ$1204,MATCH(205,$S$5:$S$1204,0),8))</f>
        <v/>
      </c>
      <c r="I209" s="8" t="str">
        <f t="array" ref="I209">IF(205&gt;$S$1204,"",INDEX($T$5:$AJ$1204,MATCH(205,$S$5:$S$1204,0),9))</f>
        <v/>
      </c>
      <c r="J209" s="14" t="str">
        <f t="array" ref="J209">IF(205&gt;$S$1204,"",INDEX($T$5:$AJ$1204,MATCH(205,$S$5:$S$1204,0),10))</f>
        <v/>
      </c>
      <c r="K209" s="8" t="str">
        <f t="array" ref="K209">IF(205&gt;$S$1204,"",INDEX($T$5:$AJ$1204,MATCH(205,$S$5:$S$1204,0),11))</f>
        <v/>
      </c>
      <c r="L209" s="8" t="str">
        <f t="array" ref="L209">IF(205&gt;$S$1204,"",INDEX($T$5:$AJ$1204,MATCH(205,$S$5:$S$1204,0),12))</f>
        <v/>
      </c>
      <c r="M209" s="8" t="str">
        <f t="array" ref="M209">IF(205&gt;$S$1204,"",INDEX($T$5:$AJ$1204,MATCH(205,$S$5:$S$1204,0),13))</f>
        <v/>
      </c>
      <c r="N209" s="8" t="str">
        <f t="array" ref="N209">IF(205&gt;$S$1204,"",INDEX($T$5:$AJ$1204,MATCH(205,$S$5:$S$1204,0),14))</f>
        <v/>
      </c>
      <c r="O209" s="15" t="str">
        <f t="array" ref="O209">IF(205&gt;$S$1204,"",INDEX($T$5:$AJ$1204,MATCH(205,$S$5:$S$1204,0),15))</f>
        <v/>
      </c>
      <c r="P209" s="8" t="str">
        <f t="array" ref="P209">IF(205&gt;$S$1204,"",INDEX($T$5:$AJ$1204,MATCH(205,$S$5:$S$1204,0),16))</f>
        <v/>
      </c>
      <c r="Q209" s="8" t="str">
        <f t="array" ref="Q209">IF(205&gt;$S$1204,"",INDEX($T$5:$AJ$1204,MATCH(205,$S$5:$S$1204,0),17))</f>
        <v/>
      </c>
      <c r="R209" s="17"/>
      <c r="S209" s="17">
        <f>S208+IF(M2_Accesos!A13="",0,1)</f>
        <v>0</v>
      </c>
      <c r="T209" s="17" t="str">
        <f>IF(M2_Accesos!A13="","",IF(M2_Accesos!A13="","",M2_Accesos!A13))</f>
        <v/>
      </c>
      <c r="U209" s="17" t="str">
        <f>IF(M2_Accesos!A13="","",IF(M2_Accesos!R13="","",M2_Accesos!R13))</f>
        <v/>
      </c>
      <c r="V209" s="17" t="str">
        <f>IF(M2_Accesos!A13="","",IF(M2_Accesos!D13="","",M2_Accesos!D13))</f>
        <v/>
      </c>
      <c r="W209" s="17" t="str">
        <f>IF(M2_Accesos!A13="","",IF(M2_Accesos!B13="","",M2_Accesos!B13))</f>
        <v/>
      </c>
      <c r="X209" s="17" t="str">
        <f>IF(M2_Accesos!A13="","",IF(M2_Accesos!C13="","",M2_Accesos!C13))</f>
        <v/>
      </c>
      <c r="Y209" s="17" t="str">
        <f>IF(M2_Accesos!A13="","",IF(M2_Accesos!E13="","",M2_Accesos!E13))</f>
        <v/>
      </c>
      <c r="Z209" s="17" t="str">
        <f>IF(M2_Accesos!A13="","",IF(M2_Accesos!F13="","",M2_Accesos!F13))</f>
        <v/>
      </c>
      <c r="AA209" s="17" t="str">
        <f>IF(M2_Accesos!A13="","","M2 Accesos")</f>
        <v/>
      </c>
      <c r="AB209" s="17" t="str">
        <f>IF(M2_Accesos!A13="","",IF(M2_Accesos!G13="","",M2_Accesos!G13))</f>
        <v/>
      </c>
      <c r="AC209" s="17" t="str">
        <f>IF(M2_Accesos!A13="","",IF(M2_Accesos!M13="","",M2_Accesos!M13))</f>
        <v/>
      </c>
      <c r="AD209" s="17" t="str">
        <f>IF(M2_Accesos!A13="","","RD")</f>
        <v/>
      </c>
      <c r="AE209" s="17" t="str">
        <f>IF(M2_Accesos!A13="","",IF(M2_Accesos!O13="","",M2_Accesos!O13))</f>
        <v/>
      </c>
      <c r="AF209" s="17" t="str">
        <f>IF(M2_Accesos!A13="","",IF(M2_Accesos!P13="","",M2_Accesos!P13))</f>
        <v/>
      </c>
      <c r="AG209" s="17" t="str">
        <f>IF(M2_Accesos!A13="","",IF(M2_Accesos!Q13="","",M2_Accesos!Q13))</f>
        <v/>
      </c>
      <c r="AH209" s="17" t="str">
        <f>IF(M2_Accesos!A13="","",IF(M2_Accesos!J13="","",M2_Accesos!J13))</f>
        <v/>
      </c>
      <c r="AI209" s="17" t="str">
        <f>IF(M2_Accesos!A13="","","M2_Accesos!13")</f>
        <v/>
      </c>
      <c r="AJ209" s="17" t="str">
        <f>IF(M2_Accesos!A13="","",IF(M2_Accesos!M13="","Pendiente de resultado","Disponible"))</f>
        <v/>
      </c>
    </row>
    <row r="210" spans="1:36" ht="55.5" customHeight="1">
      <c r="A210" s="6" t="str">
        <f t="array" ref="A210">IF(206&gt;$S$1204,"",INDEX($T$5:$AJ$1204,MATCH(206,$S$5:$S$1204,0),1))</f>
        <v/>
      </c>
      <c r="B210" s="8" t="str">
        <f t="array" ref="B210">IF(206&gt;$S$1204,"",INDEX($T$5:$AJ$1204,MATCH(206,$S$5:$S$1204,0),2))</f>
        <v/>
      </c>
      <c r="C210" s="10" t="str">
        <f t="array" ref="C210">IF(206&gt;$S$1204,"",INDEX($T$5:$AJ$1204,MATCH(206,$S$5:$S$1204,0),3))</f>
        <v/>
      </c>
      <c r="D210" s="8" t="str">
        <f t="array" ref="D210">IF(206&gt;$S$1204,"",INDEX($T$5:$AJ$1204,MATCH(206,$S$5:$S$1204,0),4))</f>
        <v/>
      </c>
      <c r="E210" s="8" t="str">
        <f t="array" ref="E210">IF(206&gt;$S$1204,"",INDEX($T$5:$AJ$1204,MATCH(206,$S$5:$S$1204,0),5))</f>
        <v/>
      </c>
      <c r="F210" s="8" t="str">
        <f t="array" ref="F210">IF(206&gt;$S$1204,"",INDEX($T$5:$AJ$1204,MATCH(206,$S$5:$S$1204,0),6))</f>
        <v/>
      </c>
      <c r="G210" s="8" t="str">
        <f t="array" ref="G210">IF(206&gt;$S$1204,"",INDEX($T$5:$AJ$1204,MATCH(206,$S$5:$S$1204,0),7))</f>
        <v/>
      </c>
      <c r="H210" s="8" t="str">
        <f t="array" ref="H210">IF(206&gt;$S$1204,"",INDEX($T$5:$AJ$1204,MATCH(206,$S$5:$S$1204,0),8))</f>
        <v/>
      </c>
      <c r="I210" s="8" t="str">
        <f t="array" ref="I210">IF(206&gt;$S$1204,"",INDEX($T$5:$AJ$1204,MATCH(206,$S$5:$S$1204,0),9))</f>
        <v/>
      </c>
      <c r="J210" s="14" t="str">
        <f t="array" ref="J210">IF(206&gt;$S$1204,"",INDEX($T$5:$AJ$1204,MATCH(206,$S$5:$S$1204,0),10))</f>
        <v/>
      </c>
      <c r="K210" s="8" t="str">
        <f t="array" ref="K210">IF(206&gt;$S$1204,"",INDEX($T$5:$AJ$1204,MATCH(206,$S$5:$S$1204,0),11))</f>
        <v/>
      </c>
      <c r="L210" s="8" t="str">
        <f t="array" ref="L210">IF(206&gt;$S$1204,"",INDEX($T$5:$AJ$1204,MATCH(206,$S$5:$S$1204,0),12))</f>
        <v/>
      </c>
      <c r="M210" s="8" t="str">
        <f t="array" ref="M210">IF(206&gt;$S$1204,"",INDEX($T$5:$AJ$1204,MATCH(206,$S$5:$S$1204,0),13))</f>
        <v/>
      </c>
      <c r="N210" s="8" t="str">
        <f t="array" ref="N210">IF(206&gt;$S$1204,"",INDEX($T$5:$AJ$1204,MATCH(206,$S$5:$S$1204,0),14))</f>
        <v/>
      </c>
      <c r="O210" s="15" t="str">
        <f t="array" ref="O210">IF(206&gt;$S$1204,"",INDEX($T$5:$AJ$1204,MATCH(206,$S$5:$S$1204,0),15))</f>
        <v/>
      </c>
      <c r="P210" s="8" t="str">
        <f t="array" ref="P210">IF(206&gt;$S$1204,"",INDEX($T$5:$AJ$1204,MATCH(206,$S$5:$S$1204,0),16))</f>
        <v/>
      </c>
      <c r="Q210" s="8" t="str">
        <f t="array" ref="Q210">IF(206&gt;$S$1204,"",INDEX($T$5:$AJ$1204,MATCH(206,$S$5:$S$1204,0),17))</f>
        <v/>
      </c>
      <c r="R210" s="17"/>
      <c r="S210" s="17">
        <f>S209+IF(M2_Accesos!A14="",0,1)</f>
        <v>0</v>
      </c>
      <c r="T210" s="17" t="str">
        <f>IF(M2_Accesos!A14="","",IF(M2_Accesos!A14="","",M2_Accesos!A14))</f>
        <v/>
      </c>
      <c r="U210" s="17" t="str">
        <f>IF(M2_Accesos!A14="","",IF(M2_Accesos!R14="","",M2_Accesos!R14))</f>
        <v/>
      </c>
      <c r="V210" s="17" t="str">
        <f>IF(M2_Accesos!A14="","",IF(M2_Accesos!D14="","",M2_Accesos!D14))</f>
        <v/>
      </c>
      <c r="W210" s="17" t="str">
        <f>IF(M2_Accesos!A14="","",IF(M2_Accesos!B14="","",M2_Accesos!B14))</f>
        <v/>
      </c>
      <c r="X210" s="17" t="str">
        <f>IF(M2_Accesos!A14="","",IF(M2_Accesos!C14="","",M2_Accesos!C14))</f>
        <v/>
      </c>
      <c r="Y210" s="17" t="str">
        <f>IF(M2_Accesos!A14="","",IF(M2_Accesos!E14="","",M2_Accesos!E14))</f>
        <v/>
      </c>
      <c r="Z210" s="17" t="str">
        <f>IF(M2_Accesos!A14="","",IF(M2_Accesos!F14="","",M2_Accesos!F14))</f>
        <v/>
      </c>
      <c r="AA210" s="17" t="str">
        <f>IF(M2_Accesos!A14="","","M2 Accesos")</f>
        <v/>
      </c>
      <c r="AB210" s="17" t="str">
        <f>IF(M2_Accesos!A14="","",IF(M2_Accesos!G14="","",M2_Accesos!G14))</f>
        <v/>
      </c>
      <c r="AC210" s="17" t="str">
        <f>IF(M2_Accesos!A14="","",IF(M2_Accesos!M14="","",M2_Accesos!M14))</f>
        <v/>
      </c>
      <c r="AD210" s="17" t="str">
        <f>IF(M2_Accesos!A14="","","RD")</f>
        <v/>
      </c>
      <c r="AE210" s="17" t="str">
        <f>IF(M2_Accesos!A14="","",IF(M2_Accesos!O14="","",M2_Accesos!O14))</f>
        <v/>
      </c>
      <c r="AF210" s="17" t="str">
        <f>IF(M2_Accesos!A14="","",IF(M2_Accesos!P14="","",M2_Accesos!P14))</f>
        <v/>
      </c>
      <c r="AG210" s="17" t="str">
        <f>IF(M2_Accesos!A14="","",IF(M2_Accesos!Q14="","",M2_Accesos!Q14))</f>
        <v/>
      </c>
      <c r="AH210" s="17" t="str">
        <f>IF(M2_Accesos!A14="","",IF(M2_Accesos!J14="","",M2_Accesos!J14))</f>
        <v/>
      </c>
      <c r="AI210" s="17" t="str">
        <f>IF(M2_Accesos!A14="","","M2_Accesos!14")</f>
        <v/>
      </c>
      <c r="AJ210" s="17" t="str">
        <f>IF(M2_Accesos!A14="","",IF(M2_Accesos!M14="","Pendiente de resultado","Disponible"))</f>
        <v/>
      </c>
    </row>
    <row r="211" spans="1:36" ht="55.5" customHeight="1">
      <c r="A211" s="6" t="str">
        <f t="array" ref="A211">IF(207&gt;$S$1204,"",INDEX($T$5:$AJ$1204,MATCH(207,$S$5:$S$1204,0),1))</f>
        <v/>
      </c>
      <c r="B211" s="8" t="str">
        <f t="array" ref="B211">IF(207&gt;$S$1204,"",INDEX($T$5:$AJ$1204,MATCH(207,$S$5:$S$1204,0),2))</f>
        <v/>
      </c>
      <c r="C211" s="10" t="str">
        <f t="array" ref="C211">IF(207&gt;$S$1204,"",INDEX($T$5:$AJ$1204,MATCH(207,$S$5:$S$1204,0),3))</f>
        <v/>
      </c>
      <c r="D211" s="8" t="str">
        <f t="array" ref="D211">IF(207&gt;$S$1204,"",INDEX($T$5:$AJ$1204,MATCH(207,$S$5:$S$1204,0),4))</f>
        <v/>
      </c>
      <c r="E211" s="8" t="str">
        <f t="array" ref="E211">IF(207&gt;$S$1204,"",INDEX($T$5:$AJ$1204,MATCH(207,$S$5:$S$1204,0),5))</f>
        <v/>
      </c>
      <c r="F211" s="8" t="str">
        <f t="array" ref="F211">IF(207&gt;$S$1204,"",INDEX($T$5:$AJ$1204,MATCH(207,$S$5:$S$1204,0),6))</f>
        <v/>
      </c>
      <c r="G211" s="8" t="str">
        <f t="array" ref="G211">IF(207&gt;$S$1204,"",INDEX($T$5:$AJ$1204,MATCH(207,$S$5:$S$1204,0),7))</f>
        <v/>
      </c>
      <c r="H211" s="8" t="str">
        <f t="array" ref="H211">IF(207&gt;$S$1204,"",INDEX($T$5:$AJ$1204,MATCH(207,$S$5:$S$1204,0),8))</f>
        <v/>
      </c>
      <c r="I211" s="8" t="str">
        <f t="array" ref="I211">IF(207&gt;$S$1204,"",INDEX($T$5:$AJ$1204,MATCH(207,$S$5:$S$1204,0),9))</f>
        <v/>
      </c>
      <c r="J211" s="14" t="str">
        <f t="array" ref="J211">IF(207&gt;$S$1204,"",INDEX($T$5:$AJ$1204,MATCH(207,$S$5:$S$1204,0),10))</f>
        <v/>
      </c>
      <c r="K211" s="8" t="str">
        <f t="array" ref="K211">IF(207&gt;$S$1204,"",INDEX($T$5:$AJ$1204,MATCH(207,$S$5:$S$1204,0),11))</f>
        <v/>
      </c>
      <c r="L211" s="8" t="str">
        <f t="array" ref="L211">IF(207&gt;$S$1204,"",INDEX($T$5:$AJ$1204,MATCH(207,$S$5:$S$1204,0),12))</f>
        <v/>
      </c>
      <c r="M211" s="8" t="str">
        <f t="array" ref="M211">IF(207&gt;$S$1204,"",INDEX($T$5:$AJ$1204,MATCH(207,$S$5:$S$1204,0),13))</f>
        <v/>
      </c>
      <c r="N211" s="8" t="str">
        <f t="array" ref="N211">IF(207&gt;$S$1204,"",INDEX($T$5:$AJ$1204,MATCH(207,$S$5:$S$1204,0),14))</f>
        <v/>
      </c>
      <c r="O211" s="15" t="str">
        <f t="array" ref="O211">IF(207&gt;$S$1204,"",INDEX($T$5:$AJ$1204,MATCH(207,$S$5:$S$1204,0),15))</f>
        <v/>
      </c>
      <c r="P211" s="8" t="str">
        <f t="array" ref="P211">IF(207&gt;$S$1204,"",INDEX($T$5:$AJ$1204,MATCH(207,$S$5:$S$1204,0),16))</f>
        <v/>
      </c>
      <c r="Q211" s="8" t="str">
        <f t="array" ref="Q211">IF(207&gt;$S$1204,"",INDEX($T$5:$AJ$1204,MATCH(207,$S$5:$S$1204,0),17))</f>
        <v/>
      </c>
      <c r="R211" s="17"/>
      <c r="S211" s="17">
        <f>S210+IF(M2_Accesos!A15="",0,1)</f>
        <v>0</v>
      </c>
      <c r="T211" s="17" t="str">
        <f>IF(M2_Accesos!A15="","",IF(M2_Accesos!A15="","",M2_Accesos!A15))</f>
        <v/>
      </c>
      <c r="U211" s="17" t="str">
        <f>IF(M2_Accesos!A15="","",IF(M2_Accesos!R15="","",M2_Accesos!R15))</f>
        <v/>
      </c>
      <c r="V211" s="17" t="str">
        <f>IF(M2_Accesos!A15="","",IF(M2_Accesos!D15="","",M2_Accesos!D15))</f>
        <v/>
      </c>
      <c r="W211" s="17" t="str">
        <f>IF(M2_Accesos!A15="","",IF(M2_Accesos!B15="","",M2_Accesos!B15))</f>
        <v/>
      </c>
      <c r="X211" s="17" t="str">
        <f>IF(M2_Accesos!A15="","",IF(M2_Accesos!C15="","",M2_Accesos!C15))</f>
        <v/>
      </c>
      <c r="Y211" s="17" t="str">
        <f>IF(M2_Accesos!A15="","",IF(M2_Accesos!E15="","",M2_Accesos!E15))</f>
        <v/>
      </c>
      <c r="Z211" s="17" t="str">
        <f>IF(M2_Accesos!A15="","",IF(M2_Accesos!F15="","",M2_Accesos!F15))</f>
        <v/>
      </c>
      <c r="AA211" s="17" t="str">
        <f>IF(M2_Accesos!A15="","","M2 Accesos")</f>
        <v/>
      </c>
      <c r="AB211" s="17" t="str">
        <f>IF(M2_Accesos!A15="","",IF(M2_Accesos!G15="","",M2_Accesos!G15))</f>
        <v/>
      </c>
      <c r="AC211" s="17" t="str">
        <f>IF(M2_Accesos!A15="","",IF(M2_Accesos!M15="","",M2_Accesos!M15))</f>
        <v/>
      </c>
      <c r="AD211" s="17" t="str">
        <f>IF(M2_Accesos!A15="","","RD")</f>
        <v/>
      </c>
      <c r="AE211" s="17" t="str">
        <f>IF(M2_Accesos!A15="","",IF(M2_Accesos!O15="","",M2_Accesos!O15))</f>
        <v/>
      </c>
      <c r="AF211" s="17" t="str">
        <f>IF(M2_Accesos!A15="","",IF(M2_Accesos!P15="","",M2_Accesos!P15))</f>
        <v/>
      </c>
      <c r="AG211" s="17" t="str">
        <f>IF(M2_Accesos!A15="","",IF(M2_Accesos!Q15="","",M2_Accesos!Q15))</f>
        <v/>
      </c>
      <c r="AH211" s="17" t="str">
        <f>IF(M2_Accesos!A15="","",IF(M2_Accesos!J15="","",M2_Accesos!J15))</f>
        <v/>
      </c>
      <c r="AI211" s="17" t="str">
        <f>IF(M2_Accesos!A15="","","M2_Accesos!15")</f>
        <v/>
      </c>
      <c r="AJ211" s="17" t="str">
        <f>IF(M2_Accesos!A15="","",IF(M2_Accesos!M15="","Pendiente de resultado","Disponible"))</f>
        <v/>
      </c>
    </row>
    <row r="212" spans="1:36" ht="55.5" customHeight="1">
      <c r="A212" s="6" t="str">
        <f t="array" ref="A212">IF(208&gt;$S$1204,"",INDEX($T$5:$AJ$1204,MATCH(208,$S$5:$S$1204,0),1))</f>
        <v/>
      </c>
      <c r="B212" s="8" t="str">
        <f t="array" ref="B212">IF(208&gt;$S$1204,"",INDEX($T$5:$AJ$1204,MATCH(208,$S$5:$S$1204,0),2))</f>
        <v/>
      </c>
      <c r="C212" s="10" t="str">
        <f t="array" ref="C212">IF(208&gt;$S$1204,"",INDEX($T$5:$AJ$1204,MATCH(208,$S$5:$S$1204,0),3))</f>
        <v/>
      </c>
      <c r="D212" s="8" t="str">
        <f t="array" ref="D212">IF(208&gt;$S$1204,"",INDEX($T$5:$AJ$1204,MATCH(208,$S$5:$S$1204,0),4))</f>
        <v/>
      </c>
      <c r="E212" s="8" t="str">
        <f t="array" ref="E212">IF(208&gt;$S$1204,"",INDEX($T$5:$AJ$1204,MATCH(208,$S$5:$S$1204,0),5))</f>
        <v/>
      </c>
      <c r="F212" s="8" t="str">
        <f t="array" ref="F212">IF(208&gt;$S$1204,"",INDEX($T$5:$AJ$1204,MATCH(208,$S$5:$S$1204,0),6))</f>
        <v/>
      </c>
      <c r="G212" s="8" t="str">
        <f t="array" ref="G212">IF(208&gt;$S$1204,"",INDEX($T$5:$AJ$1204,MATCH(208,$S$5:$S$1204,0),7))</f>
        <v/>
      </c>
      <c r="H212" s="8" t="str">
        <f t="array" ref="H212">IF(208&gt;$S$1204,"",INDEX($T$5:$AJ$1204,MATCH(208,$S$5:$S$1204,0),8))</f>
        <v/>
      </c>
      <c r="I212" s="8" t="str">
        <f t="array" ref="I212">IF(208&gt;$S$1204,"",INDEX($T$5:$AJ$1204,MATCH(208,$S$5:$S$1204,0),9))</f>
        <v/>
      </c>
      <c r="J212" s="14" t="str">
        <f t="array" ref="J212">IF(208&gt;$S$1204,"",INDEX($T$5:$AJ$1204,MATCH(208,$S$5:$S$1204,0),10))</f>
        <v/>
      </c>
      <c r="K212" s="8" t="str">
        <f t="array" ref="K212">IF(208&gt;$S$1204,"",INDEX($T$5:$AJ$1204,MATCH(208,$S$5:$S$1204,0),11))</f>
        <v/>
      </c>
      <c r="L212" s="8" t="str">
        <f t="array" ref="L212">IF(208&gt;$S$1204,"",INDEX($T$5:$AJ$1204,MATCH(208,$S$5:$S$1204,0),12))</f>
        <v/>
      </c>
      <c r="M212" s="8" t="str">
        <f t="array" ref="M212">IF(208&gt;$S$1204,"",INDEX($T$5:$AJ$1204,MATCH(208,$S$5:$S$1204,0),13))</f>
        <v/>
      </c>
      <c r="N212" s="8" t="str">
        <f t="array" ref="N212">IF(208&gt;$S$1204,"",INDEX($T$5:$AJ$1204,MATCH(208,$S$5:$S$1204,0),14))</f>
        <v/>
      </c>
      <c r="O212" s="15" t="str">
        <f t="array" ref="O212">IF(208&gt;$S$1204,"",INDEX($T$5:$AJ$1204,MATCH(208,$S$5:$S$1204,0),15))</f>
        <v/>
      </c>
      <c r="P212" s="8" t="str">
        <f t="array" ref="P212">IF(208&gt;$S$1204,"",INDEX($T$5:$AJ$1204,MATCH(208,$S$5:$S$1204,0),16))</f>
        <v/>
      </c>
      <c r="Q212" s="8" t="str">
        <f t="array" ref="Q212">IF(208&gt;$S$1204,"",INDEX($T$5:$AJ$1204,MATCH(208,$S$5:$S$1204,0),17))</f>
        <v/>
      </c>
      <c r="R212" s="17"/>
      <c r="S212" s="17">
        <f>S211+IF(M2_Accesos!A16="",0,1)</f>
        <v>0</v>
      </c>
      <c r="T212" s="17" t="str">
        <f>IF(M2_Accesos!A16="","",IF(M2_Accesos!A16="","",M2_Accesos!A16))</f>
        <v/>
      </c>
      <c r="U212" s="17" t="str">
        <f>IF(M2_Accesos!A16="","",IF(M2_Accesos!R16="","",M2_Accesos!R16))</f>
        <v/>
      </c>
      <c r="V212" s="17" t="str">
        <f>IF(M2_Accesos!A16="","",IF(M2_Accesos!D16="","",M2_Accesos!D16))</f>
        <v/>
      </c>
      <c r="W212" s="17" t="str">
        <f>IF(M2_Accesos!A16="","",IF(M2_Accesos!B16="","",M2_Accesos!B16))</f>
        <v/>
      </c>
      <c r="X212" s="17" t="str">
        <f>IF(M2_Accesos!A16="","",IF(M2_Accesos!C16="","",M2_Accesos!C16))</f>
        <v/>
      </c>
      <c r="Y212" s="17" t="str">
        <f>IF(M2_Accesos!A16="","",IF(M2_Accesos!E16="","",M2_Accesos!E16))</f>
        <v/>
      </c>
      <c r="Z212" s="17" t="str">
        <f>IF(M2_Accesos!A16="","",IF(M2_Accesos!F16="","",M2_Accesos!F16))</f>
        <v/>
      </c>
      <c r="AA212" s="17" t="str">
        <f>IF(M2_Accesos!A16="","","M2 Accesos")</f>
        <v/>
      </c>
      <c r="AB212" s="17" t="str">
        <f>IF(M2_Accesos!A16="","",IF(M2_Accesos!G16="","",M2_Accesos!G16))</f>
        <v/>
      </c>
      <c r="AC212" s="17" t="str">
        <f>IF(M2_Accesos!A16="","",IF(M2_Accesos!M16="","",M2_Accesos!M16))</f>
        <v/>
      </c>
      <c r="AD212" s="17" t="str">
        <f>IF(M2_Accesos!A16="","","RD")</f>
        <v/>
      </c>
      <c r="AE212" s="17" t="str">
        <f>IF(M2_Accesos!A16="","",IF(M2_Accesos!O16="","",M2_Accesos!O16))</f>
        <v/>
      </c>
      <c r="AF212" s="17" t="str">
        <f>IF(M2_Accesos!A16="","",IF(M2_Accesos!P16="","",M2_Accesos!P16))</f>
        <v/>
      </c>
      <c r="AG212" s="17" t="str">
        <f>IF(M2_Accesos!A16="","",IF(M2_Accesos!Q16="","",M2_Accesos!Q16))</f>
        <v/>
      </c>
      <c r="AH212" s="17" t="str">
        <f>IF(M2_Accesos!A16="","",IF(M2_Accesos!J16="","",M2_Accesos!J16))</f>
        <v/>
      </c>
      <c r="AI212" s="17" t="str">
        <f>IF(M2_Accesos!A16="","","M2_Accesos!16")</f>
        <v/>
      </c>
      <c r="AJ212" s="17" t="str">
        <f>IF(M2_Accesos!A16="","",IF(M2_Accesos!M16="","Pendiente de resultado","Disponible"))</f>
        <v/>
      </c>
    </row>
    <row r="213" spans="1:36" ht="55.5" customHeight="1">
      <c r="A213" s="6" t="str">
        <f t="array" ref="A213">IF(209&gt;$S$1204,"",INDEX($T$5:$AJ$1204,MATCH(209,$S$5:$S$1204,0),1))</f>
        <v/>
      </c>
      <c r="B213" s="8" t="str">
        <f t="array" ref="B213">IF(209&gt;$S$1204,"",INDEX($T$5:$AJ$1204,MATCH(209,$S$5:$S$1204,0),2))</f>
        <v/>
      </c>
      <c r="C213" s="10" t="str">
        <f t="array" ref="C213">IF(209&gt;$S$1204,"",INDEX($T$5:$AJ$1204,MATCH(209,$S$5:$S$1204,0),3))</f>
        <v/>
      </c>
      <c r="D213" s="8" t="str">
        <f t="array" ref="D213">IF(209&gt;$S$1204,"",INDEX($T$5:$AJ$1204,MATCH(209,$S$5:$S$1204,0),4))</f>
        <v/>
      </c>
      <c r="E213" s="8" t="str">
        <f t="array" ref="E213">IF(209&gt;$S$1204,"",INDEX($T$5:$AJ$1204,MATCH(209,$S$5:$S$1204,0),5))</f>
        <v/>
      </c>
      <c r="F213" s="8" t="str">
        <f t="array" ref="F213">IF(209&gt;$S$1204,"",INDEX($T$5:$AJ$1204,MATCH(209,$S$5:$S$1204,0),6))</f>
        <v/>
      </c>
      <c r="G213" s="8" t="str">
        <f t="array" ref="G213">IF(209&gt;$S$1204,"",INDEX($T$5:$AJ$1204,MATCH(209,$S$5:$S$1204,0),7))</f>
        <v/>
      </c>
      <c r="H213" s="8" t="str">
        <f t="array" ref="H213">IF(209&gt;$S$1204,"",INDEX($T$5:$AJ$1204,MATCH(209,$S$5:$S$1204,0),8))</f>
        <v/>
      </c>
      <c r="I213" s="8" t="str">
        <f t="array" ref="I213">IF(209&gt;$S$1204,"",INDEX($T$5:$AJ$1204,MATCH(209,$S$5:$S$1204,0),9))</f>
        <v/>
      </c>
      <c r="J213" s="14" t="str">
        <f t="array" ref="J213">IF(209&gt;$S$1204,"",INDEX($T$5:$AJ$1204,MATCH(209,$S$5:$S$1204,0),10))</f>
        <v/>
      </c>
      <c r="K213" s="8" t="str">
        <f t="array" ref="K213">IF(209&gt;$S$1204,"",INDEX($T$5:$AJ$1204,MATCH(209,$S$5:$S$1204,0),11))</f>
        <v/>
      </c>
      <c r="L213" s="8" t="str">
        <f t="array" ref="L213">IF(209&gt;$S$1204,"",INDEX($T$5:$AJ$1204,MATCH(209,$S$5:$S$1204,0),12))</f>
        <v/>
      </c>
      <c r="M213" s="8" t="str">
        <f t="array" ref="M213">IF(209&gt;$S$1204,"",INDEX($T$5:$AJ$1204,MATCH(209,$S$5:$S$1204,0),13))</f>
        <v/>
      </c>
      <c r="N213" s="8" t="str">
        <f t="array" ref="N213">IF(209&gt;$S$1204,"",INDEX($T$5:$AJ$1204,MATCH(209,$S$5:$S$1204,0),14))</f>
        <v/>
      </c>
      <c r="O213" s="15" t="str">
        <f t="array" ref="O213">IF(209&gt;$S$1204,"",INDEX($T$5:$AJ$1204,MATCH(209,$S$5:$S$1204,0),15))</f>
        <v/>
      </c>
      <c r="P213" s="8" t="str">
        <f t="array" ref="P213">IF(209&gt;$S$1204,"",INDEX($T$5:$AJ$1204,MATCH(209,$S$5:$S$1204,0),16))</f>
        <v/>
      </c>
      <c r="Q213" s="8" t="str">
        <f t="array" ref="Q213">IF(209&gt;$S$1204,"",INDEX($T$5:$AJ$1204,MATCH(209,$S$5:$S$1204,0),17))</f>
        <v/>
      </c>
      <c r="R213" s="17"/>
      <c r="S213" s="17">
        <f>S212+IF(M2_Accesos!A17="",0,1)</f>
        <v>0</v>
      </c>
      <c r="T213" s="17" t="str">
        <f>IF(M2_Accesos!A17="","",IF(M2_Accesos!A17="","",M2_Accesos!A17))</f>
        <v/>
      </c>
      <c r="U213" s="17" t="str">
        <f>IF(M2_Accesos!A17="","",IF(M2_Accesos!R17="","",M2_Accesos!R17))</f>
        <v/>
      </c>
      <c r="V213" s="17" t="str">
        <f>IF(M2_Accesos!A17="","",IF(M2_Accesos!D17="","",M2_Accesos!D17))</f>
        <v/>
      </c>
      <c r="W213" s="17" t="str">
        <f>IF(M2_Accesos!A17="","",IF(M2_Accesos!B17="","",M2_Accesos!B17))</f>
        <v/>
      </c>
      <c r="X213" s="17" t="str">
        <f>IF(M2_Accesos!A17="","",IF(M2_Accesos!C17="","",M2_Accesos!C17))</f>
        <v/>
      </c>
      <c r="Y213" s="17" t="str">
        <f>IF(M2_Accesos!A17="","",IF(M2_Accesos!E17="","",M2_Accesos!E17))</f>
        <v/>
      </c>
      <c r="Z213" s="17" t="str">
        <f>IF(M2_Accesos!A17="","",IF(M2_Accesos!F17="","",M2_Accesos!F17))</f>
        <v/>
      </c>
      <c r="AA213" s="17" t="str">
        <f>IF(M2_Accesos!A17="","","M2 Accesos")</f>
        <v/>
      </c>
      <c r="AB213" s="17" t="str">
        <f>IF(M2_Accesos!A17="","",IF(M2_Accesos!G17="","",M2_Accesos!G17))</f>
        <v/>
      </c>
      <c r="AC213" s="17" t="str">
        <f>IF(M2_Accesos!A17="","",IF(M2_Accesos!M17="","",M2_Accesos!M17))</f>
        <v/>
      </c>
      <c r="AD213" s="17" t="str">
        <f>IF(M2_Accesos!A17="","","RD")</f>
        <v/>
      </c>
      <c r="AE213" s="17" t="str">
        <f>IF(M2_Accesos!A17="","",IF(M2_Accesos!O17="","",M2_Accesos!O17))</f>
        <v/>
      </c>
      <c r="AF213" s="17" t="str">
        <f>IF(M2_Accesos!A17="","",IF(M2_Accesos!P17="","",M2_Accesos!P17))</f>
        <v/>
      </c>
      <c r="AG213" s="17" t="str">
        <f>IF(M2_Accesos!A17="","",IF(M2_Accesos!Q17="","",M2_Accesos!Q17))</f>
        <v/>
      </c>
      <c r="AH213" s="17" t="str">
        <f>IF(M2_Accesos!A17="","",IF(M2_Accesos!J17="","",M2_Accesos!J17))</f>
        <v/>
      </c>
      <c r="AI213" s="17" t="str">
        <f>IF(M2_Accesos!A17="","","M2_Accesos!17")</f>
        <v/>
      </c>
      <c r="AJ213" s="17" t="str">
        <f>IF(M2_Accesos!A17="","",IF(M2_Accesos!M17="","Pendiente de resultado","Disponible"))</f>
        <v/>
      </c>
    </row>
    <row r="214" spans="1:36" ht="55.5" customHeight="1">
      <c r="A214" s="6" t="str">
        <f t="array" ref="A214">IF(210&gt;$S$1204,"",INDEX($T$5:$AJ$1204,MATCH(210,$S$5:$S$1204,0),1))</f>
        <v/>
      </c>
      <c r="B214" s="8" t="str">
        <f t="array" ref="B214">IF(210&gt;$S$1204,"",INDEX($T$5:$AJ$1204,MATCH(210,$S$5:$S$1204,0),2))</f>
        <v/>
      </c>
      <c r="C214" s="10" t="str">
        <f t="array" ref="C214">IF(210&gt;$S$1204,"",INDEX($T$5:$AJ$1204,MATCH(210,$S$5:$S$1204,0),3))</f>
        <v/>
      </c>
      <c r="D214" s="8" t="str">
        <f t="array" ref="D214">IF(210&gt;$S$1204,"",INDEX($T$5:$AJ$1204,MATCH(210,$S$5:$S$1204,0),4))</f>
        <v/>
      </c>
      <c r="E214" s="8" t="str">
        <f t="array" ref="E214">IF(210&gt;$S$1204,"",INDEX($T$5:$AJ$1204,MATCH(210,$S$5:$S$1204,0),5))</f>
        <v/>
      </c>
      <c r="F214" s="8" t="str">
        <f t="array" ref="F214">IF(210&gt;$S$1204,"",INDEX($T$5:$AJ$1204,MATCH(210,$S$5:$S$1204,0),6))</f>
        <v/>
      </c>
      <c r="G214" s="8" t="str">
        <f t="array" ref="G214">IF(210&gt;$S$1204,"",INDEX($T$5:$AJ$1204,MATCH(210,$S$5:$S$1204,0),7))</f>
        <v/>
      </c>
      <c r="H214" s="8" t="str">
        <f t="array" ref="H214">IF(210&gt;$S$1204,"",INDEX($T$5:$AJ$1204,MATCH(210,$S$5:$S$1204,0),8))</f>
        <v/>
      </c>
      <c r="I214" s="8" t="str">
        <f t="array" ref="I214">IF(210&gt;$S$1204,"",INDEX($T$5:$AJ$1204,MATCH(210,$S$5:$S$1204,0),9))</f>
        <v/>
      </c>
      <c r="J214" s="14" t="str">
        <f t="array" ref="J214">IF(210&gt;$S$1204,"",INDEX($T$5:$AJ$1204,MATCH(210,$S$5:$S$1204,0),10))</f>
        <v/>
      </c>
      <c r="K214" s="8" t="str">
        <f t="array" ref="K214">IF(210&gt;$S$1204,"",INDEX($T$5:$AJ$1204,MATCH(210,$S$5:$S$1204,0),11))</f>
        <v/>
      </c>
      <c r="L214" s="8" t="str">
        <f t="array" ref="L214">IF(210&gt;$S$1204,"",INDEX($T$5:$AJ$1204,MATCH(210,$S$5:$S$1204,0),12))</f>
        <v/>
      </c>
      <c r="M214" s="8" t="str">
        <f t="array" ref="M214">IF(210&gt;$S$1204,"",INDEX($T$5:$AJ$1204,MATCH(210,$S$5:$S$1204,0),13))</f>
        <v/>
      </c>
      <c r="N214" s="8" t="str">
        <f t="array" ref="N214">IF(210&gt;$S$1204,"",INDEX($T$5:$AJ$1204,MATCH(210,$S$5:$S$1204,0),14))</f>
        <v/>
      </c>
      <c r="O214" s="15" t="str">
        <f t="array" ref="O214">IF(210&gt;$S$1204,"",INDEX($T$5:$AJ$1204,MATCH(210,$S$5:$S$1204,0),15))</f>
        <v/>
      </c>
      <c r="P214" s="8" t="str">
        <f t="array" ref="P214">IF(210&gt;$S$1204,"",INDEX($T$5:$AJ$1204,MATCH(210,$S$5:$S$1204,0),16))</f>
        <v/>
      </c>
      <c r="Q214" s="8" t="str">
        <f t="array" ref="Q214">IF(210&gt;$S$1204,"",INDEX($T$5:$AJ$1204,MATCH(210,$S$5:$S$1204,0),17))</f>
        <v/>
      </c>
      <c r="R214" s="17"/>
      <c r="S214" s="17">
        <f>S213+IF(M2_Accesos!A18="",0,1)</f>
        <v>0</v>
      </c>
      <c r="T214" s="17" t="str">
        <f>IF(M2_Accesos!A18="","",IF(M2_Accesos!A18="","",M2_Accesos!A18))</f>
        <v/>
      </c>
      <c r="U214" s="17" t="str">
        <f>IF(M2_Accesos!A18="","",IF(M2_Accesos!R18="","",M2_Accesos!R18))</f>
        <v/>
      </c>
      <c r="V214" s="17" t="str">
        <f>IF(M2_Accesos!A18="","",IF(M2_Accesos!D18="","",M2_Accesos!D18))</f>
        <v/>
      </c>
      <c r="W214" s="17" t="str">
        <f>IF(M2_Accesos!A18="","",IF(M2_Accesos!B18="","",M2_Accesos!B18))</f>
        <v/>
      </c>
      <c r="X214" s="17" t="str">
        <f>IF(M2_Accesos!A18="","",IF(M2_Accesos!C18="","",M2_Accesos!C18))</f>
        <v/>
      </c>
      <c r="Y214" s="17" t="str">
        <f>IF(M2_Accesos!A18="","",IF(M2_Accesos!E18="","",M2_Accesos!E18))</f>
        <v/>
      </c>
      <c r="Z214" s="17" t="str">
        <f>IF(M2_Accesos!A18="","",IF(M2_Accesos!F18="","",M2_Accesos!F18))</f>
        <v/>
      </c>
      <c r="AA214" s="17" t="str">
        <f>IF(M2_Accesos!A18="","","M2 Accesos")</f>
        <v/>
      </c>
      <c r="AB214" s="17" t="str">
        <f>IF(M2_Accesos!A18="","",IF(M2_Accesos!G18="","",M2_Accesos!G18))</f>
        <v/>
      </c>
      <c r="AC214" s="17" t="str">
        <f>IF(M2_Accesos!A18="","",IF(M2_Accesos!M18="","",M2_Accesos!M18))</f>
        <v/>
      </c>
      <c r="AD214" s="17" t="str">
        <f>IF(M2_Accesos!A18="","","RD")</f>
        <v/>
      </c>
      <c r="AE214" s="17" t="str">
        <f>IF(M2_Accesos!A18="","",IF(M2_Accesos!O18="","",M2_Accesos!O18))</f>
        <v/>
      </c>
      <c r="AF214" s="17" t="str">
        <f>IF(M2_Accesos!A18="","",IF(M2_Accesos!P18="","",M2_Accesos!P18))</f>
        <v/>
      </c>
      <c r="AG214" s="17" t="str">
        <f>IF(M2_Accesos!A18="","",IF(M2_Accesos!Q18="","",M2_Accesos!Q18))</f>
        <v/>
      </c>
      <c r="AH214" s="17" t="str">
        <f>IF(M2_Accesos!A18="","",IF(M2_Accesos!J18="","",M2_Accesos!J18))</f>
        <v/>
      </c>
      <c r="AI214" s="17" t="str">
        <f>IF(M2_Accesos!A18="","","M2_Accesos!18")</f>
        <v/>
      </c>
      <c r="AJ214" s="17" t="str">
        <f>IF(M2_Accesos!A18="","",IF(M2_Accesos!M18="","Pendiente de resultado","Disponible"))</f>
        <v/>
      </c>
    </row>
    <row r="215" spans="1:36" ht="55.5" customHeight="1">
      <c r="A215" s="6" t="str">
        <f t="array" ref="A215">IF(211&gt;$S$1204,"",INDEX($T$5:$AJ$1204,MATCH(211,$S$5:$S$1204,0),1))</f>
        <v/>
      </c>
      <c r="B215" s="8" t="str">
        <f t="array" ref="B215">IF(211&gt;$S$1204,"",INDEX($T$5:$AJ$1204,MATCH(211,$S$5:$S$1204,0),2))</f>
        <v/>
      </c>
      <c r="C215" s="10" t="str">
        <f t="array" ref="C215">IF(211&gt;$S$1204,"",INDEX($T$5:$AJ$1204,MATCH(211,$S$5:$S$1204,0),3))</f>
        <v/>
      </c>
      <c r="D215" s="8" t="str">
        <f t="array" ref="D215">IF(211&gt;$S$1204,"",INDEX($T$5:$AJ$1204,MATCH(211,$S$5:$S$1204,0),4))</f>
        <v/>
      </c>
      <c r="E215" s="8" t="str">
        <f t="array" ref="E215">IF(211&gt;$S$1204,"",INDEX($T$5:$AJ$1204,MATCH(211,$S$5:$S$1204,0),5))</f>
        <v/>
      </c>
      <c r="F215" s="8" t="str">
        <f t="array" ref="F215">IF(211&gt;$S$1204,"",INDEX($T$5:$AJ$1204,MATCH(211,$S$5:$S$1204,0),6))</f>
        <v/>
      </c>
      <c r="G215" s="8" t="str">
        <f t="array" ref="G215">IF(211&gt;$S$1204,"",INDEX($T$5:$AJ$1204,MATCH(211,$S$5:$S$1204,0),7))</f>
        <v/>
      </c>
      <c r="H215" s="8" t="str">
        <f t="array" ref="H215">IF(211&gt;$S$1204,"",INDEX($T$5:$AJ$1204,MATCH(211,$S$5:$S$1204,0),8))</f>
        <v/>
      </c>
      <c r="I215" s="8" t="str">
        <f t="array" ref="I215">IF(211&gt;$S$1204,"",INDEX($T$5:$AJ$1204,MATCH(211,$S$5:$S$1204,0),9))</f>
        <v/>
      </c>
      <c r="J215" s="14" t="str">
        <f t="array" ref="J215">IF(211&gt;$S$1204,"",INDEX($T$5:$AJ$1204,MATCH(211,$S$5:$S$1204,0),10))</f>
        <v/>
      </c>
      <c r="K215" s="8" t="str">
        <f t="array" ref="K215">IF(211&gt;$S$1204,"",INDEX($T$5:$AJ$1204,MATCH(211,$S$5:$S$1204,0),11))</f>
        <v/>
      </c>
      <c r="L215" s="8" t="str">
        <f t="array" ref="L215">IF(211&gt;$S$1204,"",INDEX($T$5:$AJ$1204,MATCH(211,$S$5:$S$1204,0),12))</f>
        <v/>
      </c>
      <c r="M215" s="8" t="str">
        <f t="array" ref="M215">IF(211&gt;$S$1204,"",INDEX($T$5:$AJ$1204,MATCH(211,$S$5:$S$1204,0),13))</f>
        <v/>
      </c>
      <c r="N215" s="8" t="str">
        <f t="array" ref="N215">IF(211&gt;$S$1204,"",INDEX($T$5:$AJ$1204,MATCH(211,$S$5:$S$1204,0),14))</f>
        <v/>
      </c>
      <c r="O215" s="15" t="str">
        <f t="array" ref="O215">IF(211&gt;$S$1204,"",INDEX($T$5:$AJ$1204,MATCH(211,$S$5:$S$1204,0),15))</f>
        <v/>
      </c>
      <c r="P215" s="8" t="str">
        <f t="array" ref="P215">IF(211&gt;$S$1204,"",INDEX($T$5:$AJ$1204,MATCH(211,$S$5:$S$1204,0),16))</f>
        <v/>
      </c>
      <c r="Q215" s="8" t="str">
        <f t="array" ref="Q215">IF(211&gt;$S$1204,"",INDEX($T$5:$AJ$1204,MATCH(211,$S$5:$S$1204,0),17))</f>
        <v/>
      </c>
      <c r="R215" s="17"/>
      <c r="S215" s="17">
        <f>S214+IF(M2_Accesos!A19="",0,1)</f>
        <v>0</v>
      </c>
      <c r="T215" s="17" t="str">
        <f>IF(M2_Accesos!A19="","",IF(M2_Accesos!A19="","",M2_Accesos!A19))</f>
        <v/>
      </c>
      <c r="U215" s="17" t="str">
        <f>IF(M2_Accesos!A19="","",IF(M2_Accesos!R19="","",M2_Accesos!R19))</f>
        <v/>
      </c>
      <c r="V215" s="17" t="str">
        <f>IF(M2_Accesos!A19="","",IF(M2_Accesos!D19="","",M2_Accesos!D19))</f>
        <v/>
      </c>
      <c r="W215" s="17" t="str">
        <f>IF(M2_Accesos!A19="","",IF(M2_Accesos!B19="","",M2_Accesos!B19))</f>
        <v/>
      </c>
      <c r="X215" s="17" t="str">
        <f>IF(M2_Accesos!A19="","",IF(M2_Accesos!C19="","",M2_Accesos!C19))</f>
        <v/>
      </c>
      <c r="Y215" s="17" t="str">
        <f>IF(M2_Accesos!A19="","",IF(M2_Accesos!E19="","",M2_Accesos!E19))</f>
        <v/>
      </c>
      <c r="Z215" s="17" t="str">
        <f>IF(M2_Accesos!A19="","",IF(M2_Accesos!F19="","",M2_Accesos!F19))</f>
        <v/>
      </c>
      <c r="AA215" s="17" t="str">
        <f>IF(M2_Accesos!A19="","","M2 Accesos")</f>
        <v/>
      </c>
      <c r="AB215" s="17" t="str">
        <f>IF(M2_Accesos!A19="","",IF(M2_Accesos!G19="","",M2_Accesos!G19))</f>
        <v/>
      </c>
      <c r="AC215" s="17" t="str">
        <f>IF(M2_Accesos!A19="","",IF(M2_Accesos!M19="","",M2_Accesos!M19))</f>
        <v/>
      </c>
      <c r="AD215" s="17" t="str">
        <f>IF(M2_Accesos!A19="","","RD")</f>
        <v/>
      </c>
      <c r="AE215" s="17" t="str">
        <f>IF(M2_Accesos!A19="","",IF(M2_Accesos!O19="","",M2_Accesos!O19))</f>
        <v/>
      </c>
      <c r="AF215" s="17" t="str">
        <f>IF(M2_Accesos!A19="","",IF(M2_Accesos!P19="","",M2_Accesos!P19))</f>
        <v/>
      </c>
      <c r="AG215" s="17" t="str">
        <f>IF(M2_Accesos!A19="","",IF(M2_Accesos!Q19="","",M2_Accesos!Q19))</f>
        <v/>
      </c>
      <c r="AH215" s="17" t="str">
        <f>IF(M2_Accesos!A19="","",IF(M2_Accesos!J19="","",M2_Accesos!J19))</f>
        <v/>
      </c>
      <c r="AI215" s="17" t="str">
        <f>IF(M2_Accesos!A19="","","M2_Accesos!19")</f>
        <v/>
      </c>
      <c r="AJ215" s="17" t="str">
        <f>IF(M2_Accesos!A19="","",IF(M2_Accesos!M19="","Pendiente de resultado","Disponible"))</f>
        <v/>
      </c>
    </row>
    <row r="216" spans="1:36" ht="55.5" customHeight="1">
      <c r="A216" s="6" t="str">
        <f t="array" ref="A216">IF(212&gt;$S$1204,"",INDEX($T$5:$AJ$1204,MATCH(212,$S$5:$S$1204,0),1))</f>
        <v/>
      </c>
      <c r="B216" s="8" t="str">
        <f t="array" ref="B216">IF(212&gt;$S$1204,"",INDEX($T$5:$AJ$1204,MATCH(212,$S$5:$S$1204,0),2))</f>
        <v/>
      </c>
      <c r="C216" s="10" t="str">
        <f t="array" ref="C216">IF(212&gt;$S$1204,"",INDEX($T$5:$AJ$1204,MATCH(212,$S$5:$S$1204,0),3))</f>
        <v/>
      </c>
      <c r="D216" s="8" t="str">
        <f t="array" ref="D216">IF(212&gt;$S$1204,"",INDEX($T$5:$AJ$1204,MATCH(212,$S$5:$S$1204,0),4))</f>
        <v/>
      </c>
      <c r="E216" s="8" t="str">
        <f t="array" ref="E216">IF(212&gt;$S$1204,"",INDEX($T$5:$AJ$1204,MATCH(212,$S$5:$S$1204,0),5))</f>
        <v/>
      </c>
      <c r="F216" s="8" t="str">
        <f t="array" ref="F216">IF(212&gt;$S$1204,"",INDEX($T$5:$AJ$1204,MATCH(212,$S$5:$S$1204,0),6))</f>
        <v/>
      </c>
      <c r="G216" s="8" t="str">
        <f t="array" ref="G216">IF(212&gt;$S$1204,"",INDEX($T$5:$AJ$1204,MATCH(212,$S$5:$S$1204,0),7))</f>
        <v/>
      </c>
      <c r="H216" s="8" t="str">
        <f t="array" ref="H216">IF(212&gt;$S$1204,"",INDEX($T$5:$AJ$1204,MATCH(212,$S$5:$S$1204,0),8))</f>
        <v/>
      </c>
      <c r="I216" s="8" t="str">
        <f t="array" ref="I216">IF(212&gt;$S$1204,"",INDEX($T$5:$AJ$1204,MATCH(212,$S$5:$S$1204,0),9))</f>
        <v/>
      </c>
      <c r="J216" s="14" t="str">
        <f t="array" ref="J216">IF(212&gt;$S$1204,"",INDEX($T$5:$AJ$1204,MATCH(212,$S$5:$S$1204,0),10))</f>
        <v/>
      </c>
      <c r="K216" s="8" t="str">
        <f t="array" ref="K216">IF(212&gt;$S$1204,"",INDEX($T$5:$AJ$1204,MATCH(212,$S$5:$S$1204,0),11))</f>
        <v/>
      </c>
      <c r="L216" s="8" t="str">
        <f t="array" ref="L216">IF(212&gt;$S$1204,"",INDEX($T$5:$AJ$1204,MATCH(212,$S$5:$S$1204,0),12))</f>
        <v/>
      </c>
      <c r="M216" s="8" t="str">
        <f t="array" ref="M216">IF(212&gt;$S$1204,"",INDEX($T$5:$AJ$1204,MATCH(212,$S$5:$S$1204,0),13))</f>
        <v/>
      </c>
      <c r="N216" s="8" t="str">
        <f t="array" ref="N216">IF(212&gt;$S$1204,"",INDEX($T$5:$AJ$1204,MATCH(212,$S$5:$S$1204,0),14))</f>
        <v/>
      </c>
      <c r="O216" s="15" t="str">
        <f t="array" ref="O216">IF(212&gt;$S$1204,"",INDEX($T$5:$AJ$1204,MATCH(212,$S$5:$S$1204,0),15))</f>
        <v/>
      </c>
      <c r="P216" s="8" t="str">
        <f t="array" ref="P216">IF(212&gt;$S$1204,"",INDEX($T$5:$AJ$1204,MATCH(212,$S$5:$S$1204,0),16))</f>
        <v/>
      </c>
      <c r="Q216" s="8" t="str">
        <f t="array" ref="Q216">IF(212&gt;$S$1204,"",INDEX($T$5:$AJ$1204,MATCH(212,$S$5:$S$1204,0),17))</f>
        <v/>
      </c>
      <c r="R216" s="17"/>
      <c r="S216" s="17">
        <f>S215+IF(M2_Accesos!A20="",0,1)</f>
        <v>0</v>
      </c>
      <c r="T216" s="17" t="str">
        <f>IF(M2_Accesos!A20="","",IF(M2_Accesos!A20="","",M2_Accesos!A20))</f>
        <v/>
      </c>
      <c r="U216" s="17" t="str">
        <f>IF(M2_Accesos!A20="","",IF(M2_Accesos!R20="","",M2_Accesos!R20))</f>
        <v/>
      </c>
      <c r="V216" s="17" t="str">
        <f>IF(M2_Accesos!A20="","",IF(M2_Accesos!D20="","",M2_Accesos!D20))</f>
        <v/>
      </c>
      <c r="W216" s="17" t="str">
        <f>IF(M2_Accesos!A20="","",IF(M2_Accesos!B20="","",M2_Accesos!B20))</f>
        <v/>
      </c>
      <c r="X216" s="17" t="str">
        <f>IF(M2_Accesos!A20="","",IF(M2_Accesos!C20="","",M2_Accesos!C20))</f>
        <v/>
      </c>
      <c r="Y216" s="17" t="str">
        <f>IF(M2_Accesos!A20="","",IF(M2_Accesos!E20="","",M2_Accesos!E20))</f>
        <v/>
      </c>
      <c r="Z216" s="17" t="str">
        <f>IF(M2_Accesos!A20="","",IF(M2_Accesos!F20="","",M2_Accesos!F20))</f>
        <v/>
      </c>
      <c r="AA216" s="17" t="str">
        <f>IF(M2_Accesos!A20="","","M2 Accesos")</f>
        <v/>
      </c>
      <c r="AB216" s="17" t="str">
        <f>IF(M2_Accesos!A20="","",IF(M2_Accesos!G20="","",M2_Accesos!G20))</f>
        <v/>
      </c>
      <c r="AC216" s="17" t="str">
        <f>IF(M2_Accesos!A20="","",IF(M2_Accesos!M20="","",M2_Accesos!M20))</f>
        <v/>
      </c>
      <c r="AD216" s="17" t="str">
        <f>IF(M2_Accesos!A20="","","RD")</f>
        <v/>
      </c>
      <c r="AE216" s="17" t="str">
        <f>IF(M2_Accesos!A20="","",IF(M2_Accesos!O20="","",M2_Accesos!O20))</f>
        <v/>
      </c>
      <c r="AF216" s="17" t="str">
        <f>IF(M2_Accesos!A20="","",IF(M2_Accesos!P20="","",M2_Accesos!P20))</f>
        <v/>
      </c>
      <c r="AG216" s="17" t="str">
        <f>IF(M2_Accesos!A20="","",IF(M2_Accesos!Q20="","",M2_Accesos!Q20))</f>
        <v/>
      </c>
      <c r="AH216" s="17" t="str">
        <f>IF(M2_Accesos!A20="","",IF(M2_Accesos!J20="","",M2_Accesos!J20))</f>
        <v/>
      </c>
      <c r="AI216" s="17" t="str">
        <f>IF(M2_Accesos!A20="","","M2_Accesos!20")</f>
        <v/>
      </c>
      <c r="AJ216" s="17" t="str">
        <f>IF(M2_Accesos!A20="","",IF(M2_Accesos!M20="","Pendiente de resultado","Disponible"))</f>
        <v/>
      </c>
    </row>
    <row r="217" spans="1:36" ht="55.5" customHeight="1">
      <c r="A217" s="6" t="str">
        <f t="array" ref="A217">IF(213&gt;$S$1204,"",INDEX($T$5:$AJ$1204,MATCH(213,$S$5:$S$1204,0),1))</f>
        <v/>
      </c>
      <c r="B217" s="8" t="str">
        <f t="array" ref="B217">IF(213&gt;$S$1204,"",INDEX($T$5:$AJ$1204,MATCH(213,$S$5:$S$1204,0),2))</f>
        <v/>
      </c>
      <c r="C217" s="10" t="str">
        <f t="array" ref="C217">IF(213&gt;$S$1204,"",INDEX($T$5:$AJ$1204,MATCH(213,$S$5:$S$1204,0),3))</f>
        <v/>
      </c>
      <c r="D217" s="8" t="str">
        <f t="array" ref="D217">IF(213&gt;$S$1204,"",INDEX($T$5:$AJ$1204,MATCH(213,$S$5:$S$1204,0),4))</f>
        <v/>
      </c>
      <c r="E217" s="8" t="str">
        <f t="array" ref="E217">IF(213&gt;$S$1204,"",INDEX($T$5:$AJ$1204,MATCH(213,$S$5:$S$1204,0),5))</f>
        <v/>
      </c>
      <c r="F217" s="8" t="str">
        <f t="array" ref="F217">IF(213&gt;$S$1204,"",INDEX($T$5:$AJ$1204,MATCH(213,$S$5:$S$1204,0),6))</f>
        <v/>
      </c>
      <c r="G217" s="8" t="str">
        <f t="array" ref="G217">IF(213&gt;$S$1204,"",INDEX($T$5:$AJ$1204,MATCH(213,$S$5:$S$1204,0),7))</f>
        <v/>
      </c>
      <c r="H217" s="8" t="str">
        <f t="array" ref="H217">IF(213&gt;$S$1204,"",INDEX($T$5:$AJ$1204,MATCH(213,$S$5:$S$1204,0),8))</f>
        <v/>
      </c>
      <c r="I217" s="8" t="str">
        <f t="array" ref="I217">IF(213&gt;$S$1204,"",INDEX($T$5:$AJ$1204,MATCH(213,$S$5:$S$1204,0),9))</f>
        <v/>
      </c>
      <c r="J217" s="14" t="str">
        <f t="array" ref="J217">IF(213&gt;$S$1204,"",INDEX($T$5:$AJ$1204,MATCH(213,$S$5:$S$1204,0),10))</f>
        <v/>
      </c>
      <c r="K217" s="8" t="str">
        <f t="array" ref="K217">IF(213&gt;$S$1204,"",INDEX($T$5:$AJ$1204,MATCH(213,$S$5:$S$1204,0),11))</f>
        <v/>
      </c>
      <c r="L217" s="8" t="str">
        <f t="array" ref="L217">IF(213&gt;$S$1204,"",INDEX($T$5:$AJ$1204,MATCH(213,$S$5:$S$1204,0),12))</f>
        <v/>
      </c>
      <c r="M217" s="8" t="str">
        <f t="array" ref="M217">IF(213&gt;$S$1204,"",INDEX($T$5:$AJ$1204,MATCH(213,$S$5:$S$1204,0),13))</f>
        <v/>
      </c>
      <c r="N217" s="8" t="str">
        <f t="array" ref="N217">IF(213&gt;$S$1204,"",INDEX($T$5:$AJ$1204,MATCH(213,$S$5:$S$1204,0),14))</f>
        <v/>
      </c>
      <c r="O217" s="15" t="str">
        <f t="array" ref="O217">IF(213&gt;$S$1204,"",INDEX($T$5:$AJ$1204,MATCH(213,$S$5:$S$1204,0),15))</f>
        <v/>
      </c>
      <c r="P217" s="8" t="str">
        <f t="array" ref="P217">IF(213&gt;$S$1204,"",INDEX($T$5:$AJ$1204,MATCH(213,$S$5:$S$1204,0),16))</f>
        <v/>
      </c>
      <c r="Q217" s="8" t="str">
        <f t="array" ref="Q217">IF(213&gt;$S$1204,"",INDEX($T$5:$AJ$1204,MATCH(213,$S$5:$S$1204,0),17))</f>
        <v/>
      </c>
      <c r="R217" s="17"/>
      <c r="S217" s="17">
        <f>S216+IF(M2_Accesos!A21="",0,1)</f>
        <v>0</v>
      </c>
      <c r="T217" s="17" t="str">
        <f>IF(M2_Accesos!A21="","",IF(M2_Accesos!A21="","",M2_Accesos!A21))</f>
        <v/>
      </c>
      <c r="U217" s="17" t="str">
        <f>IF(M2_Accesos!A21="","",IF(M2_Accesos!R21="","",M2_Accesos!R21))</f>
        <v/>
      </c>
      <c r="V217" s="17" t="str">
        <f>IF(M2_Accesos!A21="","",IF(M2_Accesos!D21="","",M2_Accesos!D21))</f>
        <v/>
      </c>
      <c r="W217" s="17" t="str">
        <f>IF(M2_Accesos!A21="","",IF(M2_Accesos!B21="","",M2_Accesos!B21))</f>
        <v/>
      </c>
      <c r="X217" s="17" t="str">
        <f>IF(M2_Accesos!A21="","",IF(M2_Accesos!C21="","",M2_Accesos!C21))</f>
        <v/>
      </c>
      <c r="Y217" s="17" t="str">
        <f>IF(M2_Accesos!A21="","",IF(M2_Accesos!E21="","",M2_Accesos!E21))</f>
        <v/>
      </c>
      <c r="Z217" s="17" t="str">
        <f>IF(M2_Accesos!A21="","",IF(M2_Accesos!F21="","",M2_Accesos!F21))</f>
        <v/>
      </c>
      <c r="AA217" s="17" t="str">
        <f>IF(M2_Accesos!A21="","","M2 Accesos")</f>
        <v/>
      </c>
      <c r="AB217" s="17" t="str">
        <f>IF(M2_Accesos!A21="","",IF(M2_Accesos!G21="","",M2_Accesos!G21))</f>
        <v/>
      </c>
      <c r="AC217" s="17" t="str">
        <f>IF(M2_Accesos!A21="","",IF(M2_Accesos!M21="","",M2_Accesos!M21))</f>
        <v/>
      </c>
      <c r="AD217" s="17" t="str">
        <f>IF(M2_Accesos!A21="","","RD")</f>
        <v/>
      </c>
      <c r="AE217" s="17" t="str">
        <f>IF(M2_Accesos!A21="","",IF(M2_Accesos!O21="","",M2_Accesos!O21))</f>
        <v/>
      </c>
      <c r="AF217" s="17" t="str">
        <f>IF(M2_Accesos!A21="","",IF(M2_Accesos!P21="","",M2_Accesos!P21))</f>
        <v/>
      </c>
      <c r="AG217" s="17" t="str">
        <f>IF(M2_Accesos!A21="","",IF(M2_Accesos!Q21="","",M2_Accesos!Q21))</f>
        <v/>
      </c>
      <c r="AH217" s="17" t="str">
        <f>IF(M2_Accesos!A21="","",IF(M2_Accesos!J21="","",M2_Accesos!J21))</f>
        <v/>
      </c>
      <c r="AI217" s="17" t="str">
        <f>IF(M2_Accesos!A21="","","M2_Accesos!21")</f>
        <v/>
      </c>
      <c r="AJ217" s="17" t="str">
        <f>IF(M2_Accesos!A21="","",IF(M2_Accesos!M21="","Pendiente de resultado","Disponible"))</f>
        <v/>
      </c>
    </row>
    <row r="218" spans="1:36" ht="55.5" customHeight="1">
      <c r="A218" s="6" t="str">
        <f t="array" ref="A218">IF(214&gt;$S$1204,"",INDEX($T$5:$AJ$1204,MATCH(214,$S$5:$S$1204,0),1))</f>
        <v/>
      </c>
      <c r="B218" s="8" t="str">
        <f t="array" ref="B218">IF(214&gt;$S$1204,"",INDEX($T$5:$AJ$1204,MATCH(214,$S$5:$S$1204,0),2))</f>
        <v/>
      </c>
      <c r="C218" s="10" t="str">
        <f t="array" ref="C218">IF(214&gt;$S$1204,"",INDEX($T$5:$AJ$1204,MATCH(214,$S$5:$S$1204,0),3))</f>
        <v/>
      </c>
      <c r="D218" s="8" t="str">
        <f t="array" ref="D218">IF(214&gt;$S$1204,"",INDEX($T$5:$AJ$1204,MATCH(214,$S$5:$S$1204,0),4))</f>
        <v/>
      </c>
      <c r="E218" s="8" t="str">
        <f t="array" ref="E218">IF(214&gt;$S$1204,"",INDEX($T$5:$AJ$1204,MATCH(214,$S$5:$S$1204,0),5))</f>
        <v/>
      </c>
      <c r="F218" s="8" t="str">
        <f t="array" ref="F218">IF(214&gt;$S$1204,"",INDEX($T$5:$AJ$1204,MATCH(214,$S$5:$S$1204,0),6))</f>
        <v/>
      </c>
      <c r="G218" s="8" t="str">
        <f t="array" ref="G218">IF(214&gt;$S$1204,"",INDEX($T$5:$AJ$1204,MATCH(214,$S$5:$S$1204,0),7))</f>
        <v/>
      </c>
      <c r="H218" s="8" t="str">
        <f t="array" ref="H218">IF(214&gt;$S$1204,"",INDEX($T$5:$AJ$1204,MATCH(214,$S$5:$S$1204,0),8))</f>
        <v/>
      </c>
      <c r="I218" s="8" t="str">
        <f t="array" ref="I218">IF(214&gt;$S$1204,"",INDEX($T$5:$AJ$1204,MATCH(214,$S$5:$S$1204,0),9))</f>
        <v/>
      </c>
      <c r="J218" s="14" t="str">
        <f t="array" ref="J218">IF(214&gt;$S$1204,"",INDEX($T$5:$AJ$1204,MATCH(214,$S$5:$S$1204,0),10))</f>
        <v/>
      </c>
      <c r="K218" s="8" t="str">
        <f t="array" ref="K218">IF(214&gt;$S$1204,"",INDEX($T$5:$AJ$1204,MATCH(214,$S$5:$S$1204,0),11))</f>
        <v/>
      </c>
      <c r="L218" s="8" t="str">
        <f t="array" ref="L218">IF(214&gt;$S$1204,"",INDEX($T$5:$AJ$1204,MATCH(214,$S$5:$S$1204,0),12))</f>
        <v/>
      </c>
      <c r="M218" s="8" t="str">
        <f t="array" ref="M218">IF(214&gt;$S$1204,"",INDEX($T$5:$AJ$1204,MATCH(214,$S$5:$S$1204,0),13))</f>
        <v/>
      </c>
      <c r="N218" s="8" t="str">
        <f t="array" ref="N218">IF(214&gt;$S$1204,"",INDEX($T$5:$AJ$1204,MATCH(214,$S$5:$S$1204,0),14))</f>
        <v/>
      </c>
      <c r="O218" s="15" t="str">
        <f t="array" ref="O218">IF(214&gt;$S$1204,"",INDEX($T$5:$AJ$1204,MATCH(214,$S$5:$S$1204,0),15))</f>
        <v/>
      </c>
      <c r="P218" s="8" t="str">
        <f t="array" ref="P218">IF(214&gt;$S$1204,"",INDEX($T$5:$AJ$1204,MATCH(214,$S$5:$S$1204,0),16))</f>
        <v/>
      </c>
      <c r="Q218" s="8" t="str">
        <f t="array" ref="Q218">IF(214&gt;$S$1204,"",INDEX($T$5:$AJ$1204,MATCH(214,$S$5:$S$1204,0),17))</f>
        <v/>
      </c>
      <c r="R218" s="17"/>
      <c r="S218" s="17">
        <f>S217+IF(M2_Accesos!A22="",0,1)</f>
        <v>0</v>
      </c>
      <c r="T218" s="17" t="str">
        <f>IF(M2_Accesos!A22="","",IF(M2_Accesos!A22="","",M2_Accesos!A22))</f>
        <v/>
      </c>
      <c r="U218" s="17" t="str">
        <f>IF(M2_Accesos!A22="","",IF(M2_Accesos!R22="","",M2_Accesos!R22))</f>
        <v/>
      </c>
      <c r="V218" s="17" t="str">
        <f>IF(M2_Accesos!A22="","",IF(M2_Accesos!D22="","",M2_Accesos!D22))</f>
        <v/>
      </c>
      <c r="W218" s="17" t="str">
        <f>IF(M2_Accesos!A22="","",IF(M2_Accesos!B22="","",M2_Accesos!B22))</f>
        <v/>
      </c>
      <c r="X218" s="17" t="str">
        <f>IF(M2_Accesos!A22="","",IF(M2_Accesos!C22="","",M2_Accesos!C22))</f>
        <v/>
      </c>
      <c r="Y218" s="17" t="str">
        <f>IF(M2_Accesos!A22="","",IF(M2_Accesos!E22="","",M2_Accesos!E22))</f>
        <v/>
      </c>
      <c r="Z218" s="17" t="str">
        <f>IF(M2_Accesos!A22="","",IF(M2_Accesos!F22="","",M2_Accesos!F22))</f>
        <v/>
      </c>
      <c r="AA218" s="17" t="str">
        <f>IF(M2_Accesos!A22="","","M2 Accesos")</f>
        <v/>
      </c>
      <c r="AB218" s="17" t="str">
        <f>IF(M2_Accesos!A22="","",IF(M2_Accesos!G22="","",M2_Accesos!G22))</f>
        <v/>
      </c>
      <c r="AC218" s="17" t="str">
        <f>IF(M2_Accesos!A22="","",IF(M2_Accesos!M22="","",M2_Accesos!M22))</f>
        <v/>
      </c>
      <c r="AD218" s="17" t="str">
        <f>IF(M2_Accesos!A22="","","RD")</f>
        <v/>
      </c>
      <c r="AE218" s="17" t="str">
        <f>IF(M2_Accesos!A22="","",IF(M2_Accesos!O22="","",M2_Accesos!O22))</f>
        <v/>
      </c>
      <c r="AF218" s="17" t="str">
        <f>IF(M2_Accesos!A22="","",IF(M2_Accesos!P22="","",M2_Accesos!P22))</f>
        <v/>
      </c>
      <c r="AG218" s="17" t="str">
        <f>IF(M2_Accesos!A22="","",IF(M2_Accesos!Q22="","",M2_Accesos!Q22))</f>
        <v/>
      </c>
      <c r="AH218" s="17" t="str">
        <f>IF(M2_Accesos!A22="","",IF(M2_Accesos!J22="","",M2_Accesos!J22))</f>
        <v/>
      </c>
      <c r="AI218" s="17" t="str">
        <f>IF(M2_Accesos!A22="","","M2_Accesos!22")</f>
        <v/>
      </c>
      <c r="AJ218" s="17" t="str">
        <f>IF(M2_Accesos!A22="","",IF(M2_Accesos!M22="","Pendiente de resultado","Disponible"))</f>
        <v/>
      </c>
    </row>
    <row r="219" spans="1:36" ht="55.5" customHeight="1">
      <c r="A219" s="6" t="str">
        <f t="array" ref="A219">IF(215&gt;$S$1204,"",INDEX($T$5:$AJ$1204,MATCH(215,$S$5:$S$1204,0),1))</f>
        <v/>
      </c>
      <c r="B219" s="8" t="str">
        <f t="array" ref="B219">IF(215&gt;$S$1204,"",INDEX($T$5:$AJ$1204,MATCH(215,$S$5:$S$1204,0),2))</f>
        <v/>
      </c>
      <c r="C219" s="10" t="str">
        <f t="array" ref="C219">IF(215&gt;$S$1204,"",INDEX($T$5:$AJ$1204,MATCH(215,$S$5:$S$1204,0),3))</f>
        <v/>
      </c>
      <c r="D219" s="8" t="str">
        <f t="array" ref="D219">IF(215&gt;$S$1204,"",INDEX($T$5:$AJ$1204,MATCH(215,$S$5:$S$1204,0),4))</f>
        <v/>
      </c>
      <c r="E219" s="8" t="str">
        <f t="array" ref="E219">IF(215&gt;$S$1204,"",INDEX($T$5:$AJ$1204,MATCH(215,$S$5:$S$1204,0),5))</f>
        <v/>
      </c>
      <c r="F219" s="8" t="str">
        <f t="array" ref="F219">IF(215&gt;$S$1204,"",INDEX($T$5:$AJ$1204,MATCH(215,$S$5:$S$1204,0),6))</f>
        <v/>
      </c>
      <c r="G219" s="8" t="str">
        <f t="array" ref="G219">IF(215&gt;$S$1204,"",INDEX($T$5:$AJ$1204,MATCH(215,$S$5:$S$1204,0),7))</f>
        <v/>
      </c>
      <c r="H219" s="8" t="str">
        <f t="array" ref="H219">IF(215&gt;$S$1204,"",INDEX($T$5:$AJ$1204,MATCH(215,$S$5:$S$1204,0),8))</f>
        <v/>
      </c>
      <c r="I219" s="8" t="str">
        <f t="array" ref="I219">IF(215&gt;$S$1204,"",INDEX($T$5:$AJ$1204,MATCH(215,$S$5:$S$1204,0),9))</f>
        <v/>
      </c>
      <c r="J219" s="14" t="str">
        <f t="array" ref="J219">IF(215&gt;$S$1204,"",INDEX($T$5:$AJ$1204,MATCH(215,$S$5:$S$1204,0),10))</f>
        <v/>
      </c>
      <c r="K219" s="8" t="str">
        <f t="array" ref="K219">IF(215&gt;$S$1204,"",INDEX($T$5:$AJ$1204,MATCH(215,$S$5:$S$1204,0),11))</f>
        <v/>
      </c>
      <c r="L219" s="8" t="str">
        <f t="array" ref="L219">IF(215&gt;$S$1204,"",INDEX($T$5:$AJ$1204,MATCH(215,$S$5:$S$1204,0),12))</f>
        <v/>
      </c>
      <c r="M219" s="8" t="str">
        <f t="array" ref="M219">IF(215&gt;$S$1204,"",INDEX($T$5:$AJ$1204,MATCH(215,$S$5:$S$1204,0),13))</f>
        <v/>
      </c>
      <c r="N219" s="8" t="str">
        <f t="array" ref="N219">IF(215&gt;$S$1204,"",INDEX($T$5:$AJ$1204,MATCH(215,$S$5:$S$1204,0),14))</f>
        <v/>
      </c>
      <c r="O219" s="15" t="str">
        <f t="array" ref="O219">IF(215&gt;$S$1204,"",INDEX($T$5:$AJ$1204,MATCH(215,$S$5:$S$1204,0),15))</f>
        <v/>
      </c>
      <c r="P219" s="8" t="str">
        <f t="array" ref="P219">IF(215&gt;$S$1204,"",INDEX($T$5:$AJ$1204,MATCH(215,$S$5:$S$1204,0),16))</f>
        <v/>
      </c>
      <c r="Q219" s="8" t="str">
        <f t="array" ref="Q219">IF(215&gt;$S$1204,"",INDEX($T$5:$AJ$1204,MATCH(215,$S$5:$S$1204,0),17))</f>
        <v/>
      </c>
      <c r="R219" s="17"/>
      <c r="S219" s="17">
        <f>S218+IF(M2_Accesos!A23="",0,1)</f>
        <v>0</v>
      </c>
      <c r="T219" s="17" t="str">
        <f>IF(M2_Accesos!A23="","",IF(M2_Accesos!A23="","",M2_Accesos!A23))</f>
        <v/>
      </c>
      <c r="U219" s="17" t="str">
        <f>IF(M2_Accesos!A23="","",IF(M2_Accesos!R23="","",M2_Accesos!R23))</f>
        <v/>
      </c>
      <c r="V219" s="17" t="str">
        <f>IF(M2_Accesos!A23="","",IF(M2_Accesos!D23="","",M2_Accesos!D23))</f>
        <v/>
      </c>
      <c r="W219" s="17" t="str">
        <f>IF(M2_Accesos!A23="","",IF(M2_Accesos!B23="","",M2_Accesos!B23))</f>
        <v/>
      </c>
      <c r="X219" s="17" t="str">
        <f>IF(M2_Accesos!A23="","",IF(M2_Accesos!C23="","",M2_Accesos!C23))</f>
        <v/>
      </c>
      <c r="Y219" s="17" t="str">
        <f>IF(M2_Accesos!A23="","",IF(M2_Accesos!E23="","",M2_Accesos!E23))</f>
        <v/>
      </c>
      <c r="Z219" s="17" t="str">
        <f>IF(M2_Accesos!A23="","",IF(M2_Accesos!F23="","",M2_Accesos!F23))</f>
        <v/>
      </c>
      <c r="AA219" s="17" t="str">
        <f>IF(M2_Accesos!A23="","","M2 Accesos")</f>
        <v/>
      </c>
      <c r="AB219" s="17" t="str">
        <f>IF(M2_Accesos!A23="","",IF(M2_Accesos!G23="","",M2_Accesos!G23))</f>
        <v/>
      </c>
      <c r="AC219" s="17" t="str">
        <f>IF(M2_Accesos!A23="","",IF(M2_Accesos!M23="","",M2_Accesos!M23))</f>
        <v/>
      </c>
      <c r="AD219" s="17" t="str">
        <f>IF(M2_Accesos!A23="","","RD")</f>
        <v/>
      </c>
      <c r="AE219" s="17" t="str">
        <f>IF(M2_Accesos!A23="","",IF(M2_Accesos!O23="","",M2_Accesos!O23))</f>
        <v/>
      </c>
      <c r="AF219" s="17" t="str">
        <f>IF(M2_Accesos!A23="","",IF(M2_Accesos!P23="","",M2_Accesos!P23))</f>
        <v/>
      </c>
      <c r="AG219" s="17" t="str">
        <f>IF(M2_Accesos!A23="","",IF(M2_Accesos!Q23="","",M2_Accesos!Q23))</f>
        <v/>
      </c>
      <c r="AH219" s="17" t="str">
        <f>IF(M2_Accesos!A23="","",IF(M2_Accesos!J23="","",M2_Accesos!J23))</f>
        <v/>
      </c>
      <c r="AI219" s="17" t="str">
        <f>IF(M2_Accesos!A23="","","M2_Accesos!23")</f>
        <v/>
      </c>
      <c r="AJ219" s="17" t="str">
        <f>IF(M2_Accesos!A23="","",IF(M2_Accesos!M23="","Pendiente de resultado","Disponible"))</f>
        <v/>
      </c>
    </row>
    <row r="220" spans="1:36" ht="55.5" customHeight="1">
      <c r="A220" s="6" t="str">
        <f t="array" ref="A220">IF(216&gt;$S$1204,"",INDEX($T$5:$AJ$1204,MATCH(216,$S$5:$S$1204,0),1))</f>
        <v/>
      </c>
      <c r="B220" s="8" t="str">
        <f t="array" ref="B220">IF(216&gt;$S$1204,"",INDEX($T$5:$AJ$1204,MATCH(216,$S$5:$S$1204,0),2))</f>
        <v/>
      </c>
      <c r="C220" s="10" t="str">
        <f t="array" ref="C220">IF(216&gt;$S$1204,"",INDEX($T$5:$AJ$1204,MATCH(216,$S$5:$S$1204,0),3))</f>
        <v/>
      </c>
      <c r="D220" s="8" t="str">
        <f t="array" ref="D220">IF(216&gt;$S$1204,"",INDEX($T$5:$AJ$1204,MATCH(216,$S$5:$S$1204,0),4))</f>
        <v/>
      </c>
      <c r="E220" s="8" t="str">
        <f t="array" ref="E220">IF(216&gt;$S$1204,"",INDEX($T$5:$AJ$1204,MATCH(216,$S$5:$S$1204,0),5))</f>
        <v/>
      </c>
      <c r="F220" s="8" t="str">
        <f t="array" ref="F220">IF(216&gt;$S$1204,"",INDEX($T$5:$AJ$1204,MATCH(216,$S$5:$S$1204,0),6))</f>
        <v/>
      </c>
      <c r="G220" s="8" t="str">
        <f t="array" ref="G220">IF(216&gt;$S$1204,"",INDEX($T$5:$AJ$1204,MATCH(216,$S$5:$S$1204,0),7))</f>
        <v/>
      </c>
      <c r="H220" s="8" t="str">
        <f t="array" ref="H220">IF(216&gt;$S$1204,"",INDEX($T$5:$AJ$1204,MATCH(216,$S$5:$S$1204,0),8))</f>
        <v/>
      </c>
      <c r="I220" s="8" t="str">
        <f t="array" ref="I220">IF(216&gt;$S$1204,"",INDEX($T$5:$AJ$1204,MATCH(216,$S$5:$S$1204,0),9))</f>
        <v/>
      </c>
      <c r="J220" s="14" t="str">
        <f t="array" ref="J220">IF(216&gt;$S$1204,"",INDEX($T$5:$AJ$1204,MATCH(216,$S$5:$S$1204,0),10))</f>
        <v/>
      </c>
      <c r="K220" s="8" t="str">
        <f t="array" ref="K220">IF(216&gt;$S$1204,"",INDEX($T$5:$AJ$1204,MATCH(216,$S$5:$S$1204,0),11))</f>
        <v/>
      </c>
      <c r="L220" s="8" t="str">
        <f t="array" ref="L220">IF(216&gt;$S$1204,"",INDEX($T$5:$AJ$1204,MATCH(216,$S$5:$S$1204,0),12))</f>
        <v/>
      </c>
      <c r="M220" s="8" t="str">
        <f t="array" ref="M220">IF(216&gt;$S$1204,"",INDEX($T$5:$AJ$1204,MATCH(216,$S$5:$S$1204,0),13))</f>
        <v/>
      </c>
      <c r="N220" s="8" t="str">
        <f t="array" ref="N220">IF(216&gt;$S$1204,"",INDEX($T$5:$AJ$1204,MATCH(216,$S$5:$S$1204,0),14))</f>
        <v/>
      </c>
      <c r="O220" s="15" t="str">
        <f t="array" ref="O220">IF(216&gt;$S$1204,"",INDEX($T$5:$AJ$1204,MATCH(216,$S$5:$S$1204,0),15))</f>
        <v/>
      </c>
      <c r="P220" s="8" t="str">
        <f t="array" ref="P220">IF(216&gt;$S$1204,"",INDEX($T$5:$AJ$1204,MATCH(216,$S$5:$S$1204,0),16))</f>
        <v/>
      </c>
      <c r="Q220" s="8" t="str">
        <f t="array" ref="Q220">IF(216&gt;$S$1204,"",INDEX($T$5:$AJ$1204,MATCH(216,$S$5:$S$1204,0),17))</f>
        <v/>
      </c>
      <c r="R220" s="17"/>
      <c r="S220" s="17">
        <f>S219+IF(M2_Accesos!A24="",0,1)</f>
        <v>0</v>
      </c>
      <c r="T220" s="17" t="str">
        <f>IF(M2_Accesos!A24="","",IF(M2_Accesos!A24="","",M2_Accesos!A24))</f>
        <v/>
      </c>
      <c r="U220" s="17" t="str">
        <f>IF(M2_Accesos!A24="","",IF(M2_Accesos!R24="","",M2_Accesos!R24))</f>
        <v/>
      </c>
      <c r="V220" s="17" t="str">
        <f>IF(M2_Accesos!A24="","",IF(M2_Accesos!D24="","",M2_Accesos!D24))</f>
        <v/>
      </c>
      <c r="W220" s="17" t="str">
        <f>IF(M2_Accesos!A24="","",IF(M2_Accesos!B24="","",M2_Accesos!B24))</f>
        <v/>
      </c>
      <c r="X220" s="17" t="str">
        <f>IF(M2_Accesos!A24="","",IF(M2_Accesos!C24="","",M2_Accesos!C24))</f>
        <v/>
      </c>
      <c r="Y220" s="17" t="str">
        <f>IF(M2_Accesos!A24="","",IF(M2_Accesos!E24="","",M2_Accesos!E24))</f>
        <v/>
      </c>
      <c r="Z220" s="17" t="str">
        <f>IF(M2_Accesos!A24="","",IF(M2_Accesos!F24="","",M2_Accesos!F24))</f>
        <v/>
      </c>
      <c r="AA220" s="17" t="str">
        <f>IF(M2_Accesos!A24="","","M2 Accesos")</f>
        <v/>
      </c>
      <c r="AB220" s="17" t="str">
        <f>IF(M2_Accesos!A24="","",IF(M2_Accesos!G24="","",M2_Accesos!G24))</f>
        <v/>
      </c>
      <c r="AC220" s="17" t="str">
        <f>IF(M2_Accesos!A24="","",IF(M2_Accesos!M24="","",M2_Accesos!M24))</f>
        <v/>
      </c>
      <c r="AD220" s="17" t="str">
        <f>IF(M2_Accesos!A24="","","RD")</f>
        <v/>
      </c>
      <c r="AE220" s="17" t="str">
        <f>IF(M2_Accesos!A24="","",IF(M2_Accesos!O24="","",M2_Accesos!O24))</f>
        <v/>
      </c>
      <c r="AF220" s="17" t="str">
        <f>IF(M2_Accesos!A24="","",IF(M2_Accesos!P24="","",M2_Accesos!P24))</f>
        <v/>
      </c>
      <c r="AG220" s="17" t="str">
        <f>IF(M2_Accesos!A24="","",IF(M2_Accesos!Q24="","",M2_Accesos!Q24))</f>
        <v/>
      </c>
      <c r="AH220" s="17" t="str">
        <f>IF(M2_Accesos!A24="","",IF(M2_Accesos!J24="","",M2_Accesos!J24))</f>
        <v/>
      </c>
      <c r="AI220" s="17" t="str">
        <f>IF(M2_Accesos!A24="","","M2_Accesos!24")</f>
        <v/>
      </c>
      <c r="AJ220" s="17" t="str">
        <f>IF(M2_Accesos!A24="","",IF(M2_Accesos!M24="","Pendiente de resultado","Disponible"))</f>
        <v/>
      </c>
    </row>
    <row r="221" spans="1:36" ht="55.5" customHeight="1">
      <c r="A221" s="6" t="str">
        <f t="array" ref="A221">IF(217&gt;$S$1204,"",INDEX($T$5:$AJ$1204,MATCH(217,$S$5:$S$1204,0),1))</f>
        <v/>
      </c>
      <c r="B221" s="8" t="str">
        <f t="array" ref="B221">IF(217&gt;$S$1204,"",INDEX($T$5:$AJ$1204,MATCH(217,$S$5:$S$1204,0),2))</f>
        <v/>
      </c>
      <c r="C221" s="10" t="str">
        <f t="array" ref="C221">IF(217&gt;$S$1204,"",INDEX($T$5:$AJ$1204,MATCH(217,$S$5:$S$1204,0),3))</f>
        <v/>
      </c>
      <c r="D221" s="8" t="str">
        <f t="array" ref="D221">IF(217&gt;$S$1204,"",INDEX($T$5:$AJ$1204,MATCH(217,$S$5:$S$1204,0),4))</f>
        <v/>
      </c>
      <c r="E221" s="8" t="str">
        <f t="array" ref="E221">IF(217&gt;$S$1204,"",INDEX($T$5:$AJ$1204,MATCH(217,$S$5:$S$1204,0),5))</f>
        <v/>
      </c>
      <c r="F221" s="8" t="str">
        <f t="array" ref="F221">IF(217&gt;$S$1204,"",INDEX($T$5:$AJ$1204,MATCH(217,$S$5:$S$1204,0),6))</f>
        <v/>
      </c>
      <c r="G221" s="8" t="str">
        <f t="array" ref="G221">IF(217&gt;$S$1204,"",INDEX($T$5:$AJ$1204,MATCH(217,$S$5:$S$1204,0),7))</f>
        <v/>
      </c>
      <c r="H221" s="8" t="str">
        <f t="array" ref="H221">IF(217&gt;$S$1204,"",INDEX($T$5:$AJ$1204,MATCH(217,$S$5:$S$1204,0),8))</f>
        <v/>
      </c>
      <c r="I221" s="8" t="str">
        <f t="array" ref="I221">IF(217&gt;$S$1204,"",INDEX($T$5:$AJ$1204,MATCH(217,$S$5:$S$1204,0),9))</f>
        <v/>
      </c>
      <c r="J221" s="14" t="str">
        <f t="array" ref="J221">IF(217&gt;$S$1204,"",INDEX($T$5:$AJ$1204,MATCH(217,$S$5:$S$1204,0),10))</f>
        <v/>
      </c>
      <c r="K221" s="8" t="str">
        <f t="array" ref="K221">IF(217&gt;$S$1204,"",INDEX($T$5:$AJ$1204,MATCH(217,$S$5:$S$1204,0),11))</f>
        <v/>
      </c>
      <c r="L221" s="8" t="str">
        <f t="array" ref="L221">IF(217&gt;$S$1204,"",INDEX($T$5:$AJ$1204,MATCH(217,$S$5:$S$1204,0),12))</f>
        <v/>
      </c>
      <c r="M221" s="8" t="str">
        <f t="array" ref="M221">IF(217&gt;$S$1204,"",INDEX($T$5:$AJ$1204,MATCH(217,$S$5:$S$1204,0),13))</f>
        <v/>
      </c>
      <c r="N221" s="8" t="str">
        <f t="array" ref="N221">IF(217&gt;$S$1204,"",INDEX($T$5:$AJ$1204,MATCH(217,$S$5:$S$1204,0),14))</f>
        <v/>
      </c>
      <c r="O221" s="15" t="str">
        <f t="array" ref="O221">IF(217&gt;$S$1204,"",INDEX($T$5:$AJ$1204,MATCH(217,$S$5:$S$1204,0),15))</f>
        <v/>
      </c>
      <c r="P221" s="8" t="str">
        <f t="array" ref="P221">IF(217&gt;$S$1204,"",INDEX($T$5:$AJ$1204,MATCH(217,$S$5:$S$1204,0),16))</f>
        <v/>
      </c>
      <c r="Q221" s="8" t="str">
        <f t="array" ref="Q221">IF(217&gt;$S$1204,"",INDEX($T$5:$AJ$1204,MATCH(217,$S$5:$S$1204,0),17))</f>
        <v/>
      </c>
      <c r="R221" s="17"/>
      <c r="S221" s="17">
        <f>S220+IF(M2_Accesos!A25="",0,1)</f>
        <v>0</v>
      </c>
      <c r="T221" s="17" t="str">
        <f>IF(M2_Accesos!A25="","",IF(M2_Accesos!A25="","",M2_Accesos!A25))</f>
        <v/>
      </c>
      <c r="U221" s="17" t="str">
        <f>IF(M2_Accesos!A25="","",IF(M2_Accesos!R25="","",M2_Accesos!R25))</f>
        <v/>
      </c>
      <c r="V221" s="17" t="str">
        <f>IF(M2_Accesos!A25="","",IF(M2_Accesos!D25="","",M2_Accesos!D25))</f>
        <v/>
      </c>
      <c r="W221" s="17" t="str">
        <f>IF(M2_Accesos!A25="","",IF(M2_Accesos!B25="","",M2_Accesos!B25))</f>
        <v/>
      </c>
      <c r="X221" s="17" t="str">
        <f>IF(M2_Accesos!A25="","",IF(M2_Accesos!C25="","",M2_Accesos!C25))</f>
        <v/>
      </c>
      <c r="Y221" s="17" t="str">
        <f>IF(M2_Accesos!A25="","",IF(M2_Accesos!E25="","",M2_Accesos!E25))</f>
        <v/>
      </c>
      <c r="Z221" s="17" t="str">
        <f>IF(M2_Accesos!A25="","",IF(M2_Accesos!F25="","",M2_Accesos!F25))</f>
        <v/>
      </c>
      <c r="AA221" s="17" t="str">
        <f>IF(M2_Accesos!A25="","","M2 Accesos")</f>
        <v/>
      </c>
      <c r="AB221" s="17" t="str">
        <f>IF(M2_Accesos!A25="","",IF(M2_Accesos!G25="","",M2_Accesos!G25))</f>
        <v/>
      </c>
      <c r="AC221" s="17" t="str">
        <f>IF(M2_Accesos!A25="","",IF(M2_Accesos!M25="","",M2_Accesos!M25))</f>
        <v/>
      </c>
      <c r="AD221" s="17" t="str">
        <f>IF(M2_Accesos!A25="","","RD")</f>
        <v/>
      </c>
      <c r="AE221" s="17" t="str">
        <f>IF(M2_Accesos!A25="","",IF(M2_Accesos!O25="","",M2_Accesos!O25))</f>
        <v/>
      </c>
      <c r="AF221" s="17" t="str">
        <f>IF(M2_Accesos!A25="","",IF(M2_Accesos!P25="","",M2_Accesos!P25))</f>
        <v/>
      </c>
      <c r="AG221" s="17" t="str">
        <f>IF(M2_Accesos!A25="","",IF(M2_Accesos!Q25="","",M2_Accesos!Q25))</f>
        <v/>
      </c>
      <c r="AH221" s="17" t="str">
        <f>IF(M2_Accesos!A25="","",IF(M2_Accesos!J25="","",M2_Accesos!J25))</f>
        <v/>
      </c>
      <c r="AI221" s="17" t="str">
        <f>IF(M2_Accesos!A25="","","M2_Accesos!25")</f>
        <v/>
      </c>
      <c r="AJ221" s="17" t="str">
        <f>IF(M2_Accesos!A25="","",IF(M2_Accesos!M25="","Pendiente de resultado","Disponible"))</f>
        <v/>
      </c>
    </row>
    <row r="222" spans="1:36" ht="55.5" customHeight="1">
      <c r="A222" s="6" t="str">
        <f t="array" ref="A222">IF(218&gt;$S$1204,"",INDEX($T$5:$AJ$1204,MATCH(218,$S$5:$S$1204,0),1))</f>
        <v/>
      </c>
      <c r="B222" s="8" t="str">
        <f t="array" ref="B222">IF(218&gt;$S$1204,"",INDEX($T$5:$AJ$1204,MATCH(218,$S$5:$S$1204,0),2))</f>
        <v/>
      </c>
      <c r="C222" s="10" t="str">
        <f t="array" ref="C222">IF(218&gt;$S$1204,"",INDEX($T$5:$AJ$1204,MATCH(218,$S$5:$S$1204,0),3))</f>
        <v/>
      </c>
      <c r="D222" s="8" t="str">
        <f t="array" ref="D222">IF(218&gt;$S$1204,"",INDEX($T$5:$AJ$1204,MATCH(218,$S$5:$S$1204,0),4))</f>
        <v/>
      </c>
      <c r="E222" s="8" t="str">
        <f t="array" ref="E222">IF(218&gt;$S$1204,"",INDEX($T$5:$AJ$1204,MATCH(218,$S$5:$S$1204,0),5))</f>
        <v/>
      </c>
      <c r="F222" s="8" t="str">
        <f t="array" ref="F222">IF(218&gt;$S$1204,"",INDEX($T$5:$AJ$1204,MATCH(218,$S$5:$S$1204,0),6))</f>
        <v/>
      </c>
      <c r="G222" s="8" t="str">
        <f t="array" ref="G222">IF(218&gt;$S$1204,"",INDEX($T$5:$AJ$1204,MATCH(218,$S$5:$S$1204,0),7))</f>
        <v/>
      </c>
      <c r="H222" s="8" t="str">
        <f t="array" ref="H222">IF(218&gt;$S$1204,"",INDEX($T$5:$AJ$1204,MATCH(218,$S$5:$S$1204,0),8))</f>
        <v/>
      </c>
      <c r="I222" s="8" t="str">
        <f t="array" ref="I222">IF(218&gt;$S$1204,"",INDEX($T$5:$AJ$1204,MATCH(218,$S$5:$S$1204,0),9))</f>
        <v/>
      </c>
      <c r="J222" s="14" t="str">
        <f t="array" ref="J222">IF(218&gt;$S$1204,"",INDEX($T$5:$AJ$1204,MATCH(218,$S$5:$S$1204,0),10))</f>
        <v/>
      </c>
      <c r="K222" s="8" t="str">
        <f t="array" ref="K222">IF(218&gt;$S$1204,"",INDEX($T$5:$AJ$1204,MATCH(218,$S$5:$S$1204,0),11))</f>
        <v/>
      </c>
      <c r="L222" s="8" t="str">
        <f t="array" ref="L222">IF(218&gt;$S$1204,"",INDEX($T$5:$AJ$1204,MATCH(218,$S$5:$S$1204,0),12))</f>
        <v/>
      </c>
      <c r="M222" s="8" t="str">
        <f t="array" ref="M222">IF(218&gt;$S$1204,"",INDEX($T$5:$AJ$1204,MATCH(218,$S$5:$S$1204,0),13))</f>
        <v/>
      </c>
      <c r="N222" s="8" t="str">
        <f t="array" ref="N222">IF(218&gt;$S$1204,"",INDEX($T$5:$AJ$1204,MATCH(218,$S$5:$S$1204,0),14))</f>
        <v/>
      </c>
      <c r="O222" s="15" t="str">
        <f t="array" ref="O222">IF(218&gt;$S$1204,"",INDEX($T$5:$AJ$1204,MATCH(218,$S$5:$S$1204,0),15))</f>
        <v/>
      </c>
      <c r="P222" s="8" t="str">
        <f t="array" ref="P222">IF(218&gt;$S$1204,"",INDEX($T$5:$AJ$1204,MATCH(218,$S$5:$S$1204,0),16))</f>
        <v/>
      </c>
      <c r="Q222" s="8" t="str">
        <f t="array" ref="Q222">IF(218&gt;$S$1204,"",INDEX($T$5:$AJ$1204,MATCH(218,$S$5:$S$1204,0),17))</f>
        <v/>
      </c>
      <c r="R222" s="17"/>
      <c r="S222" s="17">
        <f>S221+IF(M2_Accesos!A26="",0,1)</f>
        <v>0</v>
      </c>
      <c r="T222" s="17" t="str">
        <f>IF(M2_Accesos!A26="","",IF(M2_Accesos!A26="","",M2_Accesos!A26))</f>
        <v/>
      </c>
      <c r="U222" s="17" t="str">
        <f>IF(M2_Accesos!A26="","",IF(M2_Accesos!R26="","",M2_Accesos!R26))</f>
        <v/>
      </c>
      <c r="V222" s="17" t="str">
        <f>IF(M2_Accesos!A26="","",IF(M2_Accesos!D26="","",M2_Accesos!D26))</f>
        <v/>
      </c>
      <c r="W222" s="17" t="str">
        <f>IF(M2_Accesos!A26="","",IF(M2_Accesos!B26="","",M2_Accesos!B26))</f>
        <v/>
      </c>
      <c r="X222" s="17" t="str">
        <f>IF(M2_Accesos!A26="","",IF(M2_Accesos!C26="","",M2_Accesos!C26))</f>
        <v/>
      </c>
      <c r="Y222" s="17" t="str">
        <f>IF(M2_Accesos!A26="","",IF(M2_Accesos!E26="","",M2_Accesos!E26))</f>
        <v/>
      </c>
      <c r="Z222" s="17" t="str">
        <f>IF(M2_Accesos!A26="","",IF(M2_Accesos!F26="","",M2_Accesos!F26))</f>
        <v/>
      </c>
      <c r="AA222" s="17" t="str">
        <f>IF(M2_Accesos!A26="","","M2 Accesos")</f>
        <v/>
      </c>
      <c r="AB222" s="17" t="str">
        <f>IF(M2_Accesos!A26="","",IF(M2_Accesos!G26="","",M2_Accesos!G26))</f>
        <v/>
      </c>
      <c r="AC222" s="17" t="str">
        <f>IF(M2_Accesos!A26="","",IF(M2_Accesos!M26="","",M2_Accesos!M26))</f>
        <v/>
      </c>
      <c r="AD222" s="17" t="str">
        <f>IF(M2_Accesos!A26="","","RD")</f>
        <v/>
      </c>
      <c r="AE222" s="17" t="str">
        <f>IF(M2_Accesos!A26="","",IF(M2_Accesos!O26="","",M2_Accesos!O26))</f>
        <v/>
      </c>
      <c r="AF222" s="17" t="str">
        <f>IF(M2_Accesos!A26="","",IF(M2_Accesos!P26="","",M2_Accesos!P26))</f>
        <v/>
      </c>
      <c r="AG222" s="17" t="str">
        <f>IF(M2_Accesos!A26="","",IF(M2_Accesos!Q26="","",M2_Accesos!Q26))</f>
        <v/>
      </c>
      <c r="AH222" s="17" t="str">
        <f>IF(M2_Accesos!A26="","",IF(M2_Accesos!J26="","",M2_Accesos!J26))</f>
        <v/>
      </c>
      <c r="AI222" s="17" t="str">
        <f>IF(M2_Accesos!A26="","","M2_Accesos!26")</f>
        <v/>
      </c>
      <c r="AJ222" s="17" t="str">
        <f>IF(M2_Accesos!A26="","",IF(M2_Accesos!M26="","Pendiente de resultado","Disponible"))</f>
        <v/>
      </c>
    </row>
    <row r="223" spans="1:36" ht="55.5" customHeight="1">
      <c r="A223" s="6" t="str">
        <f t="array" ref="A223">IF(219&gt;$S$1204,"",INDEX($T$5:$AJ$1204,MATCH(219,$S$5:$S$1204,0),1))</f>
        <v/>
      </c>
      <c r="B223" s="8" t="str">
        <f t="array" ref="B223">IF(219&gt;$S$1204,"",INDEX($T$5:$AJ$1204,MATCH(219,$S$5:$S$1204,0),2))</f>
        <v/>
      </c>
      <c r="C223" s="10" t="str">
        <f t="array" ref="C223">IF(219&gt;$S$1204,"",INDEX($T$5:$AJ$1204,MATCH(219,$S$5:$S$1204,0),3))</f>
        <v/>
      </c>
      <c r="D223" s="8" t="str">
        <f t="array" ref="D223">IF(219&gt;$S$1204,"",INDEX($T$5:$AJ$1204,MATCH(219,$S$5:$S$1204,0),4))</f>
        <v/>
      </c>
      <c r="E223" s="8" t="str">
        <f t="array" ref="E223">IF(219&gt;$S$1204,"",INDEX($T$5:$AJ$1204,MATCH(219,$S$5:$S$1204,0),5))</f>
        <v/>
      </c>
      <c r="F223" s="8" t="str">
        <f t="array" ref="F223">IF(219&gt;$S$1204,"",INDEX($T$5:$AJ$1204,MATCH(219,$S$5:$S$1204,0),6))</f>
        <v/>
      </c>
      <c r="G223" s="8" t="str">
        <f t="array" ref="G223">IF(219&gt;$S$1204,"",INDEX($T$5:$AJ$1204,MATCH(219,$S$5:$S$1204,0),7))</f>
        <v/>
      </c>
      <c r="H223" s="8" t="str">
        <f t="array" ref="H223">IF(219&gt;$S$1204,"",INDEX($T$5:$AJ$1204,MATCH(219,$S$5:$S$1204,0),8))</f>
        <v/>
      </c>
      <c r="I223" s="8" t="str">
        <f t="array" ref="I223">IF(219&gt;$S$1204,"",INDEX($T$5:$AJ$1204,MATCH(219,$S$5:$S$1204,0),9))</f>
        <v/>
      </c>
      <c r="J223" s="14" t="str">
        <f t="array" ref="J223">IF(219&gt;$S$1204,"",INDEX($T$5:$AJ$1204,MATCH(219,$S$5:$S$1204,0),10))</f>
        <v/>
      </c>
      <c r="K223" s="8" t="str">
        <f t="array" ref="K223">IF(219&gt;$S$1204,"",INDEX($T$5:$AJ$1204,MATCH(219,$S$5:$S$1204,0),11))</f>
        <v/>
      </c>
      <c r="L223" s="8" t="str">
        <f t="array" ref="L223">IF(219&gt;$S$1204,"",INDEX($T$5:$AJ$1204,MATCH(219,$S$5:$S$1204,0),12))</f>
        <v/>
      </c>
      <c r="M223" s="8" t="str">
        <f t="array" ref="M223">IF(219&gt;$S$1204,"",INDEX($T$5:$AJ$1204,MATCH(219,$S$5:$S$1204,0),13))</f>
        <v/>
      </c>
      <c r="N223" s="8" t="str">
        <f t="array" ref="N223">IF(219&gt;$S$1204,"",INDEX($T$5:$AJ$1204,MATCH(219,$S$5:$S$1204,0),14))</f>
        <v/>
      </c>
      <c r="O223" s="15" t="str">
        <f t="array" ref="O223">IF(219&gt;$S$1204,"",INDEX($T$5:$AJ$1204,MATCH(219,$S$5:$S$1204,0),15))</f>
        <v/>
      </c>
      <c r="P223" s="8" t="str">
        <f t="array" ref="P223">IF(219&gt;$S$1204,"",INDEX($T$5:$AJ$1204,MATCH(219,$S$5:$S$1204,0),16))</f>
        <v/>
      </c>
      <c r="Q223" s="8" t="str">
        <f t="array" ref="Q223">IF(219&gt;$S$1204,"",INDEX($T$5:$AJ$1204,MATCH(219,$S$5:$S$1204,0),17))</f>
        <v/>
      </c>
      <c r="R223" s="17"/>
      <c r="S223" s="17">
        <f>S222+IF(M2_Accesos!A27="",0,1)</f>
        <v>0</v>
      </c>
      <c r="T223" s="17" t="str">
        <f>IF(M2_Accesos!A27="","",IF(M2_Accesos!A27="","",M2_Accesos!A27))</f>
        <v/>
      </c>
      <c r="U223" s="17" t="str">
        <f>IF(M2_Accesos!A27="","",IF(M2_Accesos!R27="","",M2_Accesos!R27))</f>
        <v/>
      </c>
      <c r="V223" s="17" t="str">
        <f>IF(M2_Accesos!A27="","",IF(M2_Accesos!D27="","",M2_Accesos!D27))</f>
        <v/>
      </c>
      <c r="W223" s="17" t="str">
        <f>IF(M2_Accesos!A27="","",IF(M2_Accesos!B27="","",M2_Accesos!B27))</f>
        <v/>
      </c>
      <c r="X223" s="17" t="str">
        <f>IF(M2_Accesos!A27="","",IF(M2_Accesos!C27="","",M2_Accesos!C27))</f>
        <v/>
      </c>
      <c r="Y223" s="17" t="str">
        <f>IF(M2_Accesos!A27="","",IF(M2_Accesos!E27="","",M2_Accesos!E27))</f>
        <v/>
      </c>
      <c r="Z223" s="17" t="str">
        <f>IF(M2_Accesos!A27="","",IF(M2_Accesos!F27="","",M2_Accesos!F27))</f>
        <v/>
      </c>
      <c r="AA223" s="17" t="str">
        <f>IF(M2_Accesos!A27="","","M2 Accesos")</f>
        <v/>
      </c>
      <c r="AB223" s="17" t="str">
        <f>IF(M2_Accesos!A27="","",IF(M2_Accesos!G27="","",M2_Accesos!G27))</f>
        <v/>
      </c>
      <c r="AC223" s="17" t="str">
        <f>IF(M2_Accesos!A27="","",IF(M2_Accesos!M27="","",M2_Accesos!M27))</f>
        <v/>
      </c>
      <c r="AD223" s="17" t="str">
        <f>IF(M2_Accesos!A27="","","RD")</f>
        <v/>
      </c>
      <c r="AE223" s="17" t="str">
        <f>IF(M2_Accesos!A27="","",IF(M2_Accesos!O27="","",M2_Accesos!O27))</f>
        <v/>
      </c>
      <c r="AF223" s="17" t="str">
        <f>IF(M2_Accesos!A27="","",IF(M2_Accesos!P27="","",M2_Accesos!P27))</f>
        <v/>
      </c>
      <c r="AG223" s="17" t="str">
        <f>IF(M2_Accesos!A27="","",IF(M2_Accesos!Q27="","",M2_Accesos!Q27))</f>
        <v/>
      </c>
      <c r="AH223" s="17" t="str">
        <f>IF(M2_Accesos!A27="","",IF(M2_Accesos!J27="","",M2_Accesos!J27))</f>
        <v/>
      </c>
      <c r="AI223" s="17" t="str">
        <f>IF(M2_Accesos!A27="","","M2_Accesos!27")</f>
        <v/>
      </c>
      <c r="AJ223" s="17" t="str">
        <f>IF(M2_Accesos!A27="","",IF(M2_Accesos!M27="","Pendiente de resultado","Disponible"))</f>
        <v/>
      </c>
    </row>
    <row r="224" spans="1:36" ht="55.5" customHeight="1">
      <c r="A224" s="6" t="str">
        <f t="array" ref="A224">IF(220&gt;$S$1204,"",INDEX($T$5:$AJ$1204,MATCH(220,$S$5:$S$1204,0),1))</f>
        <v/>
      </c>
      <c r="B224" s="8" t="str">
        <f t="array" ref="B224">IF(220&gt;$S$1204,"",INDEX($T$5:$AJ$1204,MATCH(220,$S$5:$S$1204,0),2))</f>
        <v/>
      </c>
      <c r="C224" s="10" t="str">
        <f t="array" ref="C224">IF(220&gt;$S$1204,"",INDEX($T$5:$AJ$1204,MATCH(220,$S$5:$S$1204,0),3))</f>
        <v/>
      </c>
      <c r="D224" s="8" t="str">
        <f t="array" ref="D224">IF(220&gt;$S$1204,"",INDEX($T$5:$AJ$1204,MATCH(220,$S$5:$S$1204,0),4))</f>
        <v/>
      </c>
      <c r="E224" s="8" t="str">
        <f t="array" ref="E224">IF(220&gt;$S$1204,"",INDEX($T$5:$AJ$1204,MATCH(220,$S$5:$S$1204,0),5))</f>
        <v/>
      </c>
      <c r="F224" s="8" t="str">
        <f t="array" ref="F224">IF(220&gt;$S$1204,"",INDEX($T$5:$AJ$1204,MATCH(220,$S$5:$S$1204,0),6))</f>
        <v/>
      </c>
      <c r="G224" s="8" t="str">
        <f t="array" ref="G224">IF(220&gt;$S$1204,"",INDEX($T$5:$AJ$1204,MATCH(220,$S$5:$S$1204,0),7))</f>
        <v/>
      </c>
      <c r="H224" s="8" t="str">
        <f t="array" ref="H224">IF(220&gt;$S$1204,"",INDEX($T$5:$AJ$1204,MATCH(220,$S$5:$S$1204,0),8))</f>
        <v/>
      </c>
      <c r="I224" s="8" t="str">
        <f t="array" ref="I224">IF(220&gt;$S$1204,"",INDEX($T$5:$AJ$1204,MATCH(220,$S$5:$S$1204,0),9))</f>
        <v/>
      </c>
      <c r="J224" s="14" t="str">
        <f t="array" ref="J224">IF(220&gt;$S$1204,"",INDEX($T$5:$AJ$1204,MATCH(220,$S$5:$S$1204,0),10))</f>
        <v/>
      </c>
      <c r="K224" s="8" t="str">
        <f t="array" ref="K224">IF(220&gt;$S$1204,"",INDEX($T$5:$AJ$1204,MATCH(220,$S$5:$S$1204,0),11))</f>
        <v/>
      </c>
      <c r="L224" s="8" t="str">
        <f t="array" ref="L224">IF(220&gt;$S$1204,"",INDEX($T$5:$AJ$1204,MATCH(220,$S$5:$S$1204,0),12))</f>
        <v/>
      </c>
      <c r="M224" s="8" t="str">
        <f t="array" ref="M224">IF(220&gt;$S$1204,"",INDEX($T$5:$AJ$1204,MATCH(220,$S$5:$S$1204,0),13))</f>
        <v/>
      </c>
      <c r="N224" s="8" t="str">
        <f t="array" ref="N224">IF(220&gt;$S$1204,"",INDEX($T$5:$AJ$1204,MATCH(220,$S$5:$S$1204,0),14))</f>
        <v/>
      </c>
      <c r="O224" s="15" t="str">
        <f t="array" ref="O224">IF(220&gt;$S$1204,"",INDEX($T$5:$AJ$1204,MATCH(220,$S$5:$S$1204,0),15))</f>
        <v/>
      </c>
      <c r="P224" s="8" t="str">
        <f t="array" ref="P224">IF(220&gt;$S$1204,"",INDEX($T$5:$AJ$1204,MATCH(220,$S$5:$S$1204,0),16))</f>
        <v/>
      </c>
      <c r="Q224" s="8" t="str">
        <f t="array" ref="Q224">IF(220&gt;$S$1204,"",INDEX($T$5:$AJ$1204,MATCH(220,$S$5:$S$1204,0),17))</f>
        <v/>
      </c>
      <c r="R224" s="17"/>
      <c r="S224" s="17">
        <f>S223+IF(M2_Accesos!A28="",0,1)</f>
        <v>0</v>
      </c>
      <c r="T224" s="17" t="str">
        <f>IF(M2_Accesos!A28="","",IF(M2_Accesos!A28="","",M2_Accesos!A28))</f>
        <v/>
      </c>
      <c r="U224" s="17" t="str">
        <f>IF(M2_Accesos!A28="","",IF(M2_Accesos!R28="","",M2_Accesos!R28))</f>
        <v/>
      </c>
      <c r="V224" s="17" t="str">
        <f>IF(M2_Accesos!A28="","",IF(M2_Accesos!D28="","",M2_Accesos!D28))</f>
        <v/>
      </c>
      <c r="W224" s="17" t="str">
        <f>IF(M2_Accesos!A28="","",IF(M2_Accesos!B28="","",M2_Accesos!B28))</f>
        <v/>
      </c>
      <c r="X224" s="17" t="str">
        <f>IF(M2_Accesos!A28="","",IF(M2_Accesos!C28="","",M2_Accesos!C28))</f>
        <v/>
      </c>
      <c r="Y224" s="17" t="str">
        <f>IF(M2_Accesos!A28="","",IF(M2_Accesos!E28="","",M2_Accesos!E28))</f>
        <v/>
      </c>
      <c r="Z224" s="17" t="str">
        <f>IF(M2_Accesos!A28="","",IF(M2_Accesos!F28="","",M2_Accesos!F28))</f>
        <v/>
      </c>
      <c r="AA224" s="17" t="str">
        <f>IF(M2_Accesos!A28="","","M2 Accesos")</f>
        <v/>
      </c>
      <c r="AB224" s="17" t="str">
        <f>IF(M2_Accesos!A28="","",IF(M2_Accesos!G28="","",M2_Accesos!G28))</f>
        <v/>
      </c>
      <c r="AC224" s="17" t="str">
        <f>IF(M2_Accesos!A28="","",IF(M2_Accesos!M28="","",M2_Accesos!M28))</f>
        <v/>
      </c>
      <c r="AD224" s="17" t="str">
        <f>IF(M2_Accesos!A28="","","RD")</f>
        <v/>
      </c>
      <c r="AE224" s="17" t="str">
        <f>IF(M2_Accesos!A28="","",IF(M2_Accesos!O28="","",M2_Accesos!O28))</f>
        <v/>
      </c>
      <c r="AF224" s="17" t="str">
        <f>IF(M2_Accesos!A28="","",IF(M2_Accesos!P28="","",M2_Accesos!P28))</f>
        <v/>
      </c>
      <c r="AG224" s="17" t="str">
        <f>IF(M2_Accesos!A28="","",IF(M2_Accesos!Q28="","",M2_Accesos!Q28))</f>
        <v/>
      </c>
      <c r="AH224" s="17" t="str">
        <f>IF(M2_Accesos!A28="","",IF(M2_Accesos!J28="","",M2_Accesos!J28))</f>
        <v/>
      </c>
      <c r="AI224" s="17" t="str">
        <f>IF(M2_Accesos!A28="","","M2_Accesos!28")</f>
        <v/>
      </c>
      <c r="AJ224" s="17" t="str">
        <f>IF(M2_Accesos!A28="","",IF(M2_Accesos!M28="","Pendiente de resultado","Disponible"))</f>
        <v/>
      </c>
    </row>
    <row r="225" spans="1:36" ht="55.5" customHeight="1">
      <c r="A225" s="6" t="str">
        <f t="array" ref="A225">IF(221&gt;$S$1204,"",INDEX($T$5:$AJ$1204,MATCH(221,$S$5:$S$1204,0),1))</f>
        <v/>
      </c>
      <c r="B225" s="8" t="str">
        <f t="array" ref="B225">IF(221&gt;$S$1204,"",INDEX($T$5:$AJ$1204,MATCH(221,$S$5:$S$1204,0),2))</f>
        <v/>
      </c>
      <c r="C225" s="10" t="str">
        <f t="array" ref="C225">IF(221&gt;$S$1204,"",INDEX($T$5:$AJ$1204,MATCH(221,$S$5:$S$1204,0),3))</f>
        <v/>
      </c>
      <c r="D225" s="8" t="str">
        <f t="array" ref="D225">IF(221&gt;$S$1204,"",INDEX($T$5:$AJ$1204,MATCH(221,$S$5:$S$1204,0),4))</f>
        <v/>
      </c>
      <c r="E225" s="8" t="str">
        <f t="array" ref="E225">IF(221&gt;$S$1204,"",INDEX($T$5:$AJ$1204,MATCH(221,$S$5:$S$1204,0),5))</f>
        <v/>
      </c>
      <c r="F225" s="8" t="str">
        <f t="array" ref="F225">IF(221&gt;$S$1204,"",INDEX($T$5:$AJ$1204,MATCH(221,$S$5:$S$1204,0),6))</f>
        <v/>
      </c>
      <c r="G225" s="8" t="str">
        <f t="array" ref="G225">IF(221&gt;$S$1204,"",INDEX($T$5:$AJ$1204,MATCH(221,$S$5:$S$1204,0),7))</f>
        <v/>
      </c>
      <c r="H225" s="8" t="str">
        <f t="array" ref="H225">IF(221&gt;$S$1204,"",INDEX($T$5:$AJ$1204,MATCH(221,$S$5:$S$1204,0),8))</f>
        <v/>
      </c>
      <c r="I225" s="8" t="str">
        <f t="array" ref="I225">IF(221&gt;$S$1204,"",INDEX($T$5:$AJ$1204,MATCH(221,$S$5:$S$1204,0),9))</f>
        <v/>
      </c>
      <c r="J225" s="14" t="str">
        <f t="array" ref="J225">IF(221&gt;$S$1204,"",INDEX($T$5:$AJ$1204,MATCH(221,$S$5:$S$1204,0),10))</f>
        <v/>
      </c>
      <c r="K225" s="8" t="str">
        <f t="array" ref="K225">IF(221&gt;$S$1204,"",INDEX($T$5:$AJ$1204,MATCH(221,$S$5:$S$1204,0),11))</f>
        <v/>
      </c>
      <c r="L225" s="8" t="str">
        <f t="array" ref="L225">IF(221&gt;$S$1204,"",INDEX($T$5:$AJ$1204,MATCH(221,$S$5:$S$1204,0),12))</f>
        <v/>
      </c>
      <c r="M225" s="8" t="str">
        <f t="array" ref="M225">IF(221&gt;$S$1204,"",INDEX($T$5:$AJ$1204,MATCH(221,$S$5:$S$1204,0),13))</f>
        <v/>
      </c>
      <c r="N225" s="8" t="str">
        <f t="array" ref="N225">IF(221&gt;$S$1204,"",INDEX($T$5:$AJ$1204,MATCH(221,$S$5:$S$1204,0),14))</f>
        <v/>
      </c>
      <c r="O225" s="15" t="str">
        <f t="array" ref="O225">IF(221&gt;$S$1204,"",INDEX($T$5:$AJ$1204,MATCH(221,$S$5:$S$1204,0),15))</f>
        <v/>
      </c>
      <c r="P225" s="8" t="str">
        <f t="array" ref="P225">IF(221&gt;$S$1204,"",INDEX($T$5:$AJ$1204,MATCH(221,$S$5:$S$1204,0),16))</f>
        <v/>
      </c>
      <c r="Q225" s="8" t="str">
        <f t="array" ref="Q225">IF(221&gt;$S$1204,"",INDEX($T$5:$AJ$1204,MATCH(221,$S$5:$S$1204,0),17))</f>
        <v/>
      </c>
      <c r="R225" s="17"/>
      <c r="S225" s="17">
        <f>S224+IF(M2_Accesos!A29="",0,1)</f>
        <v>0</v>
      </c>
      <c r="T225" s="17" t="str">
        <f>IF(M2_Accesos!A29="","",IF(M2_Accesos!A29="","",M2_Accesos!A29))</f>
        <v/>
      </c>
      <c r="U225" s="17" t="str">
        <f>IF(M2_Accesos!A29="","",IF(M2_Accesos!R29="","",M2_Accesos!R29))</f>
        <v/>
      </c>
      <c r="V225" s="17" t="str">
        <f>IF(M2_Accesos!A29="","",IF(M2_Accesos!D29="","",M2_Accesos!D29))</f>
        <v/>
      </c>
      <c r="W225" s="17" t="str">
        <f>IF(M2_Accesos!A29="","",IF(M2_Accesos!B29="","",M2_Accesos!B29))</f>
        <v/>
      </c>
      <c r="X225" s="17" t="str">
        <f>IF(M2_Accesos!A29="","",IF(M2_Accesos!C29="","",M2_Accesos!C29))</f>
        <v/>
      </c>
      <c r="Y225" s="17" t="str">
        <f>IF(M2_Accesos!A29="","",IF(M2_Accesos!E29="","",M2_Accesos!E29))</f>
        <v/>
      </c>
      <c r="Z225" s="17" t="str">
        <f>IF(M2_Accesos!A29="","",IF(M2_Accesos!F29="","",M2_Accesos!F29))</f>
        <v/>
      </c>
      <c r="AA225" s="17" t="str">
        <f>IF(M2_Accesos!A29="","","M2 Accesos")</f>
        <v/>
      </c>
      <c r="AB225" s="17" t="str">
        <f>IF(M2_Accesos!A29="","",IF(M2_Accesos!G29="","",M2_Accesos!G29))</f>
        <v/>
      </c>
      <c r="AC225" s="17" t="str">
        <f>IF(M2_Accesos!A29="","",IF(M2_Accesos!M29="","",M2_Accesos!M29))</f>
        <v/>
      </c>
      <c r="AD225" s="17" t="str">
        <f>IF(M2_Accesos!A29="","","RD")</f>
        <v/>
      </c>
      <c r="AE225" s="17" t="str">
        <f>IF(M2_Accesos!A29="","",IF(M2_Accesos!O29="","",M2_Accesos!O29))</f>
        <v/>
      </c>
      <c r="AF225" s="17" t="str">
        <f>IF(M2_Accesos!A29="","",IF(M2_Accesos!P29="","",M2_Accesos!P29))</f>
        <v/>
      </c>
      <c r="AG225" s="17" t="str">
        <f>IF(M2_Accesos!A29="","",IF(M2_Accesos!Q29="","",M2_Accesos!Q29))</f>
        <v/>
      </c>
      <c r="AH225" s="17" t="str">
        <f>IF(M2_Accesos!A29="","",IF(M2_Accesos!J29="","",M2_Accesos!J29))</f>
        <v/>
      </c>
      <c r="AI225" s="17" t="str">
        <f>IF(M2_Accesos!A29="","","M2_Accesos!29")</f>
        <v/>
      </c>
      <c r="AJ225" s="17" t="str">
        <f>IF(M2_Accesos!A29="","",IF(M2_Accesos!M29="","Pendiente de resultado","Disponible"))</f>
        <v/>
      </c>
    </row>
    <row r="226" spans="1:36" ht="55.5" customHeight="1">
      <c r="A226" s="6" t="str">
        <f t="array" ref="A226">IF(222&gt;$S$1204,"",INDEX($T$5:$AJ$1204,MATCH(222,$S$5:$S$1204,0),1))</f>
        <v/>
      </c>
      <c r="B226" s="8" t="str">
        <f t="array" ref="B226">IF(222&gt;$S$1204,"",INDEX($T$5:$AJ$1204,MATCH(222,$S$5:$S$1204,0),2))</f>
        <v/>
      </c>
      <c r="C226" s="10" t="str">
        <f t="array" ref="C226">IF(222&gt;$S$1204,"",INDEX($T$5:$AJ$1204,MATCH(222,$S$5:$S$1204,0),3))</f>
        <v/>
      </c>
      <c r="D226" s="8" t="str">
        <f t="array" ref="D226">IF(222&gt;$S$1204,"",INDEX($T$5:$AJ$1204,MATCH(222,$S$5:$S$1204,0),4))</f>
        <v/>
      </c>
      <c r="E226" s="8" t="str">
        <f t="array" ref="E226">IF(222&gt;$S$1204,"",INDEX($T$5:$AJ$1204,MATCH(222,$S$5:$S$1204,0),5))</f>
        <v/>
      </c>
      <c r="F226" s="8" t="str">
        <f t="array" ref="F226">IF(222&gt;$S$1204,"",INDEX($T$5:$AJ$1204,MATCH(222,$S$5:$S$1204,0),6))</f>
        <v/>
      </c>
      <c r="G226" s="8" t="str">
        <f t="array" ref="G226">IF(222&gt;$S$1204,"",INDEX($T$5:$AJ$1204,MATCH(222,$S$5:$S$1204,0),7))</f>
        <v/>
      </c>
      <c r="H226" s="8" t="str">
        <f t="array" ref="H226">IF(222&gt;$S$1204,"",INDEX($T$5:$AJ$1204,MATCH(222,$S$5:$S$1204,0),8))</f>
        <v/>
      </c>
      <c r="I226" s="8" t="str">
        <f t="array" ref="I226">IF(222&gt;$S$1204,"",INDEX($T$5:$AJ$1204,MATCH(222,$S$5:$S$1204,0),9))</f>
        <v/>
      </c>
      <c r="J226" s="14" t="str">
        <f t="array" ref="J226">IF(222&gt;$S$1204,"",INDEX($T$5:$AJ$1204,MATCH(222,$S$5:$S$1204,0),10))</f>
        <v/>
      </c>
      <c r="K226" s="8" t="str">
        <f t="array" ref="K226">IF(222&gt;$S$1204,"",INDEX($T$5:$AJ$1204,MATCH(222,$S$5:$S$1204,0),11))</f>
        <v/>
      </c>
      <c r="L226" s="8" t="str">
        <f t="array" ref="L226">IF(222&gt;$S$1204,"",INDEX($T$5:$AJ$1204,MATCH(222,$S$5:$S$1204,0),12))</f>
        <v/>
      </c>
      <c r="M226" s="8" t="str">
        <f t="array" ref="M226">IF(222&gt;$S$1204,"",INDEX($T$5:$AJ$1204,MATCH(222,$S$5:$S$1204,0),13))</f>
        <v/>
      </c>
      <c r="N226" s="8" t="str">
        <f t="array" ref="N226">IF(222&gt;$S$1204,"",INDEX($T$5:$AJ$1204,MATCH(222,$S$5:$S$1204,0),14))</f>
        <v/>
      </c>
      <c r="O226" s="15" t="str">
        <f t="array" ref="O226">IF(222&gt;$S$1204,"",INDEX($T$5:$AJ$1204,MATCH(222,$S$5:$S$1204,0),15))</f>
        <v/>
      </c>
      <c r="P226" s="8" t="str">
        <f t="array" ref="P226">IF(222&gt;$S$1204,"",INDEX($T$5:$AJ$1204,MATCH(222,$S$5:$S$1204,0),16))</f>
        <v/>
      </c>
      <c r="Q226" s="8" t="str">
        <f t="array" ref="Q226">IF(222&gt;$S$1204,"",INDEX($T$5:$AJ$1204,MATCH(222,$S$5:$S$1204,0),17))</f>
        <v/>
      </c>
      <c r="R226" s="17"/>
      <c r="S226" s="17">
        <f>S225+IF(M2_Accesos!A30="",0,1)</f>
        <v>0</v>
      </c>
      <c r="T226" s="17" t="str">
        <f>IF(M2_Accesos!A30="","",IF(M2_Accesos!A30="","",M2_Accesos!A30))</f>
        <v/>
      </c>
      <c r="U226" s="17" t="str">
        <f>IF(M2_Accesos!A30="","",IF(M2_Accesos!R30="","",M2_Accesos!R30))</f>
        <v/>
      </c>
      <c r="V226" s="17" t="str">
        <f>IF(M2_Accesos!A30="","",IF(M2_Accesos!D30="","",M2_Accesos!D30))</f>
        <v/>
      </c>
      <c r="W226" s="17" t="str">
        <f>IF(M2_Accesos!A30="","",IF(M2_Accesos!B30="","",M2_Accesos!B30))</f>
        <v/>
      </c>
      <c r="X226" s="17" t="str">
        <f>IF(M2_Accesos!A30="","",IF(M2_Accesos!C30="","",M2_Accesos!C30))</f>
        <v/>
      </c>
      <c r="Y226" s="17" t="str">
        <f>IF(M2_Accesos!A30="","",IF(M2_Accesos!E30="","",M2_Accesos!E30))</f>
        <v/>
      </c>
      <c r="Z226" s="17" t="str">
        <f>IF(M2_Accesos!A30="","",IF(M2_Accesos!F30="","",M2_Accesos!F30))</f>
        <v/>
      </c>
      <c r="AA226" s="17" t="str">
        <f>IF(M2_Accesos!A30="","","M2 Accesos")</f>
        <v/>
      </c>
      <c r="AB226" s="17" t="str">
        <f>IF(M2_Accesos!A30="","",IF(M2_Accesos!G30="","",M2_Accesos!G30))</f>
        <v/>
      </c>
      <c r="AC226" s="17" t="str">
        <f>IF(M2_Accesos!A30="","",IF(M2_Accesos!M30="","",M2_Accesos!M30))</f>
        <v/>
      </c>
      <c r="AD226" s="17" t="str">
        <f>IF(M2_Accesos!A30="","","RD")</f>
        <v/>
      </c>
      <c r="AE226" s="17" t="str">
        <f>IF(M2_Accesos!A30="","",IF(M2_Accesos!O30="","",M2_Accesos!O30))</f>
        <v/>
      </c>
      <c r="AF226" s="17" t="str">
        <f>IF(M2_Accesos!A30="","",IF(M2_Accesos!P30="","",M2_Accesos!P30))</f>
        <v/>
      </c>
      <c r="AG226" s="17" t="str">
        <f>IF(M2_Accesos!A30="","",IF(M2_Accesos!Q30="","",M2_Accesos!Q30))</f>
        <v/>
      </c>
      <c r="AH226" s="17" t="str">
        <f>IF(M2_Accesos!A30="","",IF(M2_Accesos!J30="","",M2_Accesos!J30))</f>
        <v/>
      </c>
      <c r="AI226" s="17" t="str">
        <f>IF(M2_Accesos!A30="","","M2_Accesos!30")</f>
        <v/>
      </c>
      <c r="AJ226" s="17" t="str">
        <f>IF(M2_Accesos!A30="","",IF(M2_Accesos!M30="","Pendiente de resultado","Disponible"))</f>
        <v/>
      </c>
    </row>
    <row r="227" spans="1:36" ht="55.5" customHeight="1">
      <c r="A227" s="6" t="str">
        <f t="array" ref="A227">IF(223&gt;$S$1204,"",INDEX($T$5:$AJ$1204,MATCH(223,$S$5:$S$1204,0),1))</f>
        <v/>
      </c>
      <c r="B227" s="8" t="str">
        <f t="array" ref="B227">IF(223&gt;$S$1204,"",INDEX($T$5:$AJ$1204,MATCH(223,$S$5:$S$1204,0),2))</f>
        <v/>
      </c>
      <c r="C227" s="10" t="str">
        <f t="array" ref="C227">IF(223&gt;$S$1204,"",INDEX($T$5:$AJ$1204,MATCH(223,$S$5:$S$1204,0),3))</f>
        <v/>
      </c>
      <c r="D227" s="8" t="str">
        <f t="array" ref="D227">IF(223&gt;$S$1204,"",INDEX($T$5:$AJ$1204,MATCH(223,$S$5:$S$1204,0),4))</f>
        <v/>
      </c>
      <c r="E227" s="8" t="str">
        <f t="array" ref="E227">IF(223&gt;$S$1204,"",INDEX($T$5:$AJ$1204,MATCH(223,$S$5:$S$1204,0),5))</f>
        <v/>
      </c>
      <c r="F227" s="8" t="str">
        <f t="array" ref="F227">IF(223&gt;$S$1204,"",INDEX($T$5:$AJ$1204,MATCH(223,$S$5:$S$1204,0),6))</f>
        <v/>
      </c>
      <c r="G227" s="8" t="str">
        <f t="array" ref="G227">IF(223&gt;$S$1204,"",INDEX($T$5:$AJ$1204,MATCH(223,$S$5:$S$1204,0),7))</f>
        <v/>
      </c>
      <c r="H227" s="8" t="str">
        <f t="array" ref="H227">IF(223&gt;$S$1204,"",INDEX($T$5:$AJ$1204,MATCH(223,$S$5:$S$1204,0),8))</f>
        <v/>
      </c>
      <c r="I227" s="8" t="str">
        <f t="array" ref="I227">IF(223&gt;$S$1204,"",INDEX($T$5:$AJ$1204,MATCH(223,$S$5:$S$1204,0),9))</f>
        <v/>
      </c>
      <c r="J227" s="14" t="str">
        <f t="array" ref="J227">IF(223&gt;$S$1204,"",INDEX($T$5:$AJ$1204,MATCH(223,$S$5:$S$1204,0),10))</f>
        <v/>
      </c>
      <c r="K227" s="8" t="str">
        <f t="array" ref="K227">IF(223&gt;$S$1204,"",INDEX($T$5:$AJ$1204,MATCH(223,$S$5:$S$1204,0),11))</f>
        <v/>
      </c>
      <c r="L227" s="8" t="str">
        <f t="array" ref="L227">IF(223&gt;$S$1204,"",INDEX($T$5:$AJ$1204,MATCH(223,$S$5:$S$1204,0),12))</f>
        <v/>
      </c>
      <c r="M227" s="8" t="str">
        <f t="array" ref="M227">IF(223&gt;$S$1204,"",INDEX($T$5:$AJ$1204,MATCH(223,$S$5:$S$1204,0),13))</f>
        <v/>
      </c>
      <c r="N227" s="8" t="str">
        <f t="array" ref="N227">IF(223&gt;$S$1204,"",INDEX($T$5:$AJ$1204,MATCH(223,$S$5:$S$1204,0),14))</f>
        <v/>
      </c>
      <c r="O227" s="15" t="str">
        <f t="array" ref="O227">IF(223&gt;$S$1204,"",INDEX($T$5:$AJ$1204,MATCH(223,$S$5:$S$1204,0),15))</f>
        <v/>
      </c>
      <c r="P227" s="8" t="str">
        <f t="array" ref="P227">IF(223&gt;$S$1204,"",INDEX($T$5:$AJ$1204,MATCH(223,$S$5:$S$1204,0),16))</f>
        <v/>
      </c>
      <c r="Q227" s="8" t="str">
        <f t="array" ref="Q227">IF(223&gt;$S$1204,"",INDEX($T$5:$AJ$1204,MATCH(223,$S$5:$S$1204,0),17))</f>
        <v/>
      </c>
      <c r="R227" s="17"/>
      <c r="S227" s="17">
        <f>S226+IF(M2_Accesos!A31="",0,1)</f>
        <v>0</v>
      </c>
      <c r="T227" s="17" t="str">
        <f>IF(M2_Accesos!A31="","",IF(M2_Accesos!A31="","",M2_Accesos!A31))</f>
        <v/>
      </c>
      <c r="U227" s="17" t="str">
        <f>IF(M2_Accesos!A31="","",IF(M2_Accesos!R31="","",M2_Accesos!R31))</f>
        <v/>
      </c>
      <c r="V227" s="17" t="str">
        <f>IF(M2_Accesos!A31="","",IF(M2_Accesos!D31="","",M2_Accesos!D31))</f>
        <v/>
      </c>
      <c r="W227" s="17" t="str">
        <f>IF(M2_Accesos!A31="","",IF(M2_Accesos!B31="","",M2_Accesos!B31))</f>
        <v/>
      </c>
      <c r="X227" s="17" t="str">
        <f>IF(M2_Accesos!A31="","",IF(M2_Accesos!C31="","",M2_Accesos!C31))</f>
        <v/>
      </c>
      <c r="Y227" s="17" t="str">
        <f>IF(M2_Accesos!A31="","",IF(M2_Accesos!E31="","",M2_Accesos!E31))</f>
        <v/>
      </c>
      <c r="Z227" s="17" t="str">
        <f>IF(M2_Accesos!A31="","",IF(M2_Accesos!F31="","",M2_Accesos!F31))</f>
        <v/>
      </c>
      <c r="AA227" s="17" t="str">
        <f>IF(M2_Accesos!A31="","","M2 Accesos")</f>
        <v/>
      </c>
      <c r="AB227" s="17" t="str">
        <f>IF(M2_Accesos!A31="","",IF(M2_Accesos!G31="","",M2_Accesos!G31))</f>
        <v/>
      </c>
      <c r="AC227" s="17" t="str">
        <f>IF(M2_Accesos!A31="","",IF(M2_Accesos!M31="","",M2_Accesos!M31))</f>
        <v/>
      </c>
      <c r="AD227" s="17" t="str">
        <f>IF(M2_Accesos!A31="","","RD")</f>
        <v/>
      </c>
      <c r="AE227" s="17" t="str">
        <f>IF(M2_Accesos!A31="","",IF(M2_Accesos!O31="","",M2_Accesos!O31))</f>
        <v/>
      </c>
      <c r="AF227" s="17" t="str">
        <f>IF(M2_Accesos!A31="","",IF(M2_Accesos!P31="","",M2_Accesos!P31))</f>
        <v/>
      </c>
      <c r="AG227" s="17" t="str">
        <f>IF(M2_Accesos!A31="","",IF(M2_Accesos!Q31="","",M2_Accesos!Q31))</f>
        <v/>
      </c>
      <c r="AH227" s="17" t="str">
        <f>IF(M2_Accesos!A31="","",IF(M2_Accesos!J31="","",M2_Accesos!J31))</f>
        <v/>
      </c>
      <c r="AI227" s="17" t="str">
        <f>IF(M2_Accesos!A31="","","M2_Accesos!31")</f>
        <v/>
      </c>
      <c r="AJ227" s="17" t="str">
        <f>IF(M2_Accesos!A31="","",IF(M2_Accesos!M31="","Pendiente de resultado","Disponible"))</f>
        <v/>
      </c>
    </row>
    <row r="228" spans="1:36" ht="55.5" customHeight="1">
      <c r="A228" s="6" t="str">
        <f t="array" ref="A228">IF(224&gt;$S$1204,"",INDEX($T$5:$AJ$1204,MATCH(224,$S$5:$S$1204,0),1))</f>
        <v/>
      </c>
      <c r="B228" s="8" t="str">
        <f t="array" ref="B228">IF(224&gt;$S$1204,"",INDEX($T$5:$AJ$1204,MATCH(224,$S$5:$S$1204,0),2))</f>
        <v/>
      </c>
      <c r="C228" s="10" t="str">
        <f t="array" ref="C228">IF(224&gt;$S$1204,"",INDEX($T$5:$AJ$1204,MATCH(224,$S$5:$S$1204,0),3))</f>
        <v/>
      </c>
      <c r="D228" s="8" t="str">
        <f t="array" ref="D228">IF(224&gt;$S$1204,"",INDEX($T$5:$AJ$1204,MATCH(224,$S$5:$S$1204,0),4))</f>
        <v/>
      </c>
      <c r="E228" s="8" t="str">
        <f t="array" ref="E228">IF(224&gt;$S$1204,"",INDEX($T$5:$AJ$1204,MATCH(224,$S$5:$S$1204,0),5))</f>
        <v/>
      </c>
      <c r="F228" s="8" t="str">
        <f t="array" ref="F228">IF(224&gt;$S$1204,"",INDEX($T$5:$AJ$1204,MATCH(224,$S$5:$S$1204,0),6))</f>
        <v/>
      </c>
      <c r="G228" s="8" t="str">
        <f t="array" ref="G228">IF(224&gt;$S$1204,"",INDEX($T$5:$AJ$1204,MATCH(224,$S$5:$S$1204,0),7))</f>
        <v/>
      </c>
      <c r="H228" s="8" t="str">
        <f t="array" ref="H228">IF(224&gt;$S$1204,"",INDEX($T$5:$AJ$1204,MATCH(224,$S$5:$S$1204,0),8))</f>
        <v/>
      </c>
      <c r="I228" s="8" t="str">
        <f t="array" ref="I228">IF(224&gt;$S$1204,"",INDEX($T$5:$AJ$1204,MATCH(224,$S$5:$S$1204,0),9))</f>
        <v/>
      </c>
      <c r="J228" s="14" t="str">
        <f t="array" ref="J228">IF(224&gt;$S$1204,"",INDEX($T$5:$AJ$1204,MATCH(224,$S$5:$S$1204,0),10))</f>
        <v/>
      </c>
      <c r="K228" s="8" t="str">
        <f t="array" ref="K228">IF(224&gt;$S$1204,"",INDEX($T$5:$AJ$1204,MATCH(224,$S$5:$S$1204,0),11))</f>
        <v/>
      </c>
      <c r="L228" s="8" t="str">
        <f t="array" ref="L228">IF(224&gt;$S$1204,"",INDEX($T$5:$AJ$1204,MATCH(224,$S$5:$S$1204,0),12))</f>
        <v/>
      </c>
      <c r="M228" s="8" t="str">
        <f t="array" ref="M228">IF(224&gt;$S$1204,"",INDEX($T$5:$AJ$1204,MATCH(224,$S$5:$S$1204,0),13))</f>
        <v/>
      </c>
      <c r="N228" s="8" t="str">
        <f t="array" ref="N228">IF(224&gt;$S$1204,"",INDEX($T$5:$AJ$1204,MATCH(224,$S$5:$S$1204,0),14))</f>
        <v/>
      </c>
      <c r="O228" s="15" t="str">
        <f t="array" ref="O228">IF(224&gt;$S$1204,"",INDEX($T$5:$AJ$1204,MATCH(224,$S$5:$S$1204,0),15))</f>
        <v/>
      </c>
      <c r="P228" s="8" t="str">
        <f t="array" ref="P228">IF(224&gt;$S$1204,"",INDEX($T$5:$AJ$1204,MATCH(224,$S$5:$S$1204,0),16))</f>
        <v/>
      </c>
      <c r="Q228" s="8" t="str">
        <f t="array" ref="Q228">IF(224&gt;$S$1204,"",INDEX($T$5:$AJ$1204,MATCH(224,$S$5:$S$1204,0),17))</f>
        <v/>
      </c>
      <c r="R228" s="17"/>
      <c r="S228" s="17">
        <f>S227+IF(M2_Accesos!A32="",0,1)</f>
        <v>0</v>
      </c>
      <c r="T228" s="17" t="str">
        <f>IF(M2_Accesos!A32="","",IF(M2_Accesos!A32="","",M2_Accesos!A32))</f>
        <v/>
      </c>
      <c r="U228" s="17" t="str">
        <f>IF(M2_Accesos!A32="","",IF(M2_Accesos!R32="","",M2_Accesos!R32))</f>
        <v/>
      </c>
      <c r="V228" s="17" t="str">
        <f>IF(M2_Accesos!A32="","",IF(M2_Accesos!D32="","",M2_Accesos!D32))</f>
        <v/>
      </c>
      <c r="W228" s="17" t="str">
        <f>IF(M2_Accesos!A32="","",IF(M2_Accesos!B32="","",M2_Accesos!B32))</f>
        <v/>
      </c>
      <c r="X228" s="17" t="str">
        <f>IF(M2_Accesos!A32="","",IF(M2_Accesos!C32="","",M2_Accesos!C32))</f>
        <v/>
      </c>
      <c r="Y228" s="17" t="str">
        <f>IF(M2_Accesos!A32="","",IF(M2_Accesos!E32="","",M2_Accesos!E32))</f>
        <v/>
      </c>
      <c r="Z228" s="17" t="str">
        <f>IF(M2_Accesos!A32="","",IF(M2_Accesos!F32="","",M2_Accesos!F32))</f>
        <v/>
      </c>
      <c r="AA228" s="17" t="str">
        <f>IF(M2_Accesos!A32="","","M2 Accesos")</f>
        <v/>
      </c>
      <c r="AB228" s="17" t="str">
        <f>IF(M2_Accesos!A32="","",IF(M2_Accesos!G32="","",M2_Accesos!G32))</f>
        <v/>
      </c>
      <c r="AC228" s="17" t="str">
        <f>IF(M2_Accesos!A32="","",IF(M2_Accesos!M32="","",M2_Accesos!M32))</f>
        <v/>
      </c>
      <c r="AD228" s="17" t="str">
        <f>IF(M2_Accesos!A32="","","RD")</f>
        <v/>
      </c>
      <c r="AE228" s="17" t="str">
        <f>IF(M2_Accesos!A32="","",IF(M2_Accesos!O32="","",M2_Accesos!O32))</f>
        <v/>
      </c>
      <c r="AF228" s="17" t="str">
        <f>IF(M2_Accesos!A32="","",IF(M2_Accesos!P32="","",M2_Accesos!P32))</f>
        <v/>
      </c>
      <c r="AG228" s="17" t="str">
        <f>IF(M2_Accesos!A32="","",IF(M2_Accesos!Q32="","",M2_Accesos!Q32))</f>
        <v/>
      </c>
      <c r="AH228" s="17" t="str">
        <f>IF(M2_Accesos!A32="","",IF(M2_Accesos!J32="","",M2_Accesos!J32))</f>
        <v/>
      </c>
      <c r="AI228" s="17" t="str">
        <f>IF(M2_Accesos!A32="","","M2_Accesos!32")</f>
        <v/>
      </c>
      <c r="AJ228" s="17" t="str">
        <f>IF(M2_Accesos!A32="","",IF(M2_Accesos!M32="","Pendiente de resultado","Disponible"))</f>
        <v/>
      </c>
    </row>
    <row r="229" spans="1:36" ht="55.5" customHeight="1">
      <c r="A229" s="6" t="str">
        <f t="array" ref="A229">IF(225&gt;$S$1204,"",INDEX($T$5:$AJ$1204,MATCH(225,$S$5:$S$1204,0),1))</f>
        <v/>
      </c>
      <c r="B229" s="8" t="str">
        <f t="array" ref="B229">IF(225&gt;$S$1204,"",INDEX($T$5:$AJ$1204,MATCH(225,$S$5:$S$1204,0),2))</f>
        <v/>
      </c>
      <c r="C229" s="10" t="str">
        <f t="array" ref="C229">IF(225&gt;$S$1204,"",INDEX($T$5:$AJ$1204,MATCH(225,$S$5:$S$1204,0),3))</f>
        <v/>
      </c>
      <c r="D229" s="8" t="str">
        <f t="array" ref="D229">IF(225&gt;$S$1204,"",INDEX($T$5:$AJ$1204,MATCH(225,$S$5:$S$1204,0),4))</f>
        <v/>
      </c>
      <c r="E229" s="8" t="str">
        <f t="array" ref="E229">IF(225&gt;$S$1204,"",INDEX($T$5:$AJ$1204,MATCH(225,$S$5:$S$1204,0),5))</f>
        <v/>
      </c>
      <c r="F229" s="8" t="str">
        <f t="array" ref="F229">IF(225&gt;$S$1204,"",INDEX($T$5:$AJ$1204,MATCH(225,$S$5:$S$1204,0),6))</f>
        <v/>
      </c>
      <c r="G229" s="8" t="str">
        <f t="array" ref="G229">IF(225&gt;$S$1204,"",INDEX($T$5:$AJ$1204,MATCH(225,$S$5:$S$1204,0),7))</f>
        <v/>
      </c>
      <c r="H229" s="8" t="str">
        <f t="array" ref="H229">IF(225&gt;$S$1204,"",INDEX($T$5:$AJ$1204,MATCH(225,$S$5:$S$1204,0),8))</f>
        <v/>
      </c>
      <c r="I229" s="8" t="str">
        <f t="array" ref="I229">IF(225&gt;$S$1204,"",INDEX($T$5:$AJ$1204,MATCH(225,$S$5:$S$1204,0),9))</f>
        <v/>
      </c>
      <c r="J229" s="14" t="str">
        <f t="array" ref="J229">IF(225&gt;$S$1204,"",INDEX($T$5:$AJ$1204,MATCH(225,$S$5:$S$1204,0),10))</f>
        <v/>
      </c>
      <c r="K229" s="8" t="str">
        <f t="array" ref="K229">IF(225&gt;$S$1204,"",INDEX($T$5:$AJ$1204,MATCH(225,$S$5:$S$1204,0),11))</f>
        <v/>
      </c>
      <c r="L229" s="8" t="str">
        <f t="array" ref="L229">IF(225&gt;$S$1204,"",INDEX($T$5:$AJ$1204,MATCH(225,$S$5:$S$1204,0),12))</f>
        <v/>
      </c>
      <c r="M229" s="8" t="str">
        <f t="array" ref="M229">IF(225&gt;$S$1204,"",INDEX($T$5:$AJ$1204,MATCH(225,$S$5:$S$1204,0),13))</f>
        <v/>
      </c>
      <c r="N229" s="8" t="str">
        <f t="array" ref="N229">IF(225&gt;$S$1204,"",INDEX($T$5:$AJ$1204,MATCH(225,$S$5:$S$1204,0),14))</f>
        <v/>
      </c>
      <c r="O229" s="15" t="str">
        <f t="array" ref="O229">IF(225&gt;$S$1204,"",INDEX($T$5:$AJ$1204,MATCH(225,$S$5:$S$1204,0),15))</f>
        <v/>
      </c>
      <c r="P229" s="8" t="str">
        <f t="array" ref="P229">IF(225&gt;$S$1204,"",INDEX($T$5:$AJ$1204,MATCH(225,$S$5:$S$1204,0),16))</f>
        <v/>
      </c>
      <c r="Q229" s="8" t="str">
        <f t="array" ref="Q229">IF(225&gt;$S$1204,"",INDEX($T$5:$AJ$1204,MATCH(225,$S$5:$S$1204,0),17))</f>
        <v/>
      </c>
      <c r="R229" s="17"/>
      <c r="S229" s="17">
        <f>S228+IF(M2_Accesos!A33="",0,1)</f>
        <v>0</v>
      </c>
      <c r="T229" s="17" t="str">
        <f>IF(M2_Accesos!A33="","",IF(M2_Accesos!A33="","",M2_Accesos!A33))</f>
        <v/>
      </c>
      <c r="U229" s="17" t="str">
        <f>IF(M2_Accesos!A33="","",IF(M2_Accesos!R33="","",M2_Accesos!R33))</f>
        <v/>
      </c>
      <c r="V229" s="17" t="str">
        <f>IF(M2_Accesos!A33="","",IF(M2_Accesos!D33="","",M2_Accesos!D33))</f>
        <v/>
      </c>
      <c r="W229" s="17" t="str">
        <f>IF(M2_Accesos!A33="","",IF(M2_Accesos!B33="","",M2_Accesos!B33))</f>
        <v/>
      </c>
      <c r="X229" s="17" t="str">
        <f>IF(M2_Accesos!A33="","",IF(M2_Accesos!C33="","",M2_Accesos!C33))</f>
        <v/>
      </c>
      <c r="Y229" s="17" t="str">
        <f>IF(M2_Accesos!A33="","",IF(M2_Accesos!E33="","",M2_Accesos!E33))</f>
        <v/>
      </c>
      <c r="Z229" s="17" t="str">
        <f>IF(M2_Accesos!A33="","",IF(M2_Accesos!F33="","",M2_Accesos!F33))</f>
        <v/>
      </c>
      <c r="AA229" s="17" t="str">
        <f>IF(M2_Accesos!A33="","","M2 Accesos")</f>
        <v/>
      </c>
      <c r="AB229" s="17" t="str">
        <f>IF(M2_Accesos!A33="","",IF(M2_Accesos!G33="","",M2_Accesos!G33))</f>
        <v/>
      </c>
      <c r="AC229" s="17" t="str">
        <f>IF(M2_Accesos!A33="","",IF(M2_Accesos!M33="","",M2_Accesos!M33))</f>
        <v/>
      </c>
      <c r="AD229" s="17" t="str">
        <f>IF(M2_Accesos!A33="","","RD")</f>
        <v/>
      </c>
      <c r="AE229" s="17" t="str">
        <f>IF(M2_Accesos!A33="","",IF(M2_Accesos!O33="","",M2_Accesos!O33))</f>
        <v/>
      </c>
      <c r="AF229" s="17" t="str">
        <f>IF(M2_Accesos!A33="","",IF(M2_Accesos!P33="","",M2_Accesos!P33))</f>
        <v/>
      </c>
      <c r="AG229" s="17" t="str">
        <f>IF(M2_Accesos!A33="","",IF(M2_Accesos!Q33="","",M2_Accesos!Q33))</f>
        <v/>
      </c>
      <c r="AH229" s="17" t="str">
        <f>IF(M2_Accesos!A33="","",IF(M2_Accesos!J33="","",M2_Accesos!J33))</f>
        <v/>
      </c>
      <c r="AI229" s="17" t="str">
        <f>IF(M2_Accesos!A33="","","M2_Accesos!33")</f>
        <v/>
      </c>
      <c r="AJ229" s="17" t="str">
        <f>IF(M2_Accesos!A33="","",IF(M2_Accesos!M33="","Pendiente de resultado","Disponible"))</f>
        <v/>
      </c>
    </row>
    <row r="230" spans="1:36" ht="55.5" customHeight="1">
      <c r="A230" s="6" t="str">
        <f t="array" ref="A230">IF(226&gt;$S$1204,"",INDEX($T$5:$AJ$1204,MATCH(226,$S$5:$S$1204,0),1))</f>
        <v/>
      </c>
      <c r="B230" s="8" t="str">
        <f t="array" ref="B230">IF(226&gt;$S$1204,"",INDEX($T$5:$AJ$1204,MATCH(226,$S$5:$S$1204,0),2))</f>
        <v/>
      </c>
      <c r="C230" s="10" t="str">
        <f t="array" ref="C230">IF(226&gt;$S$1204,"",INDEX($T$5:$AJ$1204,MATCH(226,$S$5:$S$1204,0),3))</f>
        <v/>
      </c>
      <c r="D230" s="8" t="str">
        <f t="array" ref="D230">IF(226&gt;$S$1204,"",INDEX($T$5:$AJ$1204,MATCH(226,$S$5:$S$1204,0),4))</f>
        <v/>
      </c>
      <c r="E230" s="8" t="str">
        <f t="array" ref="E230">IF(226&gt;$S$1204,"",INDEX($T$5:$AJ$1204,MATCH(226,$S$5:$S$1204,0),5))</f>
        <v/>
      </c>
      <c r="F230" s="8" t="str">
        <f t="array" ref="F230">IF(226&gt;$S$1204,"",INDEX($T$5:$AJ$1204,MATCH(226,$S$5:$S$1204,0),6))</f>
        <v/>
      </c>
      <c r="G230" s="8" t="str">
        <f t="array" ref="G230">IF(226&gt;$S$1204,"",INDEX($T$5:$AJ$1204,MATCH(226,$S$5:$S$1204,0),7))</f>
        <v/>
      </c>
      <c r="H230" s="8" t="str">
        <f t="array" ref="H230">IF(226&gt;$S$1204,"",INDEX($T$5:$AJ$1204,MATCH(226,$S$5:$S$1204,0),8))</f>
        <v/>
      </c>
      <c r="I230" s="8" t="str">
        <f t="array" ref="I230">IF(226&gt;$S$1204,"",INDEX($T$5:$AJ$1204,MATCH(226,$S$5:$S$1204,0),9))</f>
        <v/>
      </c>
      <c r="J230" s="14" t="str">
        <f t="array" ref="J230">IF(226&gt;$S$1204,"",INDEX($T$5:$AJ$1204,MATCH(226,$S$5:$S$1204,0),10))</f>
        <v/>
      </c>
      <c r="K230" s="8" t="str">
        <f t="array" ref="K230">IF(226&gt;$S$1204,"",INDEX($T$5:$AJ$1204,MATCH(226,$S$5:$S$1204,0),11))</f>
        <v/>
      </c>
      <c r="L230" s="8" t="str">
        <f t="array" ref="L230">IF(226&gt;$S$1204,"",INDEX($T$5:$AJ$1204,MATCH(226,$S$5:$S$1204,0),12))</f>
        <v/>
      </c>
      <c r="M230" s="8" t="str">
        <f t="array" ref="M230">IF(226&gt;$S$1204,"",INDEX($T$5:$AJ$1204,MATCH(226,$S$5:$S$1204,0),13))</f>
        <v/>
      </c>
      <c r="N230" s="8" t="str">
        <f t="array" ref="N230">IF(226&gt;$S$1204,"",INDEX($T$5:$AJ$1204,MATCH(226,$S$5:$S$1204,0),14))</f>
        <v/>
      </c>
      <c r="O230" s="15" t="str">
        <f t="array" ref="O230">IF(226&gt;$S$1204,"",INDEX($T$5:$AJ$1204,MATCH(226,$S$5:$S$1204,0),15))</f>
        <v/>
      </c>
      <c r="P230" s="8" t="str">
        <f t="array" ref="P230">IF(226&gt;$S$1204,"",INDEX($T$5:$AJ$1204,MATCH(226,$S$5:$S$1204,0),16))</f>
        <v/>
      </c>
      <c r="Q230" s="8" t="str">
        <f t="array" ref="Q230">IF(226&gt;$S$1204,"",INDEX($T$5:$AJ$1204,MATCH(226,$S$5:$S$1204,0),17))</f>
        <v/>
      </c>
      <c r="R230" s="17"/>
      <c r="S230" s="17">
        <f>S229+IF(M2_Accesos!A34="",0,1)</f>
        <v>0</v>
      </c>
      <c r="T230" s="17" t="str">
        <f>IF(M2_Accesos!A34="","",IF(M2_Accesos!A34="","",M2_Accesos!A34))</f>
        <v/>
      </c>
      <c r="U230" s="17" t="str">
        <f>IF(M2_Accesos!A34="","",IF(M2_Accesos!R34="","",M2_Accesos!R34))</f>
        <v/>
      </c>
      <c r="V230" s="17" t="str">
        <f>IF(M2_Accesos!A34="","",IF(M2_Accesos!D34="","",M2_Accesos!D34))</f>
        <v/>
      </c>
      <c r="W230" s="17" t="str">
        <f>IF(M2_Accesos!A34="","",IF(M2_Accesos!B34="","",M2_Accesos!B34))</f>
        <v/>
      </c>
      <c r="X230" s="17" t="str">
        <f>IF(M2_Accesos!A34="","",IF(M2_Accesos!C34="","",M2_Accesos!C34))</f>
        <v/>
      </c>
      <c r="Y230" s="17" t="str">
        <f>IF(M2_Accesos!A34="","",IF(M2_Accesos!E34="","",M2_Accesos!E34))</f>
        <v/>
      </c>
      <c r="Z230" s="17" t="str">
        <f>IF(M2_Accesos!A34="","",IF(M2_Accesos!F34="","",M2_Accesos!F34))</f>
        <v/>
      </c>
      <c r="AA230" s="17" t="str">
        <f>IF(M2_Accesos!A34="","","M2 Accesos")</f>
        <v/>
      </c>
      <c r="AB230" s="17" t="str">
        <f>IF(M2_Accesos!A34="","",IF(M2_Accesos!G34="","",M2_Accesos!G34))</f>
        <v/>
      </c>
      <c r="AC230" s="17" t="str">
        <f>IF(M2_Accesos!A34="","",IF(M2_Accesos!M34="","",M2_Accesos!M34))</f>
        <v/>
      </c>
      <c r="AD230" s="17" t="str">
        <f>IF(M2_Accesos!A34="","","RD")</f>
        <v/>
      </c>
      <c r="AE230" s="17" t="str">
        <f>IF(M2_Accesos!A34="","",IF(M2_Accesos!O34="","",M2_Accesos!O34))</f>
        <v/>
      </c>
      <c r="AF230" s="17" t="str">
        <f>IF(M2_Accesos!A34="","",IF(M2_Accesos!P34="","",M2_Accesos!P34))</f>
        <v/>
      </c>
      <c r="AG230" s="17" t="str">
        <f>IF(M2_Accesos!A34="","",IF(M2_Accesos!Q34="","",M2_Accesos!Q34))</f>
        <v/>
      </c>
      <c r="AH230" s="17" t="str">
        <f>IF(M2_Accesos!A34="","",IF(M2_Accesos!J34="","",M2_Accesos!J34))</f>
        <v/>
      </c>
      <c r="AI230" s="17" t="str">
        <f>IF(M2_Accesos!A34="","","M2_Accesos!34")</f>
        <v/>
      </c>
      <c r="AJ230" s="17" t="str">
        <f>IF(M2_Accesos!A34="","",IF(M2_Accesos!M34="","Pendiente de resultado","Disponible"))</f>
        <v/>
      </c>
    </row>
    <row r="231" spans="1:36" ht="55.5" customHeight="1">
      <c r="A231" s="6" t="str">
        <f t="array" ref="A231">IF(227&gt;$S$1204,"",INDEX($T$5:$AJ$1204,MATCH(227,$S$5:$S$1204,0),1))</f>
        <v/>
      </c>
      <c r="B231" s="8" t="str">
        <f t="array" ref="B231">IF(227&gt;$S$1204,"",INDEX($T$5:$AJ$1204,MATCH(227,$S$5:$S$1204,0),2))</f>
        <v/>
      </c>
      <c r="C231" s="10" t="str">
        <f t="array" ref="C231">IF(227&gt;$S$1204,"",INDEX($T$5:$AJ$1204,MATCH(227,$S$5:$S$1204,0),3))</f>
        <v/>
      </c>
      <c r="D231" s="8" t="str">
        <f t="array" ref="D231">IF(227&gt;$S$1204,"",INDEX($T$5:$AJ$1204,MATCH(227,$S$5:$S$1204,0),4))</f>
        <v/>
      </c>
      <c r="E231" s="8" t="str">
        <f t="array" ref="E231">IF(227&gt;$S$1204,"",INDEX($T$5:$AJ$1204,MATCH(227,$S$5:$S$1204,0),5))</f>
        <v/>
      </c>
      <c r="F231" s="8" t="str">
        <f t="array" ref="F231">IF(227&gt;$S$1204,"",INDEX($T$5:$AJ$1204,MATCH(227,$S$5:$S$1204,0),6))</f>
        <v/>
      </c>
      <c r="G231" s="8" t="str">
        <f t="array" ref="G231">IF(227&gt;$S$1204,"",INDEX($T$5:$AJ$1204,MATCH(227,$S$5:$S$1204,0),7))</f>
        <v/>
      </c>
      <c r="H231" s="8" t="str">
        <f t="array" ref="H231">IF(227&gt;$S$1204,"",INDEX($T$5:$AJ$1204,MATCH(227,$S$5:$S$1204,0),8))</f>
        <v/>
      </c>
      <c r="I231" s="8" t="str">
        <f t="array" ref="I231">IF(227&gt;$S$1204,"",INDEX($T$5:$AJ$1204,MATCH(227,$S$5:$S$1204,0),9))</f>
        <v/>
      </c>
      <c r="J231" s="14" t="str">
        <f t="array" ref="J231">IF(227&gt;$S$1204,"",INDEX($T$5:$AJ$1204,MATCH(227,$S$5:$S$1204,0),10))</f>
        <v/>
      </c>
      <c r="K231" s="8" t="str">
        <f t="array" ref="K231">IF(227&gt;$S$1204,"",INDEX($T$5:$AJ$1204,MATCH(227,$S$5:$S$1204,0),11))</f>
        <v/>
      </c>
      <c r="L231" s="8" t="str">
        <f t="array" ref="L231">IF(227&gt;$S$1204,"",INDEX($T$5:$AJ$1204,MATCH(227,$S$5:$S$1204,0),12))</f>
        <v/>
      </c>
      <c r="M231" s="8" t="str">
        <f t="array" ref="M231">IF(227&gt;$S$1204,"",INDEX($T$5:$AJ$1204,MATCH(227,$S$5:$S$1204,0),13))</f>
        <v/>
      </c>
      <c r="N231" s="8" t="str">
        <f t="array" ref="N231">IF(227&gt;$S$1204,"",INDEX($T$5:$AJ$1204,MATCH(227,$S$5:$S$1204,0),14))</f>
        <v/>
      </c>
      <c r="O231" s="15" t="str">
        <f t="array" ref="O231">IF(227&gt;$S$1204,"",INDEX($T$5:$AJ$1204,MATCH(227,$S$5:$S$1204,0),15))</f>
        <v/>
      </c>
      <c r="P231" s="8" t="str">
        <f t="array" ref="P231">IF(227&gt;$S$1204,"",INDEX($T$5:$AJ$1204,MATCH(227,$S$5:$S$1204,0),16))</f>
        <v/>
      </c>
      <c r="Q231" s="8" t="str">
        <f t="array" ref="Q231">IF(227&gt;$S$1204,"",INDEX($T$5:$AJ$1204,MATCH(227,$S$5:$S$1204,0),17))</f>
        <v/>
      </c>
      <c r="R231" s="17"/>
      <c r="S231" s="17">
        <f>S230+IF(M2_Accesos!A35="",0,1)</f>
        <v>0</v>
      </c>
      <c r="T231" s="17" t="str">
        <f>IF(M2_Accesos!A35="","",IF(M2_Accesos!A35="","",M2_Accesos!A35))</f>
        <v/>
      </c>
      <c r="U231" s="17" t="str">
        <f>IF(M2_Accesos!A35="","",IF(M2_Accesos!R35="","",M2_Accesos!R35))</f>
        <v/>
      </c>
      <c r="V231" s="17" t="str">
        <f>IF(M2_Accesos!A35="","",IF(M2_Accesos!D35="","",M2_Accesos!D35))</f>
        <v/>
      </c>
      <c r="W231" s="17" t="str">
        <f>IF(M2_Accesos!A35="","",IF(M2_Accesos!B35="","",M2_Accesos!B35))</f>
        <v/>
      </c>
      <c r="X231" s="17" t="str">
        <f>IF(M2_Accesos!A35="","",IF(M2_Accesos!C35="","",M2_Accesos!C35))</f>
        <v/>
      </c>
      <c r="Y231" s="17" t="str">
        <f>IF(M2_Accesos!A35="","",IF(M2_Accesos!E35="","",M2_Accesos!E35))</f>
        <v/>
      </c>
      <c r="Z231" s="17" t="str">
        <f>IF(M2_Accesos!A35="","",IF(M2_Accesos!F35="","",M2_Accesos!F35))</f>
        <v/>
      </c>
      <c r="AA231" s="17" t="str">
        <f>IF(M2_Accesos!A35="","","M2 Accesos")</f>
        <v/>
      </c>
      <c r="AB231" s="17" t="str">
        <f>IF(M2_Accesos!A35="","",IF(M2_Accesos!G35="","",M2_Accesos!G35))</f>
        <v/>
      </c>
      <c r="AC231" s="17" t="str">
        <f>IF(M2_Accesos!A35="","",IF(M2_Accesos!M35="","",M2_Accesos!M35))</f>
        <v/>
      </c>
      <c r="AD231" s="17" t="str">
        <f>IF(M2_Accesos!A35="","","RD")</f>
        <v/>
      </c>
      <c r="AE231" s="17" t="str">
        <f>IF(M2_Accesos!A35="","",IF(M2_Accesos!O35="","",M2_Accesos!O35))</f>
        <v/>
      </c>
      <c r="AF231" s="17" t="str">
        <f>IF(M2_Accesos!A35="","",IF(M2_Accesos!P35="","",M2_Accesos!P35))</f>
        <v/>
      </c>
      <c r="AG231" s="17" t="str">
        <f>IF(M2_Accesos!A35="","",IF(M2_Accesos!Q35="","",M2_Accesos!Q35))</f>
        <v/>
      </c>
      <c r="AH231" s="17" t="str">
        <f>IF(M2_Accesos!A35="","",IF(M2_Accesos!J35="","",M2_Accesos!J35))</f>
        <v/>
      </c>
      <c r="AI231" s="17" t="str">
        <f>IF(M2_Accesos!A35="","","M2_Accesos!35")</f>
        <v/>
      </c>
      <c r="AJ231" s="17" t="str">
        <f>IF(M2_Accesos!A35="","",IF(M2_Accesos!M35="","Pendiente de resultado","Disponible"))</f>
        <v/>
      </c>
    </row>
    <row r="232" spans="1:36" ht="55.5" customHeight="1">
      <c r="A232" s="6" t="str">
        <f t="array" ref="A232">IF(228&gt;$S$1204,"",INDEX($T$5:$AJ$1204,MATCH(228,$S$5:$S$1204,0),1))</f>
        <v/>
      </c>
      <c r="B232" s="8" t="str">
        <f t="array" ref="B232">IF(228&gt;$S$1204,"",INDEX($T$5:$AJ$1204,MATCH(228,$S$5:$S$1204,0),2))</f>
        <v/>
      </c>
      <c r="C232" s="10" t="str">
        <f t="array" ref="C232">IF(228&gt;$S$1204,"",INDEX($T$5:$AJ$1204,MATCH(228,$S$5:$S$1204,0),3))</f>
        <v/>
      </c>
      <c r="D232" s="8" t="str">
        <f t="array" ref="D232">IF(228&gt;$S$1204,"",INDEX($T$5:$AJ$1204,MATCH(228,$S$5:$S$1204,0),4))</f>
        <v/>
      </c>
      <c r="E232" s="8" t="str">
        <f t="array" ref="E232">IF(228&gt;$S$1204,"",INDEX($T$5:$AJ$1204,MATCH(228,$S$5:$S$1204,0),5))</f>
        <v/>
      </c>
      <c r="F232" s="8" t="str">
        <f t="array" ref="F232">IF(228&gt;$S$1204,"",INDEX($T$5:$AJ$1204,MATCH(228,$S$5:$S$1204,0),6))</f>
        <v/>
      </c>
      <c r="G232" s="8" t="str">
        <f t="array" ref="G232">IF(228&gt;$S$1204,"",INDEX($T$5:$AJ$1204,MATCH(228,$S$5:$S$1204,0),7))</f>
        <v/>
      </c>
      <c r="H232" s="8" t="str">
        <f t="array" ref="H232">IF(228&gt;$S$1204,"",INDEX($T$5:$AJ$1204,MATCH(228,$S$5:$S$1204,0),8))</f>
        <v/>
      </c>
      <c r="I232" s="8" t="str">
        <f t="array" ref="I232">IF(228&gt;$S$1204,"",INDEX($T$5:$AJ$1204,MATCH(228,$S$5:$S$1204,0),9))</f>
        <v/>
      </c>
      <c r="J232" s="14" t="str">
        <f t="array" ref="J232">IF(228&gt;$S$1204,"",INDEX($T$5:$AJ$1204,MATCH(228,$S$5:$S$1204,0),10))</f>
        <v/>
      </c>
      <c r="K232" s="8" t="str">
        <f t="array" ref="K232">IF(228&gt;$S$1204,"",INDEX($T$5:$AJ$1204,MATCH(228,$S$5:$S$1204,0),11))</f>
        <v/>
      </c>
      <c r="L232" s="8" t="str">
        <f t="array" ref="L232">IF(228&gt;$S$1204,"",INDEX($T$5:$AJ$1204,MATCH(228,$S$5:$S$1204,0),12))</f>
        <v/>
      </c>
      <c r="M232" s="8" t="str">
        <f t="array" ref="M232">IF(228&gt;$S$1204,"",INDEX($T$5:$AJ$1204,MATCH(228,$S$5:$S$1204,0),13))</f>
        <v/>
      </c>
      <c r="N232" s="8" t="str">
        <f t="array" ref="N232">IF(228&gt;$S$1204,"",INDEX($T$5:$AJ$1204,MATCH(228,$S$5:$S$1204,0),14))</f>
        <v/>
      </c>
      <c r="O232" s="15" t="str">
        <f t="array" ref="O232">IF(228&gt;$S$1204,"",INDEX($T$5:$AJ$1204,MATCH(228,$S$5:$S$1204,0),15))</f>
        <v/>
      </c>
      <c r="P232" s="8" t="str">
        <f t="array" ref="P232">IF(228&gt;$S$1204,"",INDEX($T$5:$AJ$1204,MATCH(228,$S$5:$S$1204,0),16))</f>
        <v/>
      </c>
      <c r="Q232" s="8" t="str">
        <f t="array" ref="Q232">IF(228&gt;$S$1204,"",INDEX($T$5:$AJ$1204,MATCH(228,$S$5:$S$1204,0),17))</f>
        <v/>
      </c>
      <c r="R232" s="17"/>
      <c r="S232" s="17">
        <f>S231+IF(M2_Accesos!A36="",0,1)</f>
        <v>0</v>
      </c>
      <c r="T232" s="17" t="str">
        <f>IF(M2_Accesos!A36="","",IF(M2_Accesos!A36="","",M2_Accesos!A36))</f>
        <v/>
      </c>
      <c r="U232" s="17" t="str">
        <f>IF(M2_Accesos!A36="","",IF(M2_Accesos!R36="","",M2_Accesos!R36))</f>
        <v/>
      </c>
      <c r="V232" s="17" t="str">
        <f>IF(M2_Accesos!A36="","",IF(M2_Accesos!D36="","",M2_Accesos!D36))</f>
        <v/>
      </c>
      <c r="W232" s="17" t="str">
        <f>IF(M2_Accesos!A36="","",IF(M2_Accesos!B36="","",M2_Accesos!B36))</f>
        <v/>
      </c>
      <c r="X232" s="17" t="str">
        <f>IF(M2_Accesos!A36="","",IF(M2_Accesos!C36="","",M2_Accesos!C36))</f>
        <v/>
      </c>
      <c r="Y232" s="17" t="str">
        <f>IF(M2_Accesos!A36="","",IF(M2_Accesos!E36="","",M2_Accesos!E36))</f>
        <v/>
      </c>
      <c r="Z232" s="17" t="str">
        <f>IF(M2_Accesos!A36="","",IF(M2_Accesos!F36="","",M2_Accesos!F36))</f>
        <v/>
      </c>
      <c r="AA232" s="17" t="str">
        <f>IF(M2_Accesos!A36="","","M2 Accesos")</f>
        <v/>
      </c>
      <c r="AB232" s="17" t="str">
        <f>IF(M2_Accesos!A36="","",IF(M2_Accesos!G36="","",M2_Accesos!G36))</f>
        <v/>
      </c>
      <c r="AC232" s="17" t="str">
        <f>IF(M2_Accesos!A36="","",IF(M2_Accesos!M36="","",M2_Accesos!M36))</f>
        <v/>
      </c>
      <c r="AD232" s="17" t="str">
        <f>IF(M2_Accesos!A36="","","RD")</f>
        <v/>
      </c>
      <c r="AE232" s="17" t="str">
        <f>IF(M2_Accesos!A36="","",IF(M2_Accesos!O36="","",M2_Accesos!O36))</f>
        <v/>
      </c>
      <c r="AF232" s="17" t="str">
        <f>IF(M2_Accesos!A36="","",IF(M2_Accesos!P36="","",M2_Accesos!P36))</f>
        <v/>
      </c>
      <c r="AG232" s="17" t="str">
        <f>IF(M2_Accesos!A36="","",IF(M2_Accesos!Q36="","",M2_Accesos!Q36))</f>
        <v/>
      </c>
      <c r="AH232" s="17" t="str">
        <f>IF(M2_Accesos!A36="","",IF(M2_Accesos!J36="","",M2_Accesos!J36))</f>
        <v/>
      </c>
      <c r="AI232" s="17" t="str">
        <f>IF(M2_Accesos!A36="","","M2_Accesos!36")</f>
        <v/>
      </c>
      <c r="AJ232" s="17" t="str">
        <f>IF(M2_Accesos!A36="","",IF(M2_Accesos!M36="","Pendiente de resultado","Disponible"))</f>
        <v/>
      </c>
    </row>
    <row r="233" spans="1:36" ht="55.5" customHeight="1">
      <c r="A233" s="6" t="str">
        <f t="array" ref="A233">IF(229&gt;$S$1204,"",INDEX($T$5:$AJ$1204,MATCH(229,$S$5:$S$1204,0),1))</f>
        <v/>
      </c>
      <c r="B233" s="8" t="str">
        <f t="array" ref="B233">IF(229&gt;$S$1204,"",INDEX($T$5:$AJ$1204,MATCH(229,$S$5:$S$1204,0),2))</f>
        <v/>
      </c>
      <c r="C233" s="10" t="str">
        <f t="array" ref="C233">IF(229&gt;$S$1204,"",INDEX($T$5:$AJ$1204,MATCH(229,$S$5:$S$1204,0),3))</f>
        <v/>
      </c>
      <c r="D233" s="8" t="str">
        <f t="array" ref="D233">IF(229&gt;$S$1204,"",INDEX($T$5:$AJ$1204,MATCH(229,$S$5:$S$1204,0),4))</f>
        <v/>
      </c>
      <c r="E233" s="8" t="str">
        <f t="array" ref="E233">IF(229&gt;$S$1204,"",INDEX($T$5:$AJ$1204,MATCH(229,$S$5:$S$1204,0),5))</f>
        <v/>
      </c>
      <c r="F233" s="8" t="str">
        <f t="array" ref="F233">IF(229&gt;$S$1204,"",INDEX($T$5:$AJ$1204,MATCH(229,$S$5:$S$1204,0),6))</f>
        <v/>
      </c>
      <c r="G233" s="8" t="str">
        <f t="array" ref="G233">IF(229&gt;$S$1204,"",INDEX($T$5:$AJ$1204,MATCH(229,$S$5:$S$1204,0),7))</f>
        <v/>
      </c>
      <c r="H233" s="8" t="str">
        <f t="array" ref="H233">IF(229&gt;$S$1204,"",INDEX($T$5:$AJ$1204,MATCH(229,$S$5:$S$1204,0),8))</f>
        <v/>
      </c>
      <c r="I233" s="8" t="str">
        <f t="array" ref="I233">IF(229&gt;$S$1204,"",INDEX($T$5:$AJ$1204,MATCH(229,$S$5:$S$1204,0),9))</f>
        <v/>
      </c>
      <c r="J233" s="14" t="str">
        <f t="array" ref="J233">IF(229&gt;$S$1204,"",INDEX($T$5:$AJ$1204,MATCH(229,$S$5:$S$1204,0),10))</f>
        <v/>
      </c>
      <c r="K233" s="8" t="str">
        <f t="array" ref="K233">IF(229&gt;$S$1204,"",INDEX($T$5:$AJ$1204,MATCH(229,$S$5:$S$1204,0),11))</f>
        <v/>
      </c>
      <c r="L233" s="8" t="str">
        <f t="array" ref="L233">IF(229&gt;$S$1204,"",INDEX($T$5:$AJ$1204,MATCH(229,$S$5:$S$1204,0),12))</f>
        <v/>
      </c>
      <c r="M233" s="8" t="str">
        <f t="array" ref="M233">IF(229&gt;$S$1204,"",INDEX($T$5:$AJ$1204,MATCH(229,$S$5:$S$1204,0),13))</f>
        <v/>
      </c>
      <c r="N233" s="8" t="str">
        <f t="array" ref="N233">IF(229&gt;$S$1204,"",INDEX($T$5:$AJ$1204,MATCH(229,$S$5:$S$1204,0),14))</f>
        <v/>
      </c>
      <c r="O233" s="15" t="str">
        <f t="array" ref="O233">IF(229&gt;$S$1204,"",INDEX($T$5:$AJ$1204,MATCH(229,$S$5:$S$1204,0),15))</f>
        <v/>
      </c>
      <c r="P233" s="8" t="str">
        <f t="array" ref="P233">IF(229&gt;$S$1204,"",INDEX($T$5:$AJ$1204,MATCH(229,$S$5:$S$1204,0),16))</f>
        <v/>
      </c>
      <c r="Q233" s="8" t="str">
        <f t="array" ref="Q233">IF(229&gt;$S$1204,"",INDEX($T$5:$AJ$1204,MATCH(229,$S$5:$S$1204,0),17))</f>
        <v/>
      </c>
      <c r="R233" s="17"/>
      <c r="S233" s="17">
        <f>S232+IF(M2_Accesos!A37="",0,1)</f>
        <v>0</v>
      </c>
      <c r="T233" s="17" t="str">
        <f>IF(M2_Accesos!A37="","",IF(M2_Accesos!A37="","",M2_Accesos!A37))</f>
        <v/>
      </c>
      <c r="U233" s="17" t="str">
        <f>IF(M2_Accesos!A37="","",IF(M2_Accesos!R37="","",M2_Accesos!R37))</f>
        <v/>
      </c>
      <c r="V233" s="17" t="str">
        <f>IF(M2_Accesos!A37="","",IF(M2_Accesos!D37="","",M2_Accesos!D37))</f>
        <v/>
      </c>
      <c r="W233" s="17" t="str">
        <f>IF(M2_Accesos!A37="","",IF(M2_Accesos!B37="","",M2_Accesos!B37))</f>
        <v/>
      </c>
      <c r="X233" s="17" t="str">
        <f>IF(M2_Accesos!A37="","",IF(M2_Accesos!C37="","",M2_Accesos!C37))</f>
        <v/>
      </c>
      <c r="Y233" s="17" t="str">
        <f>IF(M2_Accesos!A37="","",IF(M2_Accesos!E37="","",M2_Accesos!E37))</f>
        <v/>
      </c>
      <c r="Z233" s="17" t="str">
        <f>IF(M2_Accesos!A37="","",IF(M2_Accesos!F37="","",M2_Accesos!F37))</f>
        <v/>
      </c>
      <c r="AA233" s="17" t="str">
        <f>IF(M2_Accesos!A37="","","M2 Accesos")</f>
        <v/>
      </c>
      <c r="AB233" s="17" t="str">
        <f>IF(M2_Accesos!A37="","",IF(M2_Accesos!G37="","",M2_Accesos!G37))</f>
        <v/>
      </c>
      <c r="AC233" s="17" t="str">
        <f>IF(M2_Accesos!A37="","",IF(M2_Accesos!M37="","",M2_Accesos!M37))</f>
        <v/>
      </c>
      <c r="AD233" s="17" t="str">
        <f>IF(M2_Accesos!A37="","","RD")</f>
        <v/>
      </c>
      <c r="AE233" s="17" t="str">
        <f>IF(M2_Accesos!A37="","",IF(M2_Accesos!O37="","",M2_Accesos!O37))</f>
        <v/>
      </c>
      <c r="AF233" s="17" t="str">
        <f>IF(M2_Accesos!A37="","",IF(M2_Accesos!P37="","",M2_Accesos!P37))</f>
        <v/>
      </c>
      <c r="AG233" s="17" t="str">
        <f>IF(M2_Accesos!A37="","",IF(M2_Accesos!Q37="","",M2_Accesos!Q37))</f>
        <v/>
      </c>
      <c r="AH233" s="17" t="str">
        <f>IF(M2_Accesos!A37="","",IF(M2_Accesos!J37="","",M2_Accesos!J37))</f>
        <v/>
      </c>
      <c r="AI233" s="17" t="str">
        <f>IF(M2_Accesos!A37="","","M2_Accesos!37")</f>
        <v/>
      </c>
      <c r="AJ233" s="17" t="str">
        <f>IF(M2_Accesos!A37="","",IF(M2_Accesos!M37="","Pendiente de resultado","Disponible"))</f>
        <v/>
      </c>
    </row>
    <row r="234" spans="1:36" ht="55.5" customHeight="1">
      <c r="A234" s="6" t="str">
        <f t="array" ref="A234">IF(230&gt;$S$1204,"",INDEX($T$5:$AJ$1204,MATCH(230,$S$5:$S$1204,0),1))</f>
        <v/>
      </c>
      <c r="B234" s="8" t="str">
        <f t="array" ref="B234">IF(230&gt;$S$1204,"",INDEX($T$5:$AJ$1204,MATCH(230,$S$5:$S$1204,0),2))</f>
        <v/>
      </c>
      <c r="C234" s="10" t="str">
        <f t="array" ref="C234">IF(230&gt;$S$1204,"",INDEX($T$5:$AJ$1204,MATCH(230,$S$5:$S$1204,0),3))</f>
        <v/>
      </c>
      <c r="D234" s="8" t="str">
        <f t="array" ref="D234">IF(230&gt;$S$1204,"",INDEX($T$5:$AJ$1204,MATCH(230,$S$5:$S$1204,0),4))</f>
        <v/>
      </c>
      <c r="E234" s="8" t="str">
        <f t="array" ref="E234">IF(230&gt;$S$1204,"",INDEX($T$5:$AJ$1204,MATCH(230,$S$5:$S$1204,0),5))</f>
        <v/>
      </c>
      <c r="F234" s="8" t="str">
        <f t="array" ref="F234">IF(230&gt;$S$1204,"",INDEX($T$5:$AJ$1204,MATCH(230,$S$5:$S$1204,0),6))</f>
        <v/>
      </c>
      <c r="G234" s="8" t="str">
        <f t="array" ref="G234">IF(230&gt;$S$1204,"",INDEX($T$5:$AJ$1204,MATCH(230,$S$5:$S$1204,0),7))</f>
        <v/>
      </c>
      <c r="H234" s="8" t="str">
        <f t="array" ref="H234">IF(230&gt;$S$1204,"",INDEX($T$5:$AJ$1204,MATCH(230,$S$5:$S$1204,0),8))</f>
        <v/>
      </c>
      <c r="I234" s="8" t="str">
        <f t="array" ref="I234">IF(230&gt;$S$1204,"",INDEX($T$5:$AJ$1204,MATCH(230,$S$5:$S$1204,0),9))</f>
        <v/>
      </c>
      <c r="J234" s="14" t="str">
        <f t="array" ref="J234">IF(230&gt;$S$1204,"",INDEX($T$5:$AJ$1204,MATCH(230,$S$5:$S$1204,0),10))</f>
        <v/>
      </c>
      <c r="K234" s="8" t="str">
        <f t="array" ref="K234">IF(230&gt;$S$1204,"",INDEX($T$5:$AJ$1204,MATCH(230,$S$5:$S$1204,0),11))</f>
        <v/>
      </c>
      <c r="L234" s="8" t="str">
        <f t="array" ref="L234">IF(230&gt;$S$1204,"",INDEX($T$5:$AJ$1204,MATCH(230,$S$5:$S$1204,0),12))</f>
        <v/>
      </c>
      <c r="M234" s="8" t="str">
        <f t="array" ref="M234">IF(230&gt;$S$1204,"",INDEX($T$5:$AJ$1204,MATCH(230,$S$5:$S$1204,0),13))</f>
        <v/>
      </c>
      <c r="N234" s="8" t="str">
        <f t="array" ref="N234">IF(230&gt;$S$1204,"",INDEX($T$5:$AJ$1204,MATCH(230,$S$5:$S$1204,0),14))</f>
        <v/>
      </c>
      <c r="O234" s="15" t="str">
        <f t="array" ref="O234">IF(230&gt;$S$1204,"",INDEX($T$5:$AJ$1204,MATCH(230,$S$5:$S$1204,0),15))</f>
        <v/>
      </c>
      <c r="P234" s="8" t="str">
        <f t="array" ref="P234">IF(230&gt;$S$1204,"",INDEX($T$5:$AJ$1204,MATCH(230,$S$5:$S$1204,0),16))</f>
        <v/>
      </c>
      <c r="Q234" s="8" t="str">
        <f t="array" ref="Q234">IF(230&gt;$S$1204,"",INDEX($T$5:$AJ$1204,MATCH(230,$S$5:$S$1204,0),17))</f>
        <v/>
      </c>
      <c r="R234" s="17"/>
      <c r="S234" s="17">
        <f>S233+IF(M2_Accesos!A38="",0,1)</f>
        <v>0</v>
      </c>
      <c r="T234" s="17" t="str">
        <f>IF(M2_Accesos!A38="","",IF(M2_Accesos!A38="","",M2_Accesos!A38))</f>
        <v/>
      </c>
      <c r="U234" s="17" t="str">
        <f>IF(M2_Accesos!A38="","",IF(M2_Accesos!R38="","",M2_Accesos!R38))</f>
        <v/>
      </c>
      <c r="V234" s="17" t="str">
        <f>IF(M2_Accesos!A38="","",IF(M2_Accesos!D38="","",M2_Accesos!D38))</f>
        <v/>
      </c>
      <c r="W234" s="17" t="str">
        <f>IF(M2_Accesos!A38="","",IF(M2_Accesos!B38="","",M2_Accesos!B38))</f>
        <v/>
      </c>
      <c r="X234" s="17" t="str">
        <f>IF(M2_Accesos!A38="","",IF(M2_Accesos!C38="","",M2_Accesos!C38))</f>
        <v/>
      </c>
      <c r="Y234" s="17" t="str">
        <f>IF(M2_Accesos!A38="","",IF(M2_Accesos!E38="","",M2_Accesos!E38))</f>
        <v/>
      </c>
      <c r="Z234" s="17" t="str">
        <f>IF(M2_Accesos!A38="","",IF(M2_Accesos!F38="","",M2_Accesos!F38))</f>
        <v/>
      </c>
      <c r="AA234" s="17" t="str">
        <f>IF(M2_Accesos!A38="","","M2 Accesos")</f>
        <v/>
      </c>
      <c r="AB234" s="17" t="str">
        <f>IF(M2_Accesos!A38="","",IF(M2_Accesos!G38="","",M2_Accesos!G38))</f>
        <v/>
      </c>
      <c r="AC234" s="17" t="str">
        <f>IF(M2_Accesos!A38="","",IF(M2_Accesos!M38="","",M2_Accesos!M38))</f>
        <v/>
      </c>
      <c r="AD234" s="17" t="str">
        <f>IF(M2_Accesos!A38="","","RD")</f>
        <v/>
      </c>
      <c r="AE234" s="17" t="str">
        <f>IF(M2_Accesos!A38="","",IF(M2_Accesos!O38="","",M2_Accesos!O38))</f>
        <v/>
      </c>
      <c r="AF234" s="17" t="str">
        <f>IF(M2_Accesos!A38="","",IF(M2_Accesos!P38="","",M2_Accesos!P38))</f>
        <v/>
      </c>
      <c r="AG234" s="17" t="str">
        <f>IF(M2_Accesos!A38="","",IF(M2_Accesos!Q38="","",M2_Accesos!Q38))</f>
        <v/>
      </c>
      <c r="AH234" s="17" t="str">
        <f>IF(M2_Accesos!A38="","",IF(M2_Accesos!J38="","",M2_Accesos!J38))</f>
        <v/>
      </c>
      <c r="AI234" s="17" t="str">
        <f>IF(M2_Accesos!A38="","","M2_Accesos!38")</f>
        <v/>
      </c>
      <c r="AJ234" s="17" t="str">
        <f>IF(M2_Accesos!A38="","",IF(M2_Accesos!M38="","Pendiente de resultado","Disponible"))</f>
        <v/>
      </c>
    </row>
    <row r="235" spans="1:36" ht="55.5" customHeight="1">
      <c r="A235" s="6" t="str">
        <f t="array" ref="A235">IF(231&gt;$S$1204,"",INDEX($T$5:$AJ$1204,MATCH(231,$S$5:$S$1204,0),1))</f>
        <v/>
      </c>
      <c r="B235" s="8" t="str">
        <f t="array" ref="B235">IF(231&gt;$S$1204,"",INDEX($T$5:$AJ$1204,MATCH(231,$S$5:$S$1204,0),2))</f>
        <v/>
      </c>
      <c r="C235" s="10" t="str">
        <f t="array" ref="C235">IF(231&gt;$S$1204,"",INDEX($T$5:$AJ$1204,MATCH(231,$S$5:$S$1204,0),3))</f>
        <v/>
      </c>
      <c r="D235" s="8" t="str">
        <f t="array" ref="D235">IF(231&gt;$S$1204,"",INDEX($T$5:$AJ$1204,MATCH(231,$S$5:$S$1204,0),4))</f>
        <v/>
      </c>
      <c r="E235" s="8" t="str">
        <f t="array" ref="E235">IF(231&gt;$S$1204,"",INDEX($T$5:$AJ$1204,MATCH(231,$S$5:$S$1204,0),5))</f>
        <v/>
      </c>
      <c r="F235" s="8" t="str">
        <f t="array" ref="F235">IF(231&gt;$S$1204,"",INDEX($T$5:$AJ$1204,MATCH(231,$S$5:$S$1204,0),6))</f>
        <v/>
      </c>
      <c r="G235" s="8" t="str">
        <f t="array" ref="G235">IF(231&gt;$S$1204,"",INDEX($T$5:$AJ$1204,MATCH(231,$S$5:$S$1204,0),7))</f>
        <v/>
      </c>
      <c r="H235" s="8" t="str">
        <f t="array" ref="H235">IF(231&gt;$S$1204,"",INDEX($T$5:$AJ$1204,MATCH(231,$S$5:$S$1204,0),8))</f>
        <v/>
      </c>
      <c r="I235" s="8" t="str">
        <f t="array" ref="I235">IF(231&gt;$S$1204,"",INDEX($T$5:$AJ$1204,MATCH(231,$S$5:$S$1204,0),9))</f>
        <v/>
      </c>
      <c r="J235" s="14" t="str">
        <f t="array" ref="J235">IF(231&gt;$S$1204,"",INDEX($T$5:$AJ$1204,MATCH(231,$S$5:$S$1204,0),10))</f>
        <v/>
      </c>
      <c r="K235" s="8" t="str">
        <f t="array" ref="K235">IF(231&gt;$S$1204,"",INDEX($T$5:$AJ$1204,MATCH(231,$S$5:$S$1204,0),11))</f>
        <v/>
      </c>
      <c r="L235" s="8" t="str">
        <f t="array" ref="L235">IF(231&gt;$S$1204,"",INDEX($T$5:$AJ$1204,MATCH(231,$S$5:$S$1204,0),12))</f>
        <v/>
      </c>
      <c r="M235" s="8" t="str">
        <f t="array" ref="M235">IF(231&gt;$S$1204,"",INDEX($T$5:$AJ$1204,MATCH(231,$S$5:$S$1204,0),13))</f>
        <v/>
      </c>
      <c r="N235" s="8" t="str">
        <f t="array" ref="N235">IF(231&gt;$S$1204,"",INDEX($T$5:$AJ$1204,MATCH(231,$S$5:$S$1204,0),14))</f>
        <v/>
      </c>
      <c r="O235" s="15" t="str">
        <f t="array" ref="O235">IF(231&gt;$S$1204,"",INDEX($T$5:$AJ$1204,MATCH(231,$S$5:$S$1204,0),15))</f>
        <v/>
      </c>
      <c r="P235" s="8" t="str">
        <f t="array" ref="P235">IF(231&gt;$S$1204,"",INDEX($T$5:$AJ$1204,MATCH(231,$S$5:$S$1204,0),16))</f>
        <v/>
      </c>
      <c r="Q235" s="8" t="str">
        <f t="array" ref="Q235">IF(231&gt;$S$1204,"",INDEX($T$5:$AJ$1204,MATCH(231,$S$5:$S$1204,0),17))</f>
        <v/>
      </c>
      <c r="R235" s="17"/>
      <c r="S235" s="17">
        <f>S234+IF(M2_Accesos!A39="",0,1)</f>
        <v>0</v>
      </c>
      <c r="T235" s="17" t="str">
        <f>IF(M2_Accesos!A39="","",IF(M2_Accesos!A39="","",M2_Accesos!A39))</f>
        <v/>
      </c>
      <c r="U235" s="17" t="str">
        <f>IF(M2_Accesos!A39="","",IF(M2_Accesos!R39="","",M2_Accesos!R39))</f>
        <v/>
      </c>
      <c r="V235" s="17" t="str">
        <f>IF(M2_Accesos!A39="","",IF(M2_Accesos!D39="","",M2_Accesos!D39))</f>
        <v/>
      </c>
      <c r="W235" s="17" t="str">
        <f>IF(M2_Accesos!A39="","",IF(M2_Accesos!B39="","",M2_Accesos!B39))</f>
        <v/>
      </c>
      <c r="X235" s="17" t="str">
        <f>IF(M2_Accesos!A39="","",IF(M2_Accesos!C39="","",M2_Accesos!C39))</f>
        <v/>
      </c>
      <c r="Y235" s="17" t="str">
        <f>IF(M2_Accesos!A39="","",IF(M2_Accesos!E39="","",M2_Accesos!E39))</f>
        <v/>
      </c>
      <c r="Z235" s="17" t="str">
        <f>IF(M2_Accesos!A39="","",IF(M2_Accesos!F39="","",M2_Accesos!F39))</f>
        <v/>
      </c>
      <c r="AA235" s="17" t="str">
        <f>IF(M2_Accesos!A39="","","M2 Accesos")</f>
        <v/>
      </c>
      <c r="AB235" s="17" t="str">
        <f>IF(M2_Accesos!A39="","",IF(M2_Accesos!G39="","",M2_Accesos!G39))</f>
        <v/>
      </c>
      <c r="AC235" s="17" t="str">
        <f>IF(M2_Accesos!A39="","",IF(M2_Accesos!M39="","",M2_Accesos!M39))</f>
        <v/>
      </c>
      <c r="AD235" s="17" t="str">
        <f>IF(M2_Accesos!A39="","","RD")</f>
        <v/>
      </c>
      <c r="AE235" s="17" t="str">
        <f>IF(M2_Accesos!A39="","",IF(M2_Accesos!O39="","",M2_Accesos!O39))</f>
        <v/>
      </c>
      <c r="AF235" s="17" t="str">
        <f>IF(M2_Accesos!A39="","",IF(M2_Accesos!P39="","",M2_Accesos!P39))</f>
        <v/>
      </c>
      <c r="AG235" s="17" t="str">
        <f>IF(M2_Accesos!A39="","",IF(M2_Accesos!Q39="","",M2_Accesos!Q39))</f>
        <v/>
      </c>
      <c r="AH235" s="17" t="str">
        <f>IF(M2_Accesos!A39="","",IF(M2_Accesos!J39="","",M2_Accesos!J39))</f>
        <v/>
      </c>
      <c r="AI235" s="17" t="str">
        <f>IF(M2_Accesos!A39="","","M2_Accesos!39")</f>
        <v/>
      </c>
      <c r="AJ235" s="17" t="str">
        <f>IF(M2_Accesos!A39="","",IF(M2_Accesos!M39="","Pendiente de resultado","Disponible"))</f>
        <v/>
      </c>
    </row>
    <row r="236" spans="1:36" ht="55.5" customHeight="1">
      <c r="A236" s="6" t="str">
        <f t="array" ref="A236">IF(232&gt;$S$1204,"",INDEX($T$5:$AJ$1204,MATCH(232,$S$5:$S$1204,0),1))</f>
        <v/>
      </c>
      <c r="B236" s="8" t="str">
        <f t="array" ref="B236">IF(232&gt;$S$1204,"",INDEX($T$5:$AJ$1204,MATCH(232,$S$5:$S$1204,0),2))</f>
        <v/>
      </c>
      <c r="C236" s="10" t="str">
        <f t="array" ref="C236">IF(232&gt;$S$1204,"",INDEX($T$5:$AJ$1204,MATCH(232,$S$5:$S$1204,0),3))</f>
        <v/>
      </c>
      <c r="D236" s="8" t="str">
        <f t="array" ref="D236">IF(232&gt;$S$1204,"",INDEX($T$5:$AJ$1204,MATCH(232,$S$5:$S$1204,0),4))</f>
        <v/>
      </c>
      <c r="E236" s="8" t="str">
        <f t="array" ref="E236">IF(232&gt;$S$1204,"",INDEX($T$5:$AJ$1204,MATCH(232,$S$5:$S$1204,0),5))</f>
        <v/>
      </c>
      <c r="F236" s="8" t="str">
        <f t="array" ref="F236">IF(232&gt;$S$1204,"",INDEX($T$5:$AJ$1204,MATCH(232,$S$5:$S$1204,0),6))</f>
        <v/>
      </c>
      <c r="G236" s="8" t="str">
        <f t="array" ref="G236">IF(232&gt;$S$1204,"",INDEX($T$5:$AJ$1204,MATCH(232,$S$5:$S$1204,0),7))</f>
        <v/>
      </c>
      <c r="H236" s="8" t="str">
        <f t="array" ref="H236">IF(232&gt;$S$1204,"",INDEX($T$5:$AJ$1204,MATCH(232,$S$5:$S$1204,0),8))</f>
        <v/>
      </c>
      <c r="I236" s="8" t="str">
        <f t="array" ref="I236">IF(232&gt;$S$1204,"",INDEX($T$5:$AJ$1204,MATCH(232,$S$5:$S$1204,0),9))</f>
        <v/>
      </c>
      <c r="J236" s="14" t="str">
        <f t="array" ref="J236">IF(232&gt;$S$1204,"",INDEX($T$5:$AJ$1204,MATCH(232,$S$5:$S$1204,0),10))</f>
        <v/>
      </c>
      <c r="K236" s="8" t="str">
        <f t="array" ref="K236">IF(232&gt;$S$1204,"",INDEX($T$5:$AJ$1204,MATCH(232,$S$5:$S$1204,0),11))</f>
        <v/>
      </c>
      <c r="L236" s="8" t="str">
        <f t="array" ref="L236">IF(232&gt;$S$1204,"",INDEX($T$5:$AJ$1204,MATCH(232,$S$5:$S$1204,0),12))</f>
        <v/>
      </c>
      <c r="M236" s="8" t="str">
        <f t="array" ref="M236">IF(232&gt;$S$1204,"",INDEX($T$5:$AJ$1204,MATCH(232,$S$5:$S$1204,0),13))</f>
        <v/>
      </c>
      <c r="N236" s="8" t="str">
        <f t="array" ref="N236">IF(232&gt;$S$1204,"",INDEX($T$5:$AJ$1204,MATCH(232,$S$5:$S$1204,0),14))</f>
        <v/>
      </c>
      <c r="O236" s="15" t="str">
        <f t="array" ref="O236">IF(232&gt;$S$1204,"",INDEX($T$5:$AJ$1204,MATCH(232,$S$5:$S$1204,0),15))</f>
        <v/>
      </c>
      <c r="P236" s="8" t="str">
        <f t="array" ref="P236">IF(232&gt;$S$1204,"",INDEX($T$5:$AJ$1204,MATCH(232,$S$5:$S$1204,0),16))</f>
        <v/>
      </c>
      <c r="Q236" s="8" t="str">
        <f t="array" ref="Q236">IF(232&gt;$S$1204,"",INDEX($T$5:$AJ$1204,MATCH(232,$S$5:$S$1204,0),17))</f>
        <v/>
      </c>
      <c r="R236" s="17"/>
      <c r="S236" s="17">
        <f>S235+IF(M2_Accesos!A40="",0,1)</f>
        <v>0</v>
      </c>
      <c r="T236" s="17" t="str">
        <f>IF(M2_Accesos!A40="","",IF(M2_Accesos!A40="","",M2_Accesos!A40))</f>
        <v/>
      </c>
      <c r="U236" s="17" t="str">
        <f>IF(M2_Accesos!A40="","",IF(M2_Accesos!R40="","",M2_Accesos!R40))</f>
        <v/>
      </c>
      <c r="V236" s="17" t="str">
        <f>IF(M2_Accesos!A40="","",IF(M2_Accesos!D40="","",M2_Accesos!D40))</f>
        <v/>
      </c>
      <c r="W236" s="17" t="str">
        <f>IF(M2_Accesos!A40="","",IF(M2_Accesos!B40="","",M2_Accesos!B40))</f>
        <v/>
      </c>
      <c r="X236" s="17" t="str">
        <f>IF(M2_Accesos!A40="","",IF(M2_Accesos!C40="","",M2_Accesos!C40))</f>
        <v/>
      </c>
      <c r="Y236" s="17" t="str">
        <f>IF(M2_Accesos!A40="","",IF(M2_Accesos!E40="","",M2_Accesos!E40))</f>
        <v/>
      </c>
      <c r="Z236" s="17" t="str">
        <f>IF(M2_Accesos!A40="","",IF(M2_Accesos!F40="","",M2_Accesos!F40))</f>
        <v/>
      </c>
      <c r="AA236" s="17" t="str">
        <f>IF(M2_Accesos!A40="","","M2 Accesos")</f>
        <v/>
      </c>
      <c r="AB236" s="17" t="str">
        <f>IF(M2_Accesos!A40="","",IF(M2_Accesos!G40="","",M2_Accesos!G40))</f>
        <v/>
      </c>
      <c r="AC236" s="17" t="str">
        <f>IF(M2_Accesos!A40="","",IF(M2_Accesos!M40="","",M2_Accesos!M40))</f>
        <v/>
      </c>
      <c r="AD236" s="17" t="str">
        <f>IF(M2_Accesos!A40="","","RD")</f>
        <v/>
      </c>
      <c r="AE236" s="17" t="str">
        <f>IF(M2_Accesos!A40="","",IF(M2_Accesos!O40="","",M2_Accesos!O40))</f>
        <v/>
      </c>
      <c r="AF236" s="17" t="str">
        <f>IF(M2_Accesos!A40="","",IF(M2_Accesos!P40="","",M2_Accesos!P40))</f>
        <v/>
      </c>
      <c r="AG236" s="17" t="str">
        <f>IF(M2_Accesos!A40="","",IF(M2_Accesos!Q40="","",M2_Accesos!Q40))</f>
        <v/>
      </c>
      <c r="AH236" s="17" t="str">
        <f>IF(M2_Accesos!A40="","",IF(M2_Accesos!J40="","",M2_Accesos!J40))</f>
        <v/>
      </c>
      <c r="AI236" s="17" t="str">
        <f>IF(M2_Accesos!A40="","","M2_Accesos!40")</f>
        <v/>
      </c>
      <c r="AJ236" s="17" t="str">
        <f>IF(M2_Accesos!A40="","",IF(M2_Accesos!M40="","Pendiente de resultado","Disponible"))</f>
        <v/>
      </c>
    </row>
    <row r="237" spans="1:36" ht="55.5" customHeight="1">
      <c r="A237" s="6" t="str">
        <f t="array" ref="A237">IF(233&gt;$S$1204,"",INDEX($T$5:$AJ$1204,MATCH(233,$S$5:$S$1204,0),1))</f>
        <v/>
      </c>
      <c r="B237" s="8" t="str">
        <f t="array" ref="B237">IF(233&gt;$S$1204,"",INDEX($T$5:$AJ$1204,MATCH(233,$S$5:$S$1204,0),2))</f>
        <v/>
      </c>
      <c r="C237" s="10" t="str">
        <f t="array" ref="C237">IF(233&gt;$S$1204,"",INDEX($T$5:$AJ$1204,MATCH(233,$S$5:$S$1204,0),3))</f>
        <v/>
      </c>
      <c r="D237" s="8" t="str">
        <f t="array" ref="D237">IF(233&gt;$S$1204,"",INDEX($T$5:$AJ$1204,MATCH(233,$S$5:$S$1204,0),4))</f>
        <v/>
      </c>
      <c r="E237" s="8" t="str">
        <f t="array" ref="E237">IF(233&gt;$S$1204,"",INDEX($T$5:$AJ$1204,MATCH(233,$S$5:$S$1204,0),5))</f>
        <v/>
      </c>
      <c r="F237" s="8" t="str">
        <f t="array" ref="F237">IF(233&gt;$S$1204,"",INDEX($T$5:$AJ$1204,MATCH(233,$S$5:$S$1204,0),6))</f>
        <v/>
      </c>
      <c r="G237" s="8" t="str">
        <f t="array" ref="G237">IF(233&gt;$S$1204,"",INDEX($T$5:$AJ$1204,MATCH(233,$S$5:$S$1204,0),7))</f>
        <v/>
      </c>
      <c r="H237" s="8" t="str">
        <f t="array" ref="H237">IF(233&gt;$S$1204,"",INDEX($T$5:$AJ$1204,MATCH(233,$S$5:$S$1204,0),8))</f>
        <v/>
      </c>
      <c r="I237" s="8" t="str">
        <f t="array" ref="I237">IF(233&gt;$S$1204,"",INDEX($T$5:$AJ$1204,MATCH(233,$S$5:$S$1204,0),9))</f>
        <v/>
      </c>
      <c r="J237" s="14" t="str">
        <f t="array" ref="J237">IF(233&gt;$S$1204,"",INDEX($T$5:$AJ$1204,MATCH(233,$S$5:$S$1204,0),10))</f>
        <v/>
      </c>
      <c r="K237" s="8" t="str">
        <f t="array" ref="K237">IF(233&gt;$S$1204,"",INDEX($T$5:$AJ$1204,MATCH(233,$S$5:$S$1204,0),11))</f>
        <v/>
      </c>
      <c r="L237" s="8" t="str">
        <f t="array" ref="L237">IF(233&gt;$S$1204,"",INDEX($T$5:$AJ$1204,MATCH(233,$S$5:$S$1204,0),12))</f>
        <v/>
      </c>
      <c r="M237" s="8" t="str">
        <f t="array" ref="M237">IF(233&gt;$S$1204,"",INDEX($T$5:$AJ$1204,MATCH(233,$S$5:$S$1204,0),13))</f>
        <v/>
      </c>
      <c r="N237" s="8" t="str">
        <f t="array" ref="N237">IF(233&gt;$S$1204,"",INDEX($T$5:$AJ$1204,MATCH(233,$S$5:$S$1204,0),14))</f>
        <v/>
      </c>
      <c r="O237" s="15" t="str">
        <f t="array" ref="O237">IF(233&gt;$S$1204,"",INDEX($T$5:$AJ$1204,MATCH(233,$S$5:$S$1204,0),15))</f>
        <v/>
      </c>
      <c r="P237" s="8" t="str">
        <f t="array" ref="P237">IF(233&gt;$S$1204,"",INDEX($T$5:$AJ$1204,MATCH(233,$S$5:$S$1204,0),16))</f>
        <v/>
      </c>
      <c r="Q237" s="8" t="str">
        <f t="array" ref="Q237">IF(233&gt;$S$1204,"",INDEX($T$5:$AJ$1204,MATCH(233,$S$5:$S$1204,0),17))</f>
        <v/>
      </c>
      <c r="R237" s="17"/>
      <c r="S237" s="17">
        <f>S236+IF(M2_Accesos!A41="",0,1)</f>
        <v>0</v>
      </c>
      <c r="T237" s="17" t="str">
        <f>IF(M2_Accesos!A41="","",IF(M2_Accesos!A41="","",M2_Accesos!A41))</f>
        <v/>
      </c>
      <c r="U237" s="17" t="str">
        <f>IF(M2_Accesos!A41="","",IF(M2_Accesos!R41="","",M2_Accesos!R41))</f>
        <v/>
      </c>
      <c r="V237" s="17" t="str">
        <f>IF(M2_Accesos!A41="","",IF(M2_Accesos!D41="","",M2_Accesos!D41))</f>
        <v/>
      </c>
      <c r="W237" s="17" t="str">
        <f>IF(M2_Accesos!A41="","",IF(M2_Accesos!B41="","",M2_Accesos!B41))</f>
        <v/>
      </c>
      <c r="X237" s="17" t="str">
        <f>IF(M2_Accesos!A41="","",IF(M2_Accesos!C41="","",M2_Accesos!C41))</f>
        <v/>
      </c>
      <c r="Y237" s="17" t="str">
        <f>IF(M2_Accesos!A41="","",IF(M2_Accesos!E41="","",M2_Accesos!E41))</f>
        <v/>
      </c>
      <c r="Z237" s="17" t="str">
        <f>IF(M2_Accesos!A41="","",IF(M2_Accesos!F41="","",M2_Accesos!F41))</f>
        <v/>
      </c>
      <c r="AA237" s="17" t="str">
        <f>IF(M2_Accesos!A41="","","M2 Accesos")</f>
        <v/>
      </c>
      <c r="AB237" s="17" t="str">
        <f>IF(M2_Accesos!A41="","",IF(M2_Accesos!G41="","",M2_Accesos!G41))</f>
        <v/>
      </c>
      <c r="AC237" s="17" t="str">
        <f>IF(M2_Accesos!A41="","",IF(M2_Accesos!M41="","",M2_Accesos!M41))</f>
        <v/>
      </c>
      <c r="AD237" s="17" t="str">
        <f>IF(M2_Accesos!A41="","","RD")</f>
        <v/>
      </c>
      <c r="AE237" s="17" t="str">
        <f>IF(M2_Accesos!A41="","",IF(M2_Accesos!O41="","",M2_Accesos!O41))</f>
        <v/>
      </c>
      <c r="AF237" s="17" t="str">
        <f>IF(M2_Accesos!A41="","",IF(M2_Accesos!P41="","",M2_Accesos!P41))</f>
        <v/>
      </c>
      <c r="AG237" s="17" t="str">
        <f>IF(M2_Accesos!A41="","",IF(M2_Accesos!Q41="","",M2_Accesos!Q41))</f>
        <v/>
      </c>
      <c r="AH237" s="17" t="str">
        <f>IF(M2_Accesos!A41="","",IF(M2_Accesos!J41="","",M2_Accesos!J41))</f>
        <v/>
      </c>
      <c r="AI237" s="17" t="str">
        <f>IF(M2_Accesos!A41="","","M2_Accesos!41")</f>
        <v/>
      </c>
      <c r="AJ237" s="17" t="str">
        <f>IF(M2_Accesos!A41="","",IF(M2_Accesos!M41="","Pendiente de resultado","Disponible"))</f>
        <v/>
      </c>
    </row>
    <row r="238" spans="1:36" ht="55.5" customHeight="1">
      <c r="A238" s="6" t="str">
        <f t="array" ref="A238">IF(234&gt;$S$1204,"",INDEX($T$5:$AJ$1204,MATCH(234,$S$5:$S$1204,0),1))</f>
        <v/>
      </c>
      <c r="B238" s="8" t="str">
        <f t="array" ref="B238">IF(234&gt;$S$1204,"",INDEX($T$5:$AJ$1204,MATCH(234,$S$5:$S$1204,0),2))</f>
        <v/>
      </c>
      <c r="C238" s="10" t="str">
        <f t="array" ref="C238">IF(234&gt;$S$1204,"",INDEX($T$5:$AJ$1204,MATCH(234,$S$5:$S$1204,0),3))</f>
        <v/>
      </c>
      <c r="D238" s="8" t="str">
        <f t="array" ref="D238">IF(234&gt;$S$1204,"",INDEX($T$5:$AJ$1204,MATCH(234,$S$5:$S$1204,0),4))</f>
        <v/>
      </c>
      <c r="E238" s="8" t="str">
        <f t="array" ref="E238">IF(234&gt;$S$1204,"",INDEX($T$5:$AJ$1204,MATCH(234,$S$5:$S$1204,0),5))</f>
        <v/>
      </c>
      <c r="F238" s="8" t="str">
        <f t="array" ref="F238">IF(234&gt;$S$1204,"",INDEX($T$5:$AJ$1204,MATCH(234,$S$5:$S$1204,0),6))</f>
        <v/>
      </c>
      <c r="G238" s="8" t="str">
        <f t="array" ref="G238">IF(234&gt;$S$1204,"",INDEX($T$5:$AJ$1204,MATCH(234,$S$5:$S$1204,0),7))</f>
        <v/>
      </c>
      <c r="H238" s="8" t="str">
        <f t="array" ref="H238">IF(234&gt;$S$1204,"",INDEX($T$5:$AJ$1204,MATCH(234,$S$5:$S$1204,0),8))</f>
        <v/>
      </c>
      <c r="I238" s="8" t="str">
        <f t="array" ref="I238">IF(234&gt;$S$1204,"",INDEX($T$5:$AJ$1204,MATCH(234,$S$5:$S$1204,0),9))</f>
        <v/>
      </c>
      <c r="J238" s="14" t="str">
        <f t="array" ref="J238">IF(234&gt;$S$1204,"",INDEX($T$5:$AJ$1204,MATCH(234,$S$5:$S$1204,0),10))</f>
        <v/>
      </c>
      <c r="K238" s="8" t="str">
        <f t="array" ref="K238">IF(234&gt;$S$1204,"",INDEX($T$5:$AJ$1204,MATCH(234,$S$5:$S$1204,0),11))</f>
        <v/>
      </c>
      <c r="L238" s="8" t="str">
        <f t="array" ref="L238">IF(234&gt;$S$1204,"",INDEX($T$5:$AJ$1204,MATCH(234,$S$5:$S$1204,0),12))</f>
        <v/>
      </c>
      <c r="M238" s="8" t="str">
        <f t="array" ref="M238">IF(234&gt;$S$1204,"",INDEX($T$5:$AJ$1204,MATCH(234,$S$5:$S$1204,0),13))</f>
        <v/>
      </c>
      <c r="N238" s="8" t="str">
        <f t="array" ref="N238">IF(234&gt;$S$1204,"",INDEX($T$5:$AJ$1204,MATCH(234,$S$5:$S$1204,0),14))</f>
        <v/>
      </c>
      <c r="O238" s="15" t="str">
        <f t="array" ref="O238">IF(234&gt;$S$1204,"",INDEX($T$5:$AJ$1204,MATCH(234,$S$5:$S$1204,0),15))</f>
        <v/>
      </c>
      <c r="P238" s="8" t="str">
        <f t="array" ref="P238">IF(234&gt;$S$1204,"",INDEX($T$5:$AJ$1204,MATCH(234,$S$5:$S$1204,0),16))</f>
        <v/>
      </c>
      <c r="Q238" s="8" t="str">
        <f t="array" ref="Q238">IF(234&gt;$S$1204,"",INDEX($T$5:$AJ$1204,MATCH(234,$S$5:$S$1204,0),17))</f>
        <v/>
      </c>
      <c r="R238" s="17"/>
      <c r="S238" s="17">
        <f>S237+IF(M2_Accesos!A42="",0,1)</f>
        <v>0</v>
      </c>
      <c r="T238" s="17" t="str">
        <f>IF(M2_Accesos!A42="","",IF(M2_Accesos!A42="","",M2_Accesos!A42))</f>
        <v/>
      </c>
      <c r="U238" s="17" t="str">
        <f>IF(M2_Accesos!A42="","",IF(M2_Accesos!R42="","",M2_Accesos!R42))</f>
        <v/>
      </c>
      <c r="V238" s="17" t="str">
        <f>IF(M2_Accesos!A42="","",IF(M2_Accesos!D42="","",M2_Accesos!D42))</f>
        <v/>
      </c>
      <c r="W238" s="17" t="str">
        <f>IF(M2_Accesos!A42="","",IF(M2_Accesos!B42="","",M2_Accesos!B42))</f>
        <v/>
      </c>
      <c r="X238" s="17" t="str">
        <f>IF(M2_Accesos!A42="","",IF(M2_Accesos!C42="","",M2_Accesos!C42))</f>
        <v/>
      </c>
      <c r="Y238" s="17" t="str">
        <f>IF(M2_Accesos!A42="","",IF(M2_Accesos!E42="","",M2_Accesos!E42))</f>
        <v/>
      </c>
      <c r="Z238" s="17" t="str">
        <f>IF(M2_Accesos!A42="","",IF(M2_Accesos!F42="","",M2_Accesos!F42))</f>
        <v/>
      </c>
      <c r="AA238" s="17" t="str">
        <f>IF(M2_Accesos!A42="","","M2 Accesos")</f>
        <v/>
      </c>
      <c r="AB238" s="17" t="str">
        <f>IF(M2_Accesos!A42="","",IF(M2_Accesos!G42="","",M2_Accesos!G42))</f>
        <v/>
      </c>
      <c r="AC238" s="17" t="str">
        <f>IF(M2_Accesos!A42="","",IF(M2_Accesos!M42="","",M2_Accesos!M42))</f>
        <v/>
      </c>
      <c r="AD238" s="17" t="str">
        <f>IF(M2_Accesos!A42="","","RD")</f>
        <v/>
      </c>
      <c r="AE238" s="17" t="str">
        <f>IF(M2_Accesos!A42="","",IF(M2_Accesos!O42="","",M2_Accesos!O42))</f>
        <v/>
      </c>
      <c r="AF238" s="17" t="str">
        <f>IF(M2_Accesos!A42="","",IF(M2_Accesos!P42="","",M2_Accesos!P42))</f>
        <v/>
      </c>
      <c r="AG238" s="17" t="str">
        <f>IF(M2_Accesos!A42="","",IF(M2_Accesos!Q42="","",M2_Accesos!Q42))</f>
        <v/>
      </c>
      <c r="AH238" s="17" t="str">
        <f>IF(M2_Accesos!A42="","",IF(M2_Accesos!J42="","",M2_Accesos!J42))</f>
        <v/>
      </c>
      <c r="AI238" s="17" t="str">
        <f>IF(M2_Accesos!A42="","","M2_Accesos!42")</f>
        <v/>
      </c>
      <c r="AJ238" s="17" t="str">
        <f>IF(M2_Accesos!A42="","",IF(M2_Accesos!M42="","Pendiente de resultado","Disponible"))</f>
        <v/>
      </c>
    </row>
    <row r="239" spans="1:36" ht="55.5" customHeight="1">
      <c r="A239" s="6" t="str">
        <f t="array" ref="A239">IF(235&gt;$S$1204,"",INDEX($T$5:$AJ$1204,MATCH(235,$S$5:$S$1204,0),1))</f>
        <v/>
      </c>
      <c r="B239" s="8" t="str">
        <f t="array" ref="B239">IF(235&gt;$S$1204,"",INDEX($T$5:$AJ$1204,MATCH(235,$S$5:$S$1204,0),2))</f>
        <v/>
      </c>
      <c r="C239" s="10" t="str">
        <f t="array" ref="C239">IF(235&gt;$S$1204,"",INDEX($T$5:$AJ$1204,MATCH(235,$S$5:$S$1204,0),3))</f>
        <v/>
      </c>
      <c r="D239" s="8" t="str">
        <f t="array" ref="D239">IF(235&gt;$S$1204,"",INDEX($T$5:$AJ$1204,MATCH(235,$S$5:$S$1204,0),4))</f>
        <v/>
      </c>
      <c r="E239" s="8" t="str">
        <f t="array" ref="E239">IF(235&gt;$S$1204,"",INDEX($T$5:$AJ$1204,MATCH(235,$S$5:$S$1204,0),5))</f>
        <v/>
      </c>
      <c r="F239" s="8" t="str">
        <f t="array" ref="F239">IF(235&gt;$S$1204,"",INDEX($T$5:$AJ$1204,MATCH(235,$S$5:$S$1204,0),6))</f>
        <v/>
      </c>
      <c r="G239" s="8" t="str">
        <f t="array" ref="G239">IF(235&gt;$S$1204,"",INDEX($T$5:$AJ$1204,MATCH(235,$S$5:$S$1204,0),7))</f>
        <v/>
      </c>
      <c r="H239" s="8" t="str">
        <f t="array" ref="H239">IF(235&gt;$S$1204,"",INDEX($T$5:$AJ$1204,MATCH(235,$S$5:$S$1204,0),8))</f>
        <v/>
      </c>
      <c r="I239" s="8" t="str">
        <f t="array" ref="I239">IF(235&gt;$S$1204,"",INDEX($T$5:$AJ$1204,MATCH(235,$S$5:$S$1204,0),9))</f>
        <v/>
      </c>
      <c r="J239" s="14" t="str">
        <f t="array" ref="J239">IF(235&gt;$S$1204,"",INDEX($T$5:$AJ$1204,MATCH(235,$S$5:$S$1204,0),10))</f>
        <v/>
      </c>
      <c r="K239" s="8" t="str">
        <f t="array" ref="K239">IF(235&gt;$S$1204,"",INDEX($T$5:$AJ$1204,MATCH(235,$S$5:$S$1204,0),11))</f>
        <v/>
      </c>
      <c r="L239" s="8" t="str">
        <f t="array" ref="L239">IF(235&gt;$S$1204,"",INDEX($T$5:$AJ$1204,MATCH(235,$S$5:$S$1204,0),12))</f>
        <v/>
      </c>
      <c r="M239" s="8" t="str">
        <f t="array" ref="M239">IF(235&gt;$S$1204,"",INDEX($T$5:$AJ$1204,MATCH(235,$S$5:$S$1204,0),13))</f>
        <v/>
      </c>
      <c r="N239" s="8" t="str">
        <f t="array" ref="N239">IF(235&gt;$S$1204,"",INDEX($T$5:$AJ$1204,MATCH(235,$S$5:$S$1204,0),14))</f>
        <v/>
      </c>
      <c r="O239" s="15" t="str">
        <f t="array" ref="O239">IF(235&gt;$S$1204,"",INDEX($T$5:$AJ$1204,MATCH(235,$S$5:$S$1204,0),15))</f>
        <v/>
      </c>
      <c r="P239" s="8" t="str">
        <f t="array" ref="P239">IF(235&gt;$S$1204,"",INDEX($T$5:$AJ$1204,MATCH(235,$S$5:$S$1204,0),16))</f>
        <v/>
      </c>
      <c r="Q239" s="8" t="str">
        <f t="array" ref="Q239">IF(235&gt;$S$1204,"",INDEX($T$5:$AJ$1204,MATCH(235,$S$5:$S$1204,0),17))</f>
        <v/>
      </c>
      <c r="R239" s="17"/>
      <c r="S239" s="17">
        <f>S238+IF(M2_Accesos!A43="",0,1)</f>
        <v>0</v>
      </c>
      <c r="T239" s="17" t="str">
        <f>IF(M2_Accesos!A43="","",IF(M2_Accesos!A43="","",M2_Accesos!A43))</f>
        <v/>
      </c>
      <c r="U239" s="17" t="str">
        <f>IF(M2_Accesos!A43="","",IF(M2_Accesos!R43="","",M2_Accesos!R43))</f>
        <v/>
      </c>
      <c r="V239" s="17" t="str">
        <f>IF(M2_Accesos!A43="","",IF(M2_Accesos!D43="","",M2_Accesos!D43))</f>
        <v/>
      </c>
      <c r="W239" s="17" t="str">
        <f>IF(M2_Accesos!A43="","",IF(M2_Accesos!B43="","",M2_Accesos!B43))</f>
        <v/>
      </c>
      <c r="X239" s="17" t="str">
        <f>IF(M2_Accesos!A43="","",IF(M2_Accesos!C43="","",M2_Accesos!C43))</f>
        <v/>
      </c>
      <c r="Y239" s="17" t="str">
        <f>IF(M2_Accesos!A43="","",IF(M2_Accesos!E43="","",M2_Accesos!E43))</f>
        <v/>
      </c>
      <c r="Z239" s="17" t="str">
        <f>IF(M2_Accesos!A43="","",IF(M2_Accesos!F43="","",M2_Accesos!F43))</f>
        <v/>
      </c>
      <c r="AA239" s="17" t="str">
        <f>IF(M2_Accesos!A43="","","M2 Accesos")</f>
        <v/>
      </c>
      <c r="AB239" s="17" t="str">
        <f>IF(M2_Accesos!A43="","",IF(M2_Accesos!G43="","",M2_Accesos!G43))</f>
        <v/>
      </c>
      <c r="AC239" s="17" t="str">
        <f>IF(M2_Accesos!A43="","",IF(M2_Accesos!M43="","",M2_Accesos!M43))</f>
        <v/>
      </c>
      <c r="AD239" s="17" t="str">
        <f>IF(M2_Accesos!A43="","","RD")</f>
        <v/>
      </c>
      <c r="AE239" s="17" t="str">
        <f>IF(M2_Accesos!A43="","",IF(M2_Accesos!O43="","",M2_Accesos!O43))</f>
        <v/>
      </c>
      <c r="AF239" s="17" t="str">
        <f>IF(M2_Accesos!A43="","",IF(M2_Accesos!P43="","",M2_Accesos!P43))</f>
        <v/>
      </c>
      <c r="AG239" s="17" t="str">
        <f>IF(M2_Accesos!A43="","",IF(M2_Accesos!Q43="","",M2_Accesos!Q43))</f>
        <v/>
      </c>
      <c r="AH239" s="17" t="str">
        <f>IF(M2_Accesos!A43="","",IF(M2_Accesos!J43="","",M2_Accesos!J43))</f>
        <v/>
      </c>
      <c r="AI239" s="17" t="str">
        <f>IF(M2_Accesos!A43="","","M2_Accesos!43")</f>
        <v/>
      </c>
      <c r="AJ239" s="17" t="str">
        <f>IF(M2_Accesos!A43="","",IF(M2_Accesos!M43="","Pendiente de resultado","Disponible"))</f>
        <v/>
      </c>
    </row>
    <row r="240" spans="1:36" ht="55.5" customHeight="1">
      <c r="A240" s="6" t="str">
        <f t="array" ref="A240">IF(236&gt;$S$1204,"",INDEX($T$5:$AJ$1204,MATCH(236,$S$5:$S$1204,0),1))</f>
        <v/>
      </c>
      <c r="B240" s="8" t="str">
        <f t="array" ref="B240">IF(236&gt;$S$1204,"",INDEX($T$5:$AJ$1204,MATCH(236,$S$5:$S$1204,0),2))</f>
        <v/>
      </c>
      <c r="C240" s="10" t="str">
        <f t="array" ref="C240">IF(236&gt;$S$1204,"",INDEX($T$5:$AJ$1204,MATCH(236,$S$5:$S$1204,0),3))</f>
        <v/>
      </c>
      <c r="D240" s="8" t="str">
        <f t="array" ref="D240">IF(236&gt;$S$1204,"",INDEX($T$5:$AJ$1204,MATCH(236,$S$5:$S$1204,0),4))</f>
        <v/>
      </c>
      <c r="E240" s="8" t="str">
        <f t="array" ref="E240">IF(236&gt;$S$1204,"",INDEX($T$5:$AJ$1204,MATCH(236,$S$5:$S$1204,0),5))</f>
        <v/>
      </c>
      <c r="F240" s="8" t="str">
        <f t="array" ref="F240">IF(236&gt;$S$1204,"",INDEX($T$5:$AJ$1204,MATCH(236,$S$5:$S$1204,0),6))</f>
        <v/>
      </c>
      <c r="G240" s="8" t="str">
        <f t="array" ref="G240">IF(236&gt;$S$1204,"",INDEX($T$5:$AJ$1204,MATCH(236,$S$5:$S$1204,0),7))</f>
        <v/>
      </c>
      <c r="H240" s="8" t="str">
        <f t="array" ref="H240">IF(236&gt;$S$1204,"",INDEX($T$5:$AJ$1204,MATCH(236,$S$5:$S$1204,0),8))</f>
        <v/>
      </c>
      <c r="I240" s="8" t="str">
        <f t="array" ref="I240">IF(236&gt;$S$1204,"",INDEX($T$5:$AJ$1204,MATCH(236,$S$5:$S$1204,0),9))</f>
        <v/>
      </c>
      <c r="J240" s="14" t="str">
        <f t="array" ref="J240">IF(236&gt;$S$1204,"",INDEX($T$5:$AJ$1204,MATCH(236,$S$5:$S$1204,0),10))</f>
        <v/>
      </c>
      <c r="K240" s="8" t="str">
        <f t="array" ref="K240">IF(236&gt;$S$1204,"",INDEX($T$5:$AJ$1204,MATCH(236,$S$5:$S$1204,0),11))</f>
        <v/>
      </c>
      <c r="L240" s="8" t="str">
        <f t="array" ref="L240">IF(236&gt;$S$1204,"",INDEX($T$5:$AJ$1204,MATCH(236,$S$5:$S$1204,0),12))</f>
        <v/>
      </c>
      <c r="M240" s="8" t="str">
        <f t="array" ref="M240">IF(236&gt;$S$1204,"",INDEX($T$5:$AJ$1204,MATCH(236,$S$5:$S$1204,0),13))</f>
        <v/>
      </c>
      <c r="N240" s="8" t="str">
        <f t="array" ref="N240">IF(236&gt;$S$1204,"",INDEX($T$5:$AJ$1204,MATCH(236,$S$5:$S$1204,0),14))</f>
        <v/>
      </c>
      <c r="O240" s="15" t="str">
        <f t="array" ref="O240">IF(236&gt;$S$1204,"",INDEX($T$5:$AJ$1204,MATCH(236,$S$5:$S$1204,0),15))</f>
        <v/>
      </c>
      <c r="P240" s="8" t="str">
        <f t="array" ref="P240">IF(236&gt;$S$1204,"",INDEX($T$5:$AJ$1204,MATCH(236,$S$5:$S$1204,0),16))</f>
        <v/>
      </c>
      <c r="Q240" s="8" t="str">
        <f t="array" ref="Q240">IF(236&gt;$S$1204,"",INDEX($T$5:$AJ$1204,MATCH(236,$S$5:$S$1204,0),17))</f>
        <v/>
      </c>
      <c r="R240" s="17"/>
      <c r="S240" s="17">
        <f>S239+IF(M2_Accesos!A44="",0,1)</f>
        <v>0</v>
      </c>
      <c r="T240" s="17" t="str">
        <f>IF(M2_Accesos!A44="","",IF(M2_Accesos!A44="","",M2_Accesos!A44))</f>
        <v/>
      </c>
      <c r="U240" s="17" t="str">
        <f>IF(M2_Accesos!A44="","",IF(M2_Accesos!R44="","",M2_Accesos!R44))</f>
        <v/>
      </c>
      <c r="V240" s="17" t="str">
        <f>IF(M2_Accesos!A44="","",IF(M2_Accesos!D44="","",M2_Accesos!D44))</f>
        <v/>
      </c>
      <c r="W240" s="17" t="str">
        <f>IF(M2_Accesos!A44="","",IF(M2_Accesos!B44="","",M2_Accesos!B44))</f>
        <v/>
      </c>
      <c r="X240" s="17" t="str">
        <f>IF(M2_Accesos!A44="","",IF(M2_Accesos!C44="","",M2_Accesos!C44))</f>
        <v/>
      </c>
      <c r="Y240" s="17" t="str">
        <f>IF(M2_Accesos!A44="","",IF(M2_Accesos!E44="","",M2_Accesos!E44))</f>
        <v/>
      </c>
      <c r="Z240" s="17" t="str">
        <f>IF(M2_Accesos!A44="","",IF(M2_Accesos!F44="","",M2_Accesos!F44))</f>
        <v/>
      </c>
      <c r="AA240" s="17" t="str">
        <f>IF(M2_Accesos!A44="","","M2 Accesos")</f>
        <v/>
      </c>
      <c r="AB240" s="17" t="str">
        <f>IF(M2_Accesos!A44="","",IF(M2_Accesos!G44="","",M2_Accesos!G44))</f>
        <v/>
      </c>
      <c r="AC240" s="17" t="str">
        <f>IF(M2_Accesos!A44="","",IF(M2_Accesos!M44="","",M2_Accesos!M44))</f>
        <v/>
      </c>
      <c r="AD240" s="17" t="str">
        <f>IF(M2_Accesos!A44="","","RD")</f>
        <v/>
      </c>
      <c r="AE240" s="17" t="str">
        <f>IF(M2_Accesos!A44="","",IF(M2_Accesos!O44="","",M2_Accesos!O44))</f>
        <v/>
      </c>
      <c r="AF240" s="17" t="str">
        <f>IF(M2_Accesos!A44="","",IF(M2_Accesos!P44="","",M2_Accesos!P44))</f>
        <v/>
      </c>
      <c r="AG240" s="17" t="str">
        <f>IF(M2_Accesos!A44="","",IF(M2_Accesos!Q44="","",M2_Accesos!Q44))</f>
        <v/>
      </c>
      <c r="AH240" s="17" t="str">
        <f>IF(M2_Accesos!A44="","",IF(M2_Accesos!J44="","",M2_Accesos!J44))</f>
        <v/>
      </c>
      <c r="AI240" s="17" t="str">
        <f>IF(M2_Accesos!A44="","","M2_Accesos!44")</f>
        <v/>
      </c>
      <c r="AJ240" s="17" t="str">
        <f>IF(M2_Accesos!A44="","",IF(M2_Accesos!M44="","Pendiente de resultado","Disponible"))</f>
        <v/>
      </c>
    </row>
    <row r="241" spans="1:36" ht="55.5" customHeight="1">
      <c r="A241" s="6" t="str">
        <f t="array" ref="A241">IF(237&gt;$S$1204,"",INDEX($T$5:$AJ$1204,MATCH(237,$S$5:$S$1204,0),1))</f>
        <v/>
      </c>
      <c r="B241" s="8" t="str">
        <f t="array" ref="B241">IF(237&gt;$S$1204,"",INDEX($T$5:$AJ$1204,MATCH(237,$S$5:$S$1204,0),2))</f>
        <v/>
      </c>
      <c r="C241" s="10" t="str">
        <f t="array" ref="C241">IF(237&gt;$S$1204,"",INDEX($T$5:$AJ$1204,MATCH(237,$S$5:$S$1204,0),3))</f>
        <v/>
      </c>
      <c r="D241" s="8" t="str">
        <f t="array" ref="D241">IF(237&gt;$S$1204,"",INDEX($T$5:$AJ$1204,MATCH(237,$S$5:$S$1204,0),4))</f>
        <v/>
      </c>
      <c r="E241" s="8" t="str">
        <f t="array" ref="E241">IF(237&gt;$S$1204,"",INDEX($T$5:$AJ$1204,MATCH(237,$S$5:$S$1204,0),5))</f>
        <v/>
      </c>
      <c r="F241" s="8" t="str">
        <f t="array" ref="F241">IF(237&gt;$S$1204,"",INDEX($T$5:$AJ$1204,MATCH(237,$S$5:$S$1204,0),6))</f>
        <v/>
      </c>
      <c r="G241" s="8" t="str">
        <f t="array" ref="G241">IF(237&gt;$S$1204,"",INDEX($T$5:$AJ$1204,MATCH(237,$S$5:$S$1204,0),7))</f>
        <v/>
      </c>
      <c r="H241" s="8" t="str">
        <f t="array" ref="H241">IF(237&gt;$S$1204,"",INDEX($T$5:$AJ$1204,MATCH(237,$S$5:$S$1204,0),8))</f>
        <v/>
      </c>
      <c r="I241" s="8" t="str">
        <f t="array" ref="I241">IF(237&gt;$S$1204,"",INDEX($T$5:$AJ$1204,MATCH(237,$S$5:$S$1204,0),9))</f>
        <v/>
      </c>
      <c r="J241" s="14" t="str">
        <f t="array" ref="J241">IF(237&gt;$S$1204,"",INDEX($T$5:$AJ$1204,MATCH(237,$S$5:$S$1204,0),10))</f>
        <v/>
      </c>
      <c r="K241" s="8" t="str">
        <f t="array" ref="K241">IF(237&gt;$S$1204,"",INDEX($T$5:$AJ$1204,MATCH(237,$S$5:$S$1204,0),11))</f>
        <v/>
      </c>
      <c r="L241" s="8" t="str">
        <f t="array" ref="L241">IF(237&gt;$S$1204,"",INDEX($T$5:$AJ$1204,MATCH(237,$S$5:$S$1204,0),12))</f>
        <v/>
      </c>
      <c r="M241" s="8" t="str">
        <f t="array" ref="M241">IF(237&gt;$S$1204,"",INDEX($T$5:$AJ$1204,MATCH(237,$S$5:$S$1204,0),13))</f>
        <v/>
      </c>
      <c r="N241" s="8" t="str">
        <f t="array" ref="N241">IF(237&gt;$S$1204,"",INDEX($T$5:$AJ$1204,MATCH(237,$S$5:$S$1204,0),14))</f>
        <v/>
      </c>
      <c r="O241" s="15" t="str">
        <f t="array" ref="O241">IF(237&gt;$S$1204,"",INDEX($T$5:$AJ$1204,MATCH(237,$S$5:$S$1204,0),15))</f>
        <v/>
      </c>
      <c r="P241" s="8" t="str">
        <f t="array" ref="P241">IF(237&gt;$S$1204,"",INDEX($T$5:$AJ$1204,MATCH(237,$S$5:$S$1204,0),16))</f>
        <v/>
      </c>
      <c r="Q241" s="8" t="str">
        <f t="array" ref="Q241">IF(237&gt;$S$1204,"",INDEX($T$5:$AJ$1204,MATCH(237,$S$5:$S$1204,0),17))</f>
        <v/>
      </c>
      <c r="R241" s="17"/>
      <c r="S241" s="17">
        <f>S240+IF(M2_Accesos!A45="",0,1)</f>
        <v>0</v>
      </c>
      <c r="T241" s="17" t="str">
        <f>IF(M2_Accesos!A45="","",IF(M2_Accesos!A45="","",M2_Accesos!A45))</f>
        <v/>
      </c>
      <c r="U241" s="17" t="str">
        <f>IF(M2_Accesos!A45="","",IF(M2_Accesos!R45="","",M2_Accesos!R45))</f>
        <v/>
      </c>
      <c r="V241" s="17" t="str">
        <f>IF(M2_Accesos!A45="","",IF(M2_Accesos!D45="","",M2_Accesos!D45))</f>
        <v/>
      </c>
      <c r="W241" s="17" t="str">
        <f>IF(M2_Accesos!A45="","",IF(M2_Accesos!B45="","",M2_Accesos!B45))</f>
        <v/>
      </c>
      <c r="X241" s="17" t="str">
        <f>IF(M2_Accesos!A45="","",IF(M2_Accesos!C45="","",M2_Accesos!C45))</f>
        <v/>
      </c>
      <c r="Y241" s="17" t="str">
        <f>IF(M2_Accesos!A45="","",IF(M2_Accesos!E45="","",M2_Accesos!E45))</f>
        <v/>
      </c>
      <c r="Z241" s="17" t="str">
        <f>IF(M2_Accesos!A45="","",IF(M2_Accesos!F45="","",M2_Accesos!F45))</f>
        <v/>
      </c>
      <c r="AA241" s="17" t="str">
        <f>IF(M2_Accesos!A45="","","M2 Accesos")</f>
        <v/>
      </c>
      <c r="AB241" s="17" t="str">
        <f>IF(M2_Accesos!A45="","",IF(M2_Accesos!G45="","",M2_Accesos!G45))</f>
        <v/>
      </c>
      <c r="AC241" s="17" t="str">
        <f>IF(M2_Accesos!A45="","",IF(M2_Accesos!M45="","",M2_Accesos!M45))</f>
        <v/>
      </c>
      <c r="AD241" s="17" t="str">
        <f>IF(M2_Accesos!A45="","","RD")</f>
        <v/>
      </c>
      <c r="AE241" s="17" t="str">
        <f>IF(M2_Accesos!A45="","",IF(M2_Accesos!O45="","",M2_Accesos!O45))</f>
        <v/>
      </c>
      <c r="AF241" s="17" t="str">
        <f>IF(M2_Accesos!A45="","",IF(M2_Accesos!P45="","",M2_Accesos!P45))</f>
        <v/>
      </c>
      <c r="AG241" s="17" t="str">
        <f>IF(M2_Accesos!A45="","",IF(M2_Accesos!Q45="","",M2_Accesos!Q45))</f>
        <v/>
      </c>
      <c r="AH241" s="17" t="str">
        <f>IF(M2_Accesos!A45="","",IF(M2_Accesos!J45="","",M2_Accesos!J45))</f>
        <v/>
      </c>
      <c r="AI241" s="17" t="str">
        <f>IF(M2_Accesos!A45="","","M2_Accesos!45")</f>
        <v/>
      </c>
      <c r="AJ241" s="17" t="str">
        <f>IF(M2_Accesos!A45="","",IF(M2_Accesos!M45="","Pendiente de resultado","Disponible"))</f>
        <v/>
      </c>
    </row>
    <row r="242" spans="1:36" ht="55.5" customHeight="1">
      <c r="A242" s="6" t="str">
        <f t="array" ref="A242">IF(238&gt;$S$1204,"",INDEX($T$5:$AJ$1204,MATCH(238,$S$5:$S$1204,0),1))</f>
        <v/>
      </c>
      <c r="B242" s="8" t="str">
        <f t="array" ref="B242">IF(238&gt;$S$1204,"",INDEX($T$5:$AJ$1204,MATCH(238,$S$5:$S$1204,0),2))</f>
        <v/>
      </c>
      <c r="C242" s="10" t="str">
        <f t="array" ref="C242">IF(238&gt;$S$1204,"",INDEX($T$5:$AJ$1204,MATCH(238,$S$5:$S$1204,0),3))</f>
        <v/>
      </c>
      <c r="D242" s="8" t="str">
        <f t="array" ref="D242">IF(238&gt;$S$1204,"",INDEX($T$5:$AJ$1204,MATCH(238,$S$5:$S$1204,0),4))</f>
        <v/>
      </c>
      <c r="E242" s="8" t="str">
        <f t="array" ref="E242">IF(238&gt;$S$1204,"",INDEX($T$5:$AJ$1204,MATCH(238,$S$5:$S$1204,0),5))</f>
        <v/>
      </c>
      <c r="F242" s="8" t="str">
        <f t="array" ref="F242">IF(238&gt;$S$1204,"",INDEX($T$5:$AJ$1204,MATCH(238,$S$5:$S$1204,0),6))</f>
        <v/>
      </c>
      <c r="G242" s="8" t="str">
        <f t="array" ref="G242">IF(238&gt;$S$1204,"",INDEX($T$5:$AJ$1204,MATCH(238,$S$5:$S$1204,0),7))</f>
        <v/>
      </c>
      <c r="H242" s="8" t="str">
        <f t="array" ref="H242">IF(238&gt;$S$1204,"",INDEX($T$5:$AJ$1204,MATCH(238,$S$5:$S$1204,0),8))</f>
        <v/>
      </c>
      <c r="I242" s="8" t="str">
        <f t="array" ref="I242">IF(238&gt;$S$1204,"",INDEX($T$5:$AJ$1204,MATCH(238,$S$5:$S$1204,0),9))</f>
        <v/>
      </c>
      <c r="J242" s="14" t="str">
        <f t="array" ref="J242">IF(238&gt;$S$1204,"",INDEX($T$5:$AJ$1204,MATCH(238,$S$5:$S$1204,0),10))</f>
        <v/>
      </c>
      <c r="K242" s="8" t="str">
        <f t="array" ref="K242">IF(238&gt;$S$1204,"",INDEX($T$5:$AJ$1204,MATCH(238,$S$5:$S$1204,0),11))</f>
        <v/>
      </c>
      <c r="L242" s="8" t="str">
        <f t="array" ref="L242">IF(238&gt;$S$1204,"",INDEX($T$5:$AJ$1204,MATCH(238,$S$5:$S$1204,0),12))</f>
        <v/>
      </c>
      <c r="M242" s="8" t="str">
        <f t="array" ref="M242">IF(238&gt;$S$1204,"",INDEX($T$5:$AJ$1204,MATCH(238,$S$5:$S$1204,0),13))</f>
        <v/>
      </c>
      <c r="N242" s="8" t="str">
        <f t="array" ref="N242">IF(238&gt;$S$1204,"",INDEX($T$5:$AJ$1204,MATCH(238,$S$5:$S$1204,0),14))</f>
        <v/>
      </c>
      <c r="O242" s="15" t="str">
        <f t="array" ref="O242">IF(238&gt;$S$1204,"",INDEX($T$5:$AJ$1204,MATCH(238,$S$5:$S$1204,0),15))</f>
        <v/>
      </c>
      <c r="P242" s="8" t="str">
        <f t="array" ref="P242">IF(238&gt;$S$1204,"",INDEX($T$5:$AJ$1204,MATCH(238,$S$5:$S$1204,0),16))</f>
        <v/>
      </c>
      <c r="Q242" s="8" t="str">
        <f t="array" ref="Q242">IF(238&gt;$S$1204,"",INDEX($T$5:$AJ$1204,MATCH(238,$S$5:$S$1204,0),17))</f>
        <v/>
      </c>
      <c r="R242" s="17"/>
      <c r="S242" s="17">
        <f>S241+IF(M2_Accesos!A46="",0,1)</f>
        <v>0</v>
      </c>
      <c r="T242" s="17" t="str">
        <f>IF(M2_Accesos!A46="","",IF(M2_Accesos!A46="","",M2_Accesos!A46))</f>
        <v/>
      </c>
      <c r="U242" s="17" t="str">
        <f>IF(M2_Accesos!A46="","",IF(M2_Accesos!R46="","",M2_Accesos!R46))</f>
        <v/>
      </c>
      <c r="V242" s="17" t="str">
        <f>IF(M2_Accesos!A46="","",IF(M2_Accesos!D46="","",M2_Accesos!D46))</f>
        <v/>
      </c>
      <c r="W242" s="17" t="str">
        <f>IF(M2_Accesos!A46="","",IF(M2_Accesos!B46="","",M2_Accesos!B46))</f>
        <v/>
      </c>
      <c r="X242" s="17" t="str">
        <f>IF(M2_Accesos!A46="","",IF(M2_Accesos!C46="","",M2_Accesos!C46))</f>
        <v/>
      </c>
      <c r="Y242" s="17" t="str">
        <f>IF(M2_Accesos!A46="","",IF(M2_Accesos!E46="","",M2_Accesos!E46))</f>
        <v/>
      </c>
      <c r="Z242" s="17" t="str">
        <f>IF(M2_Accesos!A46="","",IF(M2_Accesos!F46="","",M2_Accesos!F46))</f>
        <v/>
      </c>
      <c r="AA242" s="17" t="str">
        <f>IF(M2_Accesos!A46="","","M2 Accesos")</f>
        <v/>
      </c>
      <c r="AB242" s="17" t="str">
        <f>IF(M2_Accesos!A46="","",IF(M2_Accesos!G46="","",M2_Accesos!G46))</f>
        <v/>
      </c>
      <c r="AC242" s="17" t="str">
        <f>IF(M2_Accesos!A46="","",IF(M2_Accesos!M46="","",M2_Accesos!M46))</f>
        <v/>
      </c>
      <c r="AD242" s="17" t="str">
        <f>IF(M2_Accesos!A46="","","RD")</f>
        <v/>
      </c>
      <c r="AE242" s="17" t="str">
        <f>IF(M2_Accesos!A46="","",IF(M2_Accesos!O46="","",M2_Accesos!O46))</f>
        <v/>
      </c>
      <c r="AF242" s="17" t="str">
        <f>IF(M2_Accesos!A46="","",IF(M2_Accesos!P46="","",M2_Accesos!P46))</f>
        <v/>
      </c>
      <c r="AG242" s="17" t="str">
        <f>IF(M2_Accesos!A46="","",IF(M2_Accesos!Q46="","",M2_Accesos!Q46))</f>
        <v/>
      </c>
      <c r="AH242" s="17" t="str">
        <f>IF(M2_Accesos!A46="","",IF(M2_Accesos!J46="","",M2_Accesos!J46))</f>
        <v/>
      </c>
      <c r="AI242" s="17" t="str">
        <f>IF(M2_Accesos!A46="","","M2_Accesos!46")</f>
        <v/>
      </c>
      <c r="AJ242" s="17" t="str">
        <f>IF(M2_Accesos!A46="","",IF(M2_Accesos!M46="","Pendiente de resultado","Disponible"))</f>
        <v/>
      </c>
    </row>
    <row r="243" spans="1:36" ht="55.5" customHeight="1">
      <c r="A243" s="6" t="str">
        <f t="array" ref="A243">IF(239&gt;$S$1204,"",INDEX($T$5:$AJ$1204,MATCH(239,$S$5:$S$1204,0),1))</f>
        <v/>
      </c>
      <c r="B243" s="8" t="str">
        <f t="array" ref="B243">IF(239&gt;$S$1204,"",INDEX($T$5:$AJ$1204,MATCH(239,$S$5:$S$1204,0),2))</f>
        <v/>
      </c>
      <c r="C243" s="10" t="str">
        <f t="array" ref="C243">IF(239&gt;$S$1204,"",INDEX($T$5:$AJ$1204,MATCH(239,$S$5:$S$1204,0),3))</f>
        <v/>
      </c>
      <c r="D243" s="8" t="str">
        <f t="array" ref="D243">IF(239&gt;$S$1204,"",INDEX($T$5:$AJ$1204,MATCH(239,$S$5:$S$1204,0),4))</f>
        <v/>
      </c>
      <c r="E243" s="8" t="str">
        <f t="array" ref="E243">IF(239&gt;$S$1204,"",INDEX($T$5:$AJ$1204,MATCH(239,$S$5:$S$1204,0),5))</f>
        <v/>
      </c>
      <c r="F243" s="8" t="str">
        <f t="array" ref="F243">IF(239&gt;$S$1204,"",INDEX($T$5:$AJ$1204,MATCH(239,$S$5:$S$1204,0),6))</f>
        <v/>
      </c>
      <c r="G243" s="8" t="str">
        <f t="array" ref="G243">IF(239&gt;$S$1204,"",INDEX($T$5:$AJ$1204,MATCH(239,$S$5:$S$1204,0),7))</f>
        <v/>
      </c>
      <c r="H243" s="8" t="str">
        <f t="array" ref="H243">IF(239&gt;$S$1204,"",INDEX($T$5:$AJ$1204,MATCH(239,$S$5:$S$1204,0),8))</f>
        <v/>
      </c>
      <c r="I243" s="8" t="str">
        <f t="array" ref="I243">IF(239&gt;$S$1204,"",INDEX($T$5:$AJ$1204,MATCH(239,$S$5:$S$1204,0),9))</f>
        <v/>
      </c>
      <c r="J243" s="14" t="str">
        <f t="array" ref="J243">IF(239&gt;$S$1204,"",INDEX($T$5:$AJ$1204,MATCH(239,$S$5:$S$1204,0),10))</f>
        <v/>
      </c>
      <c r="K243" s="8" t="str">
        <f t="array" ref="K243">IF(239&gt;$S$1204,"",INDEX($T$5:$AJ$1204,MATCH(239,$S$5:$S$1204,0),11))</f>
        <v/>
      </c>
      <c r="L243" s="8" t="str">
        <f t="array" ref="L243">IF(239&gt;$S$1204,"",INDEX($T$5:$AJ$1204,MATCH(239,$S$5:$S$1204,0),12))</f>
        <v/>
      </c>
      <c r="M243" s="8" t="str">
        <f t="array" ref="M243">IF(239&gt;$S$1204,"",INDEX($T$5:$AJ$1204,MATCH(239,$S$5:$S$1204,0),13))</f>
        <v/>
      </c>
      <c r="N243" s="8" t="str">
        <f t="array" ref="N243">IF(239&gt;$S$1204,"",INDEX($T$5:$AJ$1204,MATCH(239,$S$5:$S$1204,0),14))</f>
        <v/>
      </c>
      <c r="O243" s="15" t="str">
        <f t="array" ref="O243">IF(239&gt;$S$1204,"",INDEX($T$5:$AJ$1204,MATCH(239,$S$5:$S$1204,0),15))</f>
        <v/>
      </c>
      <c r="P243" s="8" t="str">
        <f t="array" ref="P243">IF(239&gt;$S$1204,"",INDEX($T$5:$AJ$1204,MATCH(239,$S$5:$S$1204,0),16))</f>
        <v/>
      </c>
      <c r="Q243" s="8" t="str">
        <f t="array" ref="Q243">IF(239&gt;$S$1204,"",INDEX($T$5:$AJ$1204,MATCH(239,$S$5:$S$1204,0),17))</f>
        <v/>
      </c>
      <c r="R243" s="17"/>
      <c r="S243" s="17">
        <f>S242+IF(M2_Accesos!A47="",0,1)</f>
        <v>0</v>
      </c>
      <c r="T243" s="17" t="str">
        <f>IF(M2_Accesos!A47="","",IF(M2_Accesos!A47="","",M2_Accesos!A47))</f>
        <v/>
      </c>
      <c r="U243" s="17" t="str">
        <f>IF(M2_Accesos!A47="","",IF(M2_Accesos!R47="","",M2_Accesos!R47))</f>
        <v/>
      </c>
      <c r="V243" s="17" t="str">
        <f>IF(M2_Accesos!A47="","",IF(M2_Accesos!D47="","",M2_Accesos!D47))</f>
        <v/>
      </c>
      <c r="W243" s="17" t="str">
        <f>IF(M2_Accesos!A47="","",IF(M2_Accesos!B47="","",M2_Accesos!B47))</f>
        <v/>
      </c>
      <c r="X243" s="17" t="str">
        <f>IF(M2_Accesos!A47="","",IF(M2_Accesos!C47="","",M2_Accesos!C47))</f>
        <v/>
      </c>
      <c r="Y243" s="17" t="str">
        <f>IF(M2_Accesos!A47="","",IF(M2_Accesos!E47="","",M2_Accesos!E47))</f>
        <v/>
      </c>
      <c r="Z243" s="17" t="str">
        <f>IF(M2_Accesos!A47="","",IF(M2_Accesos!F47="","",M2_Accesos!F47))</f>
        <v/>
      </c>
      <c r="AA243" s="17" t="str">
        <f>IF(M2_Accesos!A47="","","M2 Accesos")</f>
        <v/>
      </c>
      <c r="AB243" s="17" t="str">
        <f>IF(M2_Accesos!A47="","",IF(M2_Accesos!G47="","",M2_Accesos!G47))</f>
        <v/>
      </c>
      <c r="AC243" s="17" t="str">
        <f>IF(M2_Accesos!A47="","",IF(M2_Accesos!M47="","",M2_Accesos!M47))</f>
        <v/>
      </c>
      <c r="AD243" s="17" t="str">
        <f>IF(M2_Accesos!A47="","","RD")</f>
        <v/>
      </c>
      <c r="AE243" s="17" t="str">
        <f>IF(M2_Accesos!A47="","",IF(M2_Accesos!O47="","",M2_Accesos!O47))</f>
        <v/>
      </c>
      <c r="AF243" s="17" t="str">
        <f>IF(M2_Accesos!A47="","",IF(M2_Accesos!P47="","",M2_Accesos!P47))</f>
        <v/>
      </c>
      <c r="AG243" s="17" t="str">
        <f>IF(M2_Accesos!A47="","",IF(M2_Accesos!Q47="","",M2_Accesos!Q47))</f>
        <v/>
      </c>
      <c r="AH243" s="17" t="str">
        <f>IF(M2_Accesos!A47="","",IF(M2_Accesos!J47="","",M2_Accesos!J47))</f>
        <v/>
      </c>
      <c r="AI243" s="17" t="str">
        <f>IF(M2_Accesos!A47="","","M2_Accesos!47")</f>
        <v/>
      </c>
      <c r="AJ243" s="17" t="str">
        <f>IF(M2_Accesos!A47="","",IF(M2_Accesos!M47="","Pendiente de resultado","Disponible"))</f>
        <v/>
      </c>
    </row>
    <row r="244" spans="1:36" ht="55.5" customHeight="1">
      <c r="A244" s="6" t="str">
        <f t="array" ref="A244">IF(240&gt;$S$1204,"",INDEX($T$5:$AJ$1204,MATCH(240,$S$5:$S$1204,0),1))</f>
        <v/>
      </c>
      <c r="B244" s="8" t="str">
        <f t="array" ref="B244">IF(240&gt;$S$1204,"",INDEX($T$5:$AJ$1204,MATCH(240,$S$5:$S$1204,0),2))</f>
        <v/>
      </c>
      <c r="C244" s="10" t="str">
        <f t="array" ref="C244">IF(240&gt;$S$1204,"",INDEX($T$5:$AJ$1204,MATCH(240,$S$5:$S$1204,0),3))</f>
        <v/>
      </c>
      <c r="D244" s="8" t="str">
        <f t="array" ref="D244">IF(240&gt;$S$1204,"",INDEX($T$5:$AJ$1204,MATCH(240,$S$5:$S$1204,0),4))</f>
        <v/>
      </c>
      <c r="E244" s="8" t="str">
        <f t="array" ref="E244">IF(240&gt;$S$1204,"",INDEX($T$5:$AJ$1204,MATCH(240,$S$5:$S$1204,0),5))</f>
        <v/>
      </c>
      <c r="F244" s="8" t="str">
        <f t="array" ref="F244">IF(240&gt;$S$1204,"",INDEX($T$5:$AJ$1204,MATCH(240,$S$5:$S$1204,0),6))</f>
        <v/>
      </c>
      <c r="G244" s="8" t="str">
        <f t="array" ref="G244">IF(240&gt;$S$1204,"",INDEX($T$5:$AJ$1204,MATCH(240,$S$5:$S$1204,0),7))</f>
        <v/>
      </c>
      <c r="H244" s="8" t="str">
        <f t="array" ref="H244">IF(240&gt;$S$1204,"",INDEX($T$5:$AJ$1204,MATCH(240,$S$5:$S$1204,0),8))</f>
        <v/>
      </c>
      <c r="I244" s="8" t="str">
        <f t="array" ref="I244">IF(240&gt;$S$1204,"",INDEX($T$5:$AJ$1204,MATCH(240,$S$5:$S$1204,0),9))</f>
        <v/>
      </c>
      <c r="J244" s="14" t="str">
        <f t="array" ref="J244">IF(240&gt;$S$1204,"",INDEX($T$5:$AJ$1204,MATCH(240,$S$5:$S$1204,0),10))</f>
        <v/>
      </c>
      <c r="K244" s="8" t="str">
        <f t="array" ref="K244">IF(240&gt;$S$1204,"",INDEX($T$5:$AJ$1204,MATCH(240,$S$5:$S$1204,0),11))</f>
        <v/>
      </c>
      <c r="L244" s="8" t="str">
        <f t="array" ref="L244">IF(240&gt;$S$1204,"",INDEX($T$5:$AJ$1204,MATCH(240,$S$5:$S$1204,0),12))</f>
        <v/>
      </c>
      <c r="M244" s="8" t="str">
        <f t="array" ref="M244">IF(240&gt;$S$1204,"",INDEX($T$5:$AJ$1204,MATCH(240,$S$5:$S$1204,0),13))</f>
        <v/>
      </c>
      <c r="N244" s="8" t="str">
        <f t="array" ref="N244">IF(240&gt;$S$1204,"",INDEX($T$5:$AJ$1204,MATCH(240,$S$5:$S$1204,0),14))</f>
        <v/>
      </c>
      <c r="O244" s="15" t="str">
        <f t="array" ref="O244">IF(240&gt;$S$1204,"",INDEX($T$5:$AJ$1204,MATCH(240,$S$5:$S$1204,0),15))</f>
        <v/>
      </c>
      <c r="P244" s="8" t="str">
        <f t="array" ref="P244">IF(240&gt;$S$1204,"",INDEX($T$5:$AJ$1204,MATCH(240,$S$5:$S$1204,0),16))</f>
        <v/>
      </c>
      <c r="Q244" s="8" t="str">
        <f t="array" ref="Q244">IF(240&gt;$S$1204,"",INDEX($T$5:$AJ$1204,MATCH(240,$S$5:$S$1204,0),17))</f>
        <v/>
      </c>
      <c r="R244" s="17"/>
      <c r="S244" s="17">
        <f>S243+IF(M2_Accesos!A48="",0,1)</f>
        <v>0</v>
      </c>
      <c r="T244" s="17" t="str">
        <f>IF(M2_Accesos!A48="","",IF(M2_Accesos!A48="","",M2_Accesos!A48))</f>
        <v/>
      </c>
      <c r="U244" s="17" t="str">
        <f>IF(M2_Accesos!A48="","",IF(M2_Accesos!R48="","",M2_Accesos!R48))</f>
        <v/>
      </c>
      <c r="V244" s="17" t="str">
        <f>IF(M2_Accesos!A48="","",IF(M2_Accesos!D48="","",M2_Accesos!D48))</f>
        <v/>
      </c>
      <c r="W244" s="17" t="str">
        <f>IF(M2_Accesos!A48="","",IF(M2_Accesos!B48="","",M2_Accesos!B48))</f>
        <v/>
      </c>
      <c r="X244" s="17" t="str">
        <f>IF(M2_Accesos!A48="","",IF(M2_Accesos!C48="","",M2_Accesos!C48))</f>
        <v/>
      </c>
      <c r="Y244" s="17" t="str">
        <f>IF(M2_Accesos!A48="","",IF(M2_Accesos!E48="","",M2_Accesos!E48))</f>
        <v/>
      </c>
      <c r="Z244" s="17" t="str">
        <f>IF(M2_Accesos!A48="","",IF(M2_Accesos!F48="","",M2_Accesos!F48))</f>
        <v/>
      </c>
      <c r="AA244" s="17" t="str">
        <f>IF(M2_Accesos!A48="","","M2 Accesos")</f>
        <v/>
      </c>
      <c r="AB244" s="17" t="str">
        <f>IF(M2_Accesos!A48="","",IF(M2_Accesos!G48="","",M2_Accesos!G48))</f>
        <v/>
      </c>
      <c r="AC244" s="17" t="str">
        <f>IF(M2_Accesos!A48="","",IF(M2_Accesos!M48="","",M2_Accesos!M48))</f>
        <v/>
      </c>
      <c r="AD244" s="17" t="str">
        <f>IF(M2_Accesos!A48="","","RD")</f>
        <v/>
      </c>
      <c r="AE244" s="17" t="str">
        <f>IF(M2_Accesos!A48="","",IF(M2_Accesos!O48="","",M2_Accesos!O48))</f>
        <v/>
      </c>
      <c r="AF244" s="17" t="str">
        <f>IF(M2_Accesos!A48="","",IF(M2_Accesos!P48="","",M2_Accesos!P48))</f>
        <v/>
      </c>
      <c r="AG244" s="17" t="str">
        <f>IF(M2_Accesos!A48="","",IF(M2_Accesos!Q48="","",M2_Accesos!Q48))</f>
        <v/>
      </c>
      <c r="AH244" s="17" t="str">
        <f>IF(M2_Accesos!A48="","",IF(M2_Accesos!J48="","",M2_Accesos!J48))</f>
        <v/>
      </c>
      <c r="AI244" s="17" t="str">
        <f>IF(M2_Accesos!A48="","","M2_Accesos!48")</f>
        <v/>
      </c>
      <c r="AJ244" s="17" t="str">
        <f>IF(M2_Accesos!A48="","",IF(M2_Accesos!M48="","Pendiente de resultado","Disponible"))</f>
        <v/>
      </c>
    </row>
    <row r="245" spans="1:36" ht="55.5" customHeight="1">
      <c r="A245" s="6" t="str">
        <f t="array" ref="A245">IF(241&gt;$S$1204,"",INDEX($T$5:$AJ$1204,MATCH(241,$S$5:$S$1204,0),1))</f>
        <v/>
      </c>
      <c r="B245" s="8" t="str">
        <f t="array" ref="B245">IF(241&gt;$S$1204,"",INDEX($T$5:$AJ$1204,MATCH(241,$S$5:$S$1204,0),2))</f>
        <v/>
      </c>
      <c r="C245" s="10" t="str">
        <f t="array" ref="C245">IF(241&gt;$S$1204,"",INDEX($T$5:$AJ$1204,MATCH(241,$S$5:$S$1204,0),3))</f>
        <v/>
      </c>
      <c r="D245" s="8" t="str">
        <f t="array" ref="D245">IF(241&gt;$S$1204,"",INDEX($T$5:$AJ$1204,MATCH(241,$S$5:$S$1204,0),4))</f>
        <v/>
      </c>
      <c r="E245" s="8" t="str">
        <f t="array" ref="E245">IF(241&gt;$S$1204,"",INDEX($T$5:$AJ$1204,MATCH(241,$S$5:$S$1204,0),5))</f>
        <v/>
      </c>
      <c r="F245" s="8" t="str">
        <f t="array" ref="F245">IF(241&gt;$S$1204,"",INDEX($T$5:$AJ$1204,MATCH(241,$S$5:$S$1204,0),6))</f>
        <v/>
      </c>
      <c r="G245" s="8" t="str">
        <f t="array" ref="G245">IF(241&gt;$S$1204,"",INDEX($T$5:$AJ$1204,MATCH(241,$S$5:$S$1204,0),7))</f>
        <v/>
      </c>
      <c r="H245" s="8" t="str">
        <f t="array" ref="H245">IF(241&gt;$S$1204,"",INDEX($T$5:$AJ$1204,MATCH(241,$S$5:$S$1204,0),8))</f>
        <v/>
      </c>
      <c r="I245" s="8" t="str">
        <f t="array" ref="I245">IF(241&gt;$S$1204,"",INDEX($T$5:$AJ$1204,MATCH(241,$S$5:$S$1204,0),9))</f>
        <v/>
      </c>
      <c r="J245" s="14" t="str">
        <f t="array" ref="J245">IF(241&gt;$S$1204,"",INDEX($T$5:$AJ$1204,MATCH(241,$S$5:$S$1204,0),10))</f>
        <v/>
      </c>
      <c r="K245" s="8" t="str">
        <f t="array" ref="K245">IF(241&gt;$S$1204,"",INDEX($T$5:$AJ$1204,MATCH(241,$S$5:$S$1204,0),11))</f>
        <v/>
      </c>
      <c r="L245" s="8" t="str">
        <f t="array" ref="L245">IF(241&gt;$S$1204,"",INDEX($T$5:$AJ$1204,MATCH(241,$S$5:$S$1204,0),12))</f>
        <v/>
      </c>
      <c r="M245" s="8" t="str">
        <f t="array" ref="M245">IF(241&gt;$S$1204,"",INDEX($T$5:$AJ$1204,MATCH(241,$S$5:$S$1204,0),13))</f>
        <v/>
      </c>
      <c r="N245" s="8" t="str">
        <f t="array" ref="N245">IF(241&gt;$S$1204,"",INDEX($T$5:$AJ$1204,MATCH(241,$S$5:$S$1204,0),14))</f>
        <v/>
      </c>
      <c r="O245" s="15" t="str">
        <f t="array" ref="O245">IF(241&gt;$S$1204,"",INDEX($T$5:$AJ$1204,MATCH(241,$S$5:$S$1204,0),15))</f>
        <v/>
      </c>
      <c r="P245" s="8" t="str">
        <f t="array" ref="P245">IF(241&gt;$S$1204,"",INDEX($T$5:$AJ$1204,MATCH(241,$S$5:$S$1204,0),16))</f>
        <v/>
      </c>
      <c r="Q245" s="8" t="str">
        <f t="array" ref="Q245">IF(241&gt;$S$1204,"",INDEX($T$5:$AJ$1204,MATCH(241,$S$5:$S$1204,0),17))</f>
        <v/>
      </c>
      <c r="R245" s="17"/>
      <c r="S245" s="17">
        <f>S244+IF(M2_Accesos!A49="",0,1)</f>
        <v>0</v>
      </c>
      <c r="T245" s="17" t="str">
        <f>IF(M2_Accesos!A49="","",IF(M2_Accesos!A49="","",M2_Accesos!A49))</f>
        <v/>
      </c>
      <c r="U245" s="17" t="str">
        <f>IF(M2_Accesos!A49="","",IF(M2_Accesos!R49="","",M2_Accesos!R49))</f>
        <v/>
      </c>
      <c r="V245" s="17" t="str">
        <f>IF(M2_Accesos!A49="","",IF(M2_Accesos!D49="","",M2_Accesos!D49))</f>
        <v/>
      </c>
      <c r="W245" s="17" t="str">
        <f>IF(M2_Accesos!A49="","",IF(M2_Accesos!B49="","",M2_Accesos!B49))</f>
        <v/>
      </c>
      <c r="X245" s="17" t="str">
        <f>IF(M2_Accesos!A49="","",IF(M2_Accesos!C49="","",M2_Accesos!C49))</f>
        <v/>
      </c>
      <c r="Y245" s="17" t="str">
        <f>IF(M2_Accesos!A49="","",IF(M2_Accesos!E49="","",M2_Accesos!E49))</f>
        <v/>
      </c>
      <c r="Z245" s="17" t="str">
        <f>IF(M2_Accesos!A49="","",IF(M2_Accesos!F49="","",M2_Accesos!F49))</f>
        <v/>
      </c>
      <c r="AA245" s="17" t="str">
        <f>IF(M2_Accesos!A49="","","M2 Accesos")</f>
        <v/>
      </c>
      <c r="AB245" s="17" t="str">
        <f>IF(M2_Accesos!A49="","",IF(M2_Accesos!G49="","",M2_Accesos!G49))</f>
        <v/>
      </c>
      <c r="AC245" s="17" t="str">
        <f>IF(M2_Accesos!A49="","",IF(M2_Accesos!M49="","",M2_Accesos!M49))</f>
        <v/>
      </c>
      <c r="AD245" s="17" t="str">
        <f>IF(M2_Accesos!A49="","","RD")</f>
        <v/>
      </c>
      <c r="AE245" s="17" t="str">
        <f>IF(M2_Accesos!A49="","",IF(M2_Accesos!O49="","",M2_Accesos!O49))</f>
        <v/>
      </c>
      <c r="AF245" s="17" t="str">
        <f>IF(M2_Accesos!A49="","",IF(M2_Accesos!P49="","",M2_Accesos!P49))</f>
        <v/>
      </c>
      <c r="AG245" s="17" t="str">
        <f>IF(M2_Accesos!A49="","",IF(M2_Accesos!Q49="","",M2_Accesos!Q49))</f>
        <v/>
      </c>
      <c r="AH245" s="17" t="str">
        <f>IF(M2_Accesos!A49="","",IF(M2_Accesos!J49="","",M2_Accesos!J49))</f>
        <v/>
      </c>
      <c r="AI245" s="17" t="str">
        <f>IF(M2_Accesos!A49="","","M2_Accesos!49")</f>
        <v/>
      </c>
      <c r="AJ245" s="17" t="str">
        <f>IF(M2_Accesos!A49="","",IF(M2_Accesos!M49="","Pendiente de resultado","Disponible"))</f>
        <v/>
      </c>
    </row>
    <row r="246" spans="1:36" ht="55.5" customHeight="1">
      <c r="A246" s="6" t="str">
        <f t="array" ref="A246">IF(242&gt;$S$1204,"",INDEX($T$5:$AJ$1204,MATCH(242,$S$5:$S$1204,0),1))</f>
        <v/>
      </c>
      <c r="B246" s="8" t="str">
        <f t="array" ref="B246">IF(242&gt;$S$1204,"",INDEX($T$5:$AJ$1204,MATCH(242,$S$5:$S$1204,0),2))</f>
        <v/>
      </c>
      <c r="C246" s="10" t="str">
        <f t="array" ref="C246">IF(242&gt;$S$1204,"",INDEX($T$5:$AJ$1204,MATCH(242,$S$5:$S$1204,0),3))</f>
        <v/>
      </c>
      <c r="D246" s="8" t="str">
        <f t="array" ref="D246">IF(242&gt;$S$1204,"",INDEX($T$5:$AJ$1204,MATCH(242,$S$5:$S$1204,0),4))</f>
        <v/>
      </c>
      <c r="E246" s="8" t="str">
        <f t="array" ref="E246">IF(242&gt;$S$1204,"",INDEX($T$5:$AJ$1204,MATCH(242,$S$5:$S$1204,0),5))</f>
        <v/>
      </c>
      <c r="F246" s="8" t="str">
        <f t="array" ref="F246">IF(242&gt;$S$1204,"",INDEX($T$5:$AJ$1204,MATCH(242,$S$5:$S$1204,0),6))</f>
        <v/>
      </c>
      <c r="G246" s="8" t="str">
        <f t="array" ref="G246">IF(242&gt;$S$1204,"",INDEX($T$5:$AJ$1204,MATCH(242,$S$5:$S$1204,0),7))</f>
        <v/>
      </c>
      <c r="H246" s="8" t="str">
        <f t="array" ref="H246">IF(242&gt;$S$1204,"",INDEX($T$5:$AJ$1204,MATCH(242,$S$5:$S$1204,0),8))</f>
        <v/>
      </c>
      <c r="I246" s="8" t="str">
        <f t="array" ref="I246">IF(242&gt;$S$1204,"",INDEX($T$5:$AJ$1204,MATCH(242,$S$5:$S$1204,0),9))</f>
        <v/>
      </c>
      <c r="J246" s="14" t="str">
        <f t="array" ref="J246">IF(242&gt;$S$1204,"",INDEX($T$5:$AJ$1204,MATCH(242,$S$5:$S$1204,0),10))</f>
        <v/>
      </c>
      <c r="K246" s="8" t="str">
        <f t="array" ref="K246">IF(242&gt;$S$1204,"",INDEX($T$5:$AJ$1204,MATCH(242,$S$5:$S$1204,0),11))</f>
        <v/>
      </c>
      <c r="L246" s="8" t="str">
        <f t="array" ref="L246">IF(242&gt;$S$1204,"",INDEX($T$5:$AJ$1204,MATCH(242,$S$5:$S$1204,0),12))</f>
        <v/>
      </c>
      <c r="M246" s="8" t="str">
        <f t="array" ref="M246">IF(242&gt;$S$1204,"",INDEX($T$5:$AJ$1204,MATCH(242,$S$5:$S$1204,0),13))</f>
        <v/>
      </c>
      <c r="N246" s="8" t="str">
        <f t="array" ref="N246">IF(242&gt;$S$1204,"",INDEX($T$5:$AJ$1204,MATCH(242,$S$5:$S$1204,0),14))</f>
        <v/>
      </c>
      <c r="O246" s="15" t="str">
        <f t="array" ref="O246">IF(242&gt;$S$1204,"",INDEX($T$5:$AJ$1204,MATCH(242,$S$5:$S$1204,0),15))</f>
        <v/>
      </c>
      <c r="P246" s="8" t="str">
        <f t="array" ref="P246">IF(242&gt;$S$1204,"",INDEX($T$5:$AJ$1204,MATCH(242,$S$5:$S$1204,0),16))</f>
        <v/>
      </c>
      <c r="Q246" s="8" t="str">
        <f t="array" ref="Q246">IF(242&gt;$S$1204,"",INDEX($T$5:$AJ$1204,MATCH(242,$S$5:$S$1204,0),17))</f>
        <v/>
      </c>
      <c r="R246" s="17"/>
      <c r="S246" s="17">
        <f>S245+IF(M2_Accesos!A50="",0,1)</f>
        <v>0</v>
      </c>
      <c r="T246" s="17" t="str">
        <f>IF(M2_Accesos!A50="","",IF(M2_Accesos!A50="","",M2_Accesos!A50))</f>
        <v/>
      </c>
      <c r="U246" s="17" t="str">
        <f>IF(M2_Accesos!A50="","",IF(M2_Accesos!R50="","",M2_Accesos!R50))</f>
        <v/>
      </c>
      <c r="V246" s="17" t="str">
        <f>IF(M2_Accesos!A50="","",IF(M2_Accesos!D50="","",M2_Accesos!D50))</f>
        <v/>
      </c>
      <c r="W246" s="17" t="str">
        <f>IF(M2_Accesos!A50="","",IF(M2_Accesos!B50="","",M2_Accesos!B50))</f>
        <v/>
      </c>
      <c r="X246" s="17" t="str">
        <f>IF(M2_Accesos!A50="","",IF(M2_Accesos!C50="","",M2_Accesos!C50))</f>
        <v/>
      </c>
      <c r="Y246" s="17" t="str">
        <f>IF(M2_Accesos!A50="","",IF(M2_Accesos!E50="","",M2_Accesos!E50))</f>
        <v/>
      </c>
      <c r="Z246" s="17" t="str">
        <f>IF(M2_Accesos!A50="","",IF(M2_Accesos!F50="","",M2_Accesos!F50))</f>
        <v/>
      </c>
      <c r="AA246" s="17" t="str">
        <f>IF(M2_Accesos!A50="","","M2 Accesos")</f>
        <v/>
      </c>
      <c r="AB246" s="17" t="str">
        <f>IF(M2_Accesos!A50="","",IF(M2_Accesos!G50="","",M2_Accesos!G50))</f>
        <v/>
      </c>
      <c r="AC246" s="17" t="str">
        <f>IF(M2_Accesos!A50="","",IF(M2_Accesos!M50="","",M2_Accesos!M50))</f>
        <v/>
      </c>
      <c r="AD246" s="17" t="str">
        <f>IF(M2_Accesos!A50="","","RD")</f>
        <v/>
      </c>
      <c r="AE246" s="17" t="str">
        <f>IF(M2_Accesos!A50="","",IF(M2_Accesos!O50="","",M2_Accesos!O50))</f>
        <v/>
      </c>
      <c r="AF246" s="17" t="str">
        <f>IF(M2_Accesos!A50="","",IF(M2_Accesos!P50="","",M2_Accesos!P50))</f>
        <v/>
      </c>
      <c r="AG246" s="17" t="str">
        <f>IF(M2_Accesos!A50="","",IF(M2_Accesos!Q50="","",M2_Accesos!Q50))</f>
        <v/>
      </c>
      <c r="AH246" s="17" t="str">
        <f>IF(M2_Accesos!A50="","",IF(M2_Accesos!J50="","",M2_Accesos!J50))</f>
        <v/>
      </c>
      <c r="AI246" s="17" t="str">
        <f>IF(M2_Accesos!A50="","","M2_Accesos!50")</f>
        <v/>
      </c>
      <c r="AJ246" s="17" t="str">
        <f>IF(M2_Accesos!A50="","",IF(M2_Accesos!M50="","Pendiente de resultado","Disponible"))</f>
        <v/>
      </c>
    </row>
    <row r="247" spans="1:36" ht="55.5" customHeight="1">
      <c r="A247" s="6" t="str">
        <f t="array" ref="A247">IF(243&gt;$S$1204,"",INDEX($T$5:$AJ$1204,MATCH(243,$S$5:$S$1204,0),1))</f>
        <v/>
      </c>
      <c r="B247" s="8" t="str">
        <f t="array" ref="B247">IF(243&gt;$S$1204,"",INDEX($T$5:$AJ$1204,MATCH(243,$S$5:$S$1204,0),2))</f>
        <v/>
      </c>
      <c r="C247" s="10" t="str">
        <f t="array" ref="C247">IF(243&gt;$S$1204,"",INDEX($T$5:$AJ$1204,MATCH(243,$S$5:$S$1204,0),3))</f>
        <v/>
      </c>
      <c r="D247" s="8" t="str">
        <f t="array" ref="D247">IF(243&gt;$S$1204,"",INDEX($T$5:$AJ$1204,MATCH(243,$S$5:$S$1204,0),4))</f>
        <v/>
      </c>
      <c r="E247" s="8" t="str">
        <f t="array" ref="E247">IF(243&gt;$S$1204,"",INDEX($T$5:$AJ$1204,MATCH(243,$S$5:$S$1204,0),5))</f>
        <v/>
      </c>
      <c r="F247" s="8" t="str">
        <f t="array" ref="F247">IF(243&gt;$S$1204,"",INDEX($T$5:$AJ$1204,MATCH(243,$S$5:$S$1204,0),6))</f>
        <v/>
      </c>
      <c r="G247" s="8" t="str">
        <f t="array" ref="G247">IF(243&gt;$S$1204,"",INDEX($T$5:$AJ$1204,MATCH(243,$S$5:$S$1204,0),7))</f>
        <v/>
      </c>
      <c r="H247" s="8" t="str">
        <f t="array" ref="H247">IF(243&gt;$S$1204,"",INDEX($T$5:$AJ$1204,MATCH(243,$S$5:$S$1204,0),8))</f>
        <v/>
      </c>
      <c r="I247" s="8" t="str">
        <f t="array" ref="I247">IF(243&gt;$S$1204,"",INDEX($T$5:$AJ$1204,MATCH(243,$S$5:$S$1204,0),9))</f>
        <v/>
      </c>
      <c r="J247" s="14" t="str">
        <f t="array" ref="J247">IF(243&gt;$S$1204,"",INDEX($T$5:$AJ$1204,MATCH(243,$S$5:$S$1204,0),10))</f>
        <v/>
      </c>
      <c r="K247" s="8" t="str">
        <f t="array" ref="K247">IF(243&gt;$S$1204,"",INDEX($T$5:$AJ$1204,MATCH(243,$S$5:$S$1204,0),11))</f>
        <v/>
      </c>
      <c r="L247" s="8" t="str">
        <f t="array" ref="L247">IF(243&gt;$S$1204,"",INDEX($T$5:$AJ$1204,MATCH(243,$S$5:$S$1204,0),12))</f>
        <v/>
      </c>
      <c r="M247" s="8" t="str">
        <f t="array" ref="M247">IF(243&gt;$S$1204,"",INDEX($T$5:$AJ$1204,MATCH(243,$S$5:$S$1204,0),13))</f>
        <v/>
      </c>
      <c r="N247" s="8" t="str">
        <f t="array" ref="N247">IF(243&gt;$S$1204,"",INDEX($T$5:$AJ$1204,MATCH(243,$S$5:$S$1204,0),14))</f>
        <v/>
      </c>
      <c r="O247" s="15" t="str">
        <f t="array" ref="O247">IF(243&gt;$S$1204,"",INDEX($T$5:$AJ$1204,MATCH(243,$S$5:$S$1204,0),15))</f>
        <v/>
      </c>
      <c r="P247" s="8" t="str">
        <f t="array" ref="P247">IF(243&gt;$S$1204,"",INDEX($T$5:$AJ$1204,MATCH(243,$S$5:$S$1204,0),16))</f>
        <v/>
      </c>
      <c r="Q247" s="8" t="str">
        <f t="array" ref="Q247">IF(243&gt;$S$1204,"",INDEX($T$5:$AJ$1204,MATCH(243,$S$5:$S$1204,0),17))</f>
        <v/>
      </c>
      <c r="R247" s="17"/>
      <c r="S247" s="17">
        <f>S246+IF(M2_Accesos!A51="",0,1)</f>
        <v>0</v>
      </c>
      <c r="T247" s="17" t="str">
        <f>IF(M2_Accesos!A51="","",IF(M2_Accesos!A51="","",M2_Accesos!A51))</f>
        <v/>
      </c>
      <c r="U247" s="17" t="str">
        <f>IF(M2_Accesos!A51="","",IF(M2_Accesos!R51="","",M2_Accesos!R51))</f>
        <v/>
      </c>
      <c r="V247" s="17" t="str">
        <f>IF(M2_Accesos!A51="","",IF(M2_Accesos!D51="","",M2_Accesos!D51))</f>
        <v/>
      </c>
      <c r="W247" s="17" t="str">
        <f>IF(M2_Accesos!A51="","",IF(M2_Accesos!B51="","",M2_Accesos!B51))</f>
        <v/>
      </c>
      <c r="X247" s="17" t="str">
        <f>IF(M2_Accesos!A51="","",IF(M2_Accesos!C51="","",M2_Accesos!C51))</f>
        <v/>
      </c>
      <c r="Y247" s="17" t="str">
        <f>IF(M2_Accesos!A51="","",IF(M2_Accesos!E51="","",M2_Accesos!E51))</f>
        <v/>
      </c>
      <c r="Z247" s="17" t="str">
        <f>IF(M2_Accesos!A51="","",IF(M2_Accesos!F51="","",M2_Accesos!F51))</f>
        <v/>
      </c>
      <c r="AA247" s="17" t="str">
        <f>IF(M2_Accesos!A51="","","M2 Accesos")</f>
        <v/>
      </c>
      <c r="AB247" s="17" t="str">
        <f>IF(M2_Accesos!A51="","",IF(M2_Accesos!G51="","",M2_Accesos!G51))</f>
        <v/>
      </c>
      <c r="AC247" s="17" t="str">
        <f>IF(M2_Accesos!A51="","",IF(M2_Accesos!M51="","",M2_Accesos!M51))</f>
        <v/>
      </c>
      <c r="AD247" s="17" t="str">
        <f>IF(M2_Accesos!A51="","","RD")</f>
        <v/>
      </c>
      <c r="AE247" s="17" t="str">
        <f>IF(M2_Accesos!A51="","",IF(M2_Accesos!O51="","",M2_Accesos!O51))</f>
        <v/>
      </c>
      <c r="AF247" s="17" t="str">
        <f>IF(M2_Accesos!A51="","",IF(M2_Accesos!P51="","",M2_Accesos!P51))</f>
        <v/>
      </c>
      <c r="AG247" s="17" t="str">
        <f>IF(M2_Accesos!A51="","",IF(M2_Accesos!Q51="","",M2_Accesos!Q51))</f>
        <v/>
      </c>
      <c r="AH247" s="17" t="str">
        <f>IF(M2_Accesos!A51="","",IF(M2_Accesos!J51="","",M2_Accesos!J51))</f>
        <v/>
      </c>
      <c r="AI247" s="17" t="str">
        <f>IF(M2_Accesos!A51="","","M2_Accesos!51")</f>
        <v/>
      </c>
      <c r="AJ247" s="17" t="str">
        <f>IF(M2_Accesos!A51="","",IF(M2_Accesos!M51="","Pendiente de resultado","Disponible"))</f>
        <v/>
      </c>
    </row>
    <row r="248" spans="1:36" ht="55.5" customHeight="1">
      <c r="A248" s="6" t="str">
        <f t="array" ref="A248">IF(244&gt;$S$1204,"",INDEX($T$5:$AJ$1204,MATCH(244,$S$5:$S$1204,0),1))</f>
        <v/>
      </c>
      <c r="B248" s="8" t="str">
        <f t="array" ref="B248">IF(244&gt;$S$1204,"",INDEX($T$5:$AJ$1204,MATCH(244,$S$5:$S$1204,0),2))</f>
        <v/>
      </c>
      <c r="C248" s="10" t="str">
        <f t="array" ref="C248">IF(244&gt;$S$1204,"",INDEX($T$5:$AJ$1204,MATCH(244,$S$5:$S$1204,0),3))</f>
        <v/>
      </c>
      <c r="D248" s="8" t="str">
        <f t="array" ref="D248">IF(244&gt;$S$1204,"",INDEX($T$5:$AJ$1204,MATCH(244,$S$5:$S$1204,0),4))</f>
        <v/>
      </c>
      <c r="E248" s="8" t="str">
        <f t="array" ref="E248">IF(244&gt;$S$1204,"",INDEX($T$5:$AJ$1204,MATCH(244,$S$5:$S$1204,0),5))</f>
        <v/>
      </c>
      <c r="F248" s="8" t="str">
        <f t="array" ref="F248">IF(244&gt;$S$1204,"",INDEX($T$5:$AJ$1204,MATCH(244,$S$5:$S$1204,0),6))</f>
        <v/>
      </c>
      <c r="G248" s="8" t="str">
        <f t="array" ref="G248">IF(244&gt;$S$1204,"",INDEX($T$5:$AJ$1204,MATCH(244,$S$5:$S$1204,0),7))</f>
        <v/>
      </c>
      <c r="H248" s="8" t="str">
        <f t="array" ref="H248">IF(244&gt;$S$1204,"",INDEX($T$5:$AJ$1204,MATCH(244,$S$5:$S$1204,0),8))</f>
        <v/>
      </c>
      <c r="I248" s="8" t="str">
        <f t="array" ref="I248">IF(244&gt;$S$1204,"",INDEX($T$5:$AJ$1204,MATCH(244,$S$5:$S$1204,0),9))</f>
        <v/>
      </c>
      <c r="J248" s="14" t="str">
        <f t="array" ref="J248">IF(244&gt;$S$1204,"",INDEX($T$5:$AJ$1204,MATCH(244,$S$5:$S$1204,0),10))</f>
        <v/>
      </c>
      <c r="K248" s="8" t="str">
        <f t="array" ref="K248">IF(244&gt;$S$1204,"",INDEX($T$5:$AJ$1204,MATCH(244,$S$5:$S$1204,0),11))</f>
        <v/>
      </c>
      <c r="L248" s="8" t="str">
        <f t="array" ref="L248">IF(244&gt;$S$1204,"",INDEX($T$5:$AJ$1204,MATCH(244,$S$5:$S$1204,0),12))</f>
        <v/>
      </c>
      <c r="M248" s="8" t="str">
        <f t="array" ref="M248">IF(244&gt;$S$1204,"",INDEX($T$5:$AJ$1204,MATCH(244,$S$5:$S$1204,0),13))</f>
        <v/>
      </c>
      <c r="N248" s="8" t="str">
        <f t="array" ref="N248">IF(244&gt;$S$1204,"",INDEX($T$5:$AJ$1204,MATCH(244,$S$5:$S$1204,0),14))</f>
        <v/>
      </c>
      <c r="O248" s="15" t="str">
        <f t="array" ref="O248">IF(244&gt;$S$1204,"",INDEX($T$5:$AJ$1204,MATCH(244,$S$5:$S$1204,0),15))</f>
        <v/>
      </c>
      <c r="P248" s="8" t="str">
        <f t="array" ref="P248">IF(244&gt;$S$1204,"",INDEX($T$5:$AJ$1204,MATCH(244,$S$5:$S$1204,0),16))</f>
        <v/>
      </c>
      <c r="Q248" s="8" t="str">
        <f t="array" ref="Q248">IF(244&gt;$S$1204,"",INDEX($T$5:$AJ$1204,MATCH(244,$S$5:$S$1204,0),17))</f>
        <v/>
      </c>
      <c r="R248" s="17"/>
      <c r="S248" s="17">
        <f>S247+IF(M2_Accesos!A52="",0,1)</f>
        <v>0</v>
      </c>
      <c r="T248" s="17" t="str">
        <f>IF(M2_Accesos!A52="","",IF(M2_Accesos!A52="","",M2_Accesos!A52))</f>
        <v/>
      </c>
      <c r="U248" s="17" t="str">
        <f>IF(M2_Accesos!A52="","",IF(M2_Accesos!R52="","",M2_Accesos!R52))</f>
        <v/>
      </c>
      <c r="V248" s="17" t="str">
        <f>IF(M2_Accesos!A52="","",IF(M2_Accesos!D52="","",M2_Accesos!D52))</f>
        <v/>
      </c>
      <c r="W248" s="17" t="str">
        <f>IF(M2_Accesos!A52="","",IF(M2_Accesos!B52="","",M2_Accesos!B52))</f>
        <v/>
      </c>
      <c r="X248" s="17" t="str">
        <f>IF(M2_Accesos!A52="","",IF(M2_Accesos!C52="","",M2_Accesos!C52))</f>
        <v/>
      </c>
      <c r="Y248" s="17" t="str">
        <f>IF(M2_Accesos!A52="","",IF(M2_Accesos!E52="","",M2_Accesos!E52))</f>
        <v/>
      </c>
      <c r="Z248" s="17" t="str">
        <f>IF(M2_Accesos!A52="","",IF(M2_Accesos!F52="","",M2_Accesos!F52))</f>
        <v/>
      </c>
      <c r="AA248" s="17" t="str">
        <f>IF(M2_Accesos!A52="","","M2 Accesos")</f>
        <v/>
      </c>
      <c r="AB248" s="17" t="str">
        <f>IF(M2_Accesos!A52="","",IF(M2_Accesos!G52="","",M2_Accesos!G52))</f>
        <v/>
      </c>
      <c r="AC248" s="17" t="str">
        <f>IF(M2_Accesos!A52="","",IF(M2_Accesos!M52="","",M2_Accesos!M52))</f>
        <v/>
      </c>
      <c r="AD248" s="17" t="str">
        <f>IF(M2_Accesos!A52="","","RD")</f>
        <v/>
      </c>
      <c r="AE248" s="17" t="str">
        <f>IF(M2_Accesos!A52="","",IF(M2_Accesos!O52="","",M2_Accesos!O52))</f>
        <v/>
      </c>
      <c r="AF248" s="17" t="str">
        <f>IF(M2_Accesos!A52="","",IF(M2_Accesos!P52="","",M2_Accesos!P52))</f>
        <v/>
      </c>
      <c r="AG248" s="17" t="str">
        <f>IF(M2_Accesos!A52="","",IF(M2_Accesos!Q52="","",M2_Accesos!Q52))</f>
        <v/>
      </c>
      <c r="AH248" s="17" t="str">
        <f>IF(M2_Accesos!A52="","",IF(M2_Accesos!J52="","",M2_Accesos!J52))</f>
        <v/>
      </c>
      <c r="AI248" s="17" t="str">
        <f>IF(M2_Accesos!A52="","","M2_Accesos!52")</f>
        <v/>
      </c>
      <c r="AJ248" s="17" t="str">
        <f>IF(M2_Accesos!A52="","",IF(M2_Accesos!M52="","Pendiente de resultado","Disponible"))</f>
        <v/>
      </c>
    </row>
    <row r="249" spans="1:36" ht="55.5" customHeight="1">
      <c r="A249" s="6" t="str">
        <f t="array" ref="A249">IF(245&gt;$S$1204,"",INDEX($T$5:$AJ$1204,MATCH(245,$S$5:$S$1204,0),1))</f>
        <v/>
      </c>
      <c r="B249" s="8" t="str">
        <f t="array" ref="B249">IF(245&gt;$S$1204,"",INDEX($T$5:$AJ$1204,MATCH(245,$S$5:$S$1204,0),2))</f>
        <v/>
      </c>
      <c r="C249" s="10" t="str">
        <f t="array" ref="C249">IF(245&gt;$S$1204,"",INDEX($T$5:$AJ$1204,MATCH(245,$S$5:$S$1204,0),3))</f>
        <v/>
      </c>
      <c r="D249" s="8" t="str">
        <f t="array" ref="D249">IF(245&gt;$S$1204,"",INDEX($T$5:$AJ$1204,MATCH(245,$S$5:$S$1204,0),4))</f>
        <v/>
      </c>
      <c r="E249" s="8" t="str">
        <f t="array" ref="E249">IF(245&gt;$S$1204,"",INDEX($T$5:$AJ$1204,MATCH(245,$S$5:$S$1204,0),5))</f>
        <v/>
      </c>
      <c r="F249" s="8" t="str">
        <f t="array" ref="F249">IF(245&gt;$S$1204,"",INDEX($T$5:$AJ$1204,MATCH(245,$S$5:$S$1204,0),6))</f>
        <v/>
      </c>
      <c r="G249" s="8" t="str">
        <f t="array" ref="G249">IF(245&gt;$S$1204,"",INDEX($T$5:$AJ$1204,MATCH(245,$S$5:$S$1204,0),7))</f>
        <v/>
      </c>
      <c r="H249" s="8" t="str">
        <f t="array" ref="H249">IF(245&gt;$S$1204,"",INDEX($T$5:$AJ$1204,MATCH(245,$S$5:$S$1204,0),8))</f>
        <v/>
      </c>
      <c r="I249" s="8" t="str">
        <f t="array" ref="I249">IF(245&gt;$S$1204,"",INDEX($T$5:$AJ$1204,MATCH(245,$S$5:$S$1204,0),9))</f>
        <v/>
      </c>
      <c r="J249" s="14" t="str">
        <f t="array" ref="J249">IF(245&gt;$S$1204,"",INDEX($T$5:$AJ$1204,MATCH(245,$S$5:$S$1204,0),10))</f>
        <v/>
      </c>
      <c r="K249" s="8" t="str">
        <f t="array" ref="K249">IF(245&gt;$S$1204,"",INDEX($T$5:$AJ$1204,MATCH(245,$S$5:$S$1204,0),11))</f>
        <v/>
      </c>
      <c r="L249" s="8" t="str">
        <f t="array" ref="L249">IF(245&gt;$S$1204,"",INDEX($T$5:$AJ$1204,MATCH(245,$S$5:$S$1204,0),12))</f>
        <v/>
      </c>
      <c r="M249" s="8" t="str">
        <f t="array" ref="M249">IF(245&gt;$S$1204,"",INDEX($T$5:$AJ$1204,MATCH(245,$S$5:$S$1204,0),13))</f>
        <v/>
      </c>
      <c r="N249" s="8" t="str">
        <f t="array" ref="N249">IF(245&gt;$S$1204,"",INDEX($T$5:$AJ$1204,MATCH(245,$S$5:$S$1204,0),14))</f>
        <v/>
      </c>
      <c r="O249" s="15" t="str">
        <f t="array" ref="O249">IF(245&gt;$S$1204,"",INDEX($T$5:$AJ$1204,MATCH(245,$S$5:$S$1204,0),15))</f>
        <v/>
      </c>
      <c r="P249" s="8" t="str">
        <f t="array" ref="P249">IF(245&gt;$S$1204,"",INDEX($T$5:$AJ$1204,MATCH(245,$S$5:$S$1204,0),16))</f>
        <v/>
      </c>
      <c r="Q249" s="8" t="str">
        <f t="array" ref="Q249">IF(245&gt;$S$1204,"",INDEX($T$5:$AJ$1204,MATCH(245,$S$5:$S$1204,0),17))</f>
        <v/>
      </c>
      <c r="R249" s="17"/>
      <c r="S249" s="17">
        <f>S248+IF(M2_Accesos!A53="",0,1)</f>
        <v>0</v>
      </c>
      <c r="T249" s="17" t="str">
        <f>IF(M2_Accesos!A53="","",IF(M2_Accesos!A53="","",M2_Accesos!A53))</f>
        <v/>
      </c>
      <c r="U249" s="17" t="str">
        <f>IF(M2_Accesos!A53="","",IF(M2_Accesos!R53="","",M2_Accesos!R53))</f>
        <v/>
      </c>
      <c r="V249" s="17" t="str">
        <f>IF(M2_Accesos!A53="","",IF(M2_Accesos!D53="","",M2_Accesos!D53))</f>
        <v/>
      </c>
      <c r="W249" s="17" t="str">
        <f>IF(M2_Accesos!A53="","",IF(M2_Accesos!B53="","",M2_Accesos!B53))</f>
        <v/>
      </c>
      <c r="X249" s="17" t="str">
        <f>IF(M2_Accesos!A53="","",IF(M2_Accesos!C53="","",M2_Accesos!C53))</f>
        <v/>
      </c>
      <c r="Y249" s="17" t="str">
        <f>IF(M2_Accesos!A53="","",IF(M2_Accesos!E53="","",M2_Accesos!E53))</f>
        <v/>
      </c>
      <c r="Z249" s="17" t="str">
        <f>IF(M2_Accesos!A53="","",IF(M2_Accesos!F53="","",M2_Accesos!F53))</f>
        <v/>
      </c>
      <c r="AA249" s="17" t="str">
        <f>IF(M2_Accesos!A53="","","M2 Accesos")</f>
        <v/>
      </c>
      <c r="AB249" s="17" t="str">
        <f>IF(M2_Accesos!A53="","",IF(M2_Accesos!G53="","",M2_Accesos!G53))</f>
        <v/>
      </c>
      <c r="AC249" s="17" t="str">
        <f>IF(M2_Accesos!A53="","",IF(M2_Accesos!M53="","",M2_Accesos!M53))</f>
        <v/>
      </c>
      <c r="AD249" s="17" t="str">
        <f>IF(M2_Accesos!A53="","","RD")</f>
        <v/>
      </c>
      <c r="AE249" s="17" t="str">
        <f>IF(M2_Accesos!A53="","",IF(M2_Accesos!O53="","",M2_Accesos!O53))</f>
        <v/>
      </c>
      <c r="AF249" s="17" t="str">
        <f>IF(M2_Accesos!A53="","",IF(M2_Accesos!P53="","",M2_Accesos!P53))</f>
        <v/>
      </c>
      <c r="AG249" s="17" t="str">
        <f>IF(M2_Accesos!A53="","",IF(M2_Accesos!Q53="","",M2_Accesos!Q53))</f>
        <v/>
      </c>
      <c r="AH249" s="17" t="str">
        <f>IF(M2_Accesos!A53="","",IF(M2_Accesos!J53="","",M2_Accesos!J53))</f>
        <v/>
      </c>
      <c r="AI249" s="17" t="str">
        <f>IF(M2_Accesos!A53="","","M2_Accesos!53")</f>
        <v/>
      </c>
      <c r="AJ249" s="17" t="str">
        <f>IF(M2_Accesos!A53="","",IF(M2_Accesos!M53="","Pendiente de resultado","Disponible"))</f>
        <v/>
      </c>
    </row>
    <row r="250" spans="1:36" ht="55.5" customHeight="1">
      <c r="A250" s="6" t="str">
        <f t="array" ref="A250">IF(246&gt;$S$1204,"",INDEX($T$5:$AJ$1204,MATCH(246,$S$5:$S$1204,0),1))</f>
        <v/>
      </c>
      <c r="B250" s="8" t="str">
        <f t="array" ref="B250">IF(246&gt;$S$1204,"",INDEX($T$5:$AJ$1204,MATCH(246,$S$5:$S$1204,0),2))</f>
        <v/>
      </c>
      <c r="C250" s="10" t="str">
        <f t="array" ref="C250">IF(246&gt;$S$1204,"",INDEX($T$5:$AJ$1204,MATCH(246,$S$5:$S$1204,0),3))</f>
        <v/>
      </c>
      <c r="D250" s="8" t="str">
        <f t="array" ref="D250">IF(246&gt;$S$1204,"",INDEX($T$5:$AJ$1204,MATCH(246,$S$5:$S$1204,0),4))</f>
        <v/>
      </c>
      <c r="E250" s="8" t="str">
        <f t="array" ref="E250">IF(246&gt;$S$1204,"",INDEX($T$5:$AJ$1204,MATCH(246,$S$5:$S$1204,0),5))</f>
        <v/>
      </c>
      <c r="F250" s="8" t="str">
        <f t="array" ref="F250">IF(246&gt;$S$1204,"",INDEX($T$5:$AJ$1204,MATCH(246,$S$5:$S$1204,0),6))</f>
        <v/>
      </c>
      <c r="G250" s="8" t="str">
        <f t="array" ref="G250">IF(246&gt;$S$1204,"",INDEX($T$5:$AJ$1204,MATCH(246,$S$5:$S$1204,0),7))</f>
        <v/>
      </c>
      <c r="H250" s="8" t="str">
        <f t="array" ref="H250">IF(246&gt;$S$1204,"",INDEX($T$5:$AJ$1204,MATCH(246,$S$5:$S$1204,0),8))</f>
        <v/>
      </c>
      <c r="I250" s="8" t="str">
        <f t="array" ref="I250">IF(246&gt;$S$1204,"",INDEX($T$5:$AJ$1204,MATCH(246,$S$5:$S$1204,0),9))</f>
        <v/>
      </c>
      <c r="J250" s="14" t="str">
        <f t="array" ref="J250">IF(246&gt;$S$1204,"",INDEX($T$5:$AJ$1204,MATCH(246,$S$5:$S$1204,0),10))</f>
        <v/>
      </c>
      <c r="K250" s="8" t="str">
        <f t="array" ref="K250">IF(246&gt;$S$1204,"",INDEX($T$5:$AJ$1204,MATCH(246,$S$5:$S$1204,0),11))</f>
        <v/>
      </c>
      <c r="L250" s="8" t="str">
        <f t="array" ref="L250">IF(246&gt;$S$1204,"",INDEX($T$5:$AJ$1204,MATCH(246,$S$5:$S$1204,0),12))</f>
        <v/>
      </c>
      <c r="M250" s="8" t="str">
        <f t="array" ref="M250">IF(246&gt;$S$1204,"",INDEX($T$5:$AJ$1204,MATCH(246,$S$5:$S$1204,0),13))</f>
        <v/>
      </c>
      <c r="N250" s="8" t="str">
        <f t="array" ref="N250">IF(246&gt;$S$1204,"",INDEX($T$5:$AJ$1204,MATCH(246,$S$5:$S$1204,0),14))</f>
        <v/>
      </c>
      <c r="O250" s="15" t="str">
        <f t="array" ref="O250">IF(246&gt;$S$1204,"",INDEX($T$5:$AJ$1204,MATCH(246,$S$5:$S$1204,0),15))</f>
        <v/>
      </c>
      <c r="P250" s="8" t="str">
        <f t="array" ref="P250">IF(246&gt;$S$1204,"",INDEX($T$5:$AJ$1204,MATCH(246,$S$5:$S$1204,0),16))</f>
        <v/>
      </c>
      <c r="Q250" s="8" t="str">
        <f t="array" ref="Q250">IF(246&gt;$S$1204,"",INDEX($T$5:$AJ$1204,MATCH(246,$S$5:$S$1204,0),17))</f>
        <v/>
      </c>
      <c r="R250" s="17"/>
      <c r="S250" s="17">
        <f>S249+IF(M2_Accesos!A54="",0,1)</f>
        <v>0</v>
      </c>
      <c r="T250" s="17" t="str">
        <f>IF(M2_Accesos!A54="","",IF(M2_Accesos!A54="","",M2_Accesos!A54))</f>
        <v/>
      </c>
      <c r="U250" s="17" t="str">
        <f>IF(M2_Accesos!A54="","",IF(M2_Accesos!R54="","",M2_Accesos!R54))</f>
        <v/>
      </c>
      <c r="V250" s="17" t="str">
        <f>IF(M2_Accesos!A54="","",IF(M2_Accesos!D54="","",M2_Accesos!D54))</f>
        <v/>
      </c>
      <c r="W250" s="17" t="str">
        <f>IF(M2_Accesos!A54="","",IF(M2_Accesos!B54="","",M2_Accesos!B54))</f>
        <v/>
      </c>
      <c r="X250" s="17" t="str">
        <f>IF(M2_Accesos!A54="","",IF(M2_Accesos!C54="","",M2_Accesos!C54))</f>
        <v/>
      </c>
      <c r="Y250" s="17" t="str">
        <f>IF(M2_Accesos!A54="","",IF(M2_Accesos!E54="","",M2_Accesos!E54))</f>
        <v/>
      </c>
      <c r="Z250" s="17" t="str">
        <f>IF(M2_Accesos!A54="","",IF(M2_Accesos!F54="","",M2_Accesos!F54))</f>
        <v/>
      </c>
      <c r="AA250" s="17" t="str">
        <f>IF(M2_Accesos!A54="","","M2 Accesos")</f>
        <v/>
      </c>
      <c r="AB250" s="17" t="str">
        <f>IF(M2_Accesos!A54="","",IF(M2_Accesos!G54="","",M2_Accesos!G54))</f>
        <v/>
      </c>
      <c r="AC250" s="17" t="str">
        <f>IF(M2_Accesos!A54="","",IF(M2_Accesos!M54="","",M2_Accesos!M54))</f>
        <v/>
      </c>
      <c r="AD250" s="17" t="str">
        <f>IF(M2_Accesos!A54="","","RD")</f>
        <v/>
      </c>
      <c r="AE250" s="17" t="str">
        <f>IF(M2_Accesos!A54="","",IF(M2_Accesos!O54="","",M2_Accesos!O54))</f>
        <v/>
      </c>
      <c r="AF250" s="17" t="str">
        <f>IF(M2_Accesos!A54="","",IF(M2_Accesos!P54="","",M2_Accesos!P54))</f>
        <v/>
      </c>
      <c r="AG250" s="17" t="str">
        <f>IF(M2_Accesos!A54="","",IF(M2_Accesos!Q54="","",M2_Accesos!Q54))</f>
        <v/>
      </c>
      <c r="AH250" s="17" t="str">
        <f>IF(M2_Accesos!A54="","",IF(M2_Accesos!J54="","",M2_Accesos!J54))</f>
        <v/>
      </c>
      <c r="AI250" s="17" t="str">
        <f>IF(M2_Accesos!A54="","","M2_Accesos!54")</f>
        <v/>
      </c>
      <c r="AJ250" s="17" t="str">
        <f>IF(M2_Accesos!A54="","",IF(M2_Accesos!M54="","Pendiente de resultado","Disponible"))</f>
        <v/>
      </c>
    </row>
    <row r="251" spans="1:36" ht="55.5" customHeight="1">
      <c r="A251" s="6" t="str">
        <f t="array" ref="A251">IF(247&gt;$S$1204,"",INDEX($T$5:$AJ$1204,MATCH(247,$S$5:$S$1204,0),1))</f>
        <v/>
      </c>
      <c r="B251" s="8" t="str">
        <f t="array" ref="B251">IF(247&gt;$S$1204,"",INDEX($T$5:$AJ$1204,MATCH(247,$S$5:$S$1204,0),2))</f>
        <v/>
      </c>
      <c r="C251" s="10" t="str">
        <f t="array" ref="C251">IF(247&gt;$S$1204,"",INDEX($T$5:$AJ$1204,MATCH(247,$S$5:$S$1204,0),3))</f>
        <v/>
      </c>
      <c r="D251" s="8" t="str">
        <f t="array" ref="D251">IF(247&gt;$S$1204,"",INDEX($T$5:$AJ$1204,MATCH(247,$S$5:$S$1204,0),4))</f>
        <v/>
      </c>
      <c r="E251" s="8" t="str">
        <f t="array" ref="E251">IF(247&gt;$S$1204,"",INDEX($T$5:$AJ$1204,MATCH(247,$S$5:$S$1204,0),5))</f>
        <v/>
      </c>
      <c r="F251" s="8" t="str">
        <f t="array" ref="F251">IF(247&gt;$S$1204,"",INDEX($T$5:$AJ$1204,MATCH(247,$S$5:$S$1204,0),6))</f>
        <v/>
      </c>
      <c r="G251" s="8" t="str">
        <f t="array" ref="G251">IF(247&gt;$S$1204,"",INDEX($T$5:$AJ$1204,MATCH(247,$S$5:$S$1204,0),7))</f>
        <v/>
      </c>
      <c r="H251" s="8" t="str">
        <f t="array" ref="H251">IF(247&gt;$S$1204,"",INDEX($T$5:$AJ$1204,MATCH(247,$S$5:$S$1204,0),8))</f>
        <v/>
      </c>
      <c r="I251" s="8" t="str">
        <f t="array" ref="I251">IF(247&gt;$S$1204,"",INDEX($T$5:$AJ$1204,MATCH(247,$S$5:$S$1204,0),9))</f>
        <v/>
      </c>
      <c r="J251" s="14" t="str">
        <f t="array" ref="J251">IF(247&gt;$S$1204,"",INDEX($T$5:$AJ$1204,MATCH(247,$S$5:$S$1204,0),10))</f>
        <v/>
      </c>
      <c r="K251" s="8" t="str">
        <f t="array" ref="K251">IF(247&gt;$S$1204,"",INDEX($T$5:$AJ$1204,MATCH(247,$S$5:$S$1204,0),11))</f>
        <v/>
      </c>
      <c r="L251" s="8" t="str">
        <f t="array" ref="L251">IF(247&gt;$S$1204,"",INDEX($T$5:$AJ$1204,MATCH(247,$S$5:$S$1204,0),12))</f>
        <v/>
      </c>
      <c r="M251" s="8" t="str">
        <f t="array" ref="M251">IF(247&gt;$S$1204,"",INDEX($T$5:$AJ$1204,MATCH(247,$S$5:$S$1204,0),13))</f>
        <v/>
      </c>
      <c r="N251" s="8" t="str">
        <f t="array" ref="N251">IF(247&gt;$S$1204,"",INDEX($T$5:$AJ$1204,MATCH(247,$S$5:$S$1204,0),14))</f>
        <v/>
      </c>
      <c r="O251" s="15" t="str">
        <f t="array" ref="O251">IF(247&gt;$S$1204,"",INDEX($T$5:$AJ$1204,MATCH(247,$S$5:$S$1204,0),15))</f>
        <v/>
      </c>
      <c r="P251" s="8" t="str">
        <f t="array" ref="P251">IF(247&gt;$S$1204,"",INDEX($T$5:$AJ$1204,MATCH(247,$S$5:$S$1204,0),16))</f>
        <v/>
      </c>
      <c r="Q251" s="8" t="str">
        <f t="array" ref="Q251">IF(247&gt;$S$1204,"",INDEX($T$5:$AJ$1204,MATCH(247,$S$5:$S$1204,0),17))</f>
        <v/>
      </c>
      <c r="R251" s="17"/>
      <c r="S251" s="17">
        <f>S250+IF(M2_Accesos!A55="",0,1)</f>
        <v>0</v>
      </c>
      <c r="T251" s="17" t="str">
        <f>IF(M2_Accesos!A55="","",IF(M2_Accesos!A55="","",M2_Accesos!A55))</f>
        <v/>
      </c>
      <c r="U251" s="17" t="str">
        <f>IF(M2_Accesos!A55="","",IF(M2_Accesos!R55="","",M2_Accesos!R55))</f>
        <v/>
      </c>
      <c r="V251" s="17" t="str">
        <f>IF(M2_Accesos!A55="","",IF(M2_Accesos!D55="","",M2_Accesos!D55))</f>
        <v/>
      </c>
      <c r="W251" s="17" t="str">
        <f>IF(M2_Accesos!A55="","",IF(M2_Accesos!B55="","",M2_Accesos!B55))</f>
        <v/>
      </c>
      <c r="X251" s="17" t="str">
        <f>IF(M2_Accesos!A55="","",IF(M2_Accesos!C55="","",M2_Accesos!C55))</f>
        <v/>
      </c>
      <c r="Y251" s="17" t="str">
        <f>IF(M2_Accesos!A55="","",IF(M2_Accesos!E55="","",M2_Accesos!E55))</f>
        <v/>
      </c>
      <c r="Z251" s="17" t="str">
        <f>IF(M2_Accesos!A55="","",IF(M2_Accesos!F55="","",M2_Accesos!F55))</f>
        <v/>
      </c>
      <c r="AA251" s="17" t="str">
        <f>IF(M2_Accesos!A55="","","M2 Accesos")</f>
        <v/>
      </c>
      <c r="AB251" s="17" t="str">
        <f>IF(M2_Accesos!A55="","",IF(M2_Accesos!G55="","",M2_Accesos!G55))</f>
        <v/>
      </c>
      <c r="AC251" s="17" t="str">
        <f>IF(M2_Accesos!A55="","",IF(M2_Accesos!M55="","",M2_Accesos!M55))</f>
        <v/>
      </c>
      <c r="AD251" s="17" t="str">
        <f>IF(M2_Accesos!A55="","","RD")</f>
        <v/>
      </c>
      <c r="AE251" s="17" t="str">
        <f>IF(M2_Accesos!A55="","",IF(M2_Accesos!O55="","",M2_Accesos!O55))</f>
        <v/>
      </c>
      <c r="AF251" s="17" t="str">
        <f>IF(M2_Accesos!A55="","",IF(M2_Accesos!P55="","",M2_Accesos!P55))</f>
        <v/>
      </c>
      <c r="AG251" s="17" t="str">
        <f>IF(M2_Accesos!A55="","",IF(M2_Accesos!Q55="","",M2_Accesos!Q55))</f>
        <v/>
      </c>
      <c r="AH251" s="17" t="str">
        <f>IF(M2_Accesos!A55="","",IF(M2_Accesos!J55="","",M2_Accesos!J55))</f>
        <v/>
      </c>
      <c r="AI251" s="17" t="str">
        <f>IF(M2_Accesos!A55="","","M2_Accesos!55")</f>
        <v/>
      </c>
      <c r="AJ251" s="17" t="str">
        <f>IF(M2_Accesos!A55="","",IF(M2_Accesos!M55="","Pendiente de resultado","Disponible"))</f>
        <v/>
      </c>
    </row>
    <row r="252" spans="1:36" ht="55.5" customHeight="1">
      <c r="A252" s="6" t="str">
        <f t="array" ref="A252">IF(248&gt;$S$1204,"",INDEX($T$5:$AJ$1204,MATCH(248,$S$5:$S$1204,0),1))</f>
        <v/>
      </c>
      <c r="B252" s="8" t="str">
        <f t="array" ref="B252">IF(248&gt;$S$1204,"",INDEX($T$5:$AJ$1204,MATCH(248,$S$5:$S$1204,0),2))</f>
        <v/>
      </c>
      <c r="C252" s="10" t="str">
        <f t="array" ref="C252">IF(248&gt;$S$1204,"",INDEX($T$5:$AJ$1204,MATCH(248,$S$5:$S$1204,0),3))</f>
        <v/>
      </c>
      <c r="D252" s="8" t="str">
        <f t="array" ref="D252">IF(248&gt;$S$1204,"",INDEX($T$5:$AJ$1204,MATCH(248,$S$5:$S$1204,0),4))</f>
        <v/>
      </c>
      <c r="E252" s="8" t="str">
        <f t="array" ref="E252">IF(248&gt;$S$1204,"",INDEX($T$5:$AJ$1204,MATCH(248,$S$5:$S$1204,0),5))</f>
        <v/>
      </c>
      <c r="F252" s="8" t="str">
        <f t="array" ref="F252">IF(248&gt;$S$1204,"",INDEX($T$5:$AJ$1204,MATCH(248,$S$5:$S$1204,0),6))</f>
        <v/>
      </c>
      <c r="G252" s="8" t="str">
        <f t="array" ref="G252">IF(248&gt;$S$1204,"",INDEX($T$5:$AJ$1204,MATCH(248,$S$5:$S$1204,0),7))</f>
        <v/>
      </c>
      <c r="H252" s="8" t="str">
        <f t="array" ref="H252">IF(248&gt;$S$1204,"",INDEX($T$5:$AJ$1204,MATCH(248,$S$5:$S$1204,0),8))</f>
        <v/>
      </c>
      <c r="I252" s="8" t="str">
        <f t="array" ref="I252">IF(248&gt;$S$1204,"",INDEX($T$5:$AJ$1204,MATCH(248,$S$5:$S$1204,0),9))</f>
        <v/>
      </c>
      <c r="J252" s="14" t="str">
        <f t="array" ref="J252">IF(248&gt;$S$1204,"",INDEX($T$5:$AJ$1204,MATCH(248,$S$5:$S$1204,0),10))</f>
        <v/>
      </c>
      <c r="K252" s="8" t="str">
        <f t="array" ref="K252">IF(248&gt;$S$1204,"",INDEX($T$5:$AJ$1204,MATCH(248,$S$5:$S$1204,0),11))</f>
        <v/>
      </c>
      <c r="L252" s="8" t="str">
        <f t="array" ref="L252">IF(248&gt;$S$1204,"",INDEX($T$5:$AJ$1204,MATCH(248,$S$5:$S$1204,0),12))</f>
        <v/>
      </c>
      <c r="M252" s="8" t="str">
        <f t="array" ref="M252">IF(248&gt;$S$1204,"",INDEX($T$5:$AJ$1204,MATCH(248,$S$5:$S$1204,0),13))</f>
        <v/>
      </c>
      <c r="N252" s="8" t="str">
        <f t="array" ref="N252">IF(248&gt;$S$1204,"",INDEX($T$5:$AJ$1204,MATCH(248,$S$5:$S$1204,0),14))</f>
        <v/>
      </c>
      <c r="O252" s="15" t="str">
        <f t="array" ref="O252">IF(248&gt;$S$1204,"",INDEX($T$5:$AJ$1204,MATCH(248,$S$5:$S$1204,0),15))</f>
        <v/>
      </c>
      <c r="P252" s="8" t="str">
        <f t="array" ref="P252">IF(248&gt;$S$1204,"",INDEX($T$5:$AJ$1204,MATCH(248,$S$5:$S$1204,0),16))</f>
        <v/>
      </c>
      <c r="Q252" s="8" t="str">
        <f t="array" ref="Q252">IF(248&gt;$S$1204,"",INDEX($T$5:$AJ$1204,MATCH(248,$S$5:$S$1204,0),17))</f>
        <v/>
      </c>
      <c r="R252" s="17"/>
      <c r="S252" s="17">
        <f>S251+IF(M2_Accesos!A56="",0,1)</f>
        <v>0</v>
      </c>
      <c r="T252" s="17" t="str">
        <f>IF(M2_Accesos!A56="","",IF(M2_Accesos!A56="","",M2_Accesos!A56))</f>
        <v/>
      </c>
      <c r="U252" s="17" t="str">
        <f>IF(M2_Accesos!A56="","",IF(M2_Accesos!R56="","",M2_Accesos!R56))</f>
        <v/>
      </c>
      <c r="V252" s="17" t="str">
        <f>IF(M2_Accesos!A56="","",IF(M2_Accesos!D56="","",M2_Accesos!D56))</f>
        <v/>
      </c>
      <c r="W252" s="17" t="str">
        <f>IF(M2_Accesos!A56="","",IF(M2_Accesos!B56="","",M2_Accesos!B56))</f>
        <v/>
      </c>
      <c r="X252" s="17" t="str">
        <f>IF(M2_Accesos!A56="","",IF(M2_Accesos!C56="","",M2_Accesos!C56))</f>
        <v/>
      </c>
      <c r="Y252" s="17" t="str">
        <f>IF(M2_Accesos!A56="","",IF(M2_Accesos!E56="","",M2_Accesos!E56))</f>
        <v/>
      </c>
      <c r="Z252" s="17" t="str">
        <f>IF(M2_Accesos!A56="","",IF(M2_Accesos!F56="","",M2_Accesos!F56))</f>
        <v/>
      </c>
      <c r="AA252" s="17" t="str">
        <f>IF(M2_Accesos!A56="","","M2 Accesos")</f>
        <v/>
      </c>
      <c r="AB252" s="17" t="str">
        <f>IF(M2_Accesos!A56="","",IF(M2_Accesos!G56="","",M2_Accesos!G56))</f>
        <v/>
      </c>
      <c r="AC252" s="17" t="str">
        <f>IF(M2_Accesos!A56="","",IF(M2_Accesos!M56="","",M2_Accesos!M56))</f>
        <v/>
      </c>
      <c r="AD252" s="17" t="str">
        <f>IF(M2_Accesos!A56="","","RD")</f>
        <v/>
      </c>
      <c r="AE252" s="17" t="str">
        <f>IF(M2_Accesos!A56="","",IF(M2_Accesos!O56="","",M2_Accesos!O56))</f>
        <v/>
      </c>
      <c r="AF252" s="17" t="str">
        <f>IF(M2_Accesos!A56="","",IF(M2_Accesos!P56="","",M2_Accesos!P56))</f>
        <v/>
      </c>
      <c r="AG252" s="17" t="str">
        <f>IF(M2_Accesos!A56="","",IF(M2_Accesos!Q56="","",M2_Accesos!Q56))</f>
        <v/>
      </c>
      <c r="AH252" s="17" t="str">
        <f>IF(M2_Accesos!A56="","",IF(M2_Accesos!J56="","",M2_Accesos!J56))</f>
        <v/>
      </c>
      <c r="AI252" s="17" t="str">
        <f>IF(M2_Accesos!A56="","","M2_Accesos!56")</f>
        <v/>
      </c>
      <c r="AJ252" s="17" t="str">
        <f>IF(M2_Accesos!A56="","",IF(M2_Accesos!M56="","Pendiente de resultado","Disponible"))</f>
        <v/>
      </c>
    </row>
    <row r="253" spans="1:36" ht="55.5" customHeight="1">
      <c r="A253" s="6" t="str">
        <f t="array" ref="A253">IF(249&gt;$S$1204,"",INDEX($T$5:$AJ$1204,MATCH(249,$S$5:$S$1204,0),1))</f>
        <v/>
      </c>
      <c r="B253" s="8" t="str">
        <f t="array" ref="B253">IF(249&gt;$S$1204,"",INDEX($T$5:$AJ$1204,MATCH(249,$S$5:$S$1204,0),2))</f>
        <v/>
      </c>
      <c r="C253" s="10" t="str">
        <f t="array" ref="C253">IF(249&gt;$S$1204,"",INDEX($T$5:$AJ$1204,MATCH(249,$S$5:$S$1204,0),3))</f>
        <v/>
      </c>
      <c r="D253" s="8" t="str">
        <f t="array" ref="D253">IF(249&gt;$S$1204,"",INDEX($T$5:$AJ$1204,MATCH(249,$S$5:$S$1204,0),4))</f>
        <v/>
      </c>
      <c r="E253" s="8" t="str">
        <f t="array" ref="E253">IF(249&gt;$S$1204,"",INDEX($T$5:$AJ$1204,MATCH(249,$S$5:$S$1204,0),5))</f>
        <v/>
      </c>
      <c r="F253" s="8" t="str">
        <f t="array" ref="F253">IF(249&gt;$S$1204,"",INDEX($T$5:$AJ$1204,MATCH(249,$S$5:$S$1204,0),6))</f>
        <v/>
      </c>
      <c r="G253" s="8" t="str">
        <f t="array" ref="G253">IF(249&gt;$S$1204,"",INDEX($T$5:$AJ$1204,MATCH(249,$S$5:$S$1204,0),7))</f>
        <v/>
      </c>
      <c r="H253" s="8" t="str">
        <f t="array" ref="H253">IF(249&gt;$S$1204,"",INDEX($T$5:$AJ$1204,MATCH(249,$S$5:$S$1204,0),8))</f>
        <v/>
      </c>
      <c r="I253" s="8" t="str">
        <f t="array" ref="I253">IF(249&gt;$S$1204,"",INDEX($T$5:$AJ$1204,MATCH(249,$S$5:$S$1204,0),9))</f>
        <v/>
      </c>
      <c r="J253" s="14" t="str">
        <f t="array" ref="J253">IF(249&gt;$S$1204,"",INDEX($T$5:$AJ$1204,MATCH(249,$S$5:$S$1204,0),10))</f>
        <v/>
      </c>
      <c r="K253" s="8" t="str">
        <f t="array" ref="K253">IF(249&gt;$S$1204,"",INDEX($T$5:$AJ$1204,MATCH(249,$S$5:$S$1204,0),11))</f>
        <v/>
      </c>
      <c r="L253" s="8" t="str">
        <f t="array" ref="L253">IF(249&gt;$S$1204,"",INDEX($T$5:$AJ$1204,MATCH(249,$S$5:$S$1204,0),12))</f>
        <v/>
      </c>
      <c r="M253" s="8" t="str">
        <f t="array" ref="M253">IF(249&gt;$S$1204,"",INDEX($T$5:$AJ$1204,MATCH(249,$S$5:$S$1204,0),13))</f>
        <v/>
      </c>
      <c r="N253" s="8" t="str">
        <f t="array" ref="N253">IF(249&gt;$S$1204,"",INDEX($T$5:$AJ$1204,MATCH(249,$S$5:$S$1204,0),14))</f>
        <v/>
      </c>
      <c r="O253" s="15" t="str">
        <f t="array" ref="O253">IF(249&gt;$S$1204,"",INDEX($T$5:$AJ$1204,MATCH(249,$S$5:$S$1204,0),15))</f>
        <v/>
      </c>
      <c r="P253" s="8" t="str">
        <f t="array" ref="P253">IF(249&gt;$S$1204,"",INDEX($T$5:$AJ$1204,MATCH(249,$S$5:$S$1204,0),16))</f>
        <v/>
      </c>
      <c r="Q253" s="8" t="str">
        <f t="array" ref="Q253">IF(249&gt;$S$1204,"",INDEX($T$5:$AJ$1204,MATCH(249,$S$5:$S$1204,0),17))</f>
        <v/>
      </c>
      <c r="R253" s="17"/>
      <c r="S253" s="17">
        <f>S252+IF(M2_Accesos!A57="",0,1)</f>
        <v>0</v>
      </c>
      <c r="T253" s="17" t="str">
        <f>IF(M2_Accesos!A57="","",IF(M2_Accesos!A57="","",M2_Accesos!A57))</f>
        <v/>
      </c>
      <c r="U253" s="17" t="str">
        <f>IF(M2_Accesos!A57="","",IF(M2_Accesos!R57="","",M2_Accesos!R57))</f>
        <v/>
      </c>
      <c r="V253" s="17" t="str">
        <f>IF(M2_Accesos!A57="","",IF(M2_Accesos!D57="","",M2_Accesos!D57))</f>
        <v/>
      </c>
      <c r="W253" s="17" t="str">
        <f>IF(M2_Accesos!A57="","",IF(M2_Accesos!B57="","",M2_Accesos!B57))</f>
        <v/>
      </c>
      <c r="X253" s="17" t="str">
        <f>IF(M2_Accesos!A57="","",IF(M2_Accesos!C57="","",M2_Accesos!C57))</f>
        <v/>
      </c>
      <c r="Y253" s="17" t="str">
        <f>IF(M2_Accesos!A57="","",IF(M2_Accesos!E57="","",M2_Accesos!E57))</f>
        <v/>
      </c>
      <c r="Z253" s="17" t="str">
        <f>IF(M2_Accesos!A57="","",IF(M2_Accesos!F57="","",M2_Accesos!F57))</f>
        <v/>
      </c>
      <c r="AA253" s="17" t="str">
        <f>IF(M2_Accesos!A57="","","M2 Accesos")</f>
        <v/>
      </c>
      <c r="AB253" s="17" t="str">
        <f>IF(M2_Accesos!A57="","",IF(M2_Accesos!G57="","",M2_Accesos!G57))</f>
        <v/>
      </c>
      <c r="AC253" s="17" t="str">
        <f>IF(M2_Accesos!A57="","",IF(M2_Accesos!M57="","",M2_Accesos!M57))</f>
        <v/>
      </c>
      <c r="AD253" s="17" t="str">
        <f>IF(M2_Accesos!A57="","","RD")</f>
        <v/>
      </c>
      <c r="AE253" s="17" t="str">
        <f>IF(M2_Accesos!A57="","",IF(M2_Accesos!O57="","",M2_Accesos!O57))</f>
        <v/>
      </c>
      <c r="AF253" s="17" t="str">
        <f>IF(M2_Accesos!A57="","",IF(M2_Accesos!P57="","",M2_Accesos!P57))</f>
        <v/>
      </c>
      <c r="AG253" s="17" t="str">
        <f>IF(M2_Accesos!A57="","",IF(M2_Accesos!Q57="","",M2_Accesos!Q57))</f>
        <v/>
      </c>
      <c r="AH253" s="17" t="str">
        <f>IF(M2_Accesos!A57="","",IF(M2_Accesos!J57="","",M2_Accesos!J57))</f>
        <v/>
      </c>
      <c r="AI253" s="17" t="str">
        <f>IF(M2_Accesos!A57="","","M2_Accesos!57")</f>
        <v/>
      </c>
      <c r="AJ253" s="17" t="str">
        <f>IF(M2_Accesos!A57="","",IF(M2_Accesos!M57="","Pendiente de resultado","Disponible"))</f>
        <v/>
      </c>
    </row>
    <row r="254" spans="1:36" ht="55.5" customHeight="1">
      <c r="A254" s="6" t="str">
        <f t="array" ref="A254">IF(250&gt;$S$1204,"",INDEX($T$5:$AJ$1204,MATCH(250,$S$5:$S$1204,0),1))</f>
        <v/>
      </c>
      <c r="B254" s="8" t="str">
        <f t="array" ref="B254">IF(250&gt;$S$1204,"",INDEX($T$5:$AJ$1204,MATCH(250,$S$5:$S$1204,0),2))</f>
        <v/>
      </c>
      <c r="C254" s="10" t="str">
        <f t="array" ref="C254">IF(250&gt;$S$1204,"",INDEX($T$5:$AJ$1204,MATCH(250,$S$5:$S$1204,0),3))</f>
        <v/>
      </c>
      <c r="D254" s="8" t="str">
        <f t="array" ref="D254">IF(250&gt;$S$1204,"",INDEX($T$5:$AJ$1204,MATCH(250,$S$5:$S$1204,0),4))</f>
        <v/>
      </c>
      <c r="E254" s="8" t="str">
        <f t="array" ref="E254">IF(250&gt;$S$1204,"",INDEX($T$5:$AJ$1204,MATCH(250,$S$5:$S$1204,0),5))</f>
        <v/>
      </c>
      <c r="F254" s="8" t="str">
        <f t="array" ref="F254">IF(250&gt;$S$1204,"",INDEX($T$5:$AJ$1204,MATCH(250,$S$5:$S$1204,0),6))</f>
        <v/>
      </c>
      <c r="G254" s="8" t="str">
        <f t="array" ref="G254">IF(250&gt;$S$1204,"",INDEX($T$5:$AJ$1204,MATCH(250,$S$5:$S$1204,0),7))</f>
        <v/>
      </c>
      <c r="H254" s="8" t="str">
        <f t="array" ref="H254">IF(250&gt;$S$1204,"",INDEX($T$5:$AJ$1204,MATCH(250,$S$5:$S$1204,0),8))</f>
        <v/>
      </c>
      <c r="I254" s="8" t="str">
        <f t="array" ref="I254">IF(250&gt;$S$1204,"",INDEX($T$5:$AJ$1204,MATCH(250,$S$5:$S$1204,0),9))</f>
        <v/>
      </c>
      <c r="J254" s="14" t="str">
        <f t="array" ref="J254">IF(250&gt;$S$1204,"",INDEX($T$5:$AJ$1204,MATCH(250,$S$5:$S$1204,0),10))</f>
        <v/>
      </c>
      <c r="K254" s="8" t="str">
        <f t="array" ref="K254">IF(250&gt;$S$1204,"",INDEX($T$5:$AJ$1204,MATCH(250,$S$5:$S$1204,0),11))</f>
        <v/>
      </c>
      <c r="L254" s="8" t="str">
        <f t="array" ref="L254">IF(250&gt;$S$1204,"",INDEX($T$5:$AJ$1204,MATCH(250,$S$5:$S$1204,0),12))</f>
        <v/>
      </c>
      <c r="M254" s="8" t="str">
        <f t="array" ref="M254">IF(250&gt;$S$1204,"",INDEX($T$5:$AJ$1204,MATCH(250,$S$5:$S$1204,0),13))</f>
        <v/>
      </c>
      <c r="N254" s="8" t="str">
        <f t="array" ref="N254">IF(250&gt;$S$1204,"",INDEX($T$5:$AJ$1204,MATCH(250,$S$5:$S$1204,0),14))</f>
        <v/>
      </c>
      <c r="O254" s="15" t="str">
        <f t="array" ref="O254">IF(250&gt;$S$1204,"",INDEX($T$5:$AJ$1204,MATCH(250,$S$5:$S$1204,0),15))</f>
        <v/>
      </c>
      <c r="P254" s="8" t="str">
        <f t="array" ref="P254">IF(250&gt;$S$1204,"",INDEX($T$5:$AJ$1204,MATCH(250,$S$5:$S$1204,0),16))</f>
        <v/>
      </c>
      <c r="Q254" s="8" t="str">
        <f t="array" ref="Q254">IF(250&gt;$S$1204,"",INDEX($T$5:$AJ$1204,MATCH(250,$S$5:$S$1204,0),17))</f>
        <v/>
      </c>
      <c r="R254" s="17"/>
      <c r="S254" s="17">
        <f>S253+IF(M2_Accesos!A58="",0,1)</f>
        <v>0</v>
      </c>
      <c r="T254" s="17" t="str">
        <f>IF(M2_Accesos!A58="","",IF(M2_Accesos!A58="","",M2_Accesos!A58))</f>
        <v/>
      </c>
      <c r="U254" s="17" t="str">
        <f>IF(M2_Accesos!A58="","",IF(M2_Accesos!R58="","",M2_Accesos!R58))</f>
        <v/>
      </c>
      <c r="V254" s="17" t="str">
        <f>IF(M2_Accesos!A58="","",IF(M2_Accesos!D58="","",M2_Accesos!D58))</f>
        <v/>
      </c>
      <c r="W254" s="17" t="str">
        <f>IF(M2_Accesos!A58="","",IF(M2_Accesos!B58="","",M2_Accesos!B58))</f>
        <v/>
      </c>
      <c r="X254" s="17" t="str">
        <f>IF(M2_Accesos!A58="","",IF(M2_Accesos!C58="","",M2_Accesos!C58))</f>
        <v/>
      </c>
      <c r="Y254" s="17" t="str">
        <f>IF(M2_Accesos!A58="","",IF(M2_Accesos!E58="","",M2_Accesos!E58))</f>
        <v/>
      </c>
      <c r="Z254" s="17" t="str">
        <f>IF(M2_Accesos!A58="","",IF(M2_Accesos!F58="","",M2_Accesos!F58))</f>
        <v/>
      </c>
      <c r="AA254" s="17" t="str">
        <f>IF(M2_Accesos!A58="","","M2 Accesos")</f>
        <v/>
      </c>
      <c r="AB254" s="17" t="str">
        <f>IF(M2_Accesos!A58="","",IF(M2_Accesos!G58="","",M2_Accesos!G58))</f>
        <v/>
      </c>
      <c r="AC254" s="17" t="str">
        <f>IF(M2_Accesos!A58="","",IF(M2_Accesos!M58="","",M2_Accesos!M58))</f>
        <v/>
      </c>
      <c r="AD254" s="17" t="str">
        <f>IF(M2_Accesos!A58="","","RD")</f>
        <v/>
      </c>
      <c r="AE254" s="17" t="str">
        <f>IF(M2_Accesos!A58="","",IF(M2_Accesos!O58="","",M2_Accesos!O58))</f>
        <v/>
      </c>
      <c r="AF254" s="17" t="str">
        <f>IF(M2_Accesos!A58="","",IF(M2_Accesos!P58="","",M2_Accesos!P58))</f>
        <v/>
      </c>
      <c r="AG254" s="17" t="str">
        <f>IF(M2_Accesos!A58="","",IF(M2_Accesos!Q58="","",M2_Accesos!Q58))</f>
        <v/>
      </c>
      <c r="AH254" s="17" t="str">
        <f>IF(M2_Accesos!A58="","",IF(M2_Accesos!J58="","",M2_Accesos!J58))</f>
        <v/>
      </c>
      <c r="AI254" s="17" t="str">
        <f>IF(M2_Accesos!A58="","","M2_Accesos!58")</f>
        <v/>
      </c>
      <c r="AJ254" s="17" t="str">
        <f>IF(M2_Accesos!A58="","",IF(M2_Accesos!M58="","Pendiente de resultado","Disponible"))</f>
        <v/>
      </c>
    </row>
    <row r="255" spans="1:36" ht="55.5" customHeight="1">
      <c r="A255" s="6" t="str">
        <f t="array" ref="A255">IF(251&gt;$S$1204,"",INDEX($T$5:$AJ$1204,MATCH(251,$S$5:$S$1204,0),1))</f>
        <v/>
      </c>
      <c r="B255" s="8" t="str">
        <f t="array" ref="B255">IF(251&gt;$S$1204,"",INDEX($T$5:$AJ$1204,MATCH(251,$S$5:$S$1204,0),2))</f>
        <v/>
      </c>
      <c r="C255" s="10" t="str">
        <f t="array" ref="C255">IF(251&gt;$S$1204,"",INDEX($T$5:$AJ$1204,MATCH(251,$S$5:$S$1204,0),3))</f>
        <v/>
      </c>
      <c r="D255" s="8" t="str">
        <f t="array" ref="D255">IF(251&gt;$S$1204,"",INDEX($T$5:$AJ$1204,MATCH(251,$S$5:$S$1204,0),4))</f>
        <v/>
      </c>
      <c r="E255" s="8" t="str">
        <f t="array" ref="E255">IF(251&gt;$S$1204,"",INDEX($T$5:$AJ$1204,MATCH(251,$S$5:$S$1204,0),5))</f>
        <v/>
      </c>
      <c r="F255" s="8" t="str">
        <f t="array" ref="F255">IF(251&gt;$S$1204,"",INDEX($T$5:$AJ$1204,MATCH(251,$S$5:$S$1204,0),6))</f>
        <v/>
      </c>
      <c r="G255" s="8" t="str">
        <f t="array" ref="G255">IF(251&gt;$S$1204,"",INDEX($T$5:$AJ$1204,MATCH(251,$S$5:$S$1204,0),7))</f>
        <v/>
      </c>
      <c r="H255" s="8" t="str">
        <f t="array" ref="H255">IF(251&gt;$S$1204,"",INDEX($T$5:$AJ$1204,MATCH(251,$S$5:$S$1204,0),8))</f>
        <v/>
      </c>
      <c r="I255" s="8" t="str">
        <f t="array" ref="I255">IF(251&gt;$S$1204,"",INDEX($T$5:$AJ$1204,MATCH(251,$S$5:$S$1204,0),9))</f>
        <v/>
      </c>
      <c r="J255" s="14" t="str">
        <f t="array" ref="J255">IF(251&gt;$S$1204,"",INDEX($T$5:$AJ$1204,MATCH(251,$S$5:$S$1204,0),10))</f>
        <v/>
      </c>
      <c r="K255" s="8" t="str">
        <f t="array" ref="K255">IF(251&gt;$S$1204,"",INDEX($T$5:$AJ$1204,MATCH(251,$S$5:$S$1204,0),11))</f>
        <v/>
      </c>
      <c r="L255" s="8" t="str">
        <f t="array" ref="L255">IF(251&gt;$S$1204,"",INDEX($T$5:$AJ$1204,MATCH(251,$S$5:$S$1204,0),12))</f>
        <v/>
      </c>
      <c r="M255" s="8" t="str">
        <f t="array" ref="M255">IF(251&gt;$S$1204,"",INDEX($T$5:$AJ$1204,MATCH(251,$S$5:$S$1204,0),13))</f>
        <v/>
      </c>
      <c r="N255" s="8" t="str">
        <f t="array" ref="N255">IF(251&gt;$S$1204,"",INDEX($T$5:$AJ$1204,MATCH(251,$S$5:$S$1204,0),14))</f>
        <v/>
      </c>
      <c r="O255" s="15" t="str">
        <f t="array" ref="O255">IF(251&gt;$S$1204,"",INDEX($T$5:$AJ$1204,MATCH(251,$S$5:$S$1204,0),15))</f>
        <v/>
      </c>
      <c r="P255" s="8" t="str">
        <f t="array" ref="P255">IF(251&gt;$S$1204,"",INDEX($T$5:$AJ$1204,MATCH(251,$S$5:$S$1204,0),16))</f>
        <v/>
      </c>
      <c r="Q255" s="8" t="str">
        <f t="array" ref="Q255">IF(251&gt;$S$1204,"",INDEX($T$5:$AJ$1204,MATCH(251,$S$5:$S$1204,0),17))</f>
        <v/>
      </c>
      <c r="R255" s="17"/>
      <c r="S255" s="17">
        <f>S254+IF(M2_Accesos!A59="",0,1)</f>
        <v>0</v>
      </c>
      <c r="T255" s="17" t="str">
        <f>IF(M2_Accesos!A59="","",IF(M2_Accesos!A59="","",M2_Accesos!A59))</f>
        <v/>
      </c>
      <c r="U255" s="17" t="str">
        <f>IF(M2_Accesos!A59="","",IF(M2_Accesos!R59="","",M2_Accesos!R59))</f>
        <v/>
      </c>
      <c r="V255" s="17" t="str">
        <f>IF(M2_Accesos!A59="","",IF(M2_Accesos!D59="","",M2_Accesos!D59))</f>
        <v/>
      </c>
      <c r="W255" s="17" t="str">
        <f>IF(M2_Accesos!A59="","",IF(M2_Accesos!B59="","",M2_Accesos!B59))</f>
        <v/>
      </c>
      <c r="X255" s="17" t="str">
        <f>IF(M2_Accesos!A59="","",IF(M2_Accesos!C59="","",M2_Accesos!C59))</f>
        <v/>
      </c>
      <c r="Y255" s="17" t="str">
        <f>IF(M2_Accesos!A59="","",IF(M2_Accesos!E59="","",M2_Accesos!E59))</f>
        <v/>
      </c>
      <c r="Z255" s="17" t="str">
        <f>IF(M2_Accesos!A59="","",IF(M2_Accesos!F59="","",M2_Accesos!F59))</f>
        <v/>
      </c>
      <c r="AA255" s="17" t="str">
        <f>IF(M2_Accesos!A59="","","M2 Accesos")</f>
        <v/>
      </c>
      <c r="AB255" s="17" t="str">
        <f>IF(M2_Accesos!A59="","",IF(M2_Accesos!G59="","",M2_Accesos!G59))</f>
        <v/>
      </c>
      <c r="AC255" s="17" t="str">
        <f>IF(M2_Accesos!A59="","",IF(M2_Accesos!M59="","",M2_Accesos!M59))</f>
        <v/>
      </c>
      <c r="AD255" s="17" t="str">
        <f>IF(M2_Accesos!A59="","","RD")</f>
        <v/>
      </c>
      <c r="AE255" s="17" t="str">
        <f>IF(M2_Accesos!A59="","",IF(M2_Accesos!O59="","",M2_Accesos!O59))</f>
        <v/>
      </c>
      <c r="AF255" s="17" t="str">
        <f>IF(M2_Accesos!A59="","",IF(M2_Accesos!P59="","",M2_Accesos!P59))</f>
        <v/>
      </c>
      <c r="AG255" s="17" t="str">
        <f>IF(M2_Accesos!A59="","",IF(M2_Accesos!Q59="","",M2_Accesos!Q59))</f>
        <v/>
      </c>
      <c r="AH255" s="17" t="str">
        <f>IF(M2_Accesos!A59="","",IF(M2_Accesos!J59="","",M2_Accesos!J59))</f>
        <v/>
      </c>
      <c r="AI255" s="17" t="str">
        <f>IF(M2_Accesos!A59="","","M2_Accesos!59")</f>
        <v/>
      </c>
      <c r="AJ255" s="17" t="str">
        <f>IF(M2_Accesos!A59="","",IF(M2_Accesos!M59="","Pendiente de resultado","Disponible"))</f>
        <v/>
      </c>
    </row>
    <row r="256" spans="1:36" ht="55.5" customHeight="1">
      <c r="A256" s="6" t="str">
        <f t="array" ref="A256">IF(252&gt;$S$1204,"",INDEX($T$5:$AJ$1204,MATCH(252,$S$5:$S$1204,0),1))</f>
        <v/>
      </c>
      <c r="B256" s="8" t="str">
        <f t="array" ref="B256">IF(252&gt;$S$1204,"",INDEX($T$5:$AJ$1204,MATCH(252,$S$5:$S$1204,0),2))</f>
        <v/>
      </c>
      <c r="C256" s="10" t="str">
        <f t="array" ref="C256">IF(252&gt;$S$1204,"",INDEX($T$5:$AJ$1204,MATCH(252,$S$5:$S$1204,0),3))</f>
        <v/>
      </c>
      <c r="D256" s="8" t="str">
        <f t="array" ref="D256">IF(252&gt;$S$1204,"",INDEX($T$5:$AJ$1204,MATCH(252,$S$5:$S$1204,0),4))</f>
        <v/>
      </c>
      <c r="E256" s="8" t="str">
        <f t="array" ref="E256">IF(252&gt;$S$1204,"",INDEX($T$5:$AJ$1204,MATCH(252,$S$5:$S$1204,0),5))</f>
        <v/>
      </c>
      <c r="F256" s="8" t="str">
        <f t="array" ref="F256">IF(252&gt;$S$1204,"",INDEX($T$5:$AJ$1204,MATCH(252,$S$5:$S$1204,0),6))</f>
        <v/>
      </c>
      <c r="G256" s="8" t="str">
        <f t="array" ref="G256">IF(252&gt;$S$1204,"",INDEX($T$5:$AJ$1204,MATCH(252,$S$5:$S$1204,0),7))</f>
        <v/>
      </c>
      <c r="H256" s="8" t="str">
        <f t="array" ref="H256">IF(252&gt;$S$1204,"",INDEX($T$5:$AJ$1204,MATCH(252,$S$5:$S$1204,0),8))</f>
        <v/>
      </c>
      <c r="I256" s="8" t="str">
        <f t="array" ref="I256">IF(252&gt;$S$1204,"",INDEX($T$5:$AJ$1204,MATCH(252,$S$5:$S$1204,0),9))</f>
        <v/>
      </c>
      <c r="J256" s="14" t="str">
        <f t="array" ref="J256">IF(252&gt;$S$1204,"",INDEX($T$5:$AJ$1204,MATCH(252,$S$5:$S$1204,0),10))</f>
        <v/>
      </c>
      <c r="K256" s="8" t="str">
        <f t="array" ref="K256">IF(252&gt;$S$1204,"",INDEX($T$5:$AJ$1204,MATCH(252,$S$5:$S$1204,0),11))</f>
        <v/>
      </c>
      <c r="L256" s="8" t="str">
        <f t="array" ref="L256">IF(252&gt;$S$1204,"",INDEX($T$5:$AJ$1204,MATCH(252,$S$5:$S$1204,0),12))</f>
        <v/>
      </c>
      <c r="M256" s="8" t="str">
        <f t="array" ref="M256">IF(252&gt;$S$1204,"",INDEX($T$5:$AJ$1204,MATCH(252,$S$5:$S$1204,0),13))</f>
        <v/>
      </c>
      <c r="N256" s="8" t="str">
        <f t="array" ref="N256">IF(252&gt;$S$1204,"",INDEX($T$5:$AJ$1204,MATCH(252,$S$5:$S$1204,0),14))</f>
        <v/>
      </c>
      <c r="O256" s="15" t="str">
        <f t="array" ref="O256">IF(252&gt;$S$1204,"",INDEX($T$5:$AJ$1204,MATCH(252,$S$5:$S$1204,0),15))</f>
        <v/>
      </c>
      <c r="P256" s="8" t="str">
        <f t="array" ref="P256">IF(252&gt;$S$1204,"",INDEX($T$5:$AJ$1204,MATCH(252,$S$5:$S$1204,0),16))</f>
        <v/>
      </c>
      <c r="Q256" s="8" t="str">
        <f t="array" ref="Q256">IF(252&gt;$S$1204,"",INDEX($T$5:$AJ$1204,MATCH(252,$S$5:$S$1204,0),17))</f>
        <v/>
      </c>
      <c r="R256" s="17"/>
      <c r="S256" s="17">
        <f>S255+IF(M2_Accesos!A60="",0,1)</f>
        <v>0</v>
      </c>
      <c r="T256" s="17" t="str">
        <f>IF(M2_Accesos!A60="","",IF(M2_Accesos!A60="","",M2_Accesos!A60))</f>
        <v/>
      </c>
      <c r="U256" s="17" t="str">
        <f>IF(M2_Accesos!A60="","",IF(M2_Accesos!R60="","",M2_Accesos!R60))</f>
        <v/>
      </c>
      <c r="V256" s="17" t="str">
        <f>IF(M2_Accesos!A60="","",IF(M2_Accesos!D60="","",M2_Accesos!D60))</f>
        <v/>
      </c>
      <c r="W256" s="17" t="str">
        <f>IF(M2_Accesos!A60="","",IF(M2_Accesos!B60="","",M2_Accesos!B60))</f>
        <v/>
      </c>
      <c r="X256" s="17" t="str">
        <f>IF(M2_Accesos!A60="","",IF(M2_Accesos!C60="","",M2_Accesos!C60))</f>
        <v/>
      </c>
      <c r="Y256" s="17" t="str">
        <f>IF(M2_Accesos!A60="","",IF(M2_Accesos!E60="","",M2_Accesos!E60))</f>
        <v/>
      </c>
      <c r="Z256" s="17" t="str">
        <f>IF(M2_Accesos!A60="","",IF(M2_Accesos!F60="","",M2_Accesos!F60))</f>
        <v/>
      </c>
      <c r="AA256" s="17" t="str">
        <f>IF(M2_Accesos!A60="","","M2 Accesos")</f>
        <v/>
      </c>
      <c r="AB256" s="17" t="str">
        <f>IF(M2_Accesos!A60="","",IF(M2_Accesos!G60="","",M2_Accesos!G60))</f>
        <v/>
      </c>
      <c r="AC256" s="17" t="str">
        <f>IF(M2_Accesos!A60="","",IF(M2_Accesos!M60="","",M2_Accesos!M60))</f>
        <v/>
      </c>
      <c r="AD256" s="17" t="str">
        <f>IF(M2_Accesos!A60="","","RD")</f>
        <v/>
      </c>
      <c r="AE256" s="17" t="str">
        <f>IF(M2_Accesos!A60="","",IF(M2_Accesos!O60="","",M2_Accesos!O60))</f>
        <v/>
      </c>
      <c r="AF256" s="17" t="str">
        <f>IF(M2_Accesos!A60="","",IF(M2_Accesos!P60="","",M2_Accesos!P60))</f>
        <v/>
      </c>
      <c r="AG256" s="17" t="str">
        <f>IF(M2_Accesos!A60="","",IF(M2_Accesos!Q60="","",M2_Accesos!Q60))</f>
        <v/>
      </c>
      <c r="AH256" s="17" t="str">
        <f>IF(M2_Accesos!A60="","",IF(M2_Accesos!J60="","",M2_Accesos!J60))</f>
        <v/>
      </c>
      <c r="AI256" s="17" t="str">
        <f>IF(M2_Accesos!A60="","","M2_Accesos!60")</f>
        <v/>
      </c>
      <c r="AJ256" s="17" t="str">
        <f>IF(M2_Accesos!A60="","",IF(M2_Accesos!M60="","Pendiente de resultado","Disponible"))</f>
        <v/>
      </c>
    </row>
    <row r="257" spans="1:36" ht="55.5" customHeight="1">
      <c r="A257" s="6" t="str">
        <f t="array" ref="A257">IF(253&gt;$S$1204,"",INDEX($T$5:$AJ$1204,MATCH(253,$S$5:$S$1204,0),1))</f>
        <v/>
      </c>
      <c r="B257" s="8" t="str">
        <f t="array" ref="B257">IF(253&gt;$S$1204,"",INDEX($T$5:$AJ$1204,MATCH(253,$S$5:$S$1204,0),2))</f>
        <v/>
      </c>
      <c r="C257" s="10" t="str">
        <f t="array" ref="C257">IF(253&gt;$S$1204,"",INDEX($T$5:$AJ$1204,MATCH(253,$S$5:$S$1204,0),3))</f>
        <v/>
      </c>
      <c r="D257" s="8" t="str">
        <f t="array" ref="D257">IF(253&gt;$S$1204,"",INDEX($T$5:$AJ$1204,MATCH(253,$S$5:$S$1204,0),4))</f>
        <v/>
      </c>
      <c r="E257" s="8" t="str">
        <f t="array" ref="E257">IF(253&gt;$S$1204,"",INDEX($T$5:$AJ$1204,MATCH(253,$S$5:$S$1204,0),5))</f>
        <v/>
      </c>
      <c r="F257" s="8" t="str">
        <f t="array" ref="F257">IF(253&gt;$S$1204,"",INDEX($T$5:$AJ$1204,MATCH(253,$S$5:$S$1204,0),6))</f>
        <v/>
      </c>
      <c r="G257" s="8" t="str">
        <f t="array" ref="G257">IF(253&gt;$S$1204,"",INDEX($T$5:$AJ$1204,MATCH(253,$S$5:$S$1204,0),7))</f>
        <v/>
      </c>
      <c r="H257" s="8" t="str">
        <f t="array" ref="H257">IF(253&gt;$S$1204,"",INDEX($T$5:$AJ$1204,MATCH(253,$S$5:$S$1204,0),8))</f>
        <v/>
      </c>
      <c r="I257" s="8" t="str">
        <f t="array" ref="I257">IF(253&gt;$S$1204,"",INDEX($T$5:$AJ$1204,MATCH(253,$S$5:$S$1204,0),9))</f>
        <v/>
      </c>
      <c r="J257" s="14" t="str">
        <f t="array" ref="J257">IF(253&gt;$S$1204,"",INDEX($T$5:$AJ$1204,MATCH(253,$S$5:$S$1204,0),10))</f>
        <v/>
      </c>
      <c r="K257" s="8" t="str">
        <f t="array" ref="K257">IF(253&gt;$S$1204,"",INDEX($T$5:$AJ$1204,MATCH(253,$S$5:$S$1204,0),11))</f>
        <v/>
      </c>
      <c r="L257" s="8" t="str">
        <f t="array" ref="L257">IF(253&gt;$S$1204,"",INDEX($T$5:$AJ$1204,MATCH(253,$S$5:$S$1204,0),12))</f>
        <v/>
      </c>
      <c r="M257" s="8" t="str">
        <f t="array" ref="M257">IF(253&gt;$S$1204,"",INDEX($T$5:$AJ$1204,MATCH(253,$S$5:$S$1204,0),13))</f>
        <v/>
      </c>
      <c r="N257" s="8" t="str">
        <f t="array" ref="N257">IF(253&gt;$S$1204,"",INDEX($T$5:$AJ$1204,MATCH(253,$S$5:$S$1204,0),14))</f>
        <v/>
      </c>
      <c r="O257" s="15" t="str">
        <f t="array" ref="O257">IF(253&gt;$S$1204,"",INDEX($T$5:$AJ$1204,MATCH(253,$S$5:$S$1204,0),15))</f>
        <v/>
      </c>
      <c r="P257" s="8" t="str">
        <f t="array" ref="P257">IF(253&gt;$S$1204,"",INDEX($T$5:$AJ$1204,MATCH(253,$S$5:$S$1204,0),16))</f>
        <v/>
      </c>
      <c r="Q257" s="8" t="str">
        <f t="array" ref="Q257">IF(253&gt;$S$1204,"",INDEX($T$5:$AJ$1204,MATCH(253,$S$5:$S$1204,0),17))</f>
        <v/>
      </c>
      <c r="R257" s="17"/>
      <c r="S257" s="17">
        <f>S256+IF(M2_Accesos!A61="",0,1)</f>
        <v>0</v>
      </c>
      <c r="T257" s="17" t="str">
        <f>IF(M2_Accesos!A61="","",IF(M2_Accesos!A61="","",M2_Accesos!A61))</f>
        <v/>
      </c>
      <c r="U257" s="17" t="str">
        <f>IF(M2_Accesos!A61="","",IF(M2_Accesos!R61="","",M2_Accesos!R61))</f>
        <v/>
      </c>
      <c r="V257" s="17" t="str">
        <f>IF(M2_Accesos!A61="","",IF(M2_Accesos!D61="","",M2_Accesos!D61))</f>
        <v/>
      </c>
      <c r="W257" s="17" t="str">
        <f>IF(M2_Accesos!A61="","",IF(M2_Accesos!B61="","",M2_Accesos!B61))</f>
        <v/>
      </c>
      <c r="X257" s="17" t="str">
        <f>IF(M2_Accesos!A61="","",IF(M2_Accesos!C61="","",M2_Accesos!C61))</f>
        <v/>
      </c>
      <c r="Y257" s="17" t="str">
        <f>IF(M2_Accesos!A61="","",IF(M2_Accesos!E61="","",M2_Accesos!E61))</f>
        <v/>
      </c>
      <c r="Z257" s="17" t="str">
        <f>IF(M2_Accesos!A61="","",IF(M2_Accesos!F61="","",M2_Accesos!F61))</f>
        <v/>
      </c>
      <c r="AA257" s="17" t="str">
        <f>IF(M2_Accesos!A61="","","M2 Accesos")</f>
        <v/>
      </c>
      <c r="AB257" s="17" t="str">
        <f>IF(M2_Accesos!A61="","",IF(M2_Accesos!G61="","",M2_Accesos!G61))</f>
        <v/>
      </c>
      <c r="AC257" s="17" t="str">
        <f>IF(M2_Accesos!A61="","",IF(M2_Accesos!M61="","",M2_Accesos!M61))</f>
        <v/>
      </c>
      <c r="AD257" s="17" t="str">
        <f>IF(M2_Accesos!A61="","","RD")</f>
        <v/>
      </c>
      <c r="AE257" s="17" t="str">
        <f>IF(M2_Accesos!A61="","",IF(M2_Accesos!O61="","",M2_Accesos!O61))</f>
        <v/>
      </c>
      <c r="AF257" s="17" t="str">
        <f>IF(M2_Accesos!A61="","",IF(M2_Accesos!P61="","",M2_Accesos!P61))</f>
        <v/>
      </c>
      <c r="AG257" s="17" t="str">
        <f>IF(M2_Accesos!A61="","",IF(M2_Accesos!Q61="","",M2_Accesos!Q61))</f>
        <v/>
      </c>
      <c r="AH257" s="17" t="str">
        <f>IF(M2_Accesos!A61="","",IF(M2_Accesos!J61="","",M2_Accesos!J61))</f>
        <v/>
      </c>
      <c r="AI257" s="17" t="str">
        <f>IF(M2_Accesos!A61="","","M2_Accesos!61")</f>
        <v/>
      </c>
      <c r="AJ257" s="17" t="str">
        <f>IF(M2_Accesos!A61="","",IF(M2_Accesos!M61="","Pendiente de resultado","Disponible"))</f>
        <v/>
      </c>
    </row>
    <row r="258" spans="1:36" ht="55.5" customHeight="1">
      <c r="A258" s="6" t="str">
        <f t="array" ref="A258">IF(254&gt;$S$1204,"",INDEX($T$5:$AJ$1204,MATCH(254,$S$5:$S$1204,0),1))</f>
        <v/>
      </c>
      <c r="B258" s="8" t="str">
        <f t="array" ref="B258">IF(254&gt;$S$1204,"",INDEX($T$5:$AJ$1204,MATCH(254,$S$5:$S$1204,0),2))</f>
        <v/>
      </c>
      <c r="C258" s="10" t="str">
        <f t="array" ref="C258">IF(254&gt;$S$1204,"",INDEX($T$5:$AJ$1204,MATCH(254,$S$5:$S$1204,0),3))</f>
        <v/>
      </c>
      <c r="D258" s="8" t="str">
        <f t="array" ref="D258">IF(254&gt;$S$1204,"",INDEX($T$5:$AJ$1204,MATCH(254,$S$5:$S$1204,0),4))</f>
        <v/>
      </c>
      <c r="E258" s="8" t="str">
        <f t="array" ref="E258">IF(254&gt;$S$1204,"",INDEX($T$5:$AJ$1204,MATCH(254,$S$5:$S$1204,0),5))</f>
        <v/>
      </c>
      <c r="F258" s="8" t="str">
        <f t="array" ref="F258">IF(254&gt;$S$1204,"",INDEX($T$5:$AJ$1204,MATCH(254,$S$5:$S$1204,0),6))</f>
        <v/>
      </c>
      <c r="G258" s="8" t="str">
        <f t="array" ref="G258">IF(254&gt;$S$1204,"",INDEX($T$5:$AJ$1204,MATCH(254,$S$5:$S$1204,0),7))</f>
        <v/>
      </c>
      <c r="H258" s="8" t="str">
        <f t="array" ref="H258">IF(254&gt;$S$1204,"",INDEX($T$5:$AJ$1204,MATCH(254,$S$5:$S$1204,0),8))</f>
        <v/>
      </c>
      <c r="I258" s="8" t="str">
        <f t="array" ref="I258">IF(254&gt;$S$1204,"",INDEX($T$5:$AJ$1204,MATCH(254,$S$5:$S$1204,0),9))</f>
        <v/>
      </c>
      <c r="J258" s="14" t="str">
        <f t="array" ref="J258">IF(254&gt;$S$1204,"",INDEX($T$5:$AJ$1204,MATCH(254,$S$5:$S$1204,0),10))</f>
        <v/>
      </c>
      <c r="K258" s="8" t="str">
        <f t="array" ref="K258">IF(254&gt;$S$1204,"",INDEX($T$5:$AJ$1204,MATCH(254,$S$5:$S$1204,0),11))</f>
        <v/>
      </c>
      <c r="L258" s="8" t="str">
        <f t="array" ref="L258">IF(254&gt;$S$1204,"",INDEX($T$5:$AJ$1204,MATCH(254,$S$5:$S$1204,0),12))</f>
        <v/>
      </c>
      <c r="M258" s="8" t="str">
        <f t="array" ref="M258">IF(254&gt;$S$1204,"",INDEX($T$5:$AJ$1204,MATCH(254,$S$5:$S$1204,0),13))</f>
        <v/>
      </c>
      <c r="N258" s="8" t="str">
        <f t="array" ref="N258">IF(254&gt;$S$1204,"",INDEX($T$5:$AJ$1204,MATCH(254,$S$5:$S$1204,0),14))</f>
        <v/>
      </c>
      <c r="O258" s="15" t="str">
        <f t="array" ref="O258">IF(254&gt;$S$1204,"",INDEX($T$5:$AJ$1204,MATCH(254,$S$5:$S$1204,0),15))</f>
        <v/>
      </c>
      <c r="P258" s="8" t="str">
        <f t="array" ref="P258">IF(254&gt;$S$1204,"",INDEX($T$5:$AJ$1204,MATCH(254,$S$5:$S$1204,0),16))</f>
        <v/>
      </c>
      <c r="Q258" s="8" t="str">
        <f t="array" ref="Q258">IF(254&gt;$S$1204,"",INDEX($T$5:$AJ$1204,MATCH(254,$S$5:$S$1204,0),17))</f>
        <v/>
      </c>
      <c r="R258" s="17"/>
      <c r="S258" s="17">
        <f>S257+IF(M2_Accesos!A62="",0,1)</f>
        <v>0</v>
      </c>
      <c r="T258" s="17" t="str">
        <f>IF(M2_Accesos!A62="","",IF(M2_Accesos!A62="","",M2_Accesos!A62))</f>
        <v/>
      </c>
      <c r="U258" s="17" t="str">
        <f>IF(M2_Accesos!A62="","",IF(M2_Accesos!R62="","",M2_Accesos!R62))</f>
        <v/>
      </c>
      <c r="V258" s="17" t="str">
        <f>IF(M2_Accesos!A62="","",IF(M2_Accesos!D62="","",M2_Accesos!D62))</f>
        <v/>
      </c>
      <c r="W258" s="17" t="str">
        <f>IF(M2_Accesos!A62="","",IF(M2_Accesos!B62="","",M2_Accesos!B62))</f>
        <v/>
      </c>
      <c r="X258" s="17" t="str">
        <f>IF(M2_Accesos!A62="","",IF(M2_Accesos!C62="","",M2_Accesos!C62))</f>
        <v/>
      </c>
      <c r="Y258" s="17" t="str">
        <f>IF(M2_Accesos!A62="","",IF(M2_Accesos!E62="","",M2_Accesos!E62))</f>
        <v/>
      </c>
      <c r="Z258" s="17" t="str">
        <f>IF(M2_Accesos!A62="","",IF(M2_Accesos!F62="","",M2_Accesos!F62))</f>
        <v/>
      </c>
      <c r="AA258" s="17" t="str">
        <f>IF(M2_Accesos!A62="","","M2 Accesos")</f>
        <v/>
      </c>
      <c r="AB258" s="17" t="str">
        <f>IF(M2_Accesos!A62="","",IF(M2_Accesos!G62="","",M2_Accesos!G62))</f>
        <v/>
      </c>
      <c r="AC258" s="17" t="str">
        <f>IF(M2_Accesos!A62="","",IF(M2_Accesos!M62="","",M2_Accesos!M62))</f>
        <v/>
      </c>
      <c r="AD258" s="17" t="str">
        <f>IF(M2_Accesos!A62="","","RD")</f>
        <v/>
      </c>
      <c r="AE258" s="17" t="str">
        <f>IF(M2_Accesos!A62="","",IF(M2_Accesos!O62="","",M2_Accesos!O62))</f>
        <v/>
      </c>
      <c r="AF258" s="17" t="str">
        <f>IF(M2_Accesos!A62="","",IF(M2_Accesos!P62="","",M2_Accesos!P62))</f>
        <v/>
      </c>
      <c r="AG258" s="17" t="str">
        <f>IF(M2_Accesos!A62="","",IF(M2_Accesos!Q62="","",M2_Accesos!Q62))</f>
        <v/>
      </c>
      <c r="AH258" s="17" t="str">
        <f>IF(M2_Accesos!A62="","",IF(M2_Accesos!J62="","",M2_Accesos!J62))</f>
        <v/>
      </c>
      <c r="AI258" s="17" t="str">
        <f>IF(M2_Accesos!A62="","","M2_Accesos!62")</f>
        <v/>
      </c>
      <c r="AJ258" s="17" t="str">
        <f>IF(M2_Accesos!A62="","",IF(M2_Accesos!M62="","Pendiente de resultado","Disponible"))</f>
        <v/>
      </c>
    </row>
    <row r="259" spans="1:36" ht="55.5" customHeight="1">
      <c r="A259" s="6" t="str">
        <f t="array" ref="A259">IF(255&gt;$S$1204,"",INDEX($T$5:$AJ$1204,MATCH(255,$S$5:$S$1204,0),1))</f>
        <v/>
      </c>
      <c r="B259" s="8" t="str">
        <f t="array" ref="B259">IF(255&gt;$S$1204,"",INDEX($T$5:$AJ$1204,MATCH(255,$S$5:$S$1204,0),2))</f>
        <v/>
      </c>
      <c r="C259" s="10" t="str">
        <f t="array" ref="C259">IF(255&gt;$S$1204,"",INDEX($T$5:$AJ$1204,MATCH(255,$S$5:$S$1204,0),3))</f>
        <v/>
      </c>
      <c r="D259" s="8" t="str">
        <f t="array" ref="D259">IF(255&gt;$S$1204,"",INDEX($T$5:$AJ$1204,MATCH(255,$S$5:$S$1204,0),4))</f>
        <v/>
      </c>
      <c r="E259" s="8" t="str">
        <f t="array" ref="E259">IF(255&gt;$S$1204,"",INDEX($T$5:$AJ$1204,MATCH(255,$S$5:$S$1204,0),5))</f>
        <v/>
      </c>
      <c r="F259" s="8" t="str">
        <f t="array" ref="F259">IF(255&gt;$S$1204,"",INDEX($T$5:$AJ$1204,MATCH(255,$S$5:$S$1204,0),6))</f>
        <v/>
      </c>
      <c r="G259" s="8" t="str">
        <f t="array" ref="G259">IF(255&gt;$S$1204,"",INDEX($T$5:$AJ$1204,MATCH(255,$S$5:$S$1204,0),7))</f>
        <v/>
      </c>
      <c r="H259" s="8" t="str">
        <f t="array" ref="H259">IF(255&gt;$S$1204,"",INDEX($T$5:$AJ$1204,MATCH(255,$S$5:$S$1204,0),8))</f>
        <v/>
      </c>
      <c r="I259" s="8" t="str">
        <f t="array" ref="I259">IF(255&gt;$S$1204,"",INDEX($T$5:$AJ$1204,MATCH(255,$S$5:$S$1204,0),9))</f>
        <v/>
      </c>
      <c r="J259" s="14" t="str">
        <f t="array" ref="J259">IF(255&gt;$S$1204,"",INDEX($T$5:$AJ$1204,MATCH(255,$S$5:$S$1204,0),10))</f>
        <v/>
      </c>
      <c r="K259" s="8" t="str">
        <f t="array" ref="K259">IF(255&gt;$S$1204,"",INDEX($T$5:$AJ$1204,MATCH(255,$S$5:$S$1204,0),11))</f>
        <v/>
      </c>
      <c r="L259" s="8" t="str">
        <f t="array" ref="L259">IF(255&gt;$S$1204,"",INDEX($T$5:$AJ$1204,MATCH(255,$S$5:$S$1204,0),12))</f>
        <v/>
      </c>
      <c r="M259" s="8" t="str">
        <f t="array" ref="M259">IF(255&gt;$S$1204,"",INDEX($T$5:$AJ$1204,MATCH(255,$S$5:$S$1204,0),13))</f>
        <v/>
      </c>
      <c r="N259" s="8" t="str">
        <f t="array" ref="N259">IF(255&gt;$S$1204,"",INDEX($T$5:$AJ$1204,MATCH(255,$S$5:$S$1204,0),14))</f>
        <v/>
      </c>
      <c r="O259" s="15" t="str">
        <f t="array" ref="O259">IF(255&gt;$S$1204,"",INDEX($T$5:$AJ$1204,MATCH(255,$S$5:$S$1204,0),15))</f>
        <v/>
      </c>
      <c r="P259" s="8" t="str">
        <f t="array" ref="P259">IF(255&gt;$S$1204,"",INDEX($T$5:$AJ$1204,MATCH(255,$S$5:$S$1204,0),16))</f>
        <v/>
      </c>
      <c r="Q259" s="8" t="str">
        <f t="array" ref="Q259">IF(255&gt;$S$1204,"",INDEX($T$5:$AJ$1204,MATCH(255,$S$5:$S$1204,0),17))</f>
        <v/>
      </c>
      <c r="R259" s="17"/>
      <c r="S259" s="17">
        <f>S258+IF(M2_Accesos!A63="",0,1)</f>
        <v>0</v>
      </c>
      <c r="T259" s="17" t="str">
        <f>IF(M2_Accesos!A63="","",IF(M2_Accesos!A63="","",M2_Accesos!A63))</f>
        <v/>
      </c>
      <c r="U259" s="17" t="str">
        <f>IF(M2_Accesos!A63="","",IF(M2_Accesos!R63="","",M2_Accesos!R63))</f>
        <v/>
      </c>
      <c r="V259" s="17" t="str">
        <f>IF(M2_Accesos!A63="","",IF(M2_Accesos!D63="","",M2_Accesos!D63))</f>
        <v/>
      </c>
      <c r="W259" s="17" t="str">
        <f>IF(M2_Accesos!A63="","",IF(M2_Accesos!B63="","",M2_Accesos!B63))</f>
        <v/>
      </c>
      <c r="X259" s="17" t="str">
        <f>IF(M2_Accesos!A63="","",IF(M2_Accesos!C63="","",M2_Accesos!C63))</f>
        <v/>
      </c>
      <c r="Y259" s="17" t="str">
        <f>IF(M2_Accesos!A63="","",IF(M2_Accesos!E63="","",M2_Accesos!E63))</f>
        <v/>
      </c>
      <c r="Z259" s="17" t="str">
        <f>IF(M2_Accesos!A63="","",IF(M2_Accesos!F63="","",M2_Accesos!F63))</f>
        <v/>
      </c>
      <c r="AA259" s="17" t="str">
        <f>IF(M2_Accesos!A63="","","M2 Accesos")</f>
        <v/>
      </c>
      <c r="AB259" s="17" t="str">
        <f>IF(M2_Accesos!A63="","",IF(M2_Accesos!G63="","",M2_Accesos!G63))</f>
        <v/>
      </c>
      <c r="AC259" s="17" t="str">
        <f>IF(M2_Accesos!A63="","",IF(M2_Accesos!M63="","",M2_Accesos!M63))</f>
        <v/>
      </c>
      <c r="AD259" s="17" t="str">
        <f>IF(M2_Accesos!A63="","","RD")</f>
        <v/>
      </c>
      <c r="AE259" s="17" t="str">
        <f>IF(M2_Accesos!A63="","",IF(M2_Accesos!O63="","",M2_Accesos!O63))</f>
        <v/>
      </c>
      <c r="AF259" s="17" t="str">
        <f>IF(M2_Accesos!A63="","",IF(M2_Accesos!P63="","",M2_Accesos!P63))</f>
        <v/>
      </c>
      <c r="AG259" s="17" t="str">
        <f>IF(M2_Accesos!A63="","",IF(M2_Accesos!Q63="","",M2_Accesos!Q63))</f>
        <v/>
      </c>
      <c r="AH259" s="17" t="str">
        <f>IF(M2_Accesos!A63="","",IF(M2_Accesos!J63="","",M2_Accesos!J63))</f>
        <v/>
      </c>
      <c r="AI259" s="17" t="str">
        <f>IF(M2_Accesos!A63="","","M2_Accesos!63")</f>
        <v/>
      </c>
      <c r="AJ259" s="17" t="str">
        <f>IF(M2_Accesos!A63="","",IF(M2_Accesos!M63="","Pendiente de resultado","Disponible"))</f>
        <v/>
      </c>
    </row>
    <row r="260" spans="1:36" ht="55.5" customHeight="1">
      <c r="A260" s="6" t="str">
        <f t="array" ref="A260">IF(256&gt;$S$1204,"",INDEX($T$5:$AJ$1204,MATCH(256,$S$5:$S$1204,0),1))</f>
        <v/>
      </c>
      <c r="B260" s="8" t="str">
        <f t="array" ref="B260">IF(256&gt;$S$1204,"",INDEX($T$5:$AJ$1204,MATCH(256,$S$5:$S$1204,0),2))</f>
        <v/>
      </c>
      <c r="C260" s="10" t="str">
        <f t="array" ref="C260">IF(256&gt;$S$1204,"",INDEX($T$5:$AJ$1204,MATCH(256,$S$5:$S$1204,0),3))</f>
        <v/>
      </c>
      <c r="D260" s="8" t="str">
        <f t="array" ref="D260">IF(256&gt;$S$1204,"",INDEX($T$5:$AJ$1204,MATCH(256,$S$5:$S$1204,0),4))</f>
        <v/>
      </c>
      <c r="E260" s="8" t="str">
        <f t="array" ref="E260">IF(256&gt;$S$1204,"",INDEX($T$5:$AJ$1204,MATCH(256,$S$5:$S$1204,0),5))</f>
        <v/>
      </c>
      <c r="F260" s="8" t="str">
        <f t="array" ref="F260">IF(256&gt;$S$1204,"",INDEX($T$5:$AJ$1204,MATCH(256,$S$5:$S$1204,0),6))</f>
        <v/>
      </c>
      <c r="G260" s="8" t="str">
        <f t="array" ref="G260">IF(256&gt;$S$1204,"",INDEX($T$5:$AJ$1204,MATCH(256,$S$5:$S$1204,0),7))</f>
        <v/>
      </c>
      <c r="H260" s="8" t="str">
        <f t="array" ref="H260">IF(256&gt;$S$1204,"",INDEX($T$5:$AJ$1204,MATCH(256,$S$5:$S$1204,0),8))</f>
        <v/>
      </c>
      <c r="I260" s="8" t="str">
        <f t="array" ref="I260">IF(256&gt;$S$1204,"",INDEX($T$5:$AJ$1204,MATCH(256,$S$5:$S$1204,0),9))</f>
        <v/>
      </c>
      <c r="J260" s="14" t="str">
        <f t="array" ref="J260">IF(256&gt;$S$1204,"",INDEX($T$5:$AJ$1204,MATCH(256,$S$5:$S$1204,0),10))</f>
        <v/>
      </c>
      <c r="K260" s="8" t="str">
        <f t="array" ref="K260">IF(256&gt;$S$1204,"",INDEX($T$5:$AJ$1204,MATCH(256,$S$5:$S$1204,0),11))</f>
        <v/>
      </c>
      <c r="L260" s="8" t="str">
        <f t="array" ref="L260">IF(256&gt;$S$1204,"",INDEX($T$5:$AJ$1204,MATCH(256,$S$5:$S$1204,0),12))</f>
        <v/>
      </c>
      <c r="M260" s="8" t="str">
        <f t="array" ref="M260">IF(256&gt;$S$1204,"",INDEX($T$5:$AJ$1204,MATCH(256,$S$5:$S$1204,0),13))</f>
        <v/>
      </c>
      <c r="N260" s="8" t="str">
        <f t="array" ref="N260">IF(256&gt;$S$1204,"",INDEX($T$5:$AJ$1204,MATCH(256,$S$5:$S$1204,0),14))</f>
        <v/>
      </c>
      <c r="O260" s="15" t="str">
        <f t="array" ref="O260">IF(256&gt;$S$1204,"",INDEX($T$5:$AJ$1204,MATCH(256,$S$5:$S$1204,0),15))</f>
        <v/>
      </c>
      <c r="P260" s="8" t="str">
        <f t="array" ref="P260">IF(256&gt;$S$1204,"",INDEX($T$5:$AJ$1204,MATCH(256,$S$5:$S$1204,0),16))</f>
        <v/>
      </c>
      <c r="Q260" s="8" t="str">
        <f t="array" ref="Q260">IF(256&gt;$S$1204,"",INDEX($T$5:$AJ$1204,MATCH(256,$S$5:$S$1204,0),17))</f>
        <v/>
      </c>
      <c r="R260" s="17"/>
      <c r="S260" s="17">
        <f>S259+IF(M2_Accesos!A64="",0,1)</f>
        <v>0</v>
      </c>
      <c r="T260" s="17" t="str">
        <f>IF(M2_Accesos!A64="","",IF(M2_Accesos!A64="","",M2_Accesos!A64))</f>
        <v/>
      </c>
      <c r="U260" s="17" t="str">
        <f>IF(M2_Accesos!A64="","",IF(M2_Accesos!R64="","",M2_Accesos!R64))</f>
        <v/>
      </c>
      <c r="V260" s="17" t="str">
        <f>IF(M2_Accesos!A64="","",IF(M2_Accesos!D64="","",M2_Accesos!D64))</f>
        <v/>
      </c>
      <c r="W260" s="17" t="str">
        <f>IF(M2_Accesos!A64="","",IF(M2_Accesos!B64="","",M2_Accesos!B64))</f>
        <v/>
      </c>
      <c r="X260" s="17" t="str">
        <f>IF(M2_Accesos!A64="","",IF(M2_Accesos!C64="","",M2_Accesos!C64))</f>
        <v/>
      </c>
      <c r="Y260" s="17" t="str">
        <f>IF(M2_Accesos!A64="","",IF(M2_Accesos!E64="","",M2_Accesos!E64))</f>
        <v/>
      </c>
      <c r="Z260" s="17" t="str">
        <f>IF(M2_Accesos!A64="","",IF(M2_Accesos!F64="","",M2_Accesos!F64))</f>
        <v/>
      </c>
      <c r="AA260" s="17" t="str">
        <f>IF(M2_Accesos!A64="","","M2 Accesos")</f>
        <v/>
      </c>
      <c r="AB260" s="17" t="str">
        <f>IF(M2_Accesos!A64="","",IF(M2_Accesos!G64="","",M2_Accesos!G64))</f>
        <v/>
      </c>
      <c r="AC260" s="17" t="str">
        <f>IF(M2_Accesos!A64="","",IF(M2_Accesos!M64="","",M2_Accesos!M64))</f>
        <v/>
      </c>
      <c r="AD260" s="17" t="str">
        <f>IF(M2_Accesos!A64="","","RD")</f>
        <v/>
      </c>
      <c r="AE260" s="17" t="str">
        <f>IF(M2_Accesos!A64="","",IF(M2_Accesos!O64="","",M2_Accesos!O64))</f>
        <v/>
      </c>
      <c r="AF260" s="17" t="str">
        <f>IF(M2_Accesos!A64="","",IF(M2_Accesos!P64="","",M2_Accesos!P64))</f>
        <v/>
      </c>
      <c r="AG260" s="17" t="str">
        <f>IF(M2_Accesos!A64="","",IF(M2_Accesos!Q64="","",M2_Accesos!Q64))</f>
        <v/>
      </c>
      <c r="AH260" s="17" t="str">
        <f>IF(M2_Accesos!A64="","",IF(M2_Accesos!J64="","",M2_Accesos!J64))</f>
        <v/>
      </c>
      <c r="AI260" s="17" t="str">
        <f>IF(M2_Accesos!A64="","","M2_Accesos!64")</f>
        <v/>
      </c>
      <c r="AJ260" s="17" t="str">
        <f>IF(M2_Accesos!A64="","",IF(M2_Accesos!M64="","Pendiente de resultado","Disponible"))</f>
        <v/>
      </c>
    </row>
    <row r="261" spans="1:36" ht="55.5" customHeight="1">
      <c r="A261" s="6" t="str">
        <f t="array" ref="A261">IF(257&gt;$S$1204,"",INDEX($T$5:$AJ$1204,MATCH(257,$S$5:$S$1204,0),1))</f>
        <v/>
      </c>
      <c r="B261" s="8" t="str">
        <f t="array" ref="B261">IF(257&gt;$S$1204,"",INDEX($T$5:$AJ$1204,MATCH(257,$S$5:$S$1204,0),2))</f>
        <v/>
      </c>
      <c r="C261" s="10" t="str">
        <f t="array" ref="C261">IF(257&gt;$S$1204,"",INDEX($T$5:$AJ$1204,MATCH(257,$S$5:$S$1204,0),3))</f>
        <v/>
      </c>
      <c r="D261" s="8" t="str">
        <f t="array" ref="D261">IF(257&gt;$S$1204,"",INDEX($T$5:$AJ$1204,MATCH(257,$S$5:$S$1204,0),4))</f>
        <v/>
      </c>
      <c r="E261" s="8" t="str">
        <f t="array" ref="E261">IF(257&gt;$S$1204,"",INDEX($T$5:$AJ$1204,MATCH(257,$S$5:$S$1204,0),5))</f>
        <v/>
      </c>
      <c r="F261" s="8" t="str">
        <f t="array" ref="F261">IF(257&gt;$S$1204,"",INDEX($T$5:$AJ$1204,MATCH(257,$S$5:$S$1204,0),6))</f>
        <v/>
      </c>
      <c r="G261" s="8" t="str">
        <f t="array" ref="G261">IF(257&gt;$S$1204,"",INDEX($T$5:$AJ$1204,MATCH(257,$S$5:$S$1204,0),7))</f>
        <v/>
      </c>
      <c r="H261" s="8" t="str">
        <f t="array" ref="H261">IF(257&gt;$S$1204,"",INDEX($T$5:$AJ$1204,MATCH(257,$S$5:$S$1204,0),8))</f>
        <v/>
      </c>
      <c r="I261" s="8" t="str">
        <f t="array" ref="I261">IF(257&gt;$S$1204,"",INDEX($T$5:$AJ$1204,MATCH(257,$S$5:$S$1204,0),9))</f>
        <v/>
      </c>
      <c r="J261" s="14" t="str">
        <f t="array" ref="J261">IF(257&gt;$S$1204,"",INDEX($T$5:$AJ$1204,MATCH(257,$S$5:$S$1204,0),10))</f>
        <v/>
      </c>
      <c r="K261" s="8" t="str">
        <f t="array" ref="K261">IF(257&gt;$S$1204,"",INDEX($T$5:$AJ$1204,MATCH(257,$S$5:$S$1204,0),11))</f>
        <v/>
      </c>
      <c r="L261" s="8" t="str">
        <f t="array" ref="L261">IF(257&gt;$S$1204,"",INDEX($T$5:$AJ$1204,MATCH(257,$S$5:$S$1204,0),12))</f>
        <v/>
      </c>
      <c r="M261" s="8" t="str">
        <f t="array" ref="M261">IF(257&gt;$S$1204,"",INDEX($T$5:$AJ$1204,MATCH(257,$S$5:$S$1204,0),13))</f>
        <v/>
      </c>
      <c r="N261" s="8" t="str">
        <f t="array" ref="N261">IF(257&gt;$S$1204,"",INDEX($T$5:$AJ$1204,MATCH(257,$S$5:$S$1204,0),14))</f>
        <v/>
      </c>
      <c r="O261" s="15" t="str">
        <f t="array" ref="O261">IF(257&gt;$S$1204,"",INDEX($T$5:$AJ$1204,MATCH(257,$S$5:$S$1204,0),15))</f>
        <v/>
      </c>
      <c r="P261" s="8" t="str">
        <f t="array" ref="P261">IF(257&gt;$S$1204,"",INDEX($T$5:$AJ$1204,MATCH(257,$S$5:$S$1204,0),16))</f>
        <v/>
      </c>
      <c r="Q261" s="8" t="str">
        <f t="array" ref="Q261">IF(257&gt;$S$1204,"",INDEX($T$5:$AJ$1204,MATCH(257,$S$5:$S$1204,0),17))</f>
        <v/>
      </c>
      <c r="R261" s="17"/>
      <c r="S261" s="17">
        <f>S260+IF(M2_Accesos!A65="",0,1)</f>
        <v>0</v>
      </c>
      <c r="T261" s="17" t="str">
        <f>IF(M2_Accesos!A65="","",IF(M2_Accesos!A65="","",M2_Accesos!A65))</f>
        <v/>
      </c>
      <c r="U261" s="17" t="str">
        <f>IF(M2_Accesos!A65="","",IF(M2_Accesos!R65="","",M2_Accesos!R65))</f>
        <v/>
      </c>
      <c r="V261" s="17" t="str">
        <f>IF(M2_Accesos!A65="","",IF(M2_Accesos!D65="","",M2_Accesos!D65))</f>
        <v/>
      </c>
      <c r="W261" s="17" t="str">
        <f>IF(M2_Accesos!A65="","",IF(M2_Accesos!B65="","",M2_Accesos!B65))</f>
        <v/>
      </c>
      <c r="X261" s="17" t="str">
        <f>IF(M2_Accesos!A65="","",IF(M2_Accesos!C65="","",M2_Accesos!C65))</f>
        <v/>
      </c>
      <c r="Y261" s="17" t="str">
        <f>IF(M2_Accesos!A65="","",IF(M2_Accesos!E65="","",M2_Accesos!E65))</f>
        <v/>
      </c>
      <c r="Z261" s="17" t="str">
        <f>IF(M2_Accesos!A65="","",IF(M2_Accesos!F65="","",M2_Accesos!F65))</f>
        <v/>
      </c>
      <c r="AA261" s="17" t="str">
        <f>IF(M2_Accesos!A65="","","M2 Accesos")</f>
        <v/>
      </c>
      <c r="AB261" s="17" t="str">
        <f>IF(M2_Accesos!A65="","",IF(M2_Accesos!G65="","",M2_Accesos!G65))</f>
        <v/>
      </c>
      <c r="AC261" s="17" t="str">
        <f>IF(M2_Accesos!A65="","",IF(M2_Accesos!M65="","",M2_Accesos!M65))</f>
        <v/>
      </c>
      <c r="AD261" s="17" t="str">
        <f>IF(M2_Accesos!A65="","","RD")</f>
        <v/>
      </c>
      <c r="AE261" s="17" t="str">
        <f>IF(M2_Accesos!A65="","",IF(M2_Accesos!O65="","",M2_Accesos!O65))</f>
        <v/>
      </c>
      <c r="AF261" s="17" t="str">
        <f>IF(M2_Accesos!A65="","",IF(M2_Accesos!P65="","",M2_Accesos!P65))</f>
        <v/>
      </c>
      <c r="AG261" s="17" t="str">
        <f>IF(M2_Accesos!A65="","",IF(M2_Accesos!Q65="","",M2_Accesos!Q65))</f>
        <v/>
      </c>
      <c r="AH261" s="17" t="str">
        <f>IF(M2_Accesos!A65="","",IF(M2_Accesos!J65="","",M2_Accesos!J65))</f>
        <v/>
      </c>
      <c r="AI261" s="17" t="str">
        <f>IF(M2_Accesos!A65="","","M2_Accesos!65")</f>
        <v/>
      </c>
      <c r="AJ261" s="17" t="str">
        <f>IF(M2_Accesos!A65="","",IF(M2_Accesos!M65="","Pendiente de resultado","Disponible"))</f>
        <v/>
      </c>
    </row>
    <row r="262" spans="1:36" ht="55.5" customHeight="1">
      <c r="A262" s="6" t="str">
        <f t="array" ref="A262">IF(258&gt;$S$1204,"",INDEX($T$5:$AJ$1204,MATCH(258,$S$5:$S$1204,0),1))</f>
        <v/>
      </c>
      <c r="B262" s="8" t="str">
        <f t="array" ref="B262">IF(258&gt;$S$1204,"",INDEX($T$5:$AJ$1204,MATCH(258,$S$5:$S$1204,0),2))</f>
        <v/>
      </c>
      <c r="C262" s="10" t="str">
        <f t="array" ref="C262">IF(258&gt;$S$1204,"",INDEX($T$5:$AJ$1204,MATCH(258,$S$5:$S$1204,0),3))</f>
        <v/>
      </c>
      <c r="D262" s="8" t="str">
        <f t="array" ref="D262">IF(258&gt;$S$1204,"",INDEX($T$5:$AJ$1204,MATCH(258,$S$5:$S$1204,0),4))</f>
        <v/>
      </c>
      <c r="E262" s="8" t="str">
        <f t="array" ref="E262">IF(258&gt;$S$1204,"",INDEX($T$5:$AJ$1204,MATCH(258,$S$5:$S$1204,0),5))</f>
        <v/>
      </c>
      <c r="F262" s="8" t="str">
        <f t="array" ref="F262">IF(258&gt;$S$1204,"",INDEX($T$5:$AJ$1204,MATCH(258,$S$5:$S$1204,0),6))</f>
        <v/>
      </c>
      <c r="G262" s="8" t="str">
        <f t="array" ref="G262">IF(258&gt;$S$1204,"",INDEX($T$5:$AJ$1204,MATCH(258,$S$5:$S$1204,0),7))</f>
        <v/>
      </c>
      <c r="H262" s="8" t="str">
        <f t="array" ref="H262">IF(258&gt;$S$1204,"",INDEX($T$5:$AJ$1204,MATCH(258,$S$5:$S$1204,0),8))</f>
        <v/>
      </c>
      <c r="I262" s="8" t="str">
        <f t="array" ref="I262">IF(258&gt;$S$1204,"",INDEX($T$5:$AJ$1204,MATCH(258,$S$5:$S$1204,0),9))</f>
        <v/>
      </c>
      <c r="J262" s="14" t="str">
        <f t="array" ref="J262">IF(258&gt;$S$1204,"",INDEX($T$5:$AJ$1204,MATCH(258,$S$5:$S$1204,0),10))</f>
        <v/>
      </c>
      <c r="K262" s="8" t="str">
        <f t="array" ref="K262">IF(258&gt;$S$1204,"",INDEX($T$5:$AJ$1204,MATCH(258,$S$5:$S$1204,0),11))</f>
        <v/>
      </c>
      <c r="L262" s="8" t="str">
        <f t="array" ref="L262">IF(258&gt;$S$1204,"",INDEX($T$5:$AJ$1204,MATCH(258,$S$5:$S$1204,0),12))</f>
        <v/>
      </c>
      <c r="M262" s="8" t="str">
        <f t="array" ref="M262">IF(258&gt;$S$1204,"",INDEX($T$5:$AJ$1204,MATCH(258,$S$5:$S$1204,0),13))</f>
        <v/>
      </c>
      <c r="N262" s="8" t="str">
        <f t="array" ref="N262">IF(258&gt;$S$1204,"",INDEX($T$5:$AJ$1204,MATCH(258,$S$5:$S$1204,0),14))</f>
        <v/>
      </c>
      <c r="O262" s="15" t="str">
        <f t="array" ref="O262">IF(258&gt;$S$1204,"",INDEX($T$5:$AJ$1204,MATCH(258,$S$5:$S$1204,0),15))</f>
        <v/>
      </c>
      <c r="P262" s="8" t="str">
        <f t="array" ref="P262">IF(258&gt;$S$1204,"",INDEX($T$5:$AJ$1204,MATCH(258,$S$5:$S$1204,0),16))</f>
        <v/>
      </c>
      <c r="Q262" s="8" t="str">
        <f t="array" ref="Q262">IF(258&gt;$S$1204,"",INDEX($T$5:$AJ$1204,MATCH(258,$S$5:$S$1204,0),17))</f>
        <v/>
      </c>
      <c r="R262" s="17"/>
      <c r="S262" s="17">
        <f>S261+IF(M2_Accesos!A66="",0,1)</f>
        <v>0</v>
      </c>
      <c r="T262" s="17" t="str">
        <f>IF(M2_Accesos!A66="","",IF(M2_Accesos!A66="","",M2_Accesos!A66))</f>
        <v/>
      </c>
      <c r="U262" s="17" t="str">
        <f>IF(M2_Accesos!A66="","",IF(M2_Accesos!R66="","",M2_Accesos!R66))</f>
        <v/>
      </c>
      <c r="V262" s="17" t="str">
        <f>IF(M2_Accesos!A66="","",IF(M2_Accesos!D66="","",M2_Accesos!D66))</f>
        <v/>
      </c>
      <c r="W262" s="17" t="str">
        <f>IF(M2_Accesos!A66="","",IF(M2_Accesos!B66="","",M2_Accesos!B66))</f>
        <v/>
      </c>
      <c r="X262" s="17" t="str">
        <f>IF(M2_Accesos!A66="","",IF(M2_Accesos!C66="","",M2_Accesos!C66))</f>
        <v/>
      </c>
      <c r="Y262" s="17" t="str">
        <f>IF(M2_Accesos!A66="","",IF(M2_Accesos!E66="","",M2_Accesos!E66))</f>
        <v/>
      </c>
      <c r="Z262" s="17" t="str">
        <f>IF(M2_Accesos!A66="","",IF(M2_Accesos!F66="","",M2_Accesos!F66))</f>
        <v/>
      </c>
      <c r="AA262" s="17" t="str">
        <f>IF(M2_Accesos!A66="","","M2 Accesos")</f>
        <v/>
      </c>
      <c r="AB262" s="17" t="str">
        <f>IF(M2_Accesos!A66="","",IF(M2_Accesos!G66="","",M2_Accesos!G66))</f>
        <v/>
      </c>
      <c r="AC262" s="17" t="str">
        <f>IF(M2_Accesos!A66="","",IF(M2_Accesos!M66="","",M2_Accesos!M66))</f>
        <v/>
      </c>
      <c r="AD262" s="17" t="str">
        <f>IF(M2_Accesos!A66="","","RD")</f>
        <v/>
      </c>
      <c r="AE262" s="17" t="str">
        <f>IF(M2_Accesos!A66="","",IF(M2_Accesos!O66="","",M2_Accesos!O66))</f>
        <v/>
      </c>
      <c r="AF262" s="17" t="str">
        <f>IF(M2_Accesos!A66="","",IF(M2_Accesos!P66="","",M2_Accesos!P66))</f>
        <v/>
      </c>
      <c r="AG262" s="17" t="str">
        <f>IF(M2_Accesos!A66="","",IF(M2_Accesos!Q66="","",M2_Accesos!Q66))</f>
        <v/>
      </c>
      <c r="AH262" s="17" t="str">
        <f>IF(M2_Accesos!A66="","",IF(M2_Accesos!J66="","",M2_Accesos!J66))</f>
        <v/>
      </c>
      <c r="AI262" s="17" t="str">
        <f>IF(M2_Accesos!A66="","","M2_Accesos!66")</f>
        <v/>
      </c>
      <c r="AJ262" s="17" t="str">
        <f>IF(M2_Accesos!A66="","",IF(M2_Accesos!M66="","Pendiente de resultado","Disponible"))</f>
        <v/>
      </c>
    </row>
    <row r="263" spans="1:36" ht="55.5" customHeight="1">
      <c r="A263" s="6" t="str">
        <f t="array" ref="A263">IF(259&gt;$S$1204,"",INDEX($T$5:$AJ$1204,MATCH(259,$S$5:$S$1204,0),1))</f>
        <v/>
      </c>
      <c r="B263" s="8" t="str">
        <f t="array" ref="B263">IF(259&gt;$S$1204,"",INDEX($T$5:$AJ$1204,MATCH(259,$S$5:$S$1204,0),2))</f>
        <v/>
      </c>
      <c r="C263" s="10" t="str">
        <f t="array" ref="C263">IF(259&gt;$S$1204,"",INDEX($T$5:$AJ$1204,MATCH(259,$S$5:$S$1204,0),3))</f>
        <v/>
      </c>
      <c r="D263" s="8" t="str">
        <f t="array" ref="D263">IF(259&gt;$S$1204,"",INDEX($T$5:$AJ$1204,MATCH(259,$S$5:$S$1204,0),4))</f>
        <v/>
      </c>
      <c r="E263" s="8" t="str">
        <f t="array" ref="E263">IF(259&gt;$S$1204,"",INDEX($T$5:$AJ$1204,MATCH(259,$S$5:$S$1204,0),5))</f>
        <v/>
      </c>
      <c r="F263" s="8" t="str">
        <f t="array" ref="F263">IF(259&gt;$S$1204,"",INDEX($T$5:$AJ$1204,MATCH(259,$S$5:$S$1204,0),6))</f>
        <v/>
      </c>
      <c r="G263" s="8" t="str">
        <f t="array" ref="G263">IF(259&gt;$S$1204,"",INDEX($T$5:$AJ$1204,MATCH(259,$S$5:$S$1204,0),7))</f>
        <v/>
      </c>
      <c r="H263" s="8" t="str">
        <f t="array" ref="H263">IF(259&gt;$S$1204,"",INDEX($T$5:$AJ$1204,MATCH(259,$S$5:$S$1204,0),8))</f>
        <v/>
      </c>
      <c r="I263" s="8" t="str">
        <f t="array" ref="I263">IF(259&gt;$S$1204,"",INDEX($T$5:$AJ$1204,MATCH(259,$S$5:$S$1204,0),9))</f>
        <v/>
      </c>
      <c r="J263" s="14" t="str">
        <f t="array" ref="J263">IF(259&gt;$S$1204,"",INDEX($T$5:$AJ$1204,MATCH(259,$S$5:$S$1204,0),10))</f>
        <v/>
      </c>
      <c r="K263" s="8" t="str">
        <f t="array" ref="K263">IF(259&gt;$S$1204,"",INDEX($T$5:$AJ$1204,MATCH(259,$S$5:$S$1204,0),11))</f>
        <v/>
      </c>
      <c r="L263" s="8" t="str">
        <f t="array" ref="L263">IF(259&gt;$S$1204,"",INDEX($T$5:$AJ$1204,MATCH(259,$S$5:$S$1204,0),12))</f>
        <v/>
      </c>
      <c r="M263" s="8" t="str">
        <f t="array" ref="M263">IF(259&gt;$S$1204,"",INDEX($T$5:$AJ$1204,MATCH(259,$S$5:$S$1204,0),13))</f>
        <v/>
      </c>
      <c r="N263" s="8" t="str">
        <f t="array" ref="N263">IF(259&gt;$S$1204,"",INDEX($T$5:$AJ$1204,MATCH(259,$S$5:$S$1204,0),14))</f>
        <v/>
      </c>
      <c r="O263" s="15" t="str">
        <f t="array" ref="O263">IF(259&gt;$S$1204,"",INDEX($T$5:$AJ$1204,MATCH(259,$S$5:$S$1204,0),15))</f>
        <v/>
      </c>
      <c r="P263" s="8" t="str">
        <f t="array" ref="P263">IF(259&gt;$S$1204,"",INDEX($T$5:$AJ$1204,MATCH(259,$S$5:$S$1204,0),16))</f>
        <v/>
      </c>
      <c r="Q263" s="8" t="str">
        <f t="array" ref="Q263">IF(259&gt;$S$1204,"",INDEX($T$5:$AJ$1204,MATCH(259,$S$5:$S$1204,0),17))</f>
        <v/>
      </c>
      <c r="R263" s="17"/>
      <c r="S263" s="17">
        <f>S262+IF(M2_Accesos!A67="",0,1)</f>
        <v>0</v>
      </c>
      <c r="T263" s="17" t="str">
        <f>IF(M2_Accesos!A67="","",IF(M2_Accesos!A67="","",M2_Accesos!A67))</f>
        <v/>
      </c>
      <c r="U263" s="17" t="str">
        <f>IF(M2_Accesos!A67="","",IF(M2_Accesos!R67="","",M2_Accesos!R67))</f>
        <v/>
      </c>
      <c r="V263" s="17" t="str">
        <f>IF(M2_Accesos!A67="","",IF(M2_Accesos!D67="","",M2_Accesos!D67))</f>
        <v/>
      </c>
      <c r="W263" s="17" t="str">
        <f>IF(M2_Accesos!A67="","",IF(M2_Accesos!B67="","",M2_Accesos!B67))</f>
        <v/>
      </c>
      <c r="X263" s="17" t="str">
        <f>IF(M2_Accesos!A67="","",IF(M2_Accesos!C67="","",M2_Accesos!C67))</f>
        <v/>
      </c>
      <c r="Y263" s="17" t="str">
        <f>IF(M2_Accesos!A67="","",IF(M2_Accesos!E67="","",M2_Accesos!E67))</f>
        <v/>
      </c>
      <c r="Z263" s="17" t="str">
        <f>IF(M2_Accesos!A67="","",IF(M2_Accesos!F67="","",M2_Accesos!F67))</f>
        <v/>
      </c>
      <c r="AA263" s="17" t="str">
        <f>IF(M2_Accesos!A67="","","M2 Accesos")</f>
        <v/>
      </c>
      <c r="AB263" s="17" t="str">
        <f>IF(M2_Accesos!A67="","",IF(M2_Accesos!G67="","",M2_Accesos!G67))</f>
        <v/>
      </c>
      <c r="AC263" s="17" t="str">
        <f>IF(M2_Accesos!A67="","",IF(M2_Accesos!M67="","",M2_Accesos!M67))</f>
        <v/>
      </c>
      <c r="AD263" s="17" t="str">
        <f>IF(M2_Accesos!A67="","","RD")</f>
        <v/>
      </c>
      <c r="AE263" s="17" t="str">
        <f>IF(M2_Accesos!A67="","",IF(M2_Accesos!O67="","",M2_Accesos!O67))</f>
        <v/>
      </c>
      <c r="AF263" s="17" t="str">
        <f>IF(M2_Accesos!A67="","",IF(M2_Accesos!P67="","",M2_Accesos!P67))</f>
        <v/>
      </c>
      <c r="AG263" s="17" t="str">
        <f>IF(M2_Accesos!A67="","",IF(M2_Accesos!Q67="","",M2_Accesos!Q67))</f>
        <v/>
      </c>
      <c r="AH263" s="17" t="str">
        <f>IF(M2_Accesos!A67="","",IF(M2_Accesos!J67="","",M2_Accesos!J67))</f>
        <v/>
      </c>
      <c r="AI263" s="17" t="str">
        <f>IF(M2_Accesos!A67="","","M2_Accesos!67")</f>
        <v/>
      </c>
      <c r="AJ263" s="17" t="str">
        <f>IF(M2_Accesos!A67="","",IF(M2_Accesos!M67="","Pendiente de resultado","Disponible"))</f>
        <v/>
      </c>
    </row>
    <row r="264" spans="1:36" ht="55.5" customHeight="1">
      <c r="A264" s="6" t="str">
        <f t="array" ref="A264">IF(260&gt;$S$1204,"",INDEX($T$5:$AJ$1204,MATCH(260,$S$5:$S$1204,0),1))</f>
        <v/>
      </c>
      <c r="B264" s="8" t="str">
        <f t="array" ref="B264">IF(260&gt;$S$1204,"",INDEX($T$5:$AJ$1204,MATCH(260,$S$5:$S$1204,0),2))</f>
        <v/>
      </c>
      <c r="C264" s="10" t="str">
        <f t="array" ref="C264">IF(260&gt;$S$1204,"",INDEX($T$5:$AJ$1204,MATCH(260,$S$5:$S$1204,0),3))</f>
        <v/>
      </c>
      <c r="D264" s="8" t="str">
        <f t="array" ref="D264">IF(260&gt;$S$1204,"",INDEX($T$5:$AJ$1204,MATCH(260,$S$5:$S$1204,0),4))</f>
        <v/>
      </c>
      <c r="E264" s="8" t="str">
        <f t="array" ref="E264">IF(260&gt;$S$1204,"",INDEX($T$5:$AJ$1204,MATCH(260,$S$5:$S$1204,0),5))</f>
        <v/>
      </c>
      <c r="F264" s="8" t="str">
        <f t="array" ref="F264">IF(260&gt;$S$1204,"",INDEX($T$5:$AJ$1204,MATCH(260,$S$5:$S$1204,0),6))</f>
        <v/>
      </c>
      <c r="G264" s="8" t="str">
        <f t="array" ref="G264">IF(260&gt;$S$1204,"",INDEX($T$5:$AJ$1204,MATCH(260,$S$5:$S$1204,0),7))</f>
        <v/>
      </c>
      <c r="H264" s="8" t="str">
        <f t="array" ref="H264">IF(260&gt;$S$1204,"",INDEX($T$5:$AJ$1204,MATCH(260,$S$5:$S$1204,0),8))</f>
        <v/>
      </c>
      <c r="I264" s="8" t="str">
        <f t="array" ref="I264">IF(260&gt;$S$1204,"",INDEX($T$5:$AJ$1204,MATCH(260,$S$5:$S$1204,0),9))</f>
        <v/>
      </c>
      <c r="J264" s="14" t="str">
        <f t="array" ref="J264">IF(260&gt;$S$1204,"",INDEX($T$5:$AJ$1204,MATCH(260,$S$5:$S$1204,0),10))</f>
        <v/>
      </c>
      <c r="K264" s="8" t="str">
        <f t="array" ref="K264">IF(260&gt;$S$1204,"",INDEX($T$5:$AJ$1204,MATCH(260,$S$5:$S$1204,0),11))</f>
        <v/>
      </c>
      <c r="L264" s="8" t="str">
        <f t="array" ref="L264">IF(260&gt;$S$1204,"",INDEX($T$5:$AJ$1204,MATCH(260,$S$5:$S$1204,0),12))</f>
        <v/>
      </c>
      <c r="M264" s="8" t="str">
        <f t="array" ref="M264">IF(260&gt;$S$1204,"",INDEX($T$5:$AJ$1204,MATCH(260,$S$5:$S$1204,0),13))</f>
        <v/>
      </c>
      <c r="N264" s="8" t="str">
        <f t="array" ref="N264">IF(260&gt;$S$1204,"",INDEX($T$5:$AJ$1204,MATCH(260,$S$5:$S$1204,0),14))</f>
        <v/>
      </c>
      <c r="O264" s="15" t="str">
        <f t="array" ref="O264">IF(260&gt;$S$1204,"",INDEX($T$5:$AJ$1204,MATCH(260,$S$5:$S$1204,0),15))</f>
        <v/>
      </c>
      <c r="P264" s="8" t="str">
        <f t="array" ref="P264">IF(260&gt;$S$1204,"",INDEX($T$5:$AJ$1204,MATCH(260,$S$5:$S$1204,0),16))</f>
        <v/>
      </c>
      <c r="Q264" s="8" t="str">
        <f t="array" ref="Q264">IF(260&gt;$S$1204,"",INDEX($T$5:$AJ$1204,MATCH(260,$S$5:$S$1204,0),17))</f>
        <v/>
      </c>
      <c r="R264" s="17"/>
      <c r="S264" s="17">
        <f>S263+IF(M2_Accesos!A68="",0,1)</f>
        <v>0</v>
      </c>
      <c r="T264" s="17" t="str">
        <f>IF(M2_Accesos!A68="","",IF(M2_Accesos!A68="","",M2_Accesos!A68))</f>
        <v/>
      </c>
      <c r="U264" s="17" t="str">
        <f>IF(M2_Accesos!A68="","",IF(M2_Accesos!R68="","",M2_Accesos!R68))</f>
        <v/>
      </c>
      <c r="V264" s="17" t="str">
        <f>IF(M2_Accesos!A68="","",IF(M2_Accesos!D68="","",M2_Accesos!D68))</f>
        <v/>
      </c>
      <c r="W264" s="17" t="str">
        <f>IF(M2_Accesos!A68="","",IF(M2_Accesos!B68="","",M2_Accesos!B68))</f>
        <v/>
      </c>
      <c r="X264" s="17" t="str">
        <f>IF(M2_Accesos!A68="","",IF(M2_Accesos!C68="","",M2_Accesos!C68))</f>
        <v/>
      </c>
      <c r="Y264" s="17" t="str">
        <f>IF(M2_Accesos!A68="","",IF(M2_Accesos!E68="","",M2_Accesos!E68))</f>
        <v/>
      </c>
      <c r="Z264" s="17" t="str">
        <f>IF(M2_Accesos!A68="","",IF(M2_Accesos!F68="","",M2_Accesos!F68))</f>
        <v/>
      </c>
      <c r="AA264" s="17" t="str">
        <f>IF(M2_Accesos!A68="","","M2 Accesos")</f>
        <v/>
      </c>
      <c r="AB264" s="17" t="str">
        <f>IF(M2_Accesos!A68="","",IF(M2_Accesos!G68="","",M2_Accesos!G68))</f>
        <v/>
      </c>
      <c r="AC264" s="17" t="str">
        <f>IF(M2_Accesos!A68="","",IF(M2_Accesos!M68="","",M2_Accesos!M68))</f>
        <v/>
      </c>
      <c r="AD264" s="17" t="str">
        <f>IF(M2_Accesos!A68="","","RD")</f>
        <v/>
      </c>
      <c r="AE264" s="17" t="str">
        <f>IF(M2_Accesos!A68="","",IF(M2_Accesos!O68="","",M2_Accesos!O68))</f>
        <v/>
      </c>
      <c r="AF264" s="17" t="str">
        <f>IF(M2_Accesos!A68="","",IF(M2_Accesos!P68="","",M2_Accesos!P68))</f>
        <v/>
      </c>
      <c r="AG264" s="17" t="str">
        <f>IF(M2_Accesos!A68="","",IF(M2_Accesos!Q68="","",M2_Accesos!Q68))</f>
        <v/>
      </c>
      <c r="AH264" s="17" t="str">
        <f>IF(M2_Accesos!A68="","",IF(M2_Accesos!J68="","",M2_Accesos!J68))</f>
        <v/>
      </c>
      <c r="AI264" s="17" t="str">
        <f>IF(M2_Accesos!A68="","","M2_Accesos!68")</f>
        <v/>
      </c>
      <c r="AJ264" s="17" t="str">
        <f>IF(M2_Accesos!A68="","",IF(M2_Accesos!M68="","Pendiente de resultado","Disponible"))</f>
        <v/>
      </c>
    </row>
    <row r="265" spans="1:36" ht="55.5" customHeight="1">
      <c r="A265" s="6" t="str">
        <f t="array" ref="A265">IF(261&gt;$S$1204,"",INDEX($T$5:$AJ$1204,MATCH(261,$S$5:$S$1204,0),1))</f>
        <v/>
      </c>
      <c r="B265" s="8" t="str">
        <f t="array" ref="B265">IF(261&gt;$S$1204,"",INDEX($T$5:$AJ$1204,MATCH(261,$S$5:$S$1204,0),2))</f>
        <v/>
      </c>
      <c r="C265" s="10" t="str">
        <f t="array" ref="C265">IF(261&gt;$S$1204,"",INDEX($T$5:$AJ$1204,MATCH(261,$S$5:$S$1204,0),3))</f>
        <v/>
      </c>
      <c r="D265" s="8" t="str">
        <f t="array" ref="D265">IF(261&gt;$S$1204,"",INDEX($T$5:$AJ$1204,MATCH(261,$S$5:$S$1204,0),4))</f>
        <v/>
      </c>
      <c r="E265" s="8" t="str">
        <f t="array" ref="E265">IF(261&gt;$S$1204,"",INDEX($T$5:$AJ$1204,MATCH(261,$S$5:$S$1204,0),5))</f>
        <v/>
      </c>
      <c r="F265" s="8" t="str">
        <f t="array" ref="F265">IF(261&gt;$S$1204,"",INDEX($T$5:$AJ$1204,MATCH(261,$S$5:$S$1204,0),6))</f>
        <v/>
      </c>
      <c r="G265" s="8" t="str">
        <f t="array" ref="G265">IF(261&gt;$S$1204,"",INDEX($T$5:$AJ$1204,MATCH(261,$S$5:$S$1204,0),7))</f>
        <v/>
      </c>
      <c r="H265" s="8" t="str">
        <f t="array" ref="H265">IF(261&gt;$S$1204,"",INDEX($T$5:$AJ$1204,MATCH(261,$S$5:$S$1204,0),8))</f>
        <v/>
      </c>
      <c r="I265" s="8" t="str">
        <f t="array" ref="I265">IF(261&gt;$S$1204,"",INDEX($T$5:$AJ$1204,MATCH(261,$S$5:$S$1204,0),9))</f>
        <v/>
      </c>
      <c r="J265" s="14" t="str">
        <f t="array" ref="J265">IF(261&gt;$S$1204,"",INDEX($T$5:$AJ$1204,MATCH(261,$S$5:$S$1204,0),10))</f>
        <v/>
      </c>
      <c r="K265" s="8" t="str">
        <f t="array" ref="K265">IF(261&gt;$S$1204,"",INDEX($T$5:$AJ$1204,MATCH(261,$S$5:$S$1204,0),11))</f>
        <v/>
      </c>
      <c r="L265" s="8" t="str">
        <f t="array" ref="L265">IF(261&gt;$S$1204,"",INDEX($T$5:$AJ$1204,MATCH(261,$S$5:$S$1204,0),12))</f>
        <v/>
      </c>
      <c r="M265" s="8" t="str">
        <f t="array" ref="M265">IF(261&gt;$S$1204,"",INDEX($T$5:$AJ$1204,MATCH(261,$S$5:$S$1204,0),13))</f>
        <v/>
      </c>
      <c r="N265" s="8" t="str">
        <f t="array" ref="N265">IF(261&gt;$S$1204,"",INDEX($T$5:$AJ$1204,MATCH(261,$S$5:$S$1204,0),14))</f>
        <v/>
      </c>
      <c r="O265" s="15" t="str">
        <f t="array" ref="O265">IF(261&gt;$S$1204,"",INDEX($T$5:$AJ$1204,MATCH(261,$S$5:$S$1204,0),15))</f>
        <v/>
      </c>
      <c r="P265" s="8" t="str">
        <f t="array" ref="P265">IF(261&gt;$S$1204,"",INDEX($T$5:$AJ$1204,MATCH(261,$S$5:$S$1204,0),16))</f>
        <v/>
      </c>
      <c r="Q265" s="8" t="str">
        <f t="array" ref="Q265">IF(261&gt;$S$1204,"",INDEX($T$5:$AJ$1204,MATCH(261,$S$5:$S$1204,0),17))</f>
        <v/>
      </c>
      <c r="R265" s="17"/>
      <c r="S265" s="17">
        <f>S264+IF(M2_Accesos!A69="",0,1)</f>
        <v>0</v>
      </c>
      <c r="T265" s="17" t="str">
        <f>IF(M2_Accesos!A69="","",IF(M2_Accesos!A69="","",M2_Accesos!A69))</f>
        <v/>
      </c>
      <c r="U265" s="17" t="str">
        <f>IF(M2_Accesos!A69="","",IF(M2_Accesos!R69="","",M2_Accesos!R69))</f>
        <v/>
      </c>
      <c r="V265" s="17" t="str">
        <f>IF(M2_Accesos!A69="","",IF(M2_Accesos!D69="","",M2_Accesos!D69))</f>
        <v/>
      </c>
      <c r="W265" s="17" t="str">
        <f>IF(M2_Accesos!A69="","",IF(M2_Accesos!B69="","",M2_Accesos!B69))</f>
        <v/>
      </c>
      <c r="X265" s="17" t="str">
        <f>IF(M2_Accesos!A69="","",IF(M2_Accesos!C69="","",M2_Accesos!C69))</f>
        <v/>
      </c>
      <c r="Y265" s="17" t="str">
        <f>IF(M2_Accesos!A69="","",IF(M2_Accesos!E69="","",M2_Accesos!E69))</f>
        <v/>
      </c>
      <c r="Z265" s="17" t="str">
        <f>IF(M2_Accesos!A69="","",IF(M2_Accesos!F69="","",M2_Accesos!F69))</f>
        <v/>
      </c>
      <c r="AA265" s="17" t="str">
        <f>IF(M2_Accesos!A69="","","M2 Accesos")</f>
        <v/>
      </c>
      <c r="AB265" s="17" t="str">
        <f>IF(M2_Accesos!A69="","",IF(M2_Accesos!G69="","",M2_Accesos!G69))</f>
        <v/>
      </c>
      <c r="AC265" s="17" t="str">
        <f>IF(M2_Accesos!A69="","",IF(M2_Accesos!M69="","",M2_Accesos!M69))</f>
        <v/>
      </c>
      <c r="AD265" s="17" t="str">
        <f>IF(M2_Accesos!A69="","","RD")</f>
        <v/>
      </c>
      <c r="AE265" s="17" t="str">
        <f>IF(M2_Accesos!A69="","",IF(M2_Accesos!O69="","",M2_Accesos!O69))</f>
        <v/>
      </c>
      <c r="AF265" s="17" t="str">
        <f>IF(M2_Accesos!A69="","",IF(M2_Accesos!P69="","",M2_Accesos!P69))</f>
        <v/>
      </c>
      <c r="AG265" s="17" t="str">
        <f>IF(M2_Accesos!A69="","",IF(M2_Accesos!Q69="","",M2_Accesos!Q69))</f>
        <v/>
      </c>
      <c r="AH265" s="17" t="str">
        <f>IF(M2_Accesos!A69="","",IF(M2_Accesos!J69="","",M2_Accesos!J69))</f>
        <v/>
      </c>
      <c r="AI265" s="17" t="str">
        <f>IF(M2_Accesos!A69="","","M2_Accesos!69")</f>
        <v/>
      </c>
      <c r="AJ265" s="17" t="str">
        <f>IF(M2_Accesos!A69="","",IF(M2_Accesos!M69="","Pendiente de resultado","Disponible"))</f>
        <v/>
      </c>
    </row>
    <row r="266" spans="1:36" ht="55.5" customHeight="1">
      <c r="A266" s="6" t="str">
        <f t="array" ref="A266">IF(262&gt;$S$1204,"",INDEX($T$5:$AJ$1204,MATCH(262,$S$5:$S$1204,0),1))</f>
        <v/>
      </c>
      <c r="B266" s="8" t="str">
        <f t="array" ref="B266">IF(262&gt;$S$1204,"",INDEX($T$5:$AJ$1204,MATCH(262,$S$5:$S$1204,0),2))</f>
        <v/>
      </c>
      <c r="C266" s="10" t="str">
        <f t="array" ref="C266">IF(262&gt;$S$1204,"",INDEX($T$5:$AJ$1204,MATCH(262,$S$5:$S$1204,0),3))</f>
        <v/>
      </c>
      <c r="D266" s="8" t="str">
        <f t="array" ref="D266">IF(262&gt;$S$1204,"",INDEX($T$5:$AJ$1204,MATCH(262,$S$5:$S$1204,0),4))</f>
        <v/>
      </c>
      <c r="E266" s="8" t="str">
        <f t="array" ref="E266">IF(262&gt;$S$1204,"",INDEX($T$5:$AJ$1204,MATCH(262,$S$5:$S$1204,0),5))</f>
        <v/>
      </c>
      <c r="F266" s="8" t="str">
        <f t="array" ref="F266">IF(262&gt;$S$1204,"",INDEX($T$5:$AJ$1204,MATCH(262,$S$5:$S$1204,0),6))</f>
        <v/>
      </c>
      <c r="G266" s="8" t="str">
        <f t="array" ref="G266">IF(262&gt;$S$1204,"",INDEX($T$5:$AJ$1204,MATCH(262,$S$5:$S$1204,0),7))</f>
        <v/>
      </c>
      <c r="H266" s="8" t="str">
        <f t="array" ref="H266">IF(262&gt;$S$1204,"",INDEX($T$5:$AJ$1204,MATCH(262,$S$5:$S$1204,0),8))</f>
        <v/>
      </c>
      <c r="I266" s="8" t="str">
        <f t="array" ref="I266">IF(262&gt;$S$1204,"",INDEX($T$5:$AJ$1204,MATCH(262,$S$5:$S$1204,0),9))</f>
        <v/>
      </c>
      <c r="J266" s="14" t="str">
        <f t="array" ref="J266">IF(262&gt;$S$1204,"",INDEX($T$5:$AJ$1204,MATCH(262,$S$5:$S$1204,0),10))</f>
        <v/>
      </c>
      <c r="K266" s="8" t="str">
        <f t="array" ref="K266">IF(262&gt;$S$1204,"",INDEX($T$5:$AJ$1204,MATCH(262,$S$5:$S$1204,0),11))</f>
        <v/>
      </c>
      <c r="L266" s="8" t="str">
        <f t="array" ref="L266">IF(262&gt;$S$1204,"",INDEX($T$5:$AJ$1204,MATCH(262,$S$5:$S$1204,0),12))</f>
        <v/>
      </c>
      <c r="M266" s="8" t="str">
        <f t="array" ref="M266">IF(262&gt;$S$1204,"",INDEX($T$5:$AJ$1204,MATCH(262,$S$5:$S$1204,0),13))</f>
        <v/>
      </c>
      <c r="N266" s="8" t="str">
        <f t="array" ref="N266">IF(262&gt;$S$1204,"",INDEX($T$5:$AJ$1204,MATCH(262,$S$5:$S$1204,0),14))</f>
        <v/>
      </c>
      <c r="O266" s="15" t="str">
        <f t="array" ref="O266">IF(262&gt;$S$1204,"",INDEX($T$5:$AJ$1204,MATCH(262,$S$5:$S$1204,0),15))</f>
        <v/>
      </c>
      <c r="P266" s="8" t="str">
        <f t="array" ref="P266">IF(262&gt;$S$1204,"",INDEX($T$5:$AJ$1204,MATCH(262,$S$5:$S$1204,0),16))</f>
        <v/>
      </c>
      <c r="Q266" s="8" t="str">
        <f t="array" ref="Q266">IF(262&gt;$S$1204,"",INDEX($T$5:$AJ$1204,MATCH(262,$S$5:$S$1204,0),17))</f>
        <v/>
      </c>
      <c r="R266" s="17"/>
      <c r="S266" s="17">
        <f>S265+IF(M2_Accesos!A70="",0,1)</f>
        <v>0</v>
      </c>
      <c r="T266" s="17" t="str">
        <f>IF(M2_Accesos!A70="","",IF(M2_Accesos!A70="","",M2_Accesos!A70))</f>
        <v/>
      </c>
      <c r="U266" s="17" t="str">
        <f>IF(M2_Accesos!A70="","",IF(M2_Accesos!R70="","",M2_Accesos!R70))</f>
        <v/>
      </c>
      <c r="V266" s="17" t="str">
        <f>IF(M2_Accesos!A70="","",IF(M2_Accesos!D70="","",M2_Accesos!D70))</f>
        <v/>
      </c>
      <c r="W266" s="17" t="str">
        <f>IF(M2_Accesos!A70="","",IF(M2_Accesos!B70="","",M2_Accesos!B70))</f>
        <v/>
      </c>
      <c r="X266" s="17" t="str">
        <f>IF(M2_Accesos!A70="","",IF(M2_Accesos!C70="","",M2_Accesos!C70))</f>
        <v/>
      </c>
      <c r="Y266" s="17" t="str">
        <f>IF(M2_Accesos!A70="","",IF(M2_Accesos!E70="","",M2_Accesos!E70))</f>
        <v/>
      </c>
      <c r="Z266" s="17" t="str">
        <f>IF(M2_Accesos!A70="","",IF(M2_Accesos!F70="","",M2_Accesos!F70))</f>
        <v/>
      </c>
      <c r="AA266" s="17" t="str">
        <f>IF(M2_Accesos!A70="","","M2 Accesos")</f>
        <v/>
      </c>
      <c r="AB266" s="17" t="str">
        <f>IF(M2_Accesos!A70="","",IF(M2_Accesos!G70="","",M2_Accesos!G70))</f>
        <v/>
      </c>
      <c r="AC266" s="17" t="str">
        <f>IF(M2_Accesos!A70="","",IF(M2_Accesos!M70="","",M2_Accesos!M70))</f>
        <v/>
      </c>
      <c r="AD266" s="17" t="str">
        <f>IF(M2_Accesos!A70="","","RD")</f>
        <v/>
      </c>
      <c r="AE266" s="17" t="str">
        <f>IF(M2_Accesos!A70="","",IF(M2_Accesos!O70="","",M2_Accesos!O70))</f>
        <v/>
      </c>
      <c r="AF266" s="17" t="str">
        <f>IF(M2_Accesos!A70="","",IF(M2_Accesos!P70="","",M2_Accesos!P70))</f>
        <v/>
      </c>
      <c r="AG266" s="17" t="str">
        <f>IF(M2_Accesos!A70="","",IF(M2_Accesos!Q70="","",M2_Accesos!Q70))</f>
        <v/>
      </c>
      <c r="AH266" s="17" t="str">
        <f>IF(M2_Accesos!A70="","",IF(M2_Accesos!J70="","",M2_Accesos!J70))</f>
        <v/>
      </c>
      <c r="AI266" s="17" t="str">
        <f>IF(M2_Accesos!A70="","","M2_Accesos!70")</f>
        <v/>
      </c>
      <c r="AJ266" s="17" t="str">
        <f>IF(M2_Accesos!A70="","",IF(M2_Accesos!M70="","Pendiente de resultado","Disponible"))</f>
        <v/>
      </c>
    </row>
    <row r="267" spans="1:36" ht="55.5" customHeight="1">
      <c r="A267" s="6" t="str">
        <f t="array" ref="A267">IF(263&gt;$S$1204,"",INDEX($T$5:$AJ$1204,MATCH(263,$S$5:$S$1204,0),1))</f>
        <v/>
      </c>
      <c r="B267" s="8" t="str">
        <f t="array" ref="B267">IF(263&gt;$S$1204,"",INDEX($T$5:$AJ$1204,MATCH(263,$S$5:$S$1204,0),2))</f>
        <v/>
      </c>
      <c r="C267" s="10" t="str">
        <f t="array" ref="C267">IF(263&gt;$S$1204,"",INDEX($T$5:$AJ$1204,MATCH(263,$S$5:$S$1204,0),3))</f>
        <v/>
      </c>
      <c r="D267" s="8" t="str">
        <f t="array" ref="D267">IF(263&gt;$S$1204,"",INDEX($T$5:$AJ$1204,MATCH(263,$S$5:$S$1204,0),4))</f>
        <v/>
      </c>
      <c r="E267" s="8" t="str">
        <f t="array" ref="E267">IF(263&gt;$S$1204,"",INDEX($T$5:$AJ$1204,MATCH(263,$S$5:$S$1204,0),5))</f>
        <v/>
      </c>
      <c r="F267" s="8" t="str">
        <f t="array" ref="F267">IF(263&gt;$S$1204,"",INDEX($T$5:$AJ$1204,MATCH(263,$S$5:$S$1204,0),6))</f>
        <v/>
      </c>
      <c r="G267" s="8" t="str">
        <f t="array" ref="G267">IF(263&gt;$S$1204,"",INDEX($T$5:$AJ$1204,MATCH(263,$S$5:$S$1204,0),7))</f>
        <v/>
      </c>
      <c r="H267" s="8" t="str">
        <f t="array" ref="H267">IF(263&gt;$S$1204,"",INDEX($T$5:$AJ$1204,MATCH(263,$S$5:$S$1204,0),8))</f>
        <v/>
      </c>
      <c r="I267" s="8" t="str">
        <f t="array" ref="I267">IF(263&gt;$S$1204,"",INDEX($T$5:$AJ$1204,MATCH(263,$S$5:$S$1204,0),9))</f>
        <v/>
      </c>
      <c r="J267" s="14" t="str">
        <f t="array" ref="J267">IF(263&gt;$S$1204,"",INDEX($T$5:$AJ$1204,MATCH(263,$S$5:$S$1204,0),10))</f>
        <v/>
      </c>
      <c r="K267" s="8" t="str">
        <f t="array" ref="K267">IF(263&gt;$S$1204,"",INDEX($T$5:$AJ$1204,MATCH(263,$S$5:$S$1204,0),11))</f>
        <v/>
      </c>
      <c r="L267" s="8" t="str">
        <f t="array" ref="L267">IF(263&gt;$S$1204,"",INDEX($T$5:$AJ$1204,MATCH(263,$S$5:$S$1204,0),12))</f>
        <v/>
      </c>
      <c r="M267" s="8" t="str">
        <f t="array" ref="M267">IF(263&gt;$S$1204,"",INDEX($T$5:$AJ$1204,MATCH(263,$S$5:$S$1204,0),13))</f>
        <v/>
      </c>
      <c r="N267" s="8" t="str">
        <f t="array" ref="N267">IF(263&gt;$S$1204,"",INDEX($T$5:$AJ$1204,MATCH(263,$S$5:$S$1204,0),14))</f>
        <v/>
      </c>
      <c r="O267" s="15" t="str">
        <f t="array" ref="O267">IF(263&gt;$S$1204,"",INDEX($T$5:$AJ$1204,MATCH(263,$S$5:$S$1204,0),15))</f>
        <v/>
      </c>
      <c r="P267" s="8" t="str">
        <f t="array" ref="P267">IF(263&gt;$S$1204,"",INDEX($T$5:$AJ$1204,MATCH(263,$S$5:$S$1204,0),16))</f>
        <v/>
      </c>
      <c r="Q267" s="8" t="str">
        <f t="array" ref="Q267">IF(263&gt;$S$1204,"",INDEX($T$5:$AJ$1204,MATCH(263,$S$5:$S$1204,0),17))</f>
        <v/>
      </c>
      <c r="R267" s="17"/>
      <c r="S267" s="17">
        <f>S266+IF(M2_Accesos!A71="",0,1)</f>
        <v>0</v>
      </c>
      <c r="T267" s="17" t="str">
        <f>IF(M2_Accesos!A71="","",IF(M2_Accesos!A71="","",M2_Accesos!A71))</f>
        <v/>
      </c>
      <c r="U267" s="17" t="str">
        <f>IF(M2_Accesos!A71="","",IF(M2_Accesos!R71="","",M2_Accesos!R71))</f>
        <v/>
      </c>
      <c r="V267" s="17" t="str">
        <f>IF(M2_Accesos!A71="","",IF(M2_Accesos!D71="","",M2_Accesos!D71))</f>
        <v/>
      </c>
      <c r="W267" s="17" t="str">
        <f>IF(M2_Accesos!A71="","",IF(M2_Accesos!B71="","",M2_Accesos!B71))</f>
        <v/>
      </c>
      <c r="X267" s="17" t="str">
        <f>IF(M2_Accesos!A71="","",IF(M2_Accesos!C71="","",M2_Accesos!C71))</f>
        <v/>
      </c>
      <c r="Y267" s="17" t="str">
        <f>IF(M2_Accesos!A71="","",IF(M2_Accesos!E71="","",M2_Accesos!E71))</f>
        <v/>
      </c>
      <c r="Z267" s="17" t="str">
        <f>IF(M2_Accesos!A71="","",IF(M2_Accesos!F71="","",M2_Accesos!F71))</f>
        <v/>
      </c>
      <c r="AA267" s="17" t="str">
        <f>IF(M2_Accesos!A71="","","M2 Accesos")</f>
        <v/>
      </c>
      <c r="AB267" s="17" t="str">
        <f>IF(M2_Accesos!A71="","",IF(M2_Accesos!G71="","",M2_Accesos!G71))</f>
        <v/>
      </c>
      <c r="AC267" s="17" t="str">
        <f>IF(M2_Accesos!A71="","",IF(M2_Accesos!M71="","",M2_Accesos!M71))</f>
        <v/>
      </c>
      <c r="AD267" s="17" t="str">
        <f>IF(M2_Accesos!A71="","","RD")</f>
        <v/>
      </c>
      <c r="AE267" s="17" t="str">
        <f>IF(M2_Accesos!A71="","",IF(M2_Accesos!O71="","",M2_Accesos!O71))</f>
        <v/>
      </c>
      <c r="AF267" s="17" t="str">
        <f>IF(M2_Accesos!A71="","",IF(M2_Accesos!P71="","",M2_Accesos!P71))</f>
        <v/>
      </c>
      <c r="AG267" s="17" t="str">
        <f>IF(M2_Accesos!A71="","",IF(M2_Accesos!Q71="","",M2_Accesos!Q71))</f>
        <v/>
      </c>
      <c r="AH267" s="17" t="str">
        <f>IF(M2_Accesos!A71="","",IF(M2_Accesos!J71="","",M2_Accesos!J71))</f>
        <v/>
      </c>
      <c r="AI267" s="17" t="str">
        <f>IF(M2_Accesos!A71="","","M2_Accesos!71")</f>
        <v/>
      </c>
      <c r="AJ267" s="17" t="str">
        <f>IF(M2_Accesos!A71="","",IF(M2_Accesos!M71="","Pendiente de resultado","Disponible"))</f>
        <v/>
      </c>
    </row>
    <row r="268" spans="1:36" ht="55.5" customHeight="1">
      <c r="A268" s="6" t="str">
        <f t="array" ref="A268">IF(264&gt;$S$1204,"",INDEX($T$5:$AJ$1204,MATCH(264,$S$5:$S$1204,0),1))</f>
        <v/>
      </c>
      <c r="B268" s="8" t="str">
        <f t="array" ref="B268">IF(264&gt;$S$1204,"",INDEX($T$5:$AJ$1204,MATCH(264,$S$5:$S$1204,0),2))</f>
        <v/>
      </c>
      <c r="C268" s="10" t="str">
        <f t="array" ref="C268">IF(264&gt;$S$1204,"",INDEX($T$5:$AJ$1204,MATCH(264,$S$5:$S$1204,0),3))</f>
        <v/>
      </c>
      <c r="D268" s="8" t="str">
        <f t="array" ref="D268">IF(264&gt;$S$1204,"",INDEX($T$5:$AJ$1204,MATCH(264,$S$5:$S$1204,0),4))</f>
        <v/>
      </c>
      <c r="E268" s="8" t="str">
        <f t="array" ref="E268">IF(264&gt;$S$1204,"",INDEX($T$5:$AJ$1204,MATCH(264,$S$5:$S$1204,0),5))</f>
        <v/>
      </c>
      <c r="F268" s="8" t="str">
        <f t="array" ref="F268">IF(264&gt;$S$1204,"",INDEX($T$5:$AJ$1204,MATCH(264,$S$5:$S$1204,0),6))</f>
        <v/>
      </c>
      <c r="G268" s="8" t="str">
        <f t="array" ref="G268">IF(264&gt;$S$1204,"",INDEX($T$5:$AJ$1204,MATCH(264,$S$5:$S$1204,0),7))</f>
        <v/>
      </c>
      <c r="H268" s="8" t="str">
        <f t="array" ref="H268">IF(264&gt;$S$1204,"",INDEX($T$5:$AJ$1204,MATCH(264,$S$5:$S$1204,0),8))</f>
        <v/>
      </c>
      <c r="I268" s="8" t="str">
        <f t="array" ref="I268">IF(264&gt;$S$1204,"",INDEX($T$5:$AJ$1204,MATCH(264,$S$5:$S$1204,0),9))</f>
        <v/>
      </c>
      <c r="J268" s="14" t="str">
        <f t="array" ref="J268">IF(264&gt;$S$1204,"",INDEX($T$5:$AJ$1204,MATCH(264,$S$5:$S$1204,0),10))</f>
        <v/>
      </c>
      <c r="K268" s="8" t="str">
        <f t="array" ref="K268">IF(264&gt;$S$1204,"",INDEX($T$5:$AJ$1204,MATCH(264,$S$5:$S$1204,0),11))</f>
        <v/>
      </c>
      <c r="L268" s="8" t="str">
        <f t="array" ref="L268">IF(264&gt;$S$1204,"",INDEX($T$5:$AJ$1204,MATCH(264,$S$5:$S$1204,0),12))</f>
        <v/>
      </c>
      <c r="M268" s="8" t="str">
        <f t="array" ref="M268">IF(264&gt;$S$1204,"",INDEX($T$5:$AJ$1204,MATCH(264,$S$5:$S$1204,0),13))</f>
        <v/>
      </c>
      <c r="N268" s="8" t="str">
        <f t="array" ref="N268">IF(264&gt;$S$1204,"",INDEX($T$5:$AJ$1204,MATCH(264,$S$5:$S$1204,0),14))</f>
        <v/>
      </c>
      <c r="O268" s="15" t="str">
        <f t="array" ref="O268">IF(264&gt;$S$1204,"",INDEX($T$5:$AJ$1204,MATCH(264,$S$5:$S$1204,0),15))</f>
        <v/>
      </c>
      <c r="P268" s="8" t="str">
        <f t="array" ref="P268">IF(264&gt;$S$1204,"",INDEX($T$5:$AJ$1204,MATCH(264,$S$5:$S$1204,0),16))</f>
        <v/>
      </c>
      <c r="Q268" s="8" t="str">
        <f t="array" ref="Q268">IF(264&gt;$S$1204,"",INDEX($T$5:$AJ$1204,MATCH(264,$S$5:$S$1204,0),17))</f>
        <v/>
      </c>
      <c r="R268" s="17"/>
      <c r="S268" s="17">
        <f>S267+IF(M2_Accesos!A72="",0,1)</f>
        <v>0</v>
      </c>
      <c r="T268" s="17" t="str">
        <f>IF(M2_Accesos!A72="","",IF(M2_Accesos!A72="","",M2_Accesos!A72))</f>
        <v/>
      </c>
      <c r="U268" s="17" t="str">
        <f>IF(M2_Accesos!A72="","",IF(M2_Accesos!R72="","",M2_Accesos!R72))</f>
        <v/>
      </c>
      <c r="V268" s="17" t="str">
        <f>IF(M2_Accesos!A72="","",IF(M2_Accesos!D72="","",M2_Accesos!D72))</f>
        <v/>
      </c>
      <c r="W268" s="17" t="str">
        <f>IF(M2_Accesos!A72="","",IF(M2_Accesos!B72="","",M2_Accesos!B72))</f>
        <v/>
      </c>
      <c r="X268" s="17" t="str">
        <f>IF(M2_Accesos!A72="","",IF(M2_Accesos!C72="","",M2_Accesos!C72))</f>
        <v/>
      </c>
      <c r="Y268" s="17" t="str">
        <f>IF(M2_Accesos!A72="","",IF(M2_Accesos!E72="","",M2_Accesos!E72))</f>
        <v/>
      </c>
      <c r="Z268" s="17" t="str">
        <f>IF(M2_Accesos!A72="","",IF(M2_Accesos!F72="","",M2_Accesos!F72))</f>
        <v/>
      </c>
      <c r="AA268" s="17" t="str">
        <f>IF(M2_Accesos!A72="","","M2 Accesos")</f>
        <v/>
      </c>
      <c r="AB268" s="17" t="str">
        <f>IF(M2_Accesos!A72="","",IF(M2_Accesos!G72="","",M2_Accesos!G72))</f>
        <v/>
      </c>
      <c r="AC268" s="17" t="str">
        <f>IF(M2_Accesos!A72="","",IF(M2_Accesos!M72="","",M2_Accesos!M72))</f>
        <v/>
      </c>
      <c r="AD268" s="17" t="str">
        <f>IF(M2_Accesos!A72="","","RD")</f>
        <v/>
      </c>
      <c r="AE268" s="17" t="str">
        <f>IF(M2_Accesos!A72="","",IF(M2_Accesos!O72="","",M2_Accesos!O72))</f>
        <v/>
      </c>
      <c r="AF268" s="17" t="str">
        <f>IF(M2_Accesos!A72="","",IF(M2_Accesos!P72="","",M2_Accesos!P72))</f>
        <v/>
      </c>
      <c r="AG268" s="17" t="str">
        <f>IF(M2_Accesos!A72="","",IF(M2_Accesos!Q72="","",M2_Accesos!Q72))</f>
        <v/>
      </c>
      <c r="AH268" s="17" t="str">
        <f>IF(M2_Accesos!A72="","",IF(M2_Accesos!J72="","",M2_Accesos!J72))</f>
        <v/>
      </c>
      <c r="AI268" s="17" t="str">
        <f>IF(M2_Accesos!A72="","","M2_Accesos!72")</f>
        <v/>
      </c>
      <c r="AJ268" s="17" t="str">
        <f>IF(M2_Accesos!A72="","",IF(M2_Accesos!M72="","Pendiente de resultado","Disponible"))</f>
        <v/>
      </c>
    </row>
    <row r="269" spans="1:36" ht="55.5" customHeight="1">
      <c r="A269" s="6" t="str">
        <f t="array" ref="A269">IF(265&gt;$S$1204,"",INDEX($T$5:$AJ$1204,MATCH(265,$S$5:$S$1204,0),1))</f>
        <v/>
      </c>
      <c r="B269" s="8" t="str">
        <f t="array" ref="B269">IF(265&gt;$S$1204,"",INDEX($T$5:$AJ$1204,MATCH(265,$S$5:$S$1204,0),2))</f>
        <v/>
      </c>
      <c r="C269" s="10" t="str">
        <f t="array" ref="C269">IF(265&gt;$S$1204,"",INDEX($T$5:$AJ$1204,MATCH(265,$S$5:$S$1204,0),3))</f>
        <v/>
      </c>
      <c r="D269" s="8" t="str">
        <f t="array" ref="D269">IF(265&gt;$S$1204,"",INDEX($T$5:$AJ$1204,MATCH(265,$S$5:$S$1204,0),4))</f>
        <v/>
      </c>
      <c r="E269" s="8" t="str">
        <f t="array" ref="E269">IF(265&gt;$S$1204,"",INDEX($T$5:$AJ$1204,MATCH(265,$S$5:$S$1204,0),5))</f>
        <v/>
      </c>
      <c r="F269" s="8" t="str">
        <f t="array" ref="F269">IF(265&gt;$S$1204,"",INDEX($T$5:$AJ$1204,MATCH(265,$S$5:$S$1204,0),6))</f>
        <v/>
      </c>
      <c r="G269" s="8" t="str">
        <f t="array" ref="G269">IF(265&gt;$S$1204,"",INDEX($T$5:$AJ$1204,MATCH(265,$S$5:$S$1204,0),7))</f>
        <v/>
      </c>
      <c r="H269" s="8" t="str">
        <f t="array" ref="H269">IF(265&gt;$S$1204,"",INDEX($T$5:$AJ$1204,MATCH(265,$S$5:$S$1204,0),8))</f>
        <v/>
      </c>
      <c r="I269" s="8" t="str">
        <f t="array" ref="I269">IF(265&gt;$S$1204,"",INDEX($T$5:$AJ$1204,MATCH(265,$S$5:$S$1204,0),9))</f>
        <v/>
      </c>
      <c r="J269" s="14" t="str">
        <f t="array" ref="J269">IF(265&gt;$S$1204,"",INDEX($T$5:$AJ$1204,MATCH(265,$S$5:$S$1204,0),10))</f>
        <v/>
      </c>
      <c r="K269" s="8" t="str">
        <f t="array" ref="K269">IF(265&gt;$S$1204,"",INDEX($T$5:$AJ$1204,MATCH(265,$S$5:$S$1204,0),11))</f>
        <v/>
      </c>
      <c r="L269" s="8" t="str">
        <f t="array" ref="L269">IF(265&gt;$S$1204,"",INDEX($T$5:$AJ$1204,MATCH(265,$S$5:$S$1204,0),12))</f>
        <v/>
      </c>
      <c r="M269" s="8" t="str">
        <f t="array" ref="M269">IF(265&gt;$S$1204,"",INDEX($T$5:$AJ$1204,MATCH(265,$S$5:$S$1204,0),13))</f>
        <v/>
      </c>
      <c r="N269" s="8" t="str">
        <f t="array" ref="N269">IF(265&gt;$S$1204,"",INDEX($T$5:$AJ$1204,MATCH(265,$S$5:$S$1204,0),14))</f>
        <v/>
      </c>
      <c r="O269" s="15" t="str">
        <f t="array" ref="O269">IF(265&gt;$S$1204,"",INDEX($T$5:$AJ$1204,MATCH(265,$S$5:$S$1204,0),15))</f>
        <v/>
      </c>
      <c r="P269" s="8" t="str">
        <f t="array" ref="P269">IF(265&gt;$S$1204,"",INDEX($T$5:$AJ$1204,MATCH(265,$S$5:$S$1204,0),16))</f>
        <v/>
      </c>
      <c r="Q269" s="8" t="str">
        <f t="array" ref="Q269">IF(265&gt;$S$1204,"",INDEX($T$5:$AJ$1204,MATCH(265,$S$5:$S$1204,0),17))</f>
        <v/>
      </c>
      <c r="R269" s="17"/>
      <c r="S269" s="17">
        <f>S268+IF(M2_Accesos!A73="",0,1)</f>
        <v>0</v>
      </c>
      <c r="T269" s="17" t="str">
        <f>IF(M2_Accesos!A73="","",IF(M2_Accesos!A73="","",M2_Accesos!A73))</f>
        <v/>
      </c>
      <c r="U269" s="17" t="str">
        <f>IF(M2_Accesos!A73="","",IF(M2_Accesos!R73="","",M2_Accesos!R73))</f>
        <v/>
      </c>
      <c r="V269" s="17" t="str">
        <f>IF(M2_Accesos!A73="","",IF(M2_Accesos!D73="","",M2_Accesos!D73))</f>
        <v/>
      </c>
      <c r="W269" s="17" t="str">
        <f>IF(M2_Accesos!A73="","",IF(M2_Accesos!B73="","",M2_Accesos!B73))</f>
        <v/>
      </c>
      <c r="X269" s="17" t="str">
        <f>IF(M2_Accesos!A73="","",IF(M2_Accesos!C73="","",M2_Accesos!C73))</f>
        <v/>
      </c>
      <c r="Y269" s="17" t="str">
        <f>IF(M2_Accesos!A73="","",IF(M2_Accesos!E73="","",M2_Accesos!E73))</f>
        <v/>
      </c>
      <c r="Z269" s="17" t="str">
        <f>IF(M2_Accesos!A73="","",IF(M2_Accesos!F73="","",M2_Accesos!F73))</f>
        <v/>
      </c>
      <c r="AA269" s="17" t="str">
        <f>IF(M2_Accesos!A73="","","M2 Accesos")</f>
        <v/>
      </c>
      <c r="AB269" s="17" t="str">
        <f>IF(M2_Accesos!A73="","",IF(M2_Accesos!G73="","",M2_Accesos!G73))</f>
        <v/>
      </c>
      <c r="AC269" s="17" t="str">
        <f>IF(M2_Accesos!A73="","",IF(M2_Accesos!M73="","",M2_Accesos!M73))</f>
        <v/>
      </c>
      <c r="AD269" s="17" t="str">
        <f>IF(M2_Accesos!A73="","","RD")</f>
        <v/>
      </c>
      <c r="AE269" s="17" t="str">
        <f>IF(M2_Accesos!A73="","",IF(M2_Accesos!O73="","",M2_Accesos!O73))</f>
        <v/>
      </c>
      <c r="AF269" s="17" t="str">
        <f>IF(M2_Accesos!A73="","",IF(M2_Accesos!P73="","",M2_Accesos!P73))</f>
        <v/>
      </c>
      <c r="AG269" s="17" t="str">
        <f>IF(M2_Accesos!A73="","",IF(M2_Accesos!Q73="","",M2_Accesos!Q73))</f>
        <v/>
      </c>
      <c r="AH269" s="17" t="str">
        <f>IF(M2_Accesos!A73="","",IF(M2_Accesos!J73="","",M2_Accesos!J73))</f>
        <v/>
      </c>
      <c r="AI269" s="17" t="str">
        <f>IF(M2_Accesos!A73="","","M2_Accesos!73")</f>
        <v/>
      </c>
      <c r="AJ269" s="17" t="str">
        <f>IF(M2_Accesos!A73="","",IF(M2_Accesos!M73="","Pendiente de resultado","Disponible"))</f>
        <v/>
      </c>
    </row>
    <row r="270" spans="1:36" ht="55.5" customHeight="1">
      <c r="A270" s="6" t="str">
        <f t="array" ref="A270">IF(266&gt;$S$1204,"",INDEX($T$5:$AJ$1204,MATCH(266,$S$5:$S$1204,0),1))</f>
        <v/>
      </c>
      <c r="B270" s="8" t="str">
        <f t="array" ref="B270">IF(266&gt;$S$1204,"",INDEX($T$5:$AJ$1204,MATCH(266,$S$5:$S$1204,0),2))</f>
        <v/>
      </c>
      <c r="C270" s="10" t="str">
        <f t="array" ref="C270">IF(266&gt;$S$1204,"",INDEX($T$5:$AJ$1204,MATCH(266,$S$5:$S$1204,0),3))</f>
        <v/>
      </c>
      <c r="D270" s="8" t="str">
        <f t="array" ref="D270">IF(266&gt;$S$1204,"",INDEX($T$5:$AJ$1204,MATCH(266,$S$5:$S$1204,0),4))</f>
        <v/>
      </c>
      <c r="E270" s="8" t="str">
        <f t="array" ref="E270">IF(266&gt;$S$1204,"",INDEX($T$5:$AJ$1204,MATCH(266,$S$5:$S$1204,0),5))</f>
        <v/>
      </c>
      <c r="F270" s="8" t="str">
        <f t="array" ref="F270">IF(266&gt;$S$1204,"",INDEX($T$5:$AJ$1204,MATCH(266,$S$5:$S$1204,0),6))</f>
        <v/>
      </c>
      <c r="G270" s="8" t="str">
        <f t="array" ref="G270">IF(266&gt;$S$1204,"",INDEX($T$5:$AJ$1204,MATCH(266,$S$5:$S$1204,0),7))</f>
        <v/>
      </c>
      <c r="H270" s="8" t="str">
        <f t="array" ref="H270">IF(266&gt;$S$1204,"",INDEX($T$5:$AJ$1204,MATCH(266,$S$5:$S$1204,0),8))</f>
        <v/>
      </c>
      <c r="I270" s="8" t="str">
        <f t="array" ref="I270">IF(266&gt;$S$1204,"",INDEX($T$5:$AJ$1204,MATCH(266,$S$5:$S$1204,0),9))</f>
        <v/>
      </c>
      <c r="J270" s="14" t="str">
        <f t="array" ref="J270">IF(266&gt;$S$1204,"",INDEX($T$5:$AJ$1204,MATCH(266,$S$5:$S$1204,0),10))</f>
        <v/>
      </c>
      <c r="K270" s="8" t="str">
        <f t="array" ref="K270">IF(266&gt;$S$1204,"",INDEX($T$5:$AJ$1204,MATCH(266,$S$5:$S$1204,0),11))</f>
        <v/>
      </c>
      <c r="L270" s="8" t="str">
        <f t="array" ref="L270">IF(266&gt;$S$1204,"",INDEX($T$5:$AJ$1204,MATCH(266,$S$5:$S$1204,0),12))</f>
        <v/>
      </c>
      <c r="M270" s="8" t="str">
        <f t="array" ref="M270">IF(266&gt;$S$1204,"",INDEX($T$5:$AJ$1204,MATCH(266,$S$5:$S$1204,0),13))</f>
        <v/>
      </c>
      <c r="N270" s="8" t="str">
        <f t="array" ref="N270">IF(266&gt;$S$1204,"",INDEX($T$5:$AJ$1204,MATCH(266,$S$5:$S$1204,0),14))</f>
        <v/>
      </c>
      <c r="O270" s="15" t="str">
        <f t="array" ref="O270">IF(266&gt;$S$1204,"",INDEX($T$5:$AJ$1204,MATCH(266,$S$5:$S$1204,0),15))</f>
        <v/>
      </c>
      <c r="P270" s="8" t="str">
        <f t="array" ref="P270">IF(266&gt;$S$1204,"",INDEX($T$5:$AJ$1204,MATCH(266,$S$5:$S$1204,0),16))</f>
        <v/>
      </c>
      <c r="Q270" s="8" t="str">
        <f t="array" ref="Q270">IF(266&gt;$S$1204,"",INDEX($T$5:$AJ$1204,MATCH(266,$S$5:$S$1204,0),17))</f>
        <v/>
      </c>
      <c r="R270" s="17"/>
      <c r="S270" s="17">
        <f>S269+IF(M2_Accesos!A74="",0,1)</f>
        <v>0</v>
      </c>
      <c r="T270" s="17" t="str">
        <f>IF(M2_Accesos!A74="","",IF(M2_Accesos!A74="","",M2_Accesos!A74))</f>
        <v/>
      </c>
      <c r="U270" s="17" t="str">
        <f>IF(M2_Accesos!A74="","",IF(M2_Accesos!R74="","",M2_Accesos!R74))</f>
        <v/>
      </c>
      <c r="V270" s="17" t="str">
        <f>IF(M2_Accesos!A74="","",IF(M2_Accesos!D74="","",M2_Accesos!D74))</f>
        <v/>
      </c>
      <c r="W270" s="17" t="str">
        <f>IF(M2_Accesos!A74="","",IF(M2_Accesos!B74="","",M2_Accesos!B74))</f>
        <v/>
      </c>
      <c r="X270" s="17" t="str">
        <f>IF(M2_Accesos!A74="","",IF(M2_Accesos!C74="","",M2_Accesos!C74))</f>
        <v/>
      </c>
      <c r="Y270" s="17" t="str">
        <f>IF(M2_Accesos!A74="","",IF(M2_Accesos!E74="","",M2_Accesos!E74))</f>
        <v/>
      </c>
      <c r="Z270" s="17" t="str">
        <f>IF(M2_Accesos!A74="","",IF(M2_Accesos!F74="","",M2_Accesos!F74))</f>
        <v/>
      </c>
      <c r="AA270" s="17" t="str">
        <f>IF(M2_Accesos!A74="","","M2 Accesos")</f>
        <v/>
      </c>
      <c r="AB270" s="17" t="str">
        <f>IF(M2_Accesos!A74="","",IF(M2_Accesos!G74="","",M2_Accesos!G74))</f>
        <v/>
      </c>
      <c r="AC270" s="17" t="str">
        <f>IF(M2_Accesos!A74="","",IF(M2_Accesos!M74="","",M2_Accesos!M74))</f>
        <v/>
      </c>
      <c r="AD270" s="17" t="str">
        <f>IF(M2_Accesos!A74="","","RD")</f>
        <v/>
      </c>
      <c r="AE270" s="17" t="str">
        <f>IF(M2_Accesos!A74="","",IF(M2_Accesos!O74="","",M2_Accesos!O74))</f>
        <v/>
      </c>
      <c r="AF270" s="17" t="str">
        <f>IF(M2_Accesos!A74="","",IF(M2_Accesos!P74="","",M2_Accesos!P74))</f>
        <v/>
      </c>
      <c r="AG270" s="17" t="str">
        <f>IF(M2_Accesos!A74="","",IF(M2_Accesos!Q74="","",M2_Accesos!Q74))</f>
        <v/>
      </c>
      <c r="AH270" s="17" t="str">
        <f>IF(M2_Accesos!A74="","",IF(M2_Accesos!J74="","",M2_Accesos!J74))</f>
        <v/>
      </c>
      <c r="AI270" s="17" t="str">
        <f>IF(M2_Accesos!A74="","","M2_Accesos!74")</f>
        <v/>
      </c>
      <c r="AJ270" s="17" t="str">
        <f>IF(M2_Accesos!A74="","",IF(M2_Accesos!M74="","Pendiente de resultado","Disponible"))</f>
        <v/>
      </c>
    </row>
    <row r="271" spans="1:36" ht="55.5" customHeight="1">
      <c r="A271" s="6" t="str">
        <f t="array" ref="A271">IF(267&gt;$S$1204,"",INDEX($T$5:$AJ$1204,MATCH(267,$S$5:$S$1204,0),1))</f>
        <v/>
      </c>
      <c r="B271" s="8" t="str">
        <f t="array" ref="B271">IF(267&gt;$S$1204,"",INDEX($T$5:$AJ$1204,MATCH(267,$S$5:$S$1204,0),2))</f>
        <v/>
      </c>
      <c r="C271" s="10" t="str">
        <f t="array" ref="C271">IF(267&gt;$S$1204,"",INDEX($T$5:$AJ$1204,MATCH(267,$S$5:$S$1204,0),3))</f>
        <v/>
      </c>
      <c r="D271" s="8" t="str">
        <f t="array" ref="D271">IF(267&gt;$S$1204,"",INDEX($T$5:$AJ$1204,MATCH(267,$S$5:$S$1204,0),4))</f>
        <v/>
      </c>
      <c r="E271" s="8" t="str">
        <f t="array" ref="E271">IF(267&gt;$S$1204,"",INDEX($T$5:$AJ$1204,MATCH(267,$S$5:$S$1204,0),5))</f>
        <v/>
      </c>
      <c r="F271" s="8" t="str">
        <f t="array" ref="F271">IF(267&gt;$S$1204,"",INDEX($T$5:$AJ$1204,MATCH(267,$S$5:$S$1204,0),6))</f>
        <v/>
      </c>
      <c r="G271" s="8" t="str">
        <f t="array" ref="G271">IF(267&gt;$S$1204,"",INDEX($T$5:$AJ$1204,MATCH(267,$S$5:$S$1204,0),7))</f>
        <v/>
      </c>
      <c r="H271" s="8" t="str">
        <f t="array" ref="H271">IF(267&gt;$S$1204,"",INDEX($T$5:$AJ$1204,MATCH(267,$S$5:$S$1204,0),8))</f>
        <v/>
      </c>
      <c r="I271" s="8" t="str">
        <f t="array" ref="I271">IF(267&gt;$S$1204,"",INDEX($T$5:$AJ$1204,MATCH(267,$S$5:$S$1204,0),9))</f>
        <v/>
      </c>
      <c r="J271" s="14" t="str">
        <f t="array" ref="J271">IF(267&gt;$S$1204,"",INDEX($T$5:$AJ$1204,MATCH(267,$S$5:$S$1204,0),10))</f>
        <v/>
      </c>
      <c r="K271" s="8" t="str">
        <f t="array" ref="K271">IF(267&gt;$S$1204,"",INDEX($T$5:$AJ$1204,MATCH(267,$S$5:$S$1204,0),11))</f>
        <v/>
      </c>
      <c r="L271" s="8" t="str">
        <f t="array" ref="L271">IF(267&gt;$S$1204,"",INDEX($T$5:$AJ$1204,MATCH(267,$S$5:$S$1204,0),12))</f>
        <v/>
      </c>
      <c r="M271" s="8" t="str">
        <f t="array" ref="M271">IF(267&gt;$S$1204,"",INDEX($T$5:$AJ$1204,MATCH(267,$S$5:$S$1204,0),13))</f>
        <v/>
      </c>
      <c r="N271" s="8" t="str">
        <f t="array" ref="N271">IF(267&gt;$S$1204,"",INDEX($T$5:$AJ$1204,MATCH(267,$S$5:$S$1204,0),14))</f>
        <v/>
      </c>
      <c r="O271" s="15" t="str">
        <f t="array" ref="O271">IF(267&gt;$S$1204,"",INDEX($T$5:$AJ$1204,MATCH(267,$S$5:$S$1204,0),15))</f>
        <v/>
      </c>
      <c r="P271" s="8" t="str">
        <f t="array" ref="P271">IF(267&gt;$S$1204,"",INDEX($T$5:$AJ$1204,MATCH(267,$S$5:$S$1204,0),16))</f>
        <v/>
      </c>
      <c r="Q271" s="8" t="str">
        <f t="array" ref="Q271">IF(267&gt;$S$1204,"",INDEX($T$5:$AJ$1204,MATCH(267,$S$5:$S$1204,0),17))</f>
        <v/>
      </c>
      <c r="R271" s="17"/>
      <c r="S271" s="17">
        <f>S270+IF(M2_Accesos!A75="",0,1)</f>
        <v>0</v>
      </c>
      <c r="T271" s="17" t="str">
        <f>IF(M2_Accesos!A75="","",IF(M2_Accesos!A75="","",M2_Accesos!A75))</f>
        <v/>
      </c>
      <c r="U271" s="17" t="str">
        <f>IF(M2_Accesos!A75="","",IF(M2_Accesos!R75="","",M2_Accesos!R75))</f>
        <v/>
      </c>
      <c r="V271" s="17" t="str">
        <f>IF(M2_Accesos!A75="","",IF(M2_Accesos!D75="","",M2_Accesos!D75))</f>
        <v/>
      </c>
      <c r="W271" s="17" t="str">
        <f>IF(M2_Accesos!A75="","",IF(M2_Accesos!B75="","",M2_Accesos!B75))</f>
        <v/>
      </c>
      <c r="X271" s="17" t="str">
        <f>IF(M2_Accesos!A75="","",IF(M2_Accesos!C75="","",M2_Accesos!C75))</f>
        <v/>
      </c>
      <c r="Y271" s="17" t="str">
        <f>IF(M2_Accesos!A75="","",IF(M2_Accesos!E75="","",M2_Accesos!E75))</f>
        <v/>
      </c>
      <c r="Z271" s="17" t="str">
        <f>IF(M2_Accesos!A75="","",IF(M2_Accesos!F75="","",M2_Accesos!F75))</f>
        <v/>
      </c>
      <c r="AA271" s="17" t="str">
        <f>IF(M2_Accesos!A75="","","M2 Accesos")</f>
        <v/>
      </c>
      <c r="AB271" s="17" t="str">
        <f>IF(M2_Accesos!A75="","",IF(M2_Accesos!G75="","",M2_Accesos!G75))</f>
        <v/>
      </c>
      <c r="AC271" s="17" t="str">
        <f>IF(M2_Accesos!A75="","",IF(M2_Accesos!M75="","",M2_Accesos!M75))</f>
        <v/>
      </c>
      <c r="AD271" s="17" t="str">
        <f>IF(M2_Accesos!A75="","","RD")</f>
        <v/>
      </c>
      <c r="AE271" s="17" t="str">
        <f>IF(M2_Accesos!A75="","",IF(M2_Accesos!O75="","",M2_Accesos!O75))</f>
        <v/>
      </c>
      <c r="AF271" s="17" t="str">
        <f>IF(M2_Accesos!A75="","",IF(M2_Accesos!P75="","",M2_Accesos!P75))</f>
        <v/>
      </c>
      <c r="AG271" s="17" t="str">
        <f>IF(M2_Accesos!A75="","",IF(M2_Accesos!Q75="","",M2_Accesos!Q75))</f>
        <v/>
      </c>
      <c r="AH271" s="17" t="str">
        <f>IF(M2_Accesos!A75="","",IF(M2_Accesos!J75="","",M2_Accesos!J75))</f>
        <v/>
      </c>
      <c r="AI271" s="17" t="str">
        <f>IF(M2_Accesos!A75="","","M2_Accesos!75")</f>
        <v/>
      </c>
      <c r="AJ271" s="17" t="str">
        <f>IF(M2_Accesos!A75="","",IF(M2_Accesos!M75="","Pendiente de resultado","Disponible"))</f>
        <v/>
      </c>
    </row>
    <row r="272" spans="1:36" ht="55.5" customHeight="1">
      <c r="A272" s="6" t="str">
        <f t="array" ref="A272">IF(268&gt;$S$1204,"",INDEX($T$5:$AJ$1204,MATCH(268,$S$5:$S$1204,0),1))</f>
        <v/>
      </c>
      <c r="B272" s="8" t="str">
        <f t="array" ref="B272">IF(268&gt;$S$1204,"",INDEX($T$5:$AJ$1204,MATCH(268,$S$5:$S$1204,0),2))</f>
        <v/>
      </c>
      <c r="C272" s="10" t="str">
        <f t="array" ref="C272">IF(268&gt;$S$1204,"",INDEX($T$5:$AJ$1204,MATCH(268,$S$5:$S$1204,0),3))</f>
        <v/>
      </c>
      <c r="D272" s="8" t="str">
        <f t="array" ref="D272">IF(268&gt;$S$1204,"",INDEX($T$5:$AJ$1204,MATCH(268,$S$5:$S$1204,0),4))</f>
        <v/>
      </c>
      <c r="E272" s="8" t="str">
        <f t="array" ref="E272">IF(268&gt;$S$1204,"",INDEX($T$5:$AJ$1204,MATCH(268,$S$5:$S$1204,0),5))</f>
        <v/>
      </c>
      <c r="F272" s="8" t="str">
        <f t="array" ref="F272">IF(268&gt;$S$1204,"",INDEX($T$5:$AJ$1204,MATCH(268,$S$5:$S$1204,0),6))</f>
        <v/>
      </c>
      <c r="G272" s="8" t="str">
        <f t="array" ref="G272">IF(268&gt;$S$1204,"",INDEX($T$5:$AJ$1204,MATCH(268,$S$5:$S$1204,0),7))</f>
        <v/>
      </c>
      <c r="H272" s="8" t="str">
        <f t="array" ref="H272">IF(268&gt;$S$1204,"",INDEX($T$5:$AJ$1204,MATCH(268,$S$5:$S$1204,0),8))</f>
        <v/>
      </c>
      <c r="I272" s="8" t="str">
        <f t="array" ref="I272">IF(268&gt;$S$1204,"",INDEX($T$5:$AJ$1204,MATCH(268,$S$5:$S$1204,0),9))</f>
        <v/>
      </c>
      <c r="J272" s="14" t="str">
        <f t="array" ref="J272">IF(268&gt;$S$1204,"",INDEX($T$5:$AJ$1204,MATCH(268,$S$5:$S$1204,0),10))</f>
        <v/>
      </c>
      <c r="K272" s="8" t="str">
        <f t="array" ref="K272">IF(268&gt;$S$1204,"",INDEX($T$5:$AJ$1204,MATCH(268,$S$5:$S$1204,0),11))</f>
        <v/>
      </c>
      <c r="L272" s="8" t="str">
        <f t="array" ref="L272">IF(268&gt;$S$1204,"",INDEX($T$5:$AJ$1204,MATCH(268,$S$5:$S$1204,0),12))</f>
        <v/>
      </c>
      <c r="M272" s="8" t="str">
        <f t="array" ref="M272">IF(268&gt;$S$1204,"",INDEX($T$5:$AJ$1204,MATCH(268,$S$5:$S$1204,0),13))</f>
        <v/>
      </c>
      <c r="N272" s="8" t="str">
        <f t="array" ref="N272">IF(268&gt;$S$1204,"",INDEX($T$5:$AJ$1204,MATCH(268,$S$5:$S$1204,0),14))</f>
        <v/>
      </c>
      <c r="O272" s="15" t="str">
        <f t="array" ref="O272">IF(268&gt;$S$1204,"",INDEX($T$5:$AJ$1204,MATCH(268,$S$5:$S$1204,0),15))</f>
        <v/>
      </c>
      <c r="P272" s="8" t="str">
        <f t="array" ref="P272">IF(268&gt;$S$1204,"",INDEX($T$5:$AJ$1204,MATCH(268,$S$5:$S$1204,0),16))</f>
        <v/>
      </c>
      <c r="Q272" s="8" t="str">
        <f t="array" ref="Q272">IF(268&gt;$S$1204,"",INDEX($T$5:$AJ$1204,MATCH(268,$S$5:$S$1204,0),17))</f>
        <v/>
      </c>
      <c r="R272" s="17"/>
      <c r="S272" s="17">
        <f>S271+IF(M2_Accesos!A76="",0,1)</f>
        <v>0</v>
      </c>
      <c r="T272" s="17" t="str">
        <f>IF(M2_Accesos!A76="","",IF(M2_Accesos!A76="","",M2_Accesos!A76))</f>
        <v/>
      </c>
      <c r="U272" s="17" t="str">
        <f>IF(M2_Accesos!A76="","",IF(M2_Accesos!R76="","",M2_Accesos!R76))</f>
        <v/>
      </c>
      <c r="V272" s="17" t="str">
        <f>IF(M2_Accesos!A76="","",IF(M2_Accesos!D76="","",M2_Accesos!D76))</f>
        <v/>
      </c>
      <c r="W272" s="17" t="str">
        <f>IF(M2_Accesos!A76="","",IF(M2_Accesos!B76="","",M2_Accesos!B76))</f>
        <v/>
      </c>
      <c r="X272" s="17" t="str">
        <f>IF(M2_Accesos!A76="","",IF(M2_Accesos!C76="","",M2_Accesos!C76))</f>
        <v/>
      </c>
      <c r="Y272" s="17" t="str">
        <f>IF(M2_Accesos!A76="","",IF(M2_Accesos!E76="","",M2_Accesos!E76))</f>
        <v/>
      </c>
      <c r="Z272" s="17" t="str">
        <f>IF(M2_Accesos!A76="","",IF(M2_Accesos!F76="","",M2_Accesos!F76))</f>
        <v/>
      </c>
      <c r="AA272" s="17" t="str">
        <f>IF(M2_Accesos!A76="","","M2 Accesos")</f>
        <v/>
      </c>
      <c r="AB272" s="17" t="str">
        <f>IF(M2_Accesos!A76="","",IF(M2_Accesos!G76="","",M2_Accesos!G76))</f>
        <v/>
      </c>
      <c r="AC272" s="17" t="str">
        <f>IF(M2_Accesos!A76="","",IF(M2_Accesos!M76="","",M2_Accesos!M76))</f>
        <v/>
      </c>
      <c r="AD272" s="17" t="str">
        <f>IF(M2_Accesos!A76="","","RD")</f>
        <v/>
      </c>
      <c r="AE272" s="17" t="str">
        <f>IF(M2_Accesos!A76="","",IF(M2_Accesos!O76="","",M2_Accesos!O76))</f>
        <v/>
      </c>
      <c r="AF272" s="17" t="str">
        <f>IF(M2_Accesos!A76="","",IF(M2_Accesos!P76="","",M2_Accesos!P76))</f>
        <v/>
      </c>
      <c r="AG272" s="17" t="str">
        <f>IF(M2_Accesos!A76="","",IF(M2_Accesos!Q76="","",M2_Accesos!Q76))</f>
        <v/>
      </c>
      <c r="AH272" s="17" t="str">
        <f>IF(M2_Accesos!A76="","",IF(M2_Accesos!J76="","",M2_Accesos!J76))</f>
        <v/>
      </c>
      <c r="AI272" s="17" t="str">
        <f>IF(M2_Accesos!A76="","","M2_Accesos!76")</f>
        <v/>
      </c>
      <c r="AJ272" s="17" t="str">
        <f>IF(M2_Accesos!A76="","",IF(M2_Accesos!M76="","Pendiente de resultado","Disponible"))</f>
        <v/>
      </c>
    </row>
    <row r="273" spans="1:36" ht="55.5" customHeight="1">
      <c r="A273" s="6" t="str">
        <f t="array" ref="A273">IF(269&gt;$S$1204,"",INDEX($T$5:$AJ$1204,MATCH(269,$S$5:$S$1204,0),1))</f>
        <v/>
      </c>
      <c r="B273" s="8" t="str">
        <f t="array" ref="B273">IF(269&gt;$S$1204,"",INDEX($T$5:$AJ$1204,MATCH(269,$S$5:$S$1204,0),2))</f>
        <v/>
      </c>
      <c r="C273" s="10" t="str">
        <f t="array" ref="C273">IF(269&gt;$S$1204,"",INDEX($T$5:$AJ$1204,MATCH(269,$S$5:$S$1204,0),3))</f>
        <v/>
      </c>
      <c r="D273" s="8" t="str">
        <f t="array" ref="D273">IF(269&gt;$S$1204,"",INDEX($T$5:$AJ$1204,MATCH(269,$S$5:$S$1204,0),4))</f>
        <v/>
      </c>
      <c r="E273" s="8" t="str">
        <f t="array" ref="E273">IF(269&gt;$S$1204,"",INDEX($T$5:$AJ$1204,MATCH(269,$S$5:$S$1204,0),5))</f>
        <v/>
      </c>
      <c r="F273" s="8" t="str">
        <f t="array" ref="F273">IF(269&gt;$S$1204,"",INDEX($T$5:$AJ$1204,MATCH(269,$S$5:$S$1204,0),6))</f>
        <v/>
      </c>
      <c r="G273" s="8" t="str">
        <f t="array" ref="G273">IF(269&gt;$S$1204,"",INDEX($T$5:$AJ$1204,MATCH(269,$S$5:$S$1204,0),7))</f>
        <v/>
      </c>
      <c r="H273" s="8" t="str">
        <f t="array" ref="H273">IF(269&gt;$S$1204,"",INDEX($T$5:$AJ$1204,MATCH(269,$S$5:$S$1204,0),8))</f>
        <v/>
      </c>
      <c r="I273" s="8" t="str">
        <f t="array" ref="I273">IF(269&gt;$S$1204,"",INDEX($T$5:$AJ$1204,MATCH(269,$S$5:$S$1204,0),9))</f>
        <v/>
      </c>
      <c r="J273" s="14" t="str">
        <f t="array" ref="J273">IF(269&gt;$S$1204,"",INDEX($T$5:$AJ$1204,MATCH(269,$S$5:$S$1204,0),10))</f>
        <v/>
      </c>
      <c r="K273" s="8" t="str">
        <f t="array" ref="K273">IF(269&gt;$S$1204,"",INDEX($T$5:$AJ$1204,MATCH(269,$S$5:$S$1204,0),11))</f>
        <v/>
      </c>
      <c r="L273" s="8" t="str">
        <f t="array" ref="L273">IF(269&gt;$S$1204,"",INDEX($T$5:$AJ$1204,MATCH(269,$S$5:$S$1204,0),12))</f>
        <v/>
      </c>
      <c r="M273" s="8" t="str">
        <f t="array" ref="M273">IF(269&gt;$S$1204,"",INDEX($T$5:$AJ$1204,MATCH(269,$S$5:$S$1204,0),13))</f>
        <v/>
      </c>
      <c r="N273" s="8" t="str">
        <f t="array" ref="N273">IF(269&gt;$S$1204,"",INDEX($T$5:$AJ$1204,MATCH(269,$S$5:$S$1204,0),14))</f>
        <v/>
      </c>
      <c r="O273" s="15" t="str">
        <f t="array" ref="O273">IF(269&gt;$S$1204,"",INDEX($T$5:$AJ$1204,MATCH(269,$S$5:$S$1204,0),15))</f>
        <v/>
      </c>
      <c r="P273" s="8" t="str">
        <f t="array" ref="P273">IF(269&gt;$S$1204,"",INDEX($T$5:$AJ$1204,MATCH(269,$S$5:$S$1204,0),16))</f>
        <v/>
      </c>
      <c r="Q273" s="8" t="str">
        <f t="array" ref="Q273">IF(269&gt;$S$1204,"",INDEX($T$5:$AJ$1204,MATCH(269,$S$5:$S$1204,0),17))</f>
        <v/>
      </c>
      <c r="R273" s="17"/>
      <c r="S273" s="17">
        <f>S272+IF(M2_Accesos!A77="",0,1)</f>
        <v>0</v>
      </c>
      <c r="T273" s="17" t="str">
        <f>IF(M2_Accesos!A77="","",IF(M2_Accesos!A77="","",M2_Accesos!A77))</f>
        <v/>
      </c>
      <c r="U273" s="17" t="str">
        <f>IF(M2_Accesos!A77="","",IF(M2_Accesos!R77="","",M2_Accesos!R77))</f>
        <v/>
      </c>
      <c r="V273" s="17" t="str">
        <f>IF(M2_Accesos!A77="","",IF(M2_Accesos!D77="","",M2_Accesos!D77))</f>
        <v/>
      </c>
      <c r="W273" s="17" t="str">
        <f>IF(M2_Accesos!A77="","",IF(M2_Accesos!B77="","",M2_Accesos!B77))</f>
        <v/>
      </c>
      <c r="X273" s="17" t="str">
        <f>IF(M2_Accesos!A77="","",IF(M2_Accesos!C77="","",M2_Accesos!C77))</f>
        <v/>
      </c>
      <c r="Y273" s="17" t="str">
        <f>IF(M2_Accesos!A77="","",IF(M2_Accesos!E77="","",M2_Accesos!E77))</f>
        <v/>
      </c>
      <c r="Z273" s="17" t="str">
        <f>IF(M2_Accesos!A77="","",IF(M2_Accesos!F77="","",M2_Accesos!F77))</f>
        <v/>
      </c>
      <c r="AA273" s="17" t="str">
        <f>IF(M2_Accesos!A77="","","M2 Accesos")</f>
        <v/>
      </c>
      <c r="AB273" s="17" t="str">
        <f>IF(M2_Accesos!A77="","",IF(M2_Accesos!G77="","",M2_Accesos!G77))</f>
        <v/>
      </c>
      <c r="AC273" s="17" t="str">
        <f>IF(M2_Accesos!A77="","",IF(M2_Accesos!M77="","",M2_Accesos!M77))</f>
        <v/>
      </c>
      <c r="AD273" s="17" t="str">
        <f>IF(M2_Accesos!A77="","","RD")</f>
        <v/>
      </c>
      <c r="AE273" s="17" t="str">
        <f>IF(M2_Accesos!A77="","",IF(M2_Accesos!O77="","",M2_Accesos!O77))</f>
        <v/>
      </c>
      <c r="AF273" s="17" t="str">
        <f>IF(M2_Accesos!A77="","",IF(M2_Accesos!P77="","",M2_Accesos!P77))</f>
        <v/>
      </c>
      <c r="AG273" s="17" t="str">
        <f>IF(M2_Accesos!A77="","",IF(M2_Accesos!Q77="","",M2_Accesos!Q77))</f>
        <v/>
      </c>
      <c r="AH273" s="17" t="str">
        <f>IF(M2_Accesos!A77="","",IF(M2_Accesos!J77="","",M2_Accesos!J77))</f>
        <v/>
      </c>
      <c r="AI273" s="17" t="str">
        <f>IF(M2_Accesos!A77="","","M2_Accesos!77")</f>
        <v/>
      </c>
      <c r="AJ273" s="17" t="str">
        <f>IF(M2_Accesos!A77="","",IF(M2_Accesos!M77="","Pendiente de resultado","Disponible"))</f>
        <v/>
      </c>
    </row>
    <row r="274" spans="1:36" ht="55.5" customHeight="1">
      <c r="A274" s="6" t="str">
        <f t="array" ref="A274">IF(270&gt;$S$1204,"",INDEX($T$5:$AJ$1204,MATCH(270,$S$5:$S$1204,0),1))</f>
        <v/>
      </c>
      <c r="B274" s="8" t="str">
        <f t="array" ref="B274">IF(270&gt;$S$1204,"",INDEX($T$5:$AJ$1204,MATCH(270,$S$5:$S$1204,0),2))</f>
        <v/>
      </c>
      <c r="C274" s="10" t="str">
        <f t="array" ref="C274">IF(270&gt;$S$1204,"",INDEX($T$5:$AJ$1204,MATCH(270,$S$5:$S$1204,0),3))</f>
        <v/>
      </c>
      <c r="D274" s="8" t="str">
        <f t="array" ref="D274">IF(270&gt;$S$1204,"",INDEX($T$5:$AJ$1204,MATCH(270,$S$5:$S$1204,0),4))</f>
        <v/>
      </c>
      <c r="E274" s="8" t="str">
        <f t="array" ref="E274">IF(270&gt;$S$1204,"",INDEX($T$5:$AJ$1204,MATCH(270,$S$5:$S$1204,0),5))</f>
        <v/>
      </c>
      <c r="F274" s="8" t="str">
        <f t="array" ref="F274">IF(270&gt;$S$1204,"",INDEX($T$5:$AJ$1204,MATCH(270,$S$5:$S$1204,0),6))</f>
        <v/>
      </c>
      <c r="G274" s="8" t="str">
        <f t="array" ref="G274">IF(270&gt;$S$1204,"",INDEX($T$5:$AJ$1204,MATCH(270,$S$5:$S$1204,0),7))</f>
        <v/>
      </c>
      <c r="H274" s="8" t="str">
        <f t="array" ref="H274">IF(270&gt;$S$1204,"",INDEX($T$5:$AJ$1204,MATCH(270,$S$5:$S$1204,0),8))</f>
        <v/>
      </c>
      <c r="I274" s="8" t="str">
        <f t="array" ref="I274">IF(270&gt;$S$1204,"",INDEX($T$5:$AJ$1204,MATCH(270,$S$5:$S$1204,0),9))</f>
        <v/>
      </c>
      <c r="J274" s="14" t="str">
        <f t="array" ref="J274">IF(270&gt;$S$1204,"",INDEX($T$5:$AJ$1204,MATCH(270,$S$5:$S$1204,0),10))</f>
        <v/>
      </c>
      <c r="K274" s="8" t="str">
        <f t="array" ref="K274">IF(270&gt;$S$1204,"",INDEX($T$5:$AJ$1204,MATCH(270,$S$5:$S$1204,0),11))</f>
        <v/>
      </c>
      <c r="L274" s="8" t="str">
        <f t="array" ref="L274">IF(270&gt;$S$1204,"",INDEX($T$5:$AJ$1204,MATCH(270,$S$5:$S$1204,0),12))</f>
        <v/>
      </c>
      <c r="M274" s="8" t="str">
        <f t="array" ref="M274">IF(270&gt;$S$1204,"",INDEX($T$5:$AJ$1204,MATCH(270,$S$5:$S$1204,0),13))</f>
        <v/>
      </c>
      <c r="N274" s="8" t="str">
        <f t="array" ref="N274">IF(270&gt;$S$1204,"",INDEX($T$5:$AJ$1204,MATCH(270,$S$5:$S$1204,0),14))</f>
        <v/>
      </c>
      <c r="O274" s="15" t="str">
        <f t="array" ref="O274">IF(270&gt;$S$1204,"",INDEX($T$5:$AJ$1204,MATCH(270,$S$5:$S$1204,0),15))</f>
        <v/>
      </c>
      <c r="P274" s="8" t="str">
        <f t="array" ref="P274">IF(270&gt;$S$1204,"",INDEX($T$5:$AJ$1204,MATCH(270,$S$5:$S$1204,0),16))</f>
        <v/>
      </c>
      <c r="Q274" s="8" t="str">
        <f t="array" ref="Q274">IF(270&gt;$S$1204,"",INDEX($T$5:$AJ$1204,MATCH(270,$S$5:$S$1204,0),17))</f>
        <v/>
      </c>
      <c r="R274" s="17"/>
      <c r="S274" s="17">
        <f>S273+IF(M2_Accesos!A78="",0,1)</f>
        <v>0</v>
      </c>
      <c r="T274" s="17" t="str">
        <f>IF(M2_Accesos!A78="","",IF(M2_Accesos!A78="","",M2_Accesos!A78))</f>
        <v/>
      </c>
      <c r="U274" s="17" t="str">
        <f>IF(M2_Accesos!A78="","",IF(M2_Accesos!R78="","",M2_Accesos!R78))</f>
        <v/>
      </c>
      <c r="V274" s="17" t="str">
        <f>IF(M2_Accesos!A78="","",IF(M2_Accesos!D78="","",M2_Accesos!D78))</f>
        <v/>
      </c>
      <c r="W274" s="17" t="str">
        <f>IF(M2_Accesos!A78="","",IF(M2_Accesos!B78="","",M2_Accesos!B78))</f>
        <v/>
      </c>
      <c r="X274" s="17" t="str">
        <f>IF(M2_Accesos!A78="","",IF(M2_Accesos!C78="","",M2_Accesos!C78))</f>
        <v/>
      </c>
      <c r="Y274" s="17" t="str">
        <f>IF(M2_Accesos!A78="","",IF(M2_Accesos!E78="","",M2_Accesos!E78))</f>
        <v/>
      </c>
      <c r="Z274" s="17" t="str">
        <f>IF(M2_Accesos!A78="","",IF(M2_Accesos!F78="","",M2_Accesos!F78))</f>
        <v/>
      </c>
      <c r="AA274" s="17" t="str">
        <f>IF(M2_Accesos!A78="","","M2 Accesos")</f>
        <v/>
      </c>
      <c r="AB274" s="17" t="str">
        <f>IF(M2_Accesos!A78="","",IF(M2_Accesos!G78="","",M2_Accesos!G78))</f>
        <v/>
      </c>
      <c r="AC274" s="17" t="str">
        <f>IF(M2_Accesos!A78="","",IF(M2_Accesos!M78="","",M2_Accesos!M78))</f>
        <v/>
      </c>
      <c r="AD274" s="17" t="str">
        <f>IF(M2_Accesos!A78="","","RD")</f>
        <v/>
      </c>
      <c r="AE274" s="17" t="str">
        <f>IF(M2_Accesos!A78="","",IF(M2_Accesos!O78="","",M2_Accesos!O78))</f>
        <v/>
      </c>
      <c r="AF274" s="17" t="str">
        <f>IF(M2_Accesos!A78="","",IF(M2_Accesos!P78="","",M2_Accesos!P78))</f>
        <v/>
      </c>
      <c r="AG274" s="17" t="str">
        <f>IF(M2_Accesos!A78="","",IF(M2_Accesos!Q78="","",M2_Accesos!Q78))</f>
        <v/>
      </c>
      <c r="AH274" s="17" t="str">
        <f>IF(M2_Accesos!A78="","",IF(M2_Accesos!J78="","",M2_Accesos!J78))</f>
        <v/>
      </c>
      <c r="AI274" s="17" t="str">
        <f>IF(M2_Accesos!A78="","","M2_Accesos!78")</f>
        <v/>
      </c>
      <c r="AJ274" s="17" t="str">
        <f>IF(M2_Accesos!A78="","",IF(M2_Accesos!M78="","Pendiente de resultado","Disponible"))</f>
        <v/>
      </c>
    </row>
    <row r="275" spans="1:36" ht="55.5" customHeight="1">
      <c r="A275" s="6" t="str">
        <f t="array" ref="A275">IF(271&gt;$S$1204,"",INDEX($T$5:$AJ$1204,MATCH(271,$S$5:$S$1204,0),1))</f>
        <v/>
      </c>
      <c r="B275" s="8" t="str">
        <f t="array" ref="B275">IF(271&gt;$S$1204,"",INDEX($T$5:$AJ$1204,MATCH(271,$S$5:$S$1204,0),2))</f>
        <v/>
      </c>
      <c r="C275" s="10" t="str">
        <f t="array" ref="C275">IF(271&gt;$S$1204,"",INDEX($T$5:$AJ$1204,MATCH(271,$S$5:$S$1204,0),3))</f>
        <v/>
      </c>
      <c r="D275" s="8" t="str">
        <f t="array" ref="D275">IF(271&gt;$S$1204,"",INDEX($T$5:$AJ$1204,MATCH(271,$S$5:$S$1204,0),4))</f>
        <v/>
      </c>
      <c r="E275" s="8" t="str">
        <f t="array" ref="E275">IF(271&gt;$S$1204,"",INDEX($T$5:$AJ$1204,MATCH(271,$S$5:$S$1204,0),5))</f>
        <v/>
      </c>
      <c r="F275" s="8" t="str">
        <f t="array" ref="F275">IF(271&gt;$S$1204,"",INDEX($T$5:$AJ$1204,MATCH(271,$S$5:$S$1204,0),6))</f>
        <v/>
      </c>
      <c r="G275" s="8" t="str">
        <f t="array" ref="G275">IF(271&gt;$S$1204,"",INDEX($T$5:$AJ$1204,MATCH(271,$S$5:$S$1204,0),7))</f>
        <v/>
      </c>
      <c r="H275" s="8" t="str">
        <f t="array" ref="H275">IF(271&gt;$S$1204,"",INDEX($T$5:$AJ$1204,MATCH(271,$S$5:$S$1204,0),8))</f>
        <v/>
      </c>
      <c r="I275" s="8" t="str">
        <f t="array" ref="I275">IF(271&gt;$S$1204,"",INDEX($T$5:$AJ$1204,MATCH(271,$S$5:$S$1204,0),9))</f>
        <v/>
      </c>
      <c r="J275" s="14" t="str">
        <f t="array" ref="J275">IF(271&gt;$S$1204,"",INDEX($T$5:$AJ$1204,MATCH(271,$S$5:$S$1204,0),10))</f>
        <v/>
      </c>
      <c r="K275" s="8" t="str">
        <f t="array" ref="K275">IF(271&gt;$S$1204,"",INDEX($T$5:$AJ$1204,MATCH(271,$S$5:$S$1204,0),11))</f>
        <v/>
      </c>
      <c r="L275" s="8" t="str">
        <f t="array" ref="L275">IF(271&gt;$S$1204,"",INDEX($T$5:$AJ$1204,MATCH(271,$S$5:$S$1204,0),12))</f>
        <v/>
      </c>
      <c r="M275" s="8" t="str">
        <f t="array" ref="M275">IF(271&gt;$S$1204,"",INDEX($T$5:$AJ$1204,MATCH(271,$S$5:$S$1204,0),13))</f>
        <v/>
      </c>
      <c r="N275" s="8" t="str">
        <f t="array" ref="N275">IF(271&gt;$S$1204,"",INDEX($T$5:$AJ$1204,MATCH(271,$S$5:$S$1204,0),14))</f>
        <v/>
      </c>
      <c r="O275" s="15" t="str">
        <f t="array" ref="O275">IF(271&gt;$S$1204,"",INDEX($T$5:$AJ$1204,MATCH(271,$S$5:$S$1204,0),15))</f>
        <v/>
      </c>
      <c r="P275" s="8" t="str">
        <f t="array" ref="P275">IF(271&gt;$S$1204,"",INDEX($T$5:$AJ$1204,MATCH(271,$S$5:$S$1204,0),16))</f>
        <v/>
      </c>
      <c r="Q275" s="8" t="str">
        <f t="array" ref="Q275">IF(271&gt;$S$1204,"",INDEX($T$5:$AJ$1204,MATCH(271,$S$5:$S$1204,0),17))</f>
        <v/>
      </c>
      <c r="R275" s="17"/>
      <c r="S275" s="17">
        <f>S274+IF(M2_Accesos!A79="",0,1)</f>
        <v>0</v>
      </c>
      <c r="T275" s="17" t="str">
        <f>IF(M2_Accesos!A79="","",IF(M2_Accesos!A79="","",M2_Accesos!A79))</f>
        <v/>
      </c>
      <c r="U275" s="17" t="str">
        <f>IF(M2_Accesos!A79="","",IF(M2_Accesos!R79="","",M2_Accesos!R79))</f>
        <v/>
      </c>
      <c r="V275" s="17" t="str">
        <f>IF(M2_Accesos!A79="","",IF(M2_Accesos!D79="","",M2_Accesos!D79))</f>
        <v/>
      </c>
      <c r="W275" s="17" t="str">
        <f>IF(M2_Accesos!A79="","",IF(M2_Accesos!B79="","",M2_Accesos!B79))</f>
        <v/>
      </c>
      <c r="X275" s="17" t="str">
        <f>IF(M2_Accesos!A79="","",IF(M2_Accesos!C79="","",M2_Accesos!C79))</f>
        <v/>
      </c>
      <c r="Y275" s="17" t="str">
        <f>IF(M2_Accesos!A79="","",IF(M2_Accesos!E79="","",M2_Accesos!E79))</f>
        <v/>
      </c>
      <c r="Z275" s="17" t="str">
        <f>IF(M2_Accesos!A79="","",IF(M2_Accesos!F79="","",M2_Accesos!F79))</f>
        <v/>
      </c>
      <c r="AA275" s="17" t="str">
        <f>IF(M2_Accesos!A79="","","M2 Accesos")</f>
        <v/>
      </c>
      <c r="AB275" s="17" t="str">
        <f>IF(M2_Accesos!A79="","",IF(M2_Accesos!G79="","",M2_Accesos!G79))</f>
        <v/>
      </c>
      <c r="AC275" s="17" t="str">
        <f>IF(M2_Accesos!A79="","",IF(M2_Accesos!M79="","",M2_Accesos!M79))</f>
        <v/>
      </c>
      <c r="AD275" s="17" t="str">
        <f>IF(M2_Accesos!A79="","","RD")</f>
        <v/>
      </c>
      <c r="AE275" s="17" t="str">
        <f>IF(M2_Accesos!A79="","",IF(M2_Accesos!O79="","",M2_Accesos!O79))</f>
        <v/>
      </c>
      <c r="AF275" s="17" t="str">
        <f>IF(M2_Accesos!A79="","",IF(M2_Accesos!P79="","",M2_Accesos!P79))</f>
        <v/>
      </c>
      <c r="AG275" s="17" t="str">
        <f>IF(M2_Accesos!A79="","",IF(M2_Accesos!Q79="","",M2_Accesos!Q79))</f>
        <v/>
      </c>
      <c r="AH275" s="17" t="str">
        <f>IF(M2_Accesos!A79="","",IF(M2_Accesos!J79="","",M2_Accesos!J79))</f>
        <v/>
      </c>
      <c r="AI275" s="17" t="str">
        <f>IF(M2_Accesos!A79="","","M2_Accesos!79")</f>
        <v/>
      </c>
      <c r="AJ275" s="17" t="str">
        <f>IF(M2_Accesos!A79="","",IF(M2_Accesos!M79="","Pendiente de resultado","Disponible"))</f>
        <v/>
      </c>
    </row>
    <row r="276" spans="1:36" ht="55.5" customHeight="1">
      <c r="A276" s="6" t="str">
        <f t="array" ref="A276">IF(272&gt;$S$1204,"",INDEX($T$5:$AJ$1204,MATCH(272,$S$5:$S$1204,0),1))</f>
        <v/>
      </c>
      <c r="B276" s="8" t="str">
        <f t="array" ref="B276">IF(272&gt;$S$1204,"",INDEX($T$5:$AJ$1204,MATCH(272,$S$5:$S$1204,0),2))</f>
        <v/>
      </c>
      <c r="C276" s="10" t="str">
        <f t="array" ref="C276">IF(272&gt;$S$1204,"",INDEX($T$5:$AJ$1204,MATCH(272,$S$5:$S$1204,0),3))</f>
        <v/>
      </c>
      <c r="D276" s="8" t="str">
        <f t="array" ref="D276">IF(272&gt;$S$1204,"",INDEX($T$5:$AJ$1204,MATCH(272,$S$5:$S$1204,0),4))</f>
        <v/>
      </c>
      <c r="E276" s="8" t="str">
        <f t="array" ref="E276">IF(272&gt;$S$1204,"",INDEX($T$5:$AJ$1204,MATCH(272,$S$5:$S$1204,0),5))</f>
        <v/>
      </c>
      <c r="F276" s="8" t="str">
        <f t="array" ref="F276">IF(272&gt;$S$1204,"",INDEX($T$5:$AJ$1204,MATCH(272,$S$5:$S$1204,0),6))</f>
        <v/>
      </c>
      <c r="G276" s="8" t="str">
        <f t="array" ref="G276">IF(272&gt;$S$1204,"",INDEX($T$5:$AJ$1204,MATCH(272,$S$5:$S$1204,0),7))</f>
        <v/>
      </c>
      <c r="H276" s="8" t="str">
        <f t="array" ref="H276">IF(272&gt;$S$1204,"",INDEX($T$5:$AJ$1204,MATCH(272,$S$5:$S$1204,0),8))</f>
        <v/>
      </c>
      <c r="I276" s="8" t="str">
        <f t="array" ref="I276">IF(272&gt;$S$1204,"",INDEX($T$5:$AJ$1204,MATCH(272,$S$5:$S$1204,0),9))</f>
        <v/>
      </c>
      <c r="J276" s="14" t="str">
        <f t="array" ref="J276">IF(272&gt;$S$1204,"",INDEX($T$5:$AJ$1204,MATCH(272,$S$5:$S$1204,0),10))</f>
        <v/>
      </c>
      <c r="K276" s="8" t="str">
        <f t="array" ref="K276">IF(272&gt;$S$1204,"",INDEX($T$5:$AJ$1204,MATCH(272,$S$5:$S$1204,0),11))</f>
        <v/>
      </c>
      <c r="L276" s="8" t="str">
        <f t="array" ref="L276">IF(272&gt;$S$1204,"",INDEX($T$5:$AJ$1204,MATCH(272,$S$5:$S$1204,0),12))</f>
        <v/>
      </c>
      <c r="M276" s="8" t="str">
        <f t="array" ref="M276">IF(272&gt;$S$1204,"",INDEX($T$5:$AJ$1204,MATCH(272,$S$5:$S$1204,0),13))</f>
        <v/>
      </c>
      <c r="N276" s="8" t="str">
        <f t="array" ref="N276">IF(272&gt;$S$1204,"",INDEX($T$5:$AJ$1204,MATCH(272,$S$5:$S$1204,0),14))</f>
        <v/>
      </c>
      <c r="O276" s="15" t="str">
        <f t="array" ref="O276">IF(272&gt;$S$1204,"",INDEX($T$5:$AJ$1204,MATCH(272,$S$5:$S$1204,0),15))</f>
        <v/>
      </c>
      <c r="P276" s="8" t="str">
        <f t="array" ref="P276">IF(272&gt;$S$1204,"",INDEX($T$5:$AJ$1204,MATCH(272,$S$5:$S$1204,0),16))</f>
        <v/>
      </c>
      <c r="Q276" s="8" t="str">
        <f t="array" ref="Q276">IF(272&gt;$S$1204,"",INDEX($T$5:$AJ$1204,MATCH(272,$S$5:$S$1204,0),17))</f>
        <v/>
      </c>
      <c r="R276" s="17"/>
      <c r="S276" s="17">
        <f>S275+IF(M2_Accesos!A80="",0,1)</f>
        <v>0</v>
      </c>
      <c r="T276" s="17" t="str">
        <f>IF(M2_Accesos!A80="","",IF(M2_Accesos!A80="","",M2_Accesos!A80))</f>
        <v/>
      </c>
      <c r="U276" s="17" t="str">
        <f>IF(M2_Accesos!A80="","",IF(M2_Accesos!R80="","",M2_Accesos!R80))</f>
        <v/>
      </c>
      <c r="V276" s="17" t="str">
        <f>IF(M2_Accesos!A80="","",IF(M2_Accesos!D80="","",M2_Accesos!D80))</f>
        <v/>
      </c>
      <c r="W276" s="17" t="str">
        <f>IF(M2_Accesos!A80="","",IF(M2_Accesos!B80="","",M2_Accesos!B80))</f>
        <v/>
      </c>
      <c r="X276" s="17" t="str">
        <f>IF(M2_Accesos!A80="","",IF(M2_Accesos!C80="","",M2_Accesos!C80))</f>
        <v/>
      </c>
      <c r="Y276" s="17" t="str">
        <f>IF(M2_Accesos!A80="","",IF(M2_Accesos!E80="","",M2_Accesos!E80))</f>
        <v/>
      </c>
      <c r="Z276" s="17" t="str">
        <f>IF(M2_Accesos!A80="","",IF(M2_Accesos!F80="","",M2_Accesos!F80))</f>
        <v/>
      </c>
      <c r="AA276" s="17" t="str">
        <f>IF(M2_Accesos!A80="","","M2 Accesos")</f>
        <v/>
      </c>
      <c r="AB276" s="17" t="str">
        <f>IF(M2_Accesos!A80="","",IF(M2_Accesos!G80="","",M2_Accesos!G80))</f>
        <v/>
      </c>
      <c r="AC276" s="17" t="str">
        <f>IF(M2_Accesos!A80="","",IF(M2_Accesos!M80="","",M2_Accesos!M80))</f>
        <v/>
      </c>
      <c r="AD276" s="17" t="str">
        <f>IF(M2_Accesos!A80="","","RD")</f>
        <v/>
      </c>
      <c r="AE276" s="17" t="str">
        <f>IF(M2_Accesos!A80="","",IF(M2_Accesos!O80="","",M2_Accesos!O80))</f>
        <v/>
      </c>
      <c r="AF276" s="17" t="str">
        <f>IF(M2_Accesos!A80="","",IF(M2_Accesos!P80="","",M2_Accesos!P80))</f>
        <v/>
      </c>
      <c r="AG276" s="17" t="str">
        <f>IF(M2_Accesos!A80="","",IF(M2_Accesos!Q80="","",M2_Accesos!Q80))</f>
        <v/>
      </c>
      <c r="AH276" s="17" t="str">
        <f>IF(M2_Accesos!A80="","",IF(M2_Accesos!J80="","",M2_Accesos!J80))</f>
        <v/>
      </c>
      <c r="AI276" s="17" t="str">
        <f>IF(M2_Accesos!A80="","","M2_Accesos!80")</f>
        <v/>
      </c>
      <c r="AJ276" s="17" t="str">
        <f>IF(M2_Accesos!A80="","",IF(M2_Accesos!M80="","Pendiente de resultado","Disponible"))</f>
        <v/>
      </c>
    </row>
    <row r="277" spans="1:36" ht="55.5" customHeight="1">
      <c r="A277" s="6" t="str">
        <f t="array" ref="A277">IF(273&gt;$S$1204,"",INDEX($T$5:$AJ$1204,MATCH(273,$S$5:$S$1204,0),1))</f>
        <v/>
      </c>
      <c r="B277" s="8" t="str">
        <f t="array" ref="B277">IF(273&gt;$S$1204,"",INDEX($T$5:$AJ$1204,MATCH(273,$S$5:$S$1204,0),2))</f>
        <v/>
      </c>
      <c r="C277" s="10" t="str">
        <f t="array" ref="C277">IF(273&gt;$S$1204,"",INDEX($T$5:$AJ$1204,MATCH(273,$S$5:$S$1204,0),3))</f>
        <v/>
      </c>
      <c r="D277" s="8" t="str">
        <f t="array" ref="D277">IF(273&gt;$S$1204,"",INDEX($T$5:$AJ$1204,MATCH(273,$S$5:$S$1204,0),4))</f>
        <v/>
      </c>
      <c r="E277" s="8" t="str">
        <f t="array" ref="E277">IF(273&gt;$S$1204,"",INDEX($T$5:$AJ$1204,MATCH(273,$S$5:$S$1204,0),5))</f>
        <v/>
      </c>
      <c r="F277" s="8" t="str">
        <f t="array" ref="F277">IF(273&gt;$S$1204,"",INDEX($T$5:$AJ$1204,MATCH(273,$S$5:$S$1204,0),6))</f>
        <v/>
      </c>
      <c r="G277" s="8" t="str">
        <f t="array" ref="G277">IF(273&gt;$S$1204,"",INDEX($T$5:$AJ$1204,MATCH(273,$S$5:$S$1204,0),7))</f>
        <v/>
      </c>
      <c r="H277" s="8" t="str">
        <f t="array" ref="H277">IF(273&gt;$S$1204,"",INDEX($T$5:$AJ$1204,MATCH(273,$S$5:$S$1204,0),8))</f>
        <v/>
      </c>
      <c r="I277" s="8" t="str">
        <f t="array" ref="I277">IF(273&gt;$S$1204,"",INDEX($T$5:$AJ$1204,MATCH(273,$S$5:$S$1204,0),9))</f>
        <v/>
      </c>
      <c r="J277" s="14" t="str">
        <f t="array" ref="J277">IF(273&gt;$S$1204,"",INDEX($T$5:$AJ$1204,MATCH(273,$S$5:$S$1204,0),10))</f>
        <v/>
      </c>
      <c r="K277" s="8" t="str">
        <f t="array" ref="K277">IF(273&gt;$S$1204,"",INDEX($T$5:$AJ$1204,MATCH(273,$S$5:$S$1204,0),11))</f>
        <v/>
      </c>
      <c r="L277" s="8" t="str">
        <f t="array" ref="L277">IF(273&gt;$S$1204,"",INDEX($T$5:$AJ$1204,MATCH(273,$S$5:$S$1204,0),12))</f>
        <v/>
      </c>
      <c r="M277" s="8" t="str">
        <f t="array" ref="M277">IF(273&gt;$S$1204,"",INDEX($T$5:$AJ$1204,MATCH(273,$S$5:$S$1204,0),13))</f>
        <v/>
      </c>
      <c r="N277" s="8" t="str">
        <f t="array" ref="N277">IF(273&gt;$S$1204,"",INDEX($T$5:$AJ$1204,MATCH(273,$S$5:$S$1204,0),14))</f>
        <v/>
      </c>
      <c r="O277" s="15" t="str">
        <f t="array" ref="O277">IF(273&gt;$S$1204,"",INDEX($T$5:$AJ$1204,MATCH(273,$S$5:$S$1204,0),15))</f>
        <v/>
      </c>
      <c r="P277" s="8" t="str">
        <f t="array" ref="P277">IF(273&gt;$S$1204,"",INDEX($T$5:$AJ$1204,MATCH(273,$S$5:$S$1204,0),16))</f>
        <v/>
      </c>
      <c r="Q277" s="8" t="str">
        <f t="array" ref="Q277">IF(273&gt;$S$1204,"",INDEX($T$5:$AJ$1204,MATCH(273,$S$5:$S$1204,0),17))</f>
        <v/>
      </c>
      <c r="R277" s="17"/>
      <c r="S277" s="17">
        <f>S276+IF(M2_Accesos!A81="",0,1)</f>
        <v>0</v>
      </c>
      <c r="T277" s="17" t="str">
        <f>IF(M2_Accesos!A81="","",IF(M2_Accesos!A81="","",M2_Accesos!A81))</f>
        <v/>
      </c>
      <c r="U277" s="17" t="str">
        <f>IF(M2_Accesos!A81="","",IF(M2_Accesos!R81="","",M2_Accesos!R81))</f>
        <v/>
      </c>
      <c r="V277" s="17" t="str">
        <f>IF(M2_Accesos!A81="","",IF(M2_Accesos!D81="","",M2_Accesos!D81))</f>
        <v/>
      </c>
      <c r="W277" s="17" t="str">
        <f>IF(M2_Accesos!A81="","",IF(M2_Accesos!B81="","",M2_Accesos!B81))</f>
        <v/>
      </c>
      <c r="X277" s="17" t="str">
        <f>IF(M2_Accesos!A81="","",IF(M2_Accesos!C81="","",M2_Accesos!C81))</f>
        <v/>
      </c>
      <c r="Y277" s="17" t="str">
        <f>IF(M2_Accesos!A81="","",IF(M2_Accesos!E81="","",M2_Accesos!E81))</f>
        <v/>
      </c>
      <c r="Z277" s="17" t="str">
        <f>IF(M2_Accesos!A81="","",IF(M2_Accesos!F81="","",M2_Accesos!F81))</f>
        <v/>
      </c>
      <c r="AA277" s="17" t="str">
        <f>IF(M2_Accesos!A81="","","M2 Accesos")</f>
        <v/>
      </c>
      <c r="AB277" s="17" t="str">
        <f>IF(M2_Accesos!A81="","",IF(M2_Accesos!G81="","",M2_Accesos!G81))</f>
        <v/>
      </c>
      <c r="AC277" s="17" t="str">
        <f>IF(M2_Accesos!A81="","",IF(M2_Accesos!M81="","",M2_Accesos!M81))</f>
        <v/>
      </c>
      <c r="AD277" s="17" t="str">
        <f>IF(M2_Accesos!A81="","","RD")</f>
        <v/>
      </c>
      <c r="AE277" s="17" t="str">
        <f>IF(M2_Accesos!A81="","",IF(M2_Accesos!O81="","",M2_Accesos!O81))</f>
        <v/>
      </c>
      <c r="AF277" s="17" t="str">
        <f>IF(M2_Accesos!A81="","",IF(M2_Accesos!P81="","",M2_Accesos!P81))</f>
        <v/>
      </c>
      <c r="AG277" s="17" t="str">
        <f>IF(M2_Accesos!A81="","",IF(M2_Accesos!Q81="","",M2_Accesos!Q81))</f>
        <v/>
      </c>
      <c r="AH277" s="17" t="str">
        <f>IF(M2_Accesos!A81="","",IF(M2_Accesos!J81="","",M2_Accesos!J81))</f>
        <v/>
      </c>
      <c r="AI277" s="17" t="str">
        <f>IF(M2_Accesos!A81="","","M2_Accesos!81")</f>
        <v/>
      </c>
      <c r="AJ277" s="17" t="str">
        <f>IF(M2_Accesos!A81="","",IF(M2_Accesos!M81="","Pendiente de resultado","Disponible"))</f>
        <v/>
      </c>
    </row>
    <row r="278" spans="1:36" ht="55.5" customHeight="1">
      <c r="A278" s="6" t="str">
        <f t="array" ref="A278">IF(274&gt;$S$1204,"",INDEX($T$5:$AJ$1204,MATCH(274,$S$5:$S$1204,0),1))</f>
        <v/>
      </c>
      <c r="B278" s="8" t="str">
        <f t="array" ref="B278">IF(274&gt;$S$1204,"",INDEX($T$5:$AJ$1204,MATCH(274,$S$5:$S$1204,0),2))</f>
        <v/>
      </c>
      <c r="C278" s="10" t="str">
        <f t="array" ref="C278">IF(274&gt;$S$1204,"",INDEX($T$5:$AJ$1204,MATCH(274,$S$5:$S$1204,0),3))</f>
        <v/>
      </c>
      <c r="D278" s="8" t="str">
        <f t="array" ref="D278">IF(274&gt;$S$1204,"",INDEX($T$5:$AJ$1204,MATCH(274,$S$5:$S$1204,0),4))</f>
        <v/>
      </c>
      <c r="E278" s="8" t="str">
        <f t="array" ref="E278">IF(274&gt;$S$1204,"",INDEX($T$5:$AJ$1204,MATCH(274,$S$5:$S$1204,0),5))</f>
        <v/>
      </c>
      <c r="F278" s="8" t="str">
        <f t="array" ref="F278">IF(274&gt;$S$1204,"",INDEX($T$5:$AJ$1204,MATCH(274,$S$5:$S$1204,0),6))</f>
        <v/>
      </c>
      <c r="G278" s="8" t="str">
        <f t="array" ref="G278">IF(274&gt;$S$1204,"",INDEX($T$5:$AJ$1204,MATCH(274,$S$5:$S$1204,0),7))</f>
        <v/>
      </c>
      <c r="H278" s="8" t="str">
        <f t="array" ref="H278">IF(274&gt;$S$1204,"",INDEX($T$5:$AJ$1204,MATCH(274,$S$5:$S$1204,0),8))</f>
        <v/>
      </c>
      <c r="I278" s="8" t="str">
        <f t="array" ref="I278">IF(274&gt;$S$1204,"",INDEX($T$5:$AJ$1204,MATCH(274,$S$5:$S$1204,0),9))</f>
        <v/>
      </c>
      <c r="J278" s="14" t="str">
        <f t="array" ref="J278">IF(274&gt;$S$1204,"",INDEX($T$5:$AJ$1204,MATCH(274,$S$5:$S$1204,0),10))</f>
        <v/>
      </c>
      <c r="K278" s="8" t="str">
        <f t="array" ref="K278">IF(274&gt;$S$1204,"",INDEX($T$5:$AJ$1204,MATCH(274,$S$5:$S$1204,0),11))</f>
        <v/>
      </c>
      <c r="L278" s="8" t="str">
        <f t="array" ref="L278">IF(274&gt;$S$1204,"",INDEX($T$5:$AJ$1204,MATCH(274,$S$5:$S$1204,0),12))</f>
        <v/>
      </c>
      <c r="M278" s="8" t="str">
        <f t="array" ref="M278">IF(274&gt;$S$1204,"",INDEX($T$5:$AJ$1204,MATCH(274,$S$5:$S$1204,0),13))</f>
        <v/>
      </c>
      <c r="N278" s="8" t="str">
        <f t="array" ref="N278">IF(274&gt;$S$1204,"",INDEX($T$5:$AJ$1204,MATCH(274,$S$5:$S$1204,0),14))</f>
        <v/>
      </c>
      <c r="O278" s="15" t="str">
        <f t="array" ref="O278">IF(274&gt;$S$1204,"",INDEX($T$5:$AJ$1204,MATCH(274,$S$5:$S$1204,0),15))</f>
        <v/>
      </c>
      <c r="P278" s="8" t="str">
        <f t="array" ref="P278">IF(274&gt;$S$1204,"",INDEX($T$5:$AJ$1204,MATCH(274,$S$5:$S$1204,0),16))</f>
        <v/>
      </c>
      <c r="Q278" s="8" t="str">
        <f t="array" ref="Q278">IF(274&gt;$S$1204,"",INDEX($T$5:$AJ$1204,MATCH(274,$S$5:$S$1204,0),17))</f>
        <v/>
      </c>
      <c r="R278" s="17"/>
      <c r="S278" s="17">
        <f>S277+IF(M2_Accesos!A82="",0,1)</f>
        <v>0</v>
      </c>
      <c r="T278" s="17" t="str">
        <f>IF(M2_Accesos!A82="","",IF(M2_Accesos!A82="","",M2_Accesos!A82))</f>
        <v/>
      </c>
      <c r="U278" s="17" t="str">
        <f>IF(M2_Accesos!A82="","",IF(M2_Accesos!R82="","",M2_Accesos!R82))</f>
        <v/>
      </c>
      <c r="V278" s="17" t="str">
        <f>IF(M2_Accesos!A82="","",IF(M2_Accesos!D82="","",M2_Accesos!D82))</f>
        <v/>
      </c>
      <c r="W278" s="17" t="str">
        <f>IF(M2_Accesos!A82="","",IF(M2_Accesos!B82="","",M2_Accesos!B82))</f>
        <v/>
      </c>
      <c r="X278" s="17" t="str">
        <f>IF(M2_Accesos!A82="","",IF(M2_Accesos!C82="","",M2_Accesos!C82))</f>
        <v/>
      </c>
      <c r="Y278" s="17" t="str">
        <f>IF(M2_Accesos!A82="","",IF(M2_Accesos!E82="","",M2_Accesos!E82))</f>
        <v/>
      </c>
      <c r="Z278" s="17" t="str">
        <f>IF(M2_Accesos!A82="","",IF(M2_Accesos!F82="","",M2_Accesos!F82))</f>
        <v/>
      </c>
      <c r="AA278" s="17" t="str">
        <f>IF(M2_Accesos!A82="","","M2 Accesos")</f>
        <v/>
      </c>
      <c r="AB278" s="17" t="str">
        <f>IF(M2_Accesos!A82="","",IF(M2_Accesos!G82="","",M2_Accesos!G82))</f>
        <v/>
      </c>
      <c r="AC278" s="17" t="str">
        <f>IF(M2_Accesos!A82="","",IF(M2_Accesos!M82="","",M2_Accesos!M82))</f>
        <v/>
      </c>
      <c r="AD278" s="17" t="str">
        <f>IF(M2_Accesos!A82="","","RD")</f>
        <v/>
      </c>
      <c r="AE278" s="17" t="str">
        <f>IF(M2_Accesos!A82="","",IF(M2_Accesos!O82="","",M2_Accesos!O82))</f>
        <v/>
      </c>
      <c r="AF278" s="17" t="str">
        <f>IF(M2_Accesos!A82="","",IF(M2_Accesos!P82="","",M2_Accesos!P82))</f>
        <v/>
      </c>
      <c r="AG278" s="17" t="str">
        <f>IF(M2_Accesos!A82="","",IF(M2_Accesos!Q82="","",M2_Accesos!Q82))</f>
        <v/>
      </c>
      <c r="AH278" s="17" t="str">
        <f>IF(M2_Accesos!A82="","",IF(M2_Accesos!J82="","",M2_Accesos!J82))</f>
        <v/>
      </c>
      <c r="AI278" s="17" t="str">
        <f>IF(M2_Accesos!A82="","","M2_Accesos!82")</f>
        <v/>
      </c>
      <c r="AJ278" s="17" t="str">
        <f>IF(M2_Accesos!A82="","",IF(M2_Accesos!M82="","Pendiente de resultado","Disponible"))</f>
        <v/>
      </c>
    </row>
    <row r="279" spans="1:36" ht="55.5" customHeight="1">
      <c r="A279" s="6" t="str">
        <f t="array" ref="A279">IF(275&gt;$S$1204,"",INDEX($T$5:$AJ$1204,MATCH(275,$S$5:$S$1204,0),1))</f>
        <v/>
      </c>
      <c r="B279" s="8" t="str">
        <f t="array" ref="B279">IF(275&gt;$S$1204,"",INDEX($T$5:$AJ$1204,MATCH(275,$S$5:$S$1204,0),2))</f>
        <v/>
      </c>
      <c r="C279" s="10" t="str">
        <f t="array" ref="C279">IF(275&gt;$S$1204,"",INDEX($T$5:$AJ$1204,MATCH(275,$S$5:$S$1204,0),3))</f>
        <v/>
      </c>
      <c r="D279" s="8" t="str">
        <f t="array" ref="D279">IF(275&gt;$S$1204,"",INDEX($T$5:$AJ$1204,MATCH(275,$S$5:$S$1204,0),4))</f>
        <v/>
      </c>
      <c r="E279" s="8" t="str">
        <f t="array" ref="E279">IF(275&gt;$S$1204,"",INDEX($T$5:$AJ$1204,MATCH(275,$S$5:$S$1204,0),5))</f>
        <v/>
      </c>
      <c r="F279" s="8" t="str">
        <f t="array" ref="F279">IF(275&gt;$S$1204,"",INDEX($T$5:$AJ$1204,MATCH(275,$S$5:$S$1204,0),6))</f>
        <v/>
      </c>
      <c r="G279" s="8" t="str">
        <f t="array" ref="G279">IF(275&gt;$S$1204,"",INDEX($T$5:$AJ$1204,MATCH(275,$S$5:$S$1204,0),7))</f>
        <v/>
      </c>
      <c r="H279" s="8" t="str">
        <f t="array" ref="H279">IF(275&gt;$S$1204,"",INDEX($T$5:$AJ$1204,MATCH(275,$S$5:$S$1204,0),8))</f>
        <v/>
      </c>
      <c r="I279" s="8" t="str">
        <f t="array" ref="I279">IF(275&gt;$S$1204,"",INDEX($T$5:$AJ$1204,MATCH(275,$S$5:$S$1204,0),9))</f>
        <v/>
      </c>
      <c r="J279" s="14" t="str">
        <f t="array" ref="J279">IF(275&gt;$S$1204,"",INDEX($T$5:$AJ$1204,MATCH(275,$S$5:$S$1204,0),10))</f>
        <v/>
      </c>
      <c r="K279" s="8" t="str">
        <f t="array" ref="K279">IF(275&gt;$S$1204,"",INDEX($T$5:$AJ$1204,MATCH(275,$S$5:$S$1204,0),11))</f>
        <v/>
      </c>
      <c r="L279" s="8" t="str">
        <f t="array" ref="L279">IF(275&gt;$S$1204,"",INDEX($T$5:$AJ$1204,MATCH(275,$S$5:$S$1204,0),12))</f>
        <v/>
      </c>
      <c r="M279" s="8" t="str">
        <f t="array" ref="M279">IF(275&gt;$S$1204,"",INDEX($T$5:$AJ$1204,MATCH(275,$S$5:$S$1204,0),13))</f>
        <v/>
      </c>
      <c r="N279" s="8" t="str">
        <f t="array" ref="N279">IF(275&gt;$S$1204,"",INDEX($T$5:$AJ$1204,MATCH(275,$S$5:$S$1204,0),14))</f>
        <v/>
      </c>
      <c r="O279" s="15" t="str">
        <f t="array" ref="O279">IF(275&gt;$S$1204,"",INDEX($T$5:$AJ$1204,MATCH(275,$S$5:$S$1204,0),15))</f>
        <v/>
      </c>
      <c r="P279" s="8" t="str">
        <f t="array" ref="P279">IF(275&gt;$S$1204,"",INDEX($T$5:$AJ$1204,MATCH(275,$S$5:$S$1204,0),16))</f>
        <v/>
      </c>
      <c r="Q279" s="8" t="str">
        <f t="array" ref="Q279">IF(275&gt;$S$1204,"",INDEX($T$5:$AJ$1204,MATCH(275,$S$5:$S$1204,0),17))</f>
        <v/>
      </c>
      <c r="R279" s="17"/>
      <c r="S279" s="17">
        <f>S278+IF(M2_Accesos!A83="",0,1)</f>
        <v>0</v>
      </c>
      <c r="T279" s="17" t="str">
        <f>IF(M2_Accesos!A83="","",IF(M2_Accesos!A83="","",M2_Accesos!A83))</f>
        <v/>
      </c>
      <c r="U279" s="17" t="str">
        <f>IF(M2_Accesos!A83="","",IF(M2_Accesos!R83="","",M2_Accesos!R83))</f>
        <v/>
      </c>
      <c r="V279" s="17" t="str">
        <f>IF(M2_Accesos!A83="","",IF(M2_Accesos!D83="","",M2_Accesos!D83))</f>
        <v/>
      </c>
      <c r="W279" s="17" t="str">
        <f>IF(M2_Accesos!A83="","",IF(M2_Accesos!B83="","",M2_Accesos!B83))</f>
        <v/>
      </c>
      <c r="X279" s="17" t="str">
        <f>IF(M2_Accesos!A83="","",IF(M2_Accesos!C83="","",M2_Accesos!C83))</f>
        <v/>
      </c>
      <c r="Y279" s="17" t="str">
        <f>IF(M2_Accesos!A83="","",IF(M2_Accesos!E83="","",M2_Accesos!E83))</f>
        <v/>
      </c>
      <c r="Z279" s="17" t="str">
        <f>IF(M2_Accesos!A83="","",IF(M2_Accesos!F83="","",M2_Accesos!F83))</f>
        <v/>
      </c>
      <c r="AA279" s="17" t="str">
        <f>IF(M2_Accesos!A83="","","M2 Accesos")</f>
        <v/>
      </c>
      <c r="AB279" s="17" t="str">
        <f>IF(M2_Accesos!A83="","",IF(M2_Accesos!G83="","",M2_Accesos!G83))</f>
        <v/>
      </c>
      <c r="AC279" s="17" t="str">
        <f>IF(M2_Accesos!A83="","",IF(M2_Accesos!M83="","",M2_Accesos!M83))</f>
        <v/>
      </c>
      <c r="AD279" s="17" t="str">
        <f>IF(M2_Accesos!A83="","","RD")</f>
        <v/>
      </c>
      <c r="AE279" s="17" t="str">
        <f>IF(M2_Accesos!A83="","",IF(M2_Accesos!O83="","",M2_Accesos!O83))</f>
        <v/>
      </c>
      <c r="AF279" s="17" t="str">
        <f>IF(M2_Accesos!A83="","",IF(M2_Accesos!P83="","",M2_Accesos!P83))</f>
        <v/>
      </c>
      <c r="AG279" s="17" t="str">
        <f>IF(M2_Accesos!A83="","",IF(M2_Accesos!Q83="","",M2_Accesos!Q83))</f>
        <v/>
      </c>
      <c r="AH279" s="17" t="str">
        <f>IF(M2_Accesos!A83="","",IF(M2_Accesos!J83="","",M2_Accesos!J83))</f>
        <v/>
      </c>
      <c r="AI279" s="17" t="str">
        <f>IF(M2_Accesos!A83="","","M2_Accesos!83")</f>
        <v/>
      </c>
      <c r="AJ279" s="17" t="str">
        <f>IF(M2_Accesos!A83="","",IF(M2_Accesos!M83="","Pendiente de resultado","Disponible"))</f>
        <v/>
      </c>
    </row>
    <row r="280" spans="1:36" ht="55.5" customHeight="1">
      <c r="A280" s="6" t="str">
        <f t="array" ref="A280">IF(276&gt;$S$1204,"",INDEX($T$5:$AJ$1204,MATCH(276,$S$5:$S$1204,0),1))</f>
        <v/>
      </c>
      <c r="B280" s="8" t="str">
        <f t="array" ref="B280">IF(276&gt;$S$1204,"",INDEX($T$5:$AJ$1204,MATCH(276,$S$5:$S$1204,0),2))</f>
        <v/>
      </c>
      <c r="C280" s="10" t="str">
        <f t="array" ref="C280">IF(276&gt;$S$1204,"",INDEX($T$5:$AJ$1204,MATCH(276,$S$5:$S$1204,0),3))</f>
        <v/>
      </c>
      <c r="D280" s="8" t="str">
        <f t="array" ref="D280">IF(276&gt;$S$1204,"",INDEX($T$5:$AJ$1204,MATCH(276,$S$5:$S$1204,0),4))</f>
        <v/>
      </c>
      <c r="E280" s="8" t="str">
        <f t="array" ref="E280">IF(276&gt;$S$1204,"",INDEX($T$5:$AJ$1204,MATCH(276,$S$5:$S$1204,0),5))</f>
        <v/>
      </c>
      <c r="F280" s="8" t="str">
        <f t="array" ref="F280">IF(276&gt;$S$1204,"",INDEX($T$5:$AJ$1204,MATCH(276,$S$5:$S$1204,0),6))</f>
        <v/>
      </c>
      <c r="G280" s="8" t="str">
        <f t="array" ref="G280">IF(276&gt;$S$1204,"",INDEX($T$5:$AJ$1204,MATCH(276,$S$5:$S$1204,0),7))</f>
        <v/>
      </c>
      <c r="H280" s="8" t="str">
        <f t="array" ref="H280">IF(276&gt;$S$1204,"",INDEX($T$5:$AJ$1204,MATCH(276,$S$5:$S$1204,0),8))</f>
        <v/>
      </c>
      <c r="I280" s="8" t="str">
        <f t="array" ref="I280">IF(276&gt;$S$1204,"",INDEX($T$5:$AJ$1204,MATCH(276,$S$5:$S$1204,0),9))</f>
        <v/>
      </c>
      <c r="J280" s="14" t="str">
        <f t="array" ref="J280">IF(276&gt;$S$1204,"",INDEX($T$5:$AJ$1204,MATCH(276,$S$5:$S$1204,0),10))</f>
        <v/>
      </c>
      <c r="K280" s="8" t="str">
        <f t="array" ref="K280">IF(276&gt;$S$1204,"",INDEX($T$5:$AJ$1204,MATCH(276,$S$5:$S$1204,0),11))</f>
        <v/>
      </c>
      <c r="L280" s="8" t="str">
        <f t="array" ref="L280">IF(276&gt;$S$1204,"",INDEX($T$5:$AJ$1204,MATCH(276,$S$5:$S$1204,0),12))</f>
        <v/>
      </c>
      <c r="M280" s="8" t="str">
        <f t="array" ref="M280">IF(276&gt;$S$1204,"",INDEX($T$5:$AJ$1204,MATCH(276,$S$5:$S$1204,0),13))</f>
        <v/>
      </c>
      <c r="N280" s="8" t="str">
        <f t="array" ref="N280">IF(276&gt;$S$1204,"",INDEX($T$5:$AJ$1204,MATCH(276,$S$5:$S$1204,0),14))</f>
        <v/>
      </c>
      <c r="O280" s="15" t="str">
        <f t="array" ref="O280">IF(276&gt;$S$1204,"",INDEX($T$5:$AJ$1204,MATCH(276,$S$5:$S$1204,0),15))</f>
        <v/>
      </c>
      <c r="P280" s="8" t="str">
        <f t="array" ref="P280">IF(276&gt;$S$1204,"",INDEX($T$5:$AJ$1204,MATCH(276,$S$5:$S$1204,0),16))</f>
        <v/>
      </c>
      <c r="Q280" s="8" t="str">
        <f t="array" ref="Q280">IF(276&gt;$S$1204,"",INDEX($T$5:$AJ$1204,MATCH(276,$S$5:$S$1204,0),17))</f>
        <v/>
      </c>
      <c r="R280" s="17"/>
      <c r="S280" s="17">
        <f>S279+IF(M2_Accesos!A84="",0,1)</f>
        <v>0</v>
      </c>
      <c r="T280" s="17" t="str">
        <f>IF(M2_Accesos!A84="","",IF(M2_Accesos!A84="","",M2_Accesos!A84))</f>
        <v/>
      </c>
      <c r="U280" s="17" t="str">
        <f>IF(M2_Accesos!A84="","",IF(M2_Accesos!R84="","",M2_Accesos!R84))</f>
        <v/>
      </c>
      <c r="V280" s="17" t="str">
        <f>IF(M2_Accesos!A84="","",IF(M2_Accesos!D84="","",M2_Accesos!D84))</f>
        <v/>
      </c>
      <c r="W280" s="17" t="str">
        <f>IF(M2_Accesos!A84="","",IF(M2_Accesos!B84="","",M2_Accesos!B84))</f>
        <v/>
      </c>
      <c r="X280" s="17" t="str">
        <f>IF(M2_Accesos!A84="","",IF(M2_Accesos!C84="","",M2_Accesos!C84))</f>
        <v/>
      </c>
      <c r="Y280" s="17" t="str">
        <f>IF(M2_Accesos!A84="","",IF(M2_Accesos!E84="","",M2_Accesos!E84))</f>
        <v/>
      </c>
      <c r="Z280" s="17" t="str">
        <f>IF(M2_Accesos!A84="","",IF(M2_Accesos!F84="","",M2_Accesos!F84))</f>
        <v/>
      </c>
      <c r="AA280" s="17" t="str">
        <f>IF(M2_Accesos!A84="","","M2 Accesos")</f>
        <v/>
      </c>
      <c r="AB280" s="17" t="str">
        <f>IF(M2_Accesos!A84="","",IF(M2_Accesos!G84="","",M2_Accesos!G84))</f>
        <v/>
      </c>
      <c r="AC280" s="17" t="str">
        <f>IF(M2_Accesos!A84="","",IF(M2_Accesos!M84="","",M2_Accesos!M84))</f>
        <v/>
      </c>
      <c r="AD280" s="17" t="str">
        <f>IF(M2_Accesos!A84="","","RD")</f>
        <v/>
      </c>
      <c r="AE280" s="17" t="str">
        <f>IF(M2_Accesos!A84="","",IF(M2_Accesos!O84="","",M2_Accesos!O84))</f>
        <v/>
      </c>
      <c r="AF280" s="17" t="str">
        <f>IF(M2_Accesos!A84="","",IF(M2_Accesos!P84="","",M2_Accesos!P84))</f>
        <v/>
      </c>
      <c r="AG280" s="17" t="str">
        <f>IF(M2_Accesos!A84="","",IF(M2_Accesos!Q84="","",M2_Accesos!Q84))</f>
        <v/>
      </c>
      <c r="AH280" s="17" t="str">
        <f>IF(M2_Accesos!A84="","",IF(M2_Accesos!J84="","",M2_Accesos!J84))</f>
        <v/>
      </c>
      <c r="AI280" s="17" t="str">
        <f>IF(M2_Accesos!A84="","","M2_Accesos!84")</f>
        <v/>
      </c>
      <c r="AJ280" s="17" t="str">
        <f>IF(M2_Accesos!A84="","",IF(M2_Accesos!M84="","Pendiente de resultado","Disponible"))</f>
        <v/>
      </c>
    </row>
    <row r="281" spans="1:36" ht="55.5" customHeight="1">
      <c r="A281" s="6" t="str">
        <f t="array" ref="A281">IF(277&gt;$S$1204,"",INDEX($T$5:$AJ$1204,MATCH(277,$S$5:$S$1204,0),1))</f>
        <v/>
      </c>
      <c r="B281" s="8" t="str">
        <f t="array" ref="B281">IF(277&gt;$S$1204,"",INDEX($T$5:$AJ$1204,MATCH(277,$S$5:$S$1204,0),2))</f>
        <v/>
      </c>
      <c r="C281" s="10" t="str">
        <f t="array" ref="C281">IF(277&gt;$S$1204,"",INDEX($T$5:$AJ$1204,MATCH(277,$S$5:$S$1204,0),3))</f>
        <v/>
      </c>
      <c r="D281" s="8" t="str">
        <f t="array" ref="D281">IF(277&gt;$S$1204,"",INDEX($T$5:$AJ$1204,MATCH(277,$S$5:$S$1204,0),4))</f>
        <v/>
      </c>
      <c r="E281" s="8" t="str">
        <f t="array" ref="E281">IF(277&gt;$S$1204,"",INDEX($T$5:$AJ$1204,MATCH(277,$S$5:$S$1204,0),5))</f>
        <v/>
      </c>
      <c r="F281" s="8" t="str">
        <f t="array" ref="F281">IF(277&gt;$S$1204,"",INDEX($T$5:$AJ$1204,MATCH(277,$S$5:$S$1204,0),6))</f>
        <v/>
      </c>
      <c r="G281" s="8" t="str">
        <f t="array" ref="G281">IF(277&gt;$S$1204,"",INDEX($T$5:$AJ$1204,MATCH(277,$S$5:$S$1204,0),7))</f>
        <v/>
      </c>
      <c r="H281" s="8" t="str">
        <f t="array" ref="H281">IF(277&gt;$S$1204,"",INDEX($T$5:$AJ$1204,MATCH(277,$S$5:$S$1204,0),8))</f>
        <v/>
      </c>
      <c r="I281" s="8" t="str">
        <f t="array" ref="I281">IF(277&gt;$S$1204,"",INDEX($T$5:$AJ$1204,MATCH(277,$S$5:$S$1204,0),9))</f>
        <v/>
      </c>
      <c r="J281" s="14" t="str">
        <f t="array" ref="J281">IF(277&gt;$S$1204,"",INDEX($T$5:$AJ$1204,MATCH(277,$S$5:$S$1204,0),10))</f>
        <v/>
      </c>
      <c r="K281" s="8" t="str">
        <f t="array" ref="K281">IF(277&gt;$S$1204,"",INDEX($T$5:$AJ$1204,MATCH(277,$S$5:$S$1204,0),11))</f>
        <v/>
      </c>
      <c r="L281" s="8" t="str">
        <f t="array" ref="L281">IF(277&gt;$S$1204,"",INDEX($T$5:$AJ$1204,MATCH(277,$S$5:$S$1204,0),12))</f>
        <v/>
      </c>
      <c r="M281" s="8" t="str">
        <f t="array" ref="M281">IF(277&gt;$S$1204,"",INDEX($T$5:$AJ$1204,MATCH(277,$S$5:$S$1204,0),13))</f>
        <v/>
      </c>
      <c r="N281" s="8" t="str">
        <f t="array" ref="N281">IF(277&gt;$S$1204,"",INDEX($T$5:$AJ$1204,MATCH(277,$S$5:$S$1204,0),14))</f>
        <v/>
      </c>
      <c r="O281" s="15" t="str">
        <f t="array" ref="O281">IF(277&gt;$S$1204,"",INDEX($T$5:$AJ$1204,MATCH(277,$S$5:$S$1204,0),15))</f>
        <v/>
      </c>
      <c r="P281" s="8" t="str">
        <f t="array" ref="P281">IF(277&gt;$S$1204,"",INDEX($T$5:$AJ$1204,MATCH(277,$S$5:$S$1204,0),16))</f>
        <v/>
      </c>
      <c r="Q281" s="8" t="str">
        <f t="array" ref="Q281">IF(277&gt;$S$1204,"",INDEX($T$5:$AJ$1204,MATCH(277,$S$5:$S$1204,0),17))</f>
        <v/>
      </c>
      <c r="R281" s="17"/>
      <c r="S281" s="17">
        <f>S280+IF(M2_Accesos!A85="",0,1)</f>
        <v>0</v>
      </c>
      <c r="T281" s="17" t="str">
        <f>IF(M2_Accesos!A85="","",IF(M2_Accesos!A85="","",M2_Accesos!A85))</f>
        <v/>
      </c>
      <c r="U281" s="17" t="str">
        <f>IF(M2_Accesos!A85="","",IF(M2_Accesos!R85="","",M2_Accesos!R85))</f>
        <v/>
      </c>
      <c r="V281" s="17" t="str">
        <f>IF(M2_Accesos!A85="","",IF(M2_Accesos!D85="","",M2_Accesos!D85))</f>
        <v/>
      </c>
      <c r="W281" s="17" t="str">
        <f>IF(M2_Accesos!A85="","",IF(M2_Accesos!B85="","",M2_Accesos!B85))</f>
        <v/>
      </c>
      <c r="X281" s="17" t="str">
        <f>IF(M2_Accesos!A85="","",IF(M2_Accesos!C85="","",M2_Accesos!C85))</f>
        <v/>
      </c>
      <c r="Y281" s="17" t="str">
        <f>IF(M2_Accesos!A85="","",IF(M2_Accesos!E85="","",M2_Accesos!E85))</f>
        <v/>
      </c>
      <c r="Z281" s="17" t="str">
        <f>IF(M2_Accesos!A85="","",IF(M2_Accesos!F85="","",M2_Accesos!F85))</f>
        <v/>
      </c>
      <c r="AA281" s="17" t="str">
        <f>IF(M2_Accesos!A85="","","M2 Accesos")</f>
        <v/>
      </c>
      <c r="AB281" s="17" t="str">
        <f>IF(M2_Accesos!A85="","",IF(M2_Accesos!G85="","",M2_Accesos!G85))</f>
        <v/>
      </c>
      <c r="AC281" s="17" t="str">
        <f>IF(M2_Accesos!A85="","",IF(M2_Accesos!M85="","",M2_Accesos!M85))</f>
        <v/>
      </c>
      <c r="AD281" s="17" t="str">
        <f>IF(M2_Accesos!A85="","","RD")</f>
        <v/>
      </c>
      <c r="AE281" s="17" t="str">
        <f>IF(M2_Accesos!A85="","",IF(M2_Accesos!O85="","",M2_Accesos!O85))</f>
        <v/>
      </c>
      <c r="AF281" s="17" t="str">
        <f>IF(M2_Accesos!A85="","",IF(M2_Accesos!P85="","",M2_Accesos!P85))</f>
        <v/>
      </c>
      <c r="AG281" s="17" t="str">
        <f>IF(M2_Accesos!A85="","",IF(M2_Accesos!Q85="","",M2_Accesos!Q85))</f>
        <v/>
      </c>
      <c r="AH281" s="17" t="str">
        <f>IF(M2_Accesos!A85="","",IF(M2_Accesos!J85="","",M2_Accesos!J85))</f>
        <v/>
      </c>
      <c r="AI281" s="17" t="str">
        <f>IF(M2_Accesos!A85="","","M2_Accesos!85")</f>
        <v/>
      </c>
      <c r="AJ281" s="17" t="str">
        <f>IF(M2_Accesos!A85="","",IF(M2_Accesos!M85="","Pendiente de resultado","Disponible"))</f>
        <v/>
      </c>
    </row>
    <row r="282" spans="1:36" ht="55.5" customHeight="1">
      <c r="A282" s="6" t="str">
        <f t="array" ref="A282">IF(278&gt;$S$1204,"",INDEX($T$5:$AJ$1204,MATCH(278,$S$5:$S$1204,0),1))</f>
        <v/>
      </c>
      <c r="B282" s="8" t="str">
        <f t="array" ref="B282">IF(278&gt;$S$1204,"",INDEX($T$5:$AJ$1204,MATCH(278,$S$5:$S$1204,0),2))</f>
        <v/>
      </c>
      <c r="C282" s="10" t="str">
        <f t="array" ref="C282">IF(278&gt;$S$1204,"",INDEX($T$5:$AJ$1204,MATCH(278,$S$5:$S$1204,0),3))</f>
        <v/>
      </c>
      <c r="D282" s="8" t="str">
        <f t="array" ref="D282">IF(278&gt;$S$1204,"",INDEX($T$5:$AJ$1204,MATCH(278,$S$5:$S$1204,0),4))</f>
        <v/>
      </c>
      <c r="E282" s="8" t="str">
        <f t="array" ref="E282">IF(278&gt;$S$1204,"",INDEX($T$5:$AJ$1204,MATCH(278,$S$5:$S$1204,0),5))</f>
        <v/>
      </c>
      <c r="F282" s="8" t="str">
        <f t="array" ref="F282">IF(278&gt;$S$1204,"",INDEX($T$5:$AJ$1204,MATCH(278,$S$5:$S$1204,0),6))</f>
        <v/>
      </c>
      <c r="G282" s="8" t="str">
        <f t="array" ref="G282">IF(278&gt;$S$1204,"",INDEX($T$5:$AJ$1204,MATCH(278,$S$5:$S$1204,0),7))</f>
        <v/>
      </c>
      <c r="H282" s="8" t="str">
        <f t="array" ref="H282">IF(278&gt;$S$1204,"",INDEX($T$5:$AJ$1204,MATCH(278,$S$5:$S$1204,0),8))</f>
        <v/>
      </c>
      <c r="I282" s="8" t="str">
        <f t="array" ref="I282">IF(278&gt;$S$1204,"",INDEX($T$5:$AJ$1204,MATCH(278,$S$5:$S$1204,0),9))</f>
        <v/>
      </c>
      <c r="J282" s="14" t="str">
        <f t="array" ref="J282">IF(278&gt;$S$1204,"",INDEX($T$5:$AJ$1204,MATCH(278,$S$5:$S$1204,0),10))</f>
        <v/>
      </c>
      <c r="K282" s="8" t="str">
        <f t="array" ref="K282">IF(278&gt;$S$1204,"",INDEX($T$5:$AJ$1204,MATCH(278,$S$5:$S$1204,0),11))</f>
        <v/>
      </c>
      <c r="L282" s="8" t="str">
        <f t="array" ref="L282">IF(278&gt;$S$1204,"",INDEX($T$5:$AJ$1204,MATCH(278,$S$5:$S$1204,0),12))</f>
        <v/>
      </c>
      <c r="M282" s="8" t="str">
        <f t="array" ref="M282">IF(278&gt;$S$1204,"",INDEX($T$5:$AJ$1204,MATCH(278,$S$5:$S$1204,0),13))</f>
        <v/>
      </c>
      <c r="N282" s="8" t="str">
        <f t="array" ref="N282">IF(278&gt;$S$1204,"",INDEX($T$5:$AJ$1204,MATCH(278,$S$5:$S$1204,0),14))</f>
        <v/>
      </c>
      <c r="O282" s="15" t="str">
        <f t="array" ref="O282">IF(278&gt;$S$1204,"",INDEX($T$5:$AJ$1204,MATCH(278,$S$5:$S$1204,0),15))</f>
        <v/>
      </c>
      <c r="P282" s="8" t="str">
        <f t="array" ref="P282">IF(278&gt;$S$1204,"",INDEX($T$5:$AJ$1204,MATCH(278,$S$5:$S$1204,0),16))</f>
        <v/>
      </c>
      <c r="Q282" s="8" t="str">
        <f t="array" ref="Q282">IF(278&gt;$S$1204,"",INDEX($T$5:$AJ$1204,MATCH(278,$S$5:$S$1204,0),17))</f>
        <v/>
      </c>
      <c r="R282" s="17"/>
      <c r="S282" s="17">
        <f>S281+IF(M2_Accesos!A86="",0,1)</f>
        <v>0</v>
      </c>
      <c r="T282" s="17" t="str">
        <f>IF(M2_Accesos!A86="","",IF(M2_Accesos!A86="","",M2_Accesos!A86))</f>
        <v/>
      </c>
      <c r="U282" s="17" t="str">
        <f>IF(M2_Accesos!A86="","",IF(M2_Accesos!R86="","",M2_Accesos!R86))</f>
        <v/>
      </c>
      <c r="V282" s="17" t="str">
        <f>IF(M2_Accesos!A86="","",IF(M2_Accesos!D86="","",M2_Accesos!D86))</f>
        <v/>
      </c>
      <c r="W282" s="17" t="str">
        <f>IF(M2_Accesos!A86="","",IF(M2_Accesos!B86="","",M2_Accesos!B86))</f>
        <v/>
      </c>
      <c r="X282" s="17" t="str">
        <f>IF(M2_Accesos!A86="","",IF(M2_Accesos!C86="","",M2_Accesos!C86))</f>
        <v/>
      </c>
      <c r="Y282" s="17" t="str">
        <f>IF(M2_Accesos!A86="","",IF(M2_Accesos!E86="","",M2_Accesos!E86))</f>
        <v/>
      </c>
      <c r="Z282" s="17" t="str">
        <f>IF(M2_Accesos!A86="","",IF(M2_Accesos!F86="","",M2_Accesos!F86))</f>
        <v/>
      </c>
      <c r="AA282" s="17" t="str">
        <f>IF(M2_Accesos!A86="","","M2 Accesos")</f>
        <v/>
      </c>
      <c r="AB282" s="17" t="str">
        <f>IF(M2_Accesos!A86="","",IF(M2_Accesos!G86="","",M2_Accesos!G86))</f>
        <v/>
      </c>
      <c r="AC282" s="17" t="str">
        <f>IF(M2_Accesos!A86="","",IF(M2_Accesos!M86="","",M2_Accesos!M86))</f>
        <v/>
      </c>
      <c r="AD282" s="17" t="str">
        <f>IF(M2_Accesos!A86="","","RD")</f>
        <v/>
      </c>
      <c r="AE282" s="17" t="str">
        <f>IF(M2_Accesos!A86="","",IF(M2_Accesos!O86="","",M2_Accesos!O86))</f>
        <v/>
      </c>
      <c r="AF282" s="17" t="str">
        <f>IF(M2_Accesos!A86="","",IF(M2_Accesos!P86="","",M2_Accesos!P86))</f>
        <v/>
      </c>
      <c r="AG282" s="17" t="str">
        <f>IF(M2_Accesos!A86="","",IF(M2_Accesos!Q86="","",M2_Accesos!Q86))</f>
        <v/>
      </c>
      <c r="AH282" s="17" t="str">
        <f>IF(M2_Accesos!A86="","",IF(M2_Accesos!J86="","",M2_Accesos!J86))</f>
        <v/>
      </c>
      <c r="AI282" s="17" t="str">
        <f>IF(M2_Accesos!A86="","","M2_Accesos!86")</f>
        <v/>
      </c>
      <c r="AJ282" s="17" t="str">
        <f>IF(M2_Accesos!A86="","",IF(M2_Accesos!M86="","Pendiente de resultado","Disponible"))</f>
        <v/>
      </c>
    </row>
    <row r="283" spans="1:36" ht="55.5" customHeight="1">
      <c r="A283" s="6" t="str">
        <f t="array" ref="A283">IF(279&gt;$S$1204,"",INDEX($T$5:$AJ$1204,MATCH(279,$S$5:$S$1204,0),1))</f>
        <v/>
      </c>
      <c r="B283" s="8" t="str">
        <f t="array" ref="B283">IF(279&gt;$S$1204,"",INDEX($T$5:$AJ$1204,MATCH(279,$S$5:$S$1204,0),2))</f>
        <v/>
      </c>
      <c r="C283" s="10" t="str">
        <f t="array" ref="C283">IF(279&gt;$S$1204,"",INDEX($T$5:$AJ$1204,MATCH(279,$S$5:$S$1204,0),3))</f>
        <v/>
      </c>
      <c r="D283" s="8" t="str">
        <f t="array" ref="D283">IF(279&gt;$S$1204,"",INDEX($T$5:$AJ$1204,MATCH(279,$S$5:$S$1204,0),4))</f>
        <v/>
      </c>
      <c r="E283" s="8" t="str">
        <f t="array" ref="E283">IF(279&gt;$S$1204,"",INDEX($T$5:$AJ$1204,MATCH(279,$S$5:$S$1204,0),5))</f>
        <v/>
      </c>
      <c r="F283" s="8" t="str">
        <f t="array" ref="F283">IF(279&gt;$S$1204,"",INDEX($T$5:$AJ$1204,MATCH(279,$S$5:$S$1204,0),6))</f>
        <v/>
      </c>
      <c r="G283" s="8" t="str">
        <f t="array" ref="G283">IF(279&gt;$S$1204,"",INDEX($T$5:$AJ$1204,MATCH(279,$S$5:$S$1204,0),7))</f>
        <v/>
      </c>
      <c r="H283" s="8" t="str">
        <f t="array" ref="H283">IF(279&gt;$S$1204,"",INDEX($T$5:$AJ$1204,MATCH(279,$S$5:$S$1204,0),8))</f>
        <v/>
      </c>
      <c r="I283" s="8" t="str">
        <f t="array" ref="I283">IF(279&gt;$S$1204,"",INDEX($T$5:$AJ$1204,MATCH(279,$S$5:$S$1204,0),9))</f>
        <v/>
      </c>
      <c r="J283" s="14" t="str">
        <f t="array" ref="J283">IF(279&gt;$S$1204,"",INDEX($T$5:$AJ$1204,MATCH(279,$S$5:$S$1204,0),10))</f>
        <v/>
      </c>
      <c r="K283" s="8" t="str">
        <f t="array" ref="K283">IF(279&gt;$S$1204,"",INDEX($T$5:$AJ$1204,MATCH(279,$S$5:$S$1204,0),11))</f>
        <v/>
      </c>
      <c r="L283" s="8" t="str">
        <f t="array" ref="L283">IF(279&gt;$S$1204,"",INDEX($T$5:$AJ$1204,MATCH(279,$S$5:$S$1204,0),12))</f>
        <v/>
      </c>
      <c r="M283" s="8" t="str">
        <f t="array" ref="M283">IF(279&gt;$S$1204,"",INDEX($T$5:$AJ$1204,MATCH(279,$S$5:$S$1204,0),13))</f>
        <v/>
      </c>
      <c r="N283" s="8" t="str">
        <f t="array" ref="N283">IF(279&gt;$S$1204,"",INDEX($T$5:$AJ$1204,MATCH(279,$S$5:$S$1204,0),14))</f>
        <v/>
      </c>
      <c r="O283" s="15" t="str">
        <f t="array" ref="O283">IF(279&gt;$S$1204,"",INDEX($T$5:$AJ$1204,MATCH(279,$S$5:$S$1204,0),15))</f>
        <v/>
      </c>
      <c r="P283" s="8" t="str">
        <f t="array" ref="P283">IF(279&gt;$S$1204,"",INDEX($T$5:$AJ$1204,MATCH(279,$S$5:$S$1204,0),16))</f>
        <v/>
      </c>
      <c r="Q283" s="8" t="str">
        <f t="array" ref="Q283">IF(279&gt;$S$1204,"",INDEX($T$5:$AJ$1204,MATCH(279,$S$5:$S$1204,0),17))</f>
        <v/>
      </c>
      <c r="R283" s="17"/>
      <c r="S283" s="17">
        <f>S282+IF(M2_Accesos!A87="",0,1)</f>
        <v>0</v>
      </c>
      <c r="T283" s="17" t="str">
        <f>IF(M2_Accesos!A87="","",IF(M2_Accesos!A87="","",M2_Accesos!A87))</f>
        <v/>
      </c>
      <c r="U283" s="17" t="str">
        <f>IF(M2_Accesos!A87="","",IF(M2_Accesos!R87="","",M2_Accesos!R87))</f>
        <v/>
      </c>
      <c r="V283" s="17" t="str">
        <f>IF(M2_Accesos!A87="","",IF(M2_Accesos!D87="","",M2_Accesos!D87))</f>
        <v/>
      </c>
      <c r="W283" s="17" t="str">
        <f>IF(M2_Accesos!A87="","",IF(M2_Accesos!B87="","",M2_Accesos!B87))</f>
        <v/>
      </c>
      <c r="X283" s="17" t="str">
        <f>IF(M2_Accesos!A87="","",IF(M2_Accesos!C87="","",M2_Accesos!C87))</f>
        <v/>
      </c>
      <c r="Y283" s="17" t="str">
        <f>IF(M2_Accesos!A87="","",IF(M2_Accesos!E87="","",M2_Accesos!E87))</f>
        <v/>
      </c>
      <c r="Z283" s="17" t="str">
        <f>IF(M2_Accesos!A87="","",IF(M2_Accesos!F87="","",M2_Accesos!F87))</f>
        <v/>
      </c>
      <c r="AA283" s="17" t="str">
        <f>IF(M2_Accesos!A87="","","M2 Accesos")</f>
        <v/>
      </c>
      <c r="AB283" s="17" t="str">
        <f>IF(M2_Accesos!A87="","",IF(M2_Accesos!G87="","",M2_Accesos!G87))</f>
        <v/>
      </c>
      <c r="AC283" s="17" t="str">
        <f>IF(M2_Accesos!A87="","",IF(M2_Accesos!M87="","",M2_Accesos!M87))</f>
        <v/>
      </c>
      <c r="AD283" s="17" t="str">
        <f>IF(M2_Accesos!A87="","","RD")</f>
        <v/>
      </c>
      <c r="AE283" s="17" t="str">
        <f>IF(M2_Accesos!A87="","",IF(M2_Accesos!O87="","",M2_Accesos!O87))</f>
        <v/>
      </c>
      <c r="AF283" s="17" t="str">
        <f>IF(M2_Accesos!A87="","",IF(M2_Accesos!P87="","",M2_Accesos!P87))</f>
        <v/>
      </c>
      <c r="AG283" s="17" t="str">
        <f>IF(M2_Accesos!A87="","",IF(M2_Accesos!Q87="","",M2_Accesos!Q87))</f>
        <v/>
      </c>
      <c r="AH283" s="17" t="str">
        <f>IF(M2_Accesos!A87="","",IF(M2_Accesos!J87="","",M2_Accesos!J87))</f>
        <v/>
      </c>
      <c r="AI283" s="17" t="str">
        <f>IF(M2_Accesos!A87="","","M2_Accesos!87")</f>
        <v/>
      </c>
      <c r="AJ283" s="17" t="str">
        <f>IF(M2_Accesos!A87="","",IF(M2_Accesos!M87="","Pendiente de resultado","Disponible"))</f>
        <v/>
      </c>
    </row>
    <row r="284" spans="1:36" ht="55.5" customHeight="1">
      <c r="A284" s="6" t="str">
        <f t="array" ref="A284">IF(280&gt;$S$1204,"",INDEX($T$5:$AJ$1204,MATCH(280,$S$5:$S$1204,0),1))</f>
        <v/>
      </c>
      <c r="B284" s="8" t="str">
        <f t="array" ref="B284">IF(280&gt;$S$1204,"",INDEX($T$5:$AJ$1204,MATCH(280,$S$5:$S$1204,0),2))</f>
        <v/>
      </c>
      <c r="C284" s="10" t="str">
        <f t="array" ref="C284">IF(280&gt;$S$1204,"",INDEX($T$5:$AJ$1204,MATCH(280,$S$5:$S$1204,0),3))</f>
        <v/>
      </c>
      <c r="D284" s="8" t="str">
        <f t="array" ref="D284">IF(280&gt;$S$1204,"",INDEX($T$5:$AJ$1204,MATCH(280,$S$5:$S$1204,0),4))</f>
        <v/>
      </c>
      <c r="E284" s="8" t="str">
        <f t="array" ref="E284">IF(280&gt;$S$1204,"",INDEX($T$5:$AJ$1204,MATCH(280,$S$5:$S$1204,0),5))</f>
        <v/>
      </c>
      <c r="F284" s="8" t="str">
        <f t="array" ref="F284">IF(280&gt;$S$1204,"",INDEX($T$5:$AJ$1204,MATCH(280,$S$5:$S$1204,0),6))</f>
        <v/>
      </c>
      <c r="G284" s="8" t="str">
        <f t="array" ref="G284">IF(280&gt;$S$1204,"",INDEX($T$5:$AJ$1204,MATCH(280,$S$5:$S$1204,0),7))</f>
        <v/>
      </c>
      <c r="H284" s="8" t="str">
        <f t="array" ref="H284">IF(280&gt;$S$1204,"",INDEX($T$5:$AJ$1204,MATCH(280,$S$5:$S$1204,0),8))</f>
        <v/>
      </c>
      <c r="I284" s="8" t="str">
        <f t="array" ref="I284">IF(280&gt;$S$1204,"",INDEX($T$5:$AJ$1204,MATCH(280,$S$5:$S$1204,0),9))</f>
        <v/>
      </c>
      <c r="J284" s="14" t="str">
        <f t="array" ref="J284">IF(280&gt;$S$1204,"",INDEX($T$5:$AJ$1204,MATCH(280,$S$5:$S$1204,0),10))</f>
        <v/>
      </c>
      <c r="K284" s="8" t="str">
        <f t="array" ref="K284">IF(280&gt;$S$1204,"",INDEX($T$5:$AJ$1204,MATCH(280,$S$5:$S$1204,0),11))</f>
        <v/>
      </c>
      <c r="L284" s="8" t="str">
        <f t="array" ref="L284">IF(280&gt;$S$1204,"",INDEX($T$5:$AJ$1204,MATCH(280,$S$5:$S$1204,0),12))</f>
        <v/>
      </c>
      <c r="M284" s="8" t="str">
        <f t="array" ref="M284">IF(280&gt;$S$1204,"",INDEX($T$5:$AJ$1204,MATCH(280,$S$5:$S$1204,0),13))</f>
        <v/>
      </c>
      <c r="N284" s="8" t="str">
        <f t="array" ref="N284">IF(280&gt;$S$1204,"",INDEX($T$5:$AJ$1204,MATCH(280,$S$5:$S$1204,0),14))</f>
        <v/>
      </c>
      <c r="O284" s="15" t="str">
        <f t="array" ref="O284">IF(280&gt;$S$1204,"",INDEX($T$5:$AJ$1204,MATCH(280,$S$5:$S$1204,0),15))</f>
        <v/>
      </c>
      <c r="P284" s="8" t="str">
        <f t="array" ref="P284">IF(280&gt;$S$1204,"",INDEX($T$5:$AJ$1204,MATCH(280,$S$5:$S$1204,0),16))</f>
        <v/>
      </c>
      <c r="Q284" s="8" t="str">
        <f t="array" ref="Q284">IF(280&gt;$S$1204,"",INDEX($T$5:$AJ$1204,MATCH(280,$S$5:$S$1204,0),17))</f>
        <v/>
      </c>
      <c r="R284" s="17"/>
      <c r="S284" s="17">
        <f>S283+IF(M2_Accesos!A88="",0,1)</f>
        <v>0</v>
      </c>
      <c r="T284" s="17" t="str">
        <f>IF(M2_Accesos!A88="","",IF(M2_Accesos!A88="","",M2_Accesos!A88))</f>
        <v/>
      </c>
      <c r="U284" s="17" t="str">
        <f>IF(M2_Accesos!A88="","",IF(M2_Accesos!R88="","",M2_Accesos!R88))</f>
        <v/>
      </c>
      <c r="V284" s="17" t="str">
        <f>IF(M2_Accesos!A88="","",IF(M2_Accesos!D88="","",M2_Accesos!D88))</f>
        <v/>
      </c>
      <c r="W284" s="17" t="str">
        <f>IF(M2_Accesos!A88="","",IF(M2_Accesos!B88="","",M2_Accesos!B88))</f>
        <v/>
      </c>
      <c r="X284" s="17" t="str">
        <f>IF(M2_Accesos!A88="","",IF(M2_Accesos!C88="","",M2_Accesos!C88))</f>
        <v/>
      </c>
      <c r="Y284" s="17" t="str">
        <f>IF(M2_Accesos!A88="","",IF(M2_Accesos!E88="","",M2_Accesos!E88))</f>
        <v/>
      </c>
      <c r="Z284" s="17" t="str">
        <f>IF(M2_Accesos!A88="","",IF(M2_Accesos!F88="","",M2_Accesos!F88))</f>
        <v/>
      </c>
      <c r="AA284" s="17" t="str">
        <f>IF(M2_Accesos!A88="","","M2 Accesos")</f>
        <v/>
      </c>
      <c r="AB284" s="17" t="str">
        <f>IF(M2_Accesos!A88="","",IF(M2_Accesos!G88="","",M2_Accesos!G88))</f>
        <v/>
      </c>
      <c r="AC284" s="17" t="str">
        <f>IF(M2_Accesos!A88="","",IF(M2_Accesos!M88="","",M2_Accesos!M88))</f>
        <v/>
      </c>
      <c r="AD284" s="17" t="str">
        <f>IF(M2_Accesos!A88="","","RD")</f>
        <v/>
      </c>
      <c r="AE284" s="17" t="str">
        <f>IF(M2_Accesos!A88="","",IF(M2_Accesos!O88="","",M2_Accesos!O88))</f>
        <v/>
      </c>
      <c r="AF284" s="17" t="str">
        <f>IF(M2_Accesos!A88="","",IF(M2_Accesos!P88="","",M2_Accesos!P88))</f>
        <v/>
      </c>
      <c r="AG284" s="17" t="str">
        <f>IF(M2_Accesos!A88="","",IF(M2_Accesos!Q88="","",M2_Accesos!Q88))</f>
        <v/>
      </c>
      <c r="AH284" s="17" t="str">
        <f>IF(M2_Accesos!A88="","",IF(M2_Accesos!J88="","",M2_Accesos!J88))</f>
        <v/>
      </c>
      <c r="AI284" s="17" t="str">
        <f>IF(M2_Accesos!A88="","","M2_Accesos!88")</f>
        <v/>
      </c>
      <c r="AJ284" s="17" t="str">
        <f>IF(M2_Accesos!A88="","",IF(M2_Accesos!M88="","Pendiente de resultado","Disponible"))</f>
        <v/>
      </c>
    </row>
    <row r="285" spans="1:36" ht="55.5" customHeight="1">
      <c r="A285" s="6" t="str">
        <f t="array" ref="A285">IF(281&gt;$S$1204,"",INDEX($T$5:$AJ$1204,MATCH(281,$S$5:$S$1204,0),1))</f>
        <v/>
      </c>
      <c r="B285" s="8" t="str">
        <f t="array" ref="B285">IF(281&gt;$S$1204,"",INDEX($T$5:$AJ$1204,MATCH(281,$S$5:$S$1204,0),2))</f>
        <v/>
      </c>
      <c r="C285" s="10" t="str">
        <f t="array" ref="C285">IF(281&gt;$S$1204,"",INDEX($T$5:$AJ$1204,MATCH(281,$S$5:$S$1204,0),3))</f>
        <v/>
      </c>
      <c r="D285" s="8" t="str">
        <f t="array" ref="D285">IF(281&gt;$S$1204,"",INDEX($T$5:$AJ$1204,MATCH(281,$S$5:$S$1204,0),4))</f>
        <v/>
      </c>
      <c r="E285" s="8" t="str">
        <f t="array" ref="E285">IF(281&gt;$S$1204,"",INDEX($T$5:$AJ$1204,MATCH(281,$S$5:$S$1204,0),5))</f>
        <v/>
      </c>
      <c r="F285" s="8" t="str">
        <f t="array" ref="F285">IF(281&gt;$S$1204,"",INDEX($T$5:$AJ$1204,MATCH(281,$S$5:$S$1204,0),6))</f>
        <v/>
      </c>
      <c r="G285" s="8" t="str">
        <f t="array" ref="G285">IF(281&gt;$S$1204,"",INDEX($T$5:$AJ$1204,MATCH(281,$S$5:$S$1204,0),7))</f>
        <v/>
      </c>
      <c r="H285" s="8" t="str">
        <f t="array" ref="H285">IF(281&gt;$S$1204,"",INDEX($T$5:$AJ$1204,MATCH(281,$S$5:$S$1204,0),8))</f>
        <v/>
      </c>
      <c r="I285" s="8" t="str">
        <f t="array" ref="I285">IF(281&gt;$S$1204,"",INDEX($T$5:$AJ$1204,MATCH(281,$S$5:$S$1204,0),9))</f>
        <v/>
      </c>
      <c r="J285" s="14" t="str">
        <f t="array" ref="J285">IF(281&gt;$S$1204,"",INDEX($T$5:$AJ$1204,MATCH(281,$S$5:$S$1204,0),10))</f>
        <v/>
      </c>
      <c r="K285" s="8" t="str">
        <f t="array" ref="K285">IF(281&gt;$S$1204,"",INDEX($T$5:$AJ$1204,MATCH(281,$S$5:$S$1204,0),11))</f>
        <v/>
      </c>
      <c r="L285" s="8" t="str">
        <f t="array" ref="L285">IF(281&gt;$S$1204,"",INDEX($T$5:$AJ$1204,MATCH(281,$S$5:$S$1204,0),12))</f>
        <v/>
      </c>
      <c r="M285" s="8" t="str">
        <f t="array" ref="M285">IF(281&gt;$S$1204,"",INDEX($T$5:$AJ$1204,MATCH(281,$S$5:$S$1204,0),13))</f>
        <v/>
      </c>
      <c r="N285" s="8" t="str">
        <f t="array" ref="N285">IF(281&gt;$S$1204,"",INDEX($T$5:$AJ$1204,MATCH(281,$S$5:$S$1204,0),14))</f>
        <v/>
      </c>
      <c r="O285" s="15" t="str">
        <f t="array" ref="O285">IF(281&gt;$S$1204,"",INDEX($T$5:$AJ$1204,MATCH(281,$S$5:$S$1204,0),15))</f>
        <v/>
      </c>
      <c r="P285" s="8" t="str">
        <f t="array" ref="P285">IF(281&gt;$S$1204,"",INDEX($T$5:$AJ$1204,MATCH(281,$S$5:$S$1204,0),16))</f>
        <v/>
      </c>
      <c r="Q285" s="8" t="str">
        <f t="array" ref="Q285">IF(281&gt;$S$1204,"",INDEX($T$5:$AJ$1204,MATCH(281,$S$5:$S$1204,0),17))</f>
        <v/>
      </c>
      <c r="R285" s="17"/>
      <c r="S285" s="17">
        <f>S284+IF(M2_Accesos!A89="",0,1)</f>
        <v>0</v>
      </c>
      <c r="T285" s="17" t="str">
        <f>IF(M2_Accesos!A89="","",IF(M2_Accesos!A89="","",M2_Accesos!A89))</f>
        <v/>
      </c>
      <c r="U285" s="17" t="str">
        <f>IF(M2_Accesos!A89="","",IF(M2_Accesos!R89="","",M2_Accesos!R89))</f>
        <v/>
      </c>
      <c r="V285" s="17" t="str">
        <f>IF(M2_Accesos!A89="","",IF(M2_Accesos!D89="","",M2_Accesos!D89))</f>
        <v/>
      </c>
      <c r="W285" s="17" t="str">
        <f>IF(M2_Accesos!A89="","",IF(M2_Accesos!B89="","",M2_Accesos!B89))</f>
        <v/>
      </c>
      <c r="X285" s="17" t="str">
        <f>IF(M2_Accesos!A89="","",IF(M2_Accesos!C89="","",M2_Accesos!C89))</f>
        <v/>
      </c>
      <c r="Y285" s="17" t="str">
        <f>IF(M2_Accesos!A89="","",IF(M2_Accesos!E89="","",M2_Accesos!E89))</f>
        <v/>
      </c>
      <c r="Z285" s="17" t="str">
        <f>IF(M2_Accesos!A89="","",IF(M2_Accesos!F89="","",M2_Accesos!F89))</f>
        <v/>
      </c>
      <c r="AA285" s="17" t="str">
        <f>IF(M2_Accesos!A89="","","M2 Accesos")</f>
        <v/>
      </c>
      <c r="AB285" s="17" t="str">
        <f>IF(M2_Accesos!A89="","",IF(M2_Accesos!G89="","",M2_Accesos!G89))</f>
        <v/>
      </c>
      <c r="AC285" s="17" t="str">
        <f>IF(M2_Accesos!A89="","",IF(M2_Accesos!M89="","",M2_Accesos!M89))</f>
        <v/>
      </c>
      <c r="AD285" s="17" t="str">
        <f>IF(M2_Accesos!A89="","","RD")</f>
        <v/>
      </c>
      <c r="AE285" s="17" t="str">
        <f>IF(M2_Accesos!A89="","",IF(M2_Accesos!O89="","",M2_Accesos!O89))</f>
        <v/>
      </c>
      <c r="AF285" s="17" t="str">
        <f>IF(M2_Accesos!A89="","",IF(M2_Accesos!P89="","",M2_Accesos!P89))</f>
        <v/>
      </c>
      <c r="AG285" s="17" t="str">
        <f>IF(M2_Accesos!A89="","",IF(M2_Accesos!Q89="","",M2_Accesos!Q89))</f>
        <v/>
      </c>
      <c r="AH285" s="17" t="str">
        <f>IF(M2_Accesos!A89="","",IF(M2_Accesos!J89="","",M2_Accesos!J89))</f>
        <v/>
      </c>
      <c r="AI285" s="17" t="str">
        <f>IF(M2_Accesos!A89="","","M2_Accesos!89")</f>
        <v/>
      </c>
      <c r="AJ285" s="17" t="str">
        <f>IF(M2_Accesos!A89="","",IF(M2_Accesos!M89="","Pendiente de resultado","Disponible"))</f>
        <v/>
      </c>
    </row>
    <row r="286" spans="1:36" ht="55.5" customHeight="1">
      <c r="A286" s="6" t="str">
        <f t="array" ref="A286">IF(282&gt;$S$1204,"",INDEX($T$5:$AJ$1204,MATCH(282,$S$5:$S$1204,0),1))</f>
        <v/>
      </c>
      <c r="B286" s="8" t="str">
        <f t="array" ref="B286">IF(282&gt;$S$1204,"",INDEX($T$5:$AJ$1204,MATCH(282,$S$5:$S$1204,0),2))</f>
        <v/>
      </c>
      <c r="C286" s="10" t="str">
        <f t="array" ref="C286">IF(282&gt;$S$1204,"",INDEX($T$5:$AJ$1204,MATCH(282,$S$5:$S$1204,0),3))</f>
        <v/>
      </c>
      <c r="D286" s="8" t="str">
        <f t="array" ref="D286">IF(282&gt;$S$1204,"",INDEX($T$5:$AJ$1204,MATCH(282,$S$5:$S$1204,0),4))</f>
        <v/>
      </c>
      <c r="E286" s="8" t="str">
        <f t="array" ref="E286">IF(282&gt;$S$1204,"",INDEX($T$5:$AJ$1204,MATCH(282,$S$5:$S$1204,0),5))</f>
        <v/>
      </c>
      <c r="F286" s="8" t="str">
        <f t="array" ref="F286">IF(282&gt;$S$1204,"",INDEX($T$5:$AJ$1204,MATCH(282,$S$5:$S$1204,0),6))</f>
        <v/>
      </c>
      <c r="G286" s="8" t="str">
        <f t="array" ref="G286">IF(282&gt;$S$1204,"",INDEX($T$5:$AJ$1204,MATCH(282,$S$5:$S$1204,0),7))</f>
        <v/>
      </c>
      <c r="H286" s="8" t="str">
        <f t="array" ref="H286">IF(282&gt;$S$1204,"",INDEX($T$5:$AJ$1204,MATCH(282,$S$5:$S$1204,0),8))</f>
        <v/>
      </c>
      <c r="I286" s="8" t="str">
        <f t="array" ref="I286">IF(282&gt;$S$1204,"",INDEX($T$5:$AJ$1204,MATCH(282,$S$5:$S$1204,0),9))</f>
        <v/>
      </c>
      <c r="J286" s="14" t="str">
        <f t="array" ref="J286">IF(282&gt;$S$1204,"",INDEX($T$5:$AJ$1204,MATCH(282,$S$5:$S$1204,0),10))</f>
        <v/>
      </c>
      <c r="K286" s="8" t="str">
        <f t="array" ref="K286">IF(282&gt;$S$1204,"",INDEX($T$5:$AJ$1204,MATCH(282,$S$5:$S$1204,0),11))</f>
        <v/>
      </c>
      <c r="L286" s="8" t="str">
        <f t="array" ref="L286">IF(282&gt;$S$1204,"",INDEX($T$5:$AJ$1204,MATCH(282,$S$5:$S$1204,0),12))</f>
        <v/>
      </c>
      <c r="M286" s="8" t="str">
        <f t="array" ref="M286">IF(282&gt;$S$1204,"",INDEX($T$5:$AJ$1204,MATCH(282,$S$5:$S$1204,0),13))</f>
        <v/>
      </c>
      <c r="N286" s="8" t="str">
        <f t="array" ref="N286">IF(282&gt;$S$1204,"",INDEX($T$5:$AJ$1204,MATCH(282,$S$5:$S$1204,0),14))</f>
        <v/>
      </c>
      <c r="O286" s="15" t="str">
        <f t="array" ref="O286">IF(282&gt;$S$1204,"",INDEX($T$5:$AJ$1204,MATCH(282,$S$5:$S$1204,0),15))</f>
        <v/>
      </c>
      <c r="P286" s="8" t="str">
        <f t="array" ref="P286">IF(282&gt;$S$1204,"",INDEX($T$5:$AJ$1204,MATCH(282,$S$5:$S$1204,0),16))</f>
        <v/>
      </c>
      <c r="Q286" s="8" t="str">
        <f t="array" ref="Q286">IF(282&gt;$S$1204,"",INDEX($T$5:$AJ$1204,MATCH(282,$S$5:$S$1204,0),17))</f>
        <v/>
      </c>
      <c r="R286" s="17"/>
      <c r="S286" s="17">
        <f>S285+IF(M2_Accesos!A90="",0,1)</f>
        <v>0</v>
      </c>
      <c r="T286" s="17" t="str">
        <f>IF(M2_Accesos!A90="","",IF(M2_Accesos!A90="","",M2_Accesos!A90))</f>
        <v/>
      </c>
      <c r="U286" s="17" t="str">
        <f>IF(M2_Accesos!A90="","",IF(M2_Accesos!R90="","",M2_Accesos!R90))</f>
        <v/>
      </c>
      <c r="V286" s="17" t="str">
        <f>IF(M2_Accesos!A90="","",IF(M2_Accesos!D90="","",M2_Accesos!D90))</f>
        <v/>
      </c>
      <c r="W286" s="17" t="str">
        <f>IF(M2_Accesos!A90="","",IF(M2_Accesos!B90="","",M2_Accesos!B90))</f>
        <v/>
      </c>
      <c r="X286" s="17" t="str">
        <f>IF(M2_Accesos!A90="","",IF(M2_Accesos!C90="","",M2_Accesos!C90))</f>
        <v/>
      </c>
      <c r="Y286" s="17" t="str">
        <f>IF(M2_Accesos!A90="","",IF(M2_Accesos!E90="","",M2_Accesos!E90))</f>
        <v/>
      </c>
      <c r="Z286" s="17" t="str">
        <f>IF(M2_Accesos!A90="","",IF(M2_Accesos!F90="","",M2_Accesos!F90))</f>
        <v/>
      </c>
      <c r="AA286" s="17" t="str">
        <f>IF(M2_Accesos!A90="","","M2 Accesos")</f>
        <v/>
      </c>
      <c r="AB286" s="17" t="str">
        <f>IF(M2_Accesos!A90="","",IF(M2_Accesos!G90="","",M2_Accesos!G90))</f>
        <v/>
      </c>
      <c r="AC286" s="17" t="str">
        <f>IF(M2_Accesos!A90="","",IF(M2_Accesos!M90="","",M2_Accesos!M90))</f>
        <v/>
      </c>
      <c r="AD286" s="17" t="str">
        <f>IF(M2_Accesos!A90="","","RD")</f>
        <v/>
      </c>
      <c r="AE286" s="17" t="str">
        <f>IF(M2_Accesos!A90="","",IF(M2_Accesos!O90="","",M2_Accesos!O90))</f>
        <v/>
      </c>
      <c r="AF286" s="17" t="str">
        <f>IF(M2_Accesos!A90="","",IF(M2_Accesos!P90="","",M2_Accesos!P90))</f>
        <v/>
      </c>
      <c r="AG286" s="17" t="str">
        <f>IF(M2_Accesos!A90="","",IF(M2_Accesos!Q90="","",M2_Accesos!Q90))</f>
        <v/>
      </c>
      <c r="AH286" s="17" t="str">
        <f>IF(M2_Accesos!A90="","",IF(M2_Accesos!J90="","",M2_Accesos!J90))</f>
        <v/>
      </c>
      <c r="AI286" s="17" t="str">
        <f>IF(M2_Accesos!A90="","","M2_Accesos!90")</f>
        <v/>
      </c>
      <c r="AJ286" s="17" t="str">
        <f>IF(M2_Accesos!A90="","",IF(M2_Accesos!M90="","Pendiente de resultado","Disponible"))</f>
        <v/>
      </c>
    </row>
    <row r="287" spans="1:36" ht="55.5" customHeight="1">
      <c r="A287" s="6" t="str">
        <f t="array" ref="A287">IF(283&gt;$S$1204,"",INDEX($T$5:$AJ$1204,MATCH(283,$S$5:$S$1204,0),1))</f>
        <v/>
      </c>
      <c r="B287" s="8" t="str">
        <f t="array" ref="B287">IF(283&gt;$S$1204,"",INDEX($T$5:$AJ$1204,MATCH(283,$S$5:$S$1204,0),2))</f>
        <v/>
      </c>
      <c r="C287" s="10" t="str">
        <f t="array" ref="C287">IF(283&gt;$S$1204,"",INDEX($T$5:$AJ$1204,MATCH(283,$S$5:$S$1204,0),3))</f>
        <v/>
      </c>
      <c r="D287" s="8" t="str">
        <f t="array" ref="D287">IF(283&gt;$S$1204,"",INDEX($T$5:$AJ$1204,MATCH(283,$S$5:$S$1204,0),4))</f>
        <v/>
      </c>
      <c r="E287" s="8" t="str">
        <f t="array" ref="E287">IF(283&gt;$S$1204,"",INDEX($T$5:$AJ$1204,MATCH(283,$S$5:$S$1204,0),5))</f>
        <v/>
      </c>
      <c r="F287" s="8" t="str">
        <f t="array" ref="F287">IF(283&gt;$S$1204,"",INDEX($T$5:$AJ$1204,MATCH(283,$S$5:$S$1204,0),6))</f>
        <v/>
      </c>
      <c r="G287" s="8" t="str">
        <f t="array" ref="G287">IF(283&gt;$S$1204,"",INDEX($T$5:$AJ$1204,MATCH(283,$S$5:$S$1204,0),7))</f>
        <v/>
      </c>
      <c r="H287" s="8" t="str">
        <f t="array" ref="H287">IF(283&gt;$S$1204,"",INDEX($T$5:$AJ$1204,MATCH(283,$S$5:$S$1204,0),8))</f>
        <v/>
      </c>
      <c r="I287" s="8" t="str">
        <f t="array" ref="I287">IF(283&gt;$S$1204,"",INDEX($T$5:$AJ$1204,MATCH(283,$S$5:$S$1204,0),9))</f>
        <v/>
      </c>
      <c r="J287" s="14" t="str">
        <f t="array" ref="J287">IF(283&gt;$S$1204,"",INDEX($T$5:$AJ$1204,MATCH(283,$S$5:$S$1204,0),10))</f>
        <v/>
      </c>
      <c r="K287" s="8" t="str">
        <f t="array" ref="K287">IF(283&gt;$S$1204,"",INDEX($T$5:$AJ$1204,MATCH(283,$S$5:$S$1204,0),11))</f>
        <v/>
      </c>
      <c r="L287" s="8" t="str">
        <f t="array" ref="L287">IF(283&gt;$S$1204,"",INDEX($T$5:$AJ$1204,MATCH(283,$S$5:$S$1204,0),12))</f>
        <v/>
      </c>
      <c r="M287" s="8" t="str">
        <f t="array" ref="M287">IF(283&gt;$S$1204,"",INDEX($T$5:$AJ$1204,MATCH(283,$S$5:$S$1204,0),13))</f>
        <v/>
      </c>
      <c r="N287" s="8" t="str">
        <f t="array" ref="N287">IF(283&gt;$S$1204,"",INDEX($T$5:$AJ$1204,MATCH(283,$S$5:$S$1204,0),14))</f>
        <v/>
      </c>
      <c r="O287" s="15" t="str">
        <f t="array" ref="O287">IF(283&gt;$S$1204,"",INDEX($T$5:$AJ$1204,MATCH(283,$S$5:$S$1204,0),15))</f>
        <v/>
      </c>
      <c r="P287" s="8" t="str">
        <f t="array" ref="P287">IF(283&gt;$S$1204,"",INDEX($T$5:$AJ$1204,MATCH(283,$S$5:$S$1204,0),16))</f>
        <v/>
      </c>
      <c r="Q287" s="8" t="str">
        <f t="array" ref="Q287">IF(283&gt;$S$1204,"",INDEX($T$5:$AJ$1204,MATCH(283,$S$5:$S$1204,0),17))</f>
        <v/>
      </c>
      <c r="R287" s="17"/>
      <c r="S287" s="17">
        <f>S286+IF(M2_Accesos!A91="",0,1)</f>
        <v>0</v>
      </c>
      <c r="T287" s="17" t="str">
        <f>IF(M2_Accesos!A91="","",IF(M2_Accesos!A91="","",M2_Accesos!A91))</f>
        <v/>
      </c>
      <c r="U287" s="17" t="str">
        <f>IF(M2_Accesos!A91="","",IF(M2_Accesos!R91="","",M2_Accesos!R91))</f>
        <v/>
      </c>
      <c r="V287" s="17" t="str">
        <f>IF(M2_Accesos!A91="","",IF(M2_Accesos!D91="","",M2_Accesos!D91))</f>
        <v/>
      </c>
      <c r="W287" s="17" t="str">
        <f>IF(M2_Accesos!A91="","",IF(M2_Accesos!B91="","",M2_Accesos!B91))</f>
        <v/>
      </c>
      <c r="X287" s="17" t="str">
        <f>IF(M2_Accesos!A91="","",IF(M2_Accesos!C91="","",M2_Accesos!C91))</f>
        <v/>
      </c>
      <c r="Y287" s="17" t="str">
        <f>IF(M2_Accesos!A91="","",IF(M2_Accesos!E91="","",M2_Accesos!E91))</f>
        <v/>
      </c>
      <c r="Z287" s="17" t="str">
        <f>IF(M2_Accesos!A91="","",IF(M2_Accesos!F91="","",M2_Accesos!F91))</f>
        <v/>
      </c>
      <c r="AA287" s="17" t="str">
        <f>IF(M2_Accesos!A91="","","M2 Accesos")</f>
        <v/>
      </c>
      <c r="AB287" s="17" t="str">
        <f>IF(M2_Accesos!A91="","",IF(M2_Accesos!G91="","",M2_Accesos!G91))</f>
        <v/>
      </c>
      <c r="AC287" s="17" t="str">
        <f>IF(M2_Accesos!A91="","",IF(M2_Accesos!M91="","",M2_Accesos!M91))</f>
        <v/>
      </c>
      <c r="AD287" s="17" t="str">
        <f>IF(M2_Accesos!A91="","","RD")</f>
        <v/>
      </c>
      <c r="AE287" s="17" t="str">
        <f>IF(M2_Accesos!A91="","",IF(M2_Accesos!O91="","",M2_Accesos!O91))</f>
        <v/>
      </c>
      <c r="AF287" s="17" t="str">
        <f>IF(M2_Accesos!A91="","",IF(M2_Accesos!P91="","",M2_Accesos!P91))</f>
        <v/>
      </c>
      <c r="AG287" s="17" t="str">
        <f>IF(M2_Accesos!A91="","",IF(M2_Accesos!Q91="","",M2_Accesos!Q91))</f>
        <v/>
      </c>
      <c r="AH287" s="17" t="str">
        <f>IF(M2_Accesos!A91="","",IF(M2_Accesos!J91="","",M2_Accesos!J91))</f>
        <v/>
      </c>
      <c r="AI287" s="17" t="str">
        <f>IF(M2_Accesos!A91="","","M2_Accesos!91")</f>
        <v/>
      </c>
      <c r="AJ287" s="17" t="str">
        <f>IF(M2_Accesos!A91="","",IF(M2_Accesos!M91="","Pendiente de resultado","Disponible"))</f>
        <v/>
      </c>
    </row>
    <row r="288" spans="1:36" ht="55.5" customHeight="1">
      <c r="A288" s="6" t="str">
        <f t="array" ref="A288">IF(284&gt;$S$1204,"",INDEX($T$5:$AJ$1204,MATCH(284,$S$5:$S$1204,0),1))</f>
        <v/>
      </c>
      <c r="B288" s="8" t="str">
        <f t="array" ref="B288">IF(284&gt;$S$1204,"",INDEX($T$5:$AJ$1204,MATCH(284,$S$5:$S$1204,0),2))</f>
        <v/>
      </c>
      <c r="C288" s="10" t="str">
        <f t="array" ref="C288">IF(284&gt;$S$1204,"",INDEX($T$5:$AJ$1204,MATCH(284,$S$5:$S$1204,0),3))</f>
        <v/>
      </c>
      <c r="D288" s="8" t="str">
        <f t="array" ref="D288">IF(284&gt;$S$1204,"",INDEX($T$5:$AJ$1204,MATCH(284,$S$5:$S$1204,0),4))</f>
        <v/>
      </c>
      <c r="E288" s="8" t="str">
        <f t="array" ref="E288">IF(284&gt;$S$1204,"",INDEX($T$5:$AJ$1204,MATCH(284,$S$5:$S$1204,0),5))</f>
        <v/>
      </c>
      <c r="F288" s="8" t="str">
        <f t="array" ref="F288">IF(284&gt;$S$1204,"",INDEX($T$5:$AJ$1204,MATCH(284,$S$5:$S$1204,0),6))</f>
        <v/>
      </c>
      <c r="G288" s="8" t="str">
        <f t="array" ref="G288">IF(284&gt;$S$1204,"",INDEX($T$5:$AJ$1204,MATCH(284,$S$5:$S$1204,0),7))</f>
        <v/>
      </c>
      <c r="H288" s="8" t="str">
        <f t="array" ref="H288">IF(284&gt;$S$1204,"",INDEX($T$5:$AJ$1204,MATCH(284,$S$5:$S$1204,0),8))</f>
        <v/>
      </c>
      <c r="I288" s="8" t="str">
        <f t="array" ref="I288">IF(284&gt;$S$1204,"",INDEX($T$5:$AJ$1204,MATCH(284,$S$5:$S$1204,0),9))</f>
        <v/>
      </c>
      <c r="J288" s="14" t="str">
        <f t="array" ref="J288">IF(284&gt;$S$1204,"",INDEX($T$5:$AJ$1204,MATCH(284,$S$5:$S$1204,0),10))</f>
        <v/>
      </c>
      <c r="K288" s="8" t="str">
        <f t="array" ref="K288">IF(284&gt;$S$1204,"",INDEX($T$5:$AJ$1204,MATCH(284,$S$5:$S$1204,0),11))</f>
        <v/>
      </c>
      <c r="L288" s="8" t="str">
        <f t="array" ref="L288">IF(284&gt;$S$1204,"",INDEX($T$5:$AJ$1204,MATCH(284,$S$5:$S$1204,0),12))</f>
        <v/>
      </c>
      <c r="M288" s="8" t="str">
        <f t="array" ref="M288">IF(284&gt;$S$1204,"",INDEX($T$5:$AJ$1204,MATCH(284,$S$5:$S$1204,0),13))</f>
        <v/>
      </c>
      <c r="N288" s="8" t="str">
        <f t="array" ref="N288">IF(284&gt;$S$1204,"",INDEX($T$5:$AJ$1204,MATCH(284,$S$5:$S$1204,0),14))</f>
        <v/>
      </c>
      <c r="O288" s="15" t="str">
        <f t="array" ref="O288">IF(284&gt;$S$1204,"",INDEX($T$5:$AJ$1204,MATCH(284,$S$5:$S$1204,0),15))</f>
        <v/>
      </c>
      <c r="P288" s="8" t="str">
        <f t="array" ref="P288">IF(284&gt;$S$1204,"",INDEX($T$5:$AJ$1204,MATCH(284,$S$5:$S$1204,0),16))</f>
        <v/>
      </c>
      <c r="Q288" s="8" t="str">
        <f t="array" ref="Q288">IF(284&gt;$S$1204,"",INDEX($T$5:$AJ$1204,MATCH(284,$S$5:$S$1204,0),17))</f>
        <v/>
      </c>
      <c r="R288" s="17"/>
      <c r="S288" s="17">
        <f>S287+IF(M2_Accesos!A92="",0,1)</f>
        <v>0</v>
      </c>
      <c r="T288" s="17" t="str">
        <f>IF(M2_Accesos!A92="","",IF(M2_Accesos!A92="","",M2_Accesos!A92))</f>
        <v/>
      </c>
      <c r="U288" s="17" t="str">
        <f>IF(M2_Accesos!A92="","",IF(M2_Accesos!R92="","",M2_Accesos!R92))</f>
        <v/>
      </c>
      <c r="V288" s="17" t="str">
        <f>IF(M2_Accesos!A92="","",IF(M2_Accesos!D92="","",M2_Accesos!D92))</f>
        <v/>
      </c>
      <c r="W288" s="17" t="str">
        <f>IF(M2_Accesos!A92="","",IF(M2_Accesos!B92="","",M2_Accesos!B92))</f>
        <v/>
      </c>
      <c r="X288" s="17" t="str">
        <f>IF(M2_Accesos!A92="","",IF(M2_Accesos!C92="","",M2_Accesos!C92))</f>
        <v/>
      </c>
      <c r="Y288" s="17" t="str">
        <f>IF(M2_Accesos!A92="","",IF(M2_Accesos!E92="","",M2_Accesos!E92))</f>
        <v/>
      </c>
      <c r="Z288" s="17" t="str">
        <f>IF(M2_Accesos!A92="","",IF(M2_Accesos!F92="","",M2_Accesos!F92))</f>
        <v/>
      </c>
      <c r="AA288" s="17" t="str">
        <f>IF(M2_Accesos!A92="","","M2 Accesos")</f>
        <v/>
      </c>
      <c r="AB288" s="17" t="str">
        <f>IF(M2_Accesos!A92="","",IF(M2_Accesos!G92="","",M2_Accesos!G92))</f>
        <v/>
      </c>
      <c r="AC288" s="17" t="str">
        <f>IF(M2_Accesos!A92="","",IF(M2_Accesos!M92="","",M2_Accesos!M92))</f>
        <v/>
      </c>
      <c r="AD288" s="17" t="str">
        <f>IF(M2_Accesos!A92="","","RD")</f>
        <v/>
      </c>
      <c r="AE288" s="17" t="str">
        <f>IF(M2_Accesos!A92="","",IF(M2_Accesos!O92="","",M2_Accesos!O92))</f>
        <v/>
      </c>
      <c r="AF288" s="17" t="str">
        <f>IF(M2_Accesos!A92="","",IF(M2_Accesos!P92="","",M2_Accesos!P92))</f>
        <v/>
      </c>
      <c r="AG288" s="17" t="str">
        <f>IF(M2_Accesos!A92="","",IF(M2_Accesos!Q92="","",M2_Accesos!Q92))</f>
        <v/>
      </c>
      <c r="AH288" s="17" t="str">
        <f>IF(M2_Accesos!A92="","",IF(M2_Accesos!J92="","",M2_Accesos!J92))</f>
        <v/>
      </c>
      <c r="AI288" s="17" t="str">
        <f>IF(M2_Accesos!A92="","","M2_Accesos!92")</f>
        <v/>
      </c>
      <c r="AJ288" s="17" t="str">
        <f>IF(M2_Accesos!A92="","",IF(M2_Accesos!M92="","Pendiente de resultado","Disponible"))</f>
        <v/>
      </c>
    </row>
    <row r="289" spans="1:36" ht="55.5" customHeight="1">
      <c r="A289" s="6" t="str">
        <f t="array" ref="A289">IF(285&gt;$S$1204,"",INDEX($T$5:$AJ$1204,MATCH(285,$S$5:$S$1204,0),1))</f>
        <v/>
      </c>
      <c r="B289" s="8" t="str">
        <f t="array" ref="B289">IF(285&gt;$S$1204,"",INDEX($T$5:$AJ$1204,MATCH(285,$S$5:$S$1204,0),2))</f>
        <v/>
      </c>
      <c r="C289" s="10" t="str">
        <f t="array" ref="C289">IF(285&gt;$S$1204,"",INDEX($T$5:$AJ$1204,MATCH(285,$S$5:$S$1204,0),3))</f>
        <v/>
      </c>
      <c r="D289" s="8" t="str">
        <f t="array" ref="D289">IF(285&gt;$S$1204,"",INDEX($T$5:$AJ$1204,MATCH(285,$S$5:$S$1204,0),4))</f>
        <v/>
      </c>
      <c r="E289" s="8" t="str">
        <f t="array" ref="E289">IF(285&gt;$S$1204,"",INDEX($T$5:$AJ$1204,MATCH(285,$S$5:$S$1204,0),5))</f>
        <v/>
      </c>
      <c r="F289" s="8" t="str">
        <f t="array" ref="F289">IF(285&gt;$S$1204,"",INDEX($T$5:$AJ$1204,MATCH(285,$S$5:$S$1204,0),6))</f>
        <v/>
      </c>
      <c r="G289" s="8" t="str">
        <f t="array" ref="G289">IF(285&gt;$S$1204,"",INDEX($T$5:$AJ$1204,MATCH(285,$S$5:$S$1204,0),7))</f>
        <v/>
      </c>
      <c r="H289" s="8" t="str">
        <f t="array" ref="H289">IF(285&gt;$S$1204,"",INDEX($T$5:$AJ$1204,MATCH(285,$S$5:$S$1204,0),8))</f>
        <v/>
      </c>
      <c r="I289" s="8" t="str">
        <f t="array" ref="I289">IF(285&gt;$S$1204,"",INDEX($T$5:$AJ$1204,MATCH(285,$S$5:$S$1204,0),9))</f>
        <v/>
      </c>
      <c r="J289" s="14" t="str">
        <f t="array" ref="J289">IF(285&gt;$S$1204,"",INDEX($T$5:$AJ$1204,MATCH(285,$S$5:$S$1204,0),10))</f>
        <v/>
      </c>
      <c r="K289" s="8" t="str">
        <f t="array" ref="K289">IF(285&gt;$S$1204,"",INDEX($T$5:$AJ$1204,MATCH(285,$S$5:$S$1204,0),11))</f>
        <v/>
      </c>
      <c r="L289" s="8" t="str">
        <f t="array" ref="L289">IF(285&gt;$S$1204,"",INDEX($T$5:$AJ$1204,MATCH(285,$S$5:$S$1204,0),12))</f>
        <v/>
      </c>
      <c r="M289" s="8" t="str">
        <f t="array" ref="M289">IF(285&gt;$S$1204,"",INDEX($T$5:$AJ$1204,MATCH(285,$S$5:$S$1204,0),13))</f>
        <v/>
      </c>
      <c r="N289" s="8" t="str">
        <f t="array" ref="N289">IF(285&gt;$S$1204,"",INDEX($T$5:$AJ$1204,MATCH(285,$S$5:$S$1204,0),14))</f>
        <v/>
      </c>
      <c r="O289" s="15" t="str">
        <f t="array" ref="O289">IF(285&gt;$S$1204,"",INDEX($T$5:$AJ$1204,MATCH(285,$S$5:$S$1204,0),15))</f>
        <v/>
      </c>
      <c r="P289" s="8" t="str">
        <f t="array" ref="P289">IF(285&gt;$S$1204,"",INDEX($T$5:$AJ$1204,MATCH(285,$S$5:$S$1204,0),16))</f>
        <v/>
      </c>
      <c r="Q289" s="8" t="str">
        <f t="array" ref="Q289">IF(285&gt;$S$1204,"",INDEX($T$5:$AJ$1204,MATCH(285,$S$5:$S$1204,0),17))</f>
        <v/>
      </c>
      <c r="R289" s="17"/>
      <c r="S289" s="17">
        <f>S288+IF(M2_Accesos!A93="",0,1)</f>
        <v>0</v>
      </c>
      <c r="T289" s="17" t="str">
        <f>IF(M2_Accesos!A93="","",IF(M2_Accesos!A93="","",M2_Accesos!A93))</f>
        <v/>
      </c>
      <c r="U289" s="17" t="str">
        <f>IF(M2_Accesos!A93="","",IF(M2_Accesos!R93="","",M2_Accesos!R93))</f>
        <v/>
      </c>
      <c r="V289" s="17" t="str">
        <f>IF(M2_Accesos!A93="","",IF(M2_Accesos!D93="","",M2_Accesos!D93))</f>
        <v/>
      </c>
      <c r="W289" s="17" t="str">
        <f>IF(M2_Accesos!A93="","",IF(M2_Accesos!B93="","",M2_Accesos!B93))</f>
        <v/>
      </c>
      <c r="X289" s="17" t="str">
        <f>IF(M2_Accesos!A93="","",IF(M2_Accesos!C93="","",M2_Accesos!C93))</f>
        <v/>
      </c>
      <c r="Y289" s="17" t="str">
        <f>IF(M2_Accesos!A93="","",IF(M2_Accesos!E93="","",M2_Accesos!E93))</f>
        <v/>
      </c>
      <c r="Z289" s="17" t="str">
        <f>IF(M2_Accesos!A93="","",IF(M2_Accesos!F93="","",M2_Accesos!F93))</f>
        <v/>
      </c>
      <c r="AA289" s="17" t="str">
        <f>IF(M2_Accesos!A93="","","M2 Accesos")</f>
        <v/>
      </c>
      <c r="AB289" s="17" t="str">
        <f>IF(M2_Accesos!A93="","",IF(M2_Accesos!G93="","",M2_Accesos!G93))</f>
        <v/>
      </c>
      <c r="AC289" s="17" t="str">
        <f>IF(M2_Accesos!A93="","",IF(M2_Accesos!M93="","",M2_Accesos!M93))</f>
        <v/>
      </c>
      <c r="AD289" s="17" t="str">
        <f>IF(M2_Accesos!A93="","","RD")</f>
        <v/>
      </c>
      <c r="AE289" s="17" t="str">
        <f>IF(M2_Accesos!A93="","",IF(M2_Accesos!O93="","",M2_Accesos!O93))</f>
        <v/>
      </c>
      <c r="AF289" s="17" t="str">
        <f>IF(M2_Accesos!A93="","",IF(M2_Accesos!P93="","",M2_Accesos!P93))</f>
        <v/>
      </c>
      <c r="AG289" s="17" t="str">
        <f>IF(M2_Accesos!A93="","",IF(M2_Accesos!Q93="","",M2_Accesos!Q93))</f>
        <v/>
      </c>
      <c r="AH289" s="17" t="str">
        <f>IF(M2_Accesos!A93="","",IF(M2_Accesos!J93="","",M2_Accesos!J93))</f>
        <v/>
      </c>
      <c r="AI289" s="17" t="str">
        <f>IF(M2_Accesos!A93="","","M2_Accesos!93")</f>
        <v/>
      </c>
      <c r="AJ289" s="17" t="str">
        <f>IF(M2_Accesos!A93="","",IF(M2_Accesos!M93="","Pendiente de resultado","Disponible"))</f>
        <v/>
      </c>
    </row>
    <row r="290" spans="1:36" ht="55.5" customHeight="1">
      <c r="A290" s="6" t="str">
        <f t="array" ref="A290">IF(286&gt;$S$1204,"",INDEX($T$5:$AJ$1204,MATCH(286,$S$5:$S$1204,0),1))</f>
        <v/>
      </c>
      <c r="B290" s="8" t="str">
        <f t="array" ref="B290">IF(286&gt;$S$1204,"",INDEX($T$5:$AJ$1204,MATCH(286,$S$5:$S$1204,0),2))</f>
        <v/>
      </c>
      <c r="C290" s="10" t="str">
        <f t="array" ref="C290">IF(286&gt;$S$1204,"",INDEX($T$5:$AJ$1204,MATCH(286,$S$5:$S$1204,0),3))</f>
        <v/>
      </c>
      <c r="D290" s="8" t="str">
        <f t="array" ref="D290">IF(286&gt;$S$1204,"",INDEX($T$5:$AJ$1204,MATCH(286,$S$5:$S$1204,0),4))</f>
        <v/>
      </c>
      <c r="E290" s="8" t="str">
        <f t="array" ref="E290">IF(286&gt;$S$1204,"",INDEX($T$5:$AJ$1204,MATCH(286,$S$5:$S$1204,0),5))</f>
        <v/>
      </c>
      <c r="F290" s="8" t="str">
        <f t="array" ref="F290">IF(286&gt;$S$1204,"",INDEX($T$5:$AJ$1204,MATCH(286,$S$5:$S$1204,0),6))</f>
        <v/>
      </c>
      <c r="G290" s="8" t="str">
        <f t="array" ref="G290">IF(286&gt;$S$1204,"",INDEX($T$5:$AJ$1204,MATCH(286,$S$5:$S$1204,0),7))</f>
        <v/>
      </c>
      <c r="H290" s="8" t="str">
        <f t="array" ref="H290">IF(286&gt;$S$1204,"",INDEX($T$5:$AJ$1204,MATCH(286,$S$5:$S$1204,0),8))</f>
        <v/>
      </c>
      <c r="I290" s="8" t="str">
        <f t="array" ref="I290">IF(286&gt;$S$1204,"",INDEX($T$5:$AJ$1204,MATCH(286,$S$5:$S$1204,0),9))</f>
        <v/>
      </c>
      <c r="J290" s="14" t="str">
        <f t="array" ref="J290">IF(286&gt;$S$1204,"",INDEX($T$5:$AJ$1204,MATCH(286,$S$5:$S$1204,0),10))</f>
        <v/>
      </c>
      <c r="K290" s="8" t="str">
        <f t="array" ref="K290">IF(286&gt;$S$1204,"",INDEX($T$5:$AJ$1204,MATCH(286,$S$5:$S$1204,0),11))</f>
        <v/>
      </c>
      <c r="L290" s="8" t="str">
        <f t="array" ref="L290">IF(286&gt;$S$1204,"",INDEX($T$5:$AJ$1204,MATCH(286,$S$5:$S$1204,0),12))</f>
        <v/>
      </c>
      <c r="M290" s="8" t="str">
        <f t="array" ref="M290">IF(286&gt;$S$1204,"",INDEX($T$5:$AJ$1204,MATCH(286,$S$5:$S$1204,0),13))</f>
        <v/>
      </c>
      <c r="N290" s="8" t="str">
        <f t="array" ref="N290">IF(286&gt;$S$1204,"",INDEX($T$5:$AJ$1204,MATCH(286,$S$5:$S$1204,0),14))</f>
        <v/>
      </c>
      <c r="O290" s="15" t="str">
        <f t="array" ref="O290">IF(286&gt;$S$1204,"",INDEX($T$5:$AJ$1204,MATCH(286,$S$5:$S$1204,0),15))</f>
        <v/>
      </c>
      <c r="P290" s="8" t="str">
        <f t="array" ref="P290">IF(286&gt;$S$1204,"",INDEX($T$5:$AJ$1204,MATCH(286,$S$5:$S$1204,0),16))</f>
        <v/>
      </c>
      <c r="Q290" s="8" t="str">
        <f t="array" ref="Q290">IF(286&gt;$S$1204,"",INDEX($T$5:$AJ$1204,MATCH(286,$S$5:$S$1204,0),17))</f>
        <v/>
      </c>
      <c r="R290" s="17"/>
      <c r="S290" s="17">
        <f>S289+IF(M2_Accesos!A94="",0,1)</f>
        <v>0</v>
      </c>
      <c r="T290" s="17" t="str">
        <f>IF(M2_Accesos!A94="","",IF(M2_Accesos!A94="","",M2_Accesos!A94))</f>
        <v/>
      </c>
      <c r="U290" s="17" t="str">
        <f>IF(M2_Accesos!A94="","",IF(M2_Accesos!R94="","",M2_Accesos!R94))</f>
        <v/>
      </c>
      <c r="V290" s="17" t="str">
        <f>IF(M2_Accesos!A94="","",IF(M2_Accesos!D94="","",M2_Accesos!D94))</f>
        <v/>
      </c>
      <c r="W290" s="17" t="str">
        <f>IF(M2_Accesos!A94="","",IF(M2_Accesos!B94="","",M2_Accesos!B94))</f>
        <v/>
      </c>
      <c r="X290" s="17" t="str">
        <f>IF(M2_Accesos!A94="","",IF(M2_Accesos!C94="","",M2_Accesos!C94))</f>
        <v/>
      </c>
      <c r="Y290" s="17" t="str">
        <f>IF(M2_Accesos!A94="","",IF(M2_Accesos!E94="","",M2_Accesos!E94))</f>
        <v/>
      </c>
      <c r="Z290" s="17" t="str">
        <f>IF(M2_Accesos!A94="","",IF(M2_Accesos!F94="","",M2_Accesos!F94))</f>
        <v/>
      </c>
      <c r="AA290" s="17" t="str">
        <f>IF(M2_Accesos!A94="","","M2 Accesos")</f>
        <v/>
      </c>
      <c r="AB290" s="17" t="str">
        <f>IF(M2_Accesos!A94="","",IF(M2_Accesos!G94="","",M2_Accesos!G94))</f>
        <v/>
      </c>
      <c r="AC290" s="17" t="str">
        <f>IF(M2_Accesos!A94="","",IF(M2_Accesos!M94="","",M2_Accesos!M94))</f>
        <v/>
      </c>
      <c r="AD290" s="17" t="str">
        <f>IF(M2_Accesos!A94="","","RD")</f>
        <v/>
      </c>
      <c r="AE290" s="17" t="str">
        <f>IF(M2_Accesos!A94="","",IF(M2_Accesos!O94="","",M2_Accesos!O94))</f>
        <v/>
      </c>
      <c r="AF290" s="17" t="str">
        <f>IF(M2_Accesos!A94="","",IF(M2_Accesos!P94="","",M2_Accesos!P94))</f>
        <v/>
      </c>
      <c r="AG290" s="17" t="str">
        <f>IF(M2_Accesos!A94="","",IF(M2_Accesos!Q94="","",M2_Accesos!Q94))</f>
        <v/>
      </c>
      <c r="AH290" s="17" t="str">
        <f>IF(M2_Accesos!A94="","",IF(M2_Accesos!J94="","",M2_Accesos!J94))</f>
        <v/>
      </c>
      <c r="AI290" s="17" t="str">
        <f>IF(M2_Accesos!A94="","","M2_Accesos!94")</f>
        <v/>
      </c>
      <c r="AJ290" s="17" t="str">
        <f>IF(M2_Accesos!A94="","",IF(M2_Accesos!M94="","Pendiente de resultado","Disponible"))</f>
        <v/>
      </c>
    </row>
    <row r="291" spans="1:36" ht="55.5" customHeight="1">
      <c r="A291" s="6" t="str">
        <f t="array" ref="A291">IF(287&gt;$S$1204,"",INDEX($T$5:$AJ$1204,MATCH(287,$S$5:$S$1204,0),1))</f>
        <v/>
      </c>
      <c r="B291" s="8" t="str">
        <f t="array" ref="B291">IF(287&gt;$S$1204,"",INDEX($T$5:$AJ$1204,MATCH(287,$S$5:$S$1204,0),2))</f>
        <v/>
      </c>
      <c r="C291" s="10" t="str">
        <f t="array" ref="C291">IF(287&gt;$S$1204,"",INDEX($T$5:$AJ$1204,MATCH(287,$S$5:$S$1204,0),3))</f>
        <v/>
      </c>
      <c r="D291" s="8" t="str">
        <f t="array" ref="D291">IF(287&gt;$S$1204,"",INDEX($T$5:$AJ$1204,MATCH(287,$S$5:$S$1204,0),4))</f>
        <v/>
      </c>
      <c r="E291" s="8" t="str">
        <f t="array" ref="E291">IF(287&gt;$S$1204,"",INDEX($T$5:$AJ$1204,MATCH(287,$S$5:$S$1204,0),5))</f>
        <v/>
      </c>
      <c r="F291" s="8" t="str">
        <f t="array" ref="F291">IF(287&gt;$S$1204,"",INDEX($T$5:$AJ$1204,MATCH(287,$S$5:$S$1204,0),6))</f>
        <v/>
      </c>
      <c r="G291" s="8" t="str">
        <f t="array" ref="G291">IF(287&gt;$S$1204,"",INDEX($T$5:$AJ$1204,MATCH(287,$S$5:$S$1204,0),7))</f>
        <v/>
      </c>
      <c r="H291" s="8" t="str">
        <f t="array" ref="H291">IF(287&gt;$S$1204,"",INDEX($T$5:$AJ$1204,MATCH(287,$S$5:$S$1204,0),8))</f>
        <v/>
      </c>
      <c r="I291" s="8" t="str">
        <f t="array" ref="I291">IF(287&gt;$S$1204,"",INDEX($T$5:$AJ$1204,MATCH(287,$S$5:$S$1204,0),9))</f>
        <v/>
      </c>
      <c r="J291" s="14" t="str">
        <f t="array" ref="J291">IF(287&gt;$S$1204,"",INDEX($T$5:$AJ$1204,MATCH(287,$S$5:$S$1204,0),10))</f>
        <v/>
      </c>
      <c r="K291" s="8" t="str">
        <f t="array" ref="K291">IF(287&gt;$S$1204,"",INDEX($T$5:$AJ$1204,MATCH(287,$S$5:$S$1204,0),11))</f>
        <v/>
      </c>
      <c r="L291" s="8" t="str">
        <f t="array" ref="L291">IF(287&gt;$S$1204,"",INDEX($T$5:$AJ$1204,MATCH(287,$S$5:$S$1204,0),12))</f>
        <v/>
      </c>
      <c r="M291" s="8" t="str">
        <f t="array" ref="M291">IF(287&gt;$S$1204,"",INDEX($T$5:$AJ$1204,MATCH(287,$S$5:$S$1204,0),13))</f>
        <v/>
      </c>
      <c r="N291" s="8" t="str">
        <f t="array" ref="N291">IF(287&gt;$S$1204,"",INDEX($T$5:$AJ$1204,MATCH(287,$S$5:$S$1204,0),14))</f>
        <v/>
      </c>
      <c r="O291" s="15" t="str">
        <f t="array" ref="O291">IF(287&gt;$S$1204,"",INDEX($T$5:$AJ$1204,MATCH(287,$S$5:$S$1204,0),15))</f>
        <v/>
      </c>
      <c r="P291" s="8" t="str">
        <f t="array" ref="P291">IF(287&gt;$S$1204,"",INDEX($T$5:$AJ$1204,MATCH(287,$S$5:$S$1204,0),16))</f>
        <v/>
      </c>
      <c r="Q291" s="8" t="str">
        <f t="array" ref="Q291">IF(287&gt;$S$1204,"",INDEX($T$5:$AJ$1204,MATCH(287,$S$5:$S$1204,0),17))</f>
        <v/>
      </c>
      <c r="R291" s="17"/>
      <c r="S291" s="17">
        <f>S290+IF(M2_Accesos!A95="",0,1)</f>
        <v>0</v>
      </c>
      <c r="T291" s="17" t="str">
        <f>IF(M2_Accesos!A95="","",IF(M2_Accesos!A95="","",M2_Accesos!A95))</f>
        <v/>
      </c>
      <c r="U291" s="17" t="str">
        <f>IF(M2_Accesos!A95="","",IF(M2_Accesos!R95="","",M2_Accesos!R95))</f>
        <v/>
      </c>
      <c r="V291" s="17" t="str">
        <f>IF(M2_Accesos!A95="","",IF(M2_Accesos!D95="","",M2_Accesos!D95))</f>
        <v/>
      </c>
      <c r="W291" s="17" t="str">
        <f>IF(M2_Accesos!A95="","",IF(M2_Accesos!B95="","",M2_Accesos!B95))</f>
        <v/>
      </c>
      <c r="X291" s="17" t="str">
        <f>IF(M2_Accesos!A95="","",IF(M2_Accesos!C95="","",M2_Accesos!C95))</f>
        <v/>
      </c>
      <c r="Y291" s="17" t="str">
        <f>IF(M2_Accesos!A95="","",IF(M2_Accesos!E95="","",M2_Accesos!E95))</f>
        <v/>
      </c>
      <c r="Z291" s="17" t="str">
        <f>IF(M2_Accesos!A95="","",IF(M2_Accesos!F95="","",M2_Accesos!F95))</f>
        <v/>
      </c>
      <c r="AA291" s="17" t="str">
        <f>IF(M2_Accesos!A95="","","M2 Accesos")</f>
        <v/>
      </c>
      <c r="AB291" s="17" t="str">
        <f>IF(M2_Accesos!A95="","",IF(M2_Accesos!G95="","",M2_Accesos!G95))</f>
        <v/>
      </c>
      <c r="AC291" s="17" t="str">
        <f>IF(M2_Accesos!A95="","",IF(M2_Accesos!M95="","",M2_Accesos!M95))</f>
        <v/>
      </c>
      <c r="AD291" s="17" t="str">
        <f>IF(M2_Accesos!A95="","","RD")</f>
        <v/>
      </c>
      <c r="AE291" s="17" t="str">
        <f>IF(M2_Accesos!A95="","",IF(M2_Accesos!O95="","",M2_Accesos!O95))</f>
        <v/>
      </c>
      <c r="AF291" s="17" t="str">
        <f>IF(M2_Accesos!A95="","",IF(M2_Accesos!P95="","",M2_Accesos!P95))</f>
        <v/>
      </c>
      <c r="AG291" s="17" t="str">
        <f>IF(M2_Accesos!A95="","",IF(M2_Accesos!Q95="","",M2_Accesos!Q95))</f>
        <v/>
      </c>
      <c r="AH291" s="17" t="str">
        <f>IF(M2_Accesos!A95="","",IF(M2_Accesos!J95="","",M2_Accesos!J95))</f>
        <v/>
      </c>
      <c r="AI291" s="17" t="str">
        <f>IF(M2_Accesos!A95="","","M2_Accesos!95")</f>
        <v/>
      </c>
      <c r="AJ291" s="17" t="str">
        <f>IF(M2_Accesos!A95="","",IF(M2_Accesos!M95="","Pendiente de resultado","Disponible"))</f>
        <v/>
      </c>
    </row>
    <row r="292" spans="1:36" ht="55.5" customHeight="1">
      <c r="A292" s="6" t="str">
        <f t="array" ref="A292">IF(288&gt;$S$1204,"",INDEX($T$5:$AJ$1204,MATCH(288,$S$5:$S$1204,0),1))</f>
        <v/>
      </c>
      <c r="B292" s="8" t="str">
        <f t="array" ref="B292">IF(288&gt;$S$1204,"",INDEX($T$5:$AJ$1204,MATCH(288,$S$5:$S$1204,0),2))</f>
        <v/>
      </c>
      <c r="C292" s="10" t="str">
        <f t="array" ref="C292">IF(288&gt;$S$1204,"",INDEX($T$5:$AJ$1204,MATCH(288,$S$5:$S$1204,0),3))</f>
        <v/>
      </c>
      <c r="D292" s="8" t="str">
        <f t="array" ref="D292">IF(288&gt;$S$1204,"",INDEX($T$5:$AJ$1204,MATCH(288,$S$5:$S$1204,0),4))</f>
        <v/>
      </c>
      <c r="E292" s="8" t="str">
        <f t="array" ref="E292">IF(288&gt;$S$1204,"",INDEX($T$5:$AJ$1204,MATCH(288,$S$5:$S$1204,0),5))</f>
        <v/>
      </c>
      <c r="F292" s="8" t="str">
        <f t="array" ref="F292">IF(288&gt;$S$1204,"",INDEX($T$5:$AJ$1204,MATCH(288,$S$5:$S$1204,0),6))</f>
        <v/>
      </c>
      <c r="G292" s="8" t="str">
        <f t="array" ref="G292">IF(288&gt;$S$1204,"",INDEX($T$5:$AJ$1204,MATCH(288,$S$5:$S$1204,0),7))</f>
        <v/>
      </c>
      <c r="H292" s="8" t="str">
        <f t="array" ref="H292">IF(288&gt;$S$1204,"",INDEX($T$5:$AJ$1204,MATCH(288,$S$5:$S$1204,0),8))</f>
        <v/>
      </c>
      <c r="I292" s="8" t="str">
        <f t="array" ref="I292">IF(288&gt;$S$1204,"",INDEX($T$5:$AJ$1204,MATCH(288,$S$5:$S$1204,0),9))</f>
        <v/>
      </c>
      <c r="J292" s="14" t="str">
        <f t="array" ref="J292">IF(288&gt;$S$1204,"",INDEX($T$5:$AJ$1204,MATCH(288,$S$5:$S$1204,0),10))</f>
        <v/>
      </c>
      <c r="K292" s="8" t="str">
        <f t="array" ref="K292">IF(288&gt;$S$1204,"",INDEX($T$5:$AJ$1204,MATCH(288,$S$5:$S$1204,0),11))</f>
        <v/>
      </c>
      <c r="L292" s="8" t="str">
        <f t="array" ref="L292">IF(288&gt;$S$1204,"",INDEX($T$5:$AJ$1204,MATCH(288,$S$5:$S$1204,0),12))</f>
        <v/>
      </c>
      <c r="M292" s="8" t="str">
        <f t="array" ref="M292">IF(288&gt;$S$1204,"",INDEX($T$5:$AJ$1204,MATCH(288,$S$5:$S$1204,0),13))</f>
        <v/>
      </c>
      <c r="N292" s="8" t="str">
        <f t="array" ref="N292">IF(288&gt;$S$1204,"",INDEX($T$5:$AJ$1204,MATCH(288,$S$5:$S$1204,0),14))</f>
        <v/>
      </c>
      <c r="O292" s="15" t="str">
        <f t="array" ref="O292">IF(288&gt;$S$1204,"",INDEX($T$5:$AJ$1204,MATCH(288,$S$5:$S$1204,0),15))</f>
        <v/>
      </c>
      <c r="P292" s="8" t="str">
        <f t="array" ref="P292">IF(288&gt;$S$1204,"",INDEX($T$5:$AJ$1204,MATCH(288,$S$5:$S$1204,0),16))</f>
        <v/>
      </c>
      <c r="Q292" s="8" t="str">
        <f t="array" ref="Q292">IF(288&gt;$S$1204,"",INDEX($T$5:$AJ$1204,MATCH(288,$S$5:$S$1204,0),17))</f>
        <v/>
      </c>
      <c r="R292" s="17"/>
      <c r="S292" s="17">
        <f>S291+IF(M2_Accesos!A96="",0,1)</f>
        <v>0</v>
      </c>
      <c r="T292" s="17" t="str">
        <f>IF(M2_Accesos!A96="","",IF(M2_Accesos!A96="","",M2_Accesos!A96))</f>
        <v/>
      </c>
      <c r="U292" s="17" t="str">
        <f>IF(M2_Accesos!A96="","",IF(M2_Accesos!R96="","",M2_Accesos!R96))</f>
        <v/>
      </c>
      <c r="V292" s="17" t="str">
        <f>IF(M2_Accesos!A96="","",IF(M2_Accesos!D96="","",M2_Accesos!D96))</f>
        <v/>
      </c>
      <c r="W292" s="17" t="str">
        <f>IF(M2_Accesos!A96="","",IF(M2_Accesos!B96="","",M2_Accesos!B96))</f>
        <v/>
      </c>
      <c r="X292" s="17" t="str">
        <f>IF(M2_Accesos!A96="","",IF(M2_Accesos!C96="","",M2_Accesos!C96))</f>
        <v/>
      </c>
      <c r="Y292" s="17" t="str">
        <f>IF(M2_Accesos!A96="","",IF(M2_Accesos!E96="","",M2_Accesos!E96))</f>
        <v/>
      </c>
      <c r="Z292" s="17" t="str">
        <f>IF(M2_Accesos!A96="","",IF(M2_Accesos!F96="","",M2_Accesos!F96))</f>
        <v/>
      </c>
      <c r="AA292" s="17" t="str">
        <f>IF(M2_Accesos!A96="","","M2 Accesos")</f>
        <v/>
      </c>
      <c r="AB292" s="17" t="str">
        <f>IF(M2_Accesos!A96="","",IF(M2_Accesos!G96="","",M2_Accesos!G96))</f>
        <v/>
      </c>
      <c r="AC292" s="17" t="str">
        <f>IF(M2_Accesos!A96="","",IF(M2_Accesos!M96="","",M2_Accesos!M96))</f>
        <v/>
      </c>
      <c r="AD292" s="17" t="str">
        <f>IF(M2_Accesos!A96="","","RD")</f>
        <v/>
      </c>
      <c r="AE292" s="17" t="str">
        <f>IF(M2_Accesos!A96="","",IF(M2_Accesos!O96="","",M2_Accesos!O96))</f>
        <v/>
      </c>
      <c r="AF292" s="17" t="str">
        <f>IF(M2_Accesos!A96="","",IF(M2_Accesos!P96="","",M2_Accesos!P96))</f>
        <v/>
      </c>
      <c r="AG292" s="17" t="str">
        <f>IF(M2_Accesos!A96="","",IF(M2_Accesos!Q96="","",M2_Accesos!Q96))</f>
        <v/>
      </c>
      <c r="AH292" s="17" t="str">
        <f>IF(M2_Accesos!A96="","",IF(M2_Accesos!J96="","",M2_Accesos!J96))</f>
        <v/>
      </c>
      <c r="AI292" s="17" t="str">
        <f>IF(M2_Accesos!A96="","","M2_Accesos!96")</f>
        <v/>
      </c>
      <c r="AJ292" s="17" t="str">
        <f>IF(M2_Accesos!A96="","",IF(M2_Accesos!M96="","Pendiente de resultado","Disponible"))</f>
        <v/>
      </c>
    </row>
    <row r="293" spans="1:36" ht="55.5" customHeight="1">
      <c r="A293" s="6" t="str">
        <f t="array" ref="A293">IF(289&gt;$S$1204,"",INDEX($T$5:$AJ$1204,MATCH(289,$S$5:$S$1204,0),1))</f>
        <v/>
      </c>
      <c r="B293" s="8" t="str">
        <f t="array" ref="B293">IF(289&gt;$S$1204,"",INDEX($T$5:$AJ$1204,MATCH(289,$S$5:$S$1204,0),2))</f>
        <v/>
      </c>
      <c r="C293" s="10" t="str">
        <f t="array" ref="C293">IF(289&gt;$S$1204,"",INDEX($T$5:$AJ$1204,MATCH(289,$S$5:$S$1204,0),3))</f>
        <v/>
      </c>
      <c r="D293" s="8" t="str">
        <f t="array" ref="D293">IF(289&gt;$S$1204,"",INDEX($T$5:$AJ$1204,MATCH(289,$S$5:$S$1204,0),4))</f>
        <v/>
      </c>
      <c r="E293" s="8" t="str">
        <f t="array" ref="E293">IF(289&gt;$S$1204,"",INDEX($T$5:$AJ$1204,MATCH(289,$S$5:$S$1204,0),5))</f>
        <v/>
      </c>
      <c r="F293" s="8" t="str">
        <f t="array" ref="F293">IF(289&gt;$S$1204,"",INDEX($T$5:$AJ$1204,MATCH(289,$S$5:$S$1204,0),6))</f>
        <v/>
      </c>
      <c r="G293" s="8" t="str">
        <f t="array" ref="G293">IF(289&gt;$S$1204,"",INDEX($T$5:$AJ$1204,MATCH(289,$S$5:$S$1204,0),7))</f>
        <v/>
      </c>
      <c r="H293" s="8" t="str">
        <f t="array" ref="H293">IF(289&gt;$S$1204,"",INDEX($T$5:$AJ$1204,MATCH(289,$S$5:$S$1204,0),8))</f>
        <v/>
      </c>
      <c r="I293" s="8" t="str">
        <f t="array" ref="I293">IF(289&gt;$S$1204,"",INDEX($T$5:$AJ$1204,MATCH(289,$S$5:$S$1204,0),9))</f>
        <v/>
      </c>
      <c r="J293" s="14" t="str">
        <f t="array" ref="J293">IF(289&gt;$S$1204,"",INDEX($T$5:$AJ$1204,MATCH(289,$S$5:$S$1204,0),10))</f>
        <v/>
      </c>
      <c r="K293" s="8" t="str">
        <f t="array" ref="K293">IF(289&gt;$S$1204,"",INDEX($T$5:$AJ$1204,MATCH(289,$S$5:$S$1204,0),11))</f>
        <v/>
      </c>
      <c r="L293" s="8" t="str">
        <f t="array" ref="L293">IF(289&gt;$S$1204,"",INDEX($T$5:$AJ$1204,MATCH(289,$S$5:$S$1204,0),12))</f>
        <v/>
      </c>
      <c r="M293" s="8" t="str">
        <f t="array" ref="M293">IF(289&gt;$S$1204,"",INDEX($T$5:$AJ$1204,MATCH(289,$S$5:$S$1204,0),13))</f>
        <v/>
      </c>
      <c r="N293" s="8" t="str">
        <f t="array" ref="N293">IF(289&gt;$S$1204,"",INDEX($T$5:$AJ$1204,MATCH(289,$S$5:$S$1204,0),14))</f>
        <v/>
      </c>
      <c r="O293" s="15" t="str">
        <f t="array" ref="O293">IF(289&gt;$S$1204,"",INDEX($T$5:$AJ$1204,MATCH(289,$S$5:$S$1204,0),15))</f>
        <v/>
      </c>
      <c r="P293" s="8" t="str">
        <f t="array" ref="P293">IF(289&gt;$S$1204,"",INDEX($T$5:$AJ$1204,MATCH(289,$S$5:$S$1204,0),16))</f>
        <v/>
      </c>
      <c r="Q293" s="8" t="str">
        <f t="array" ref="Q293">IF(289&gt;$S$1204,"",INDEX($T$5:$AJ$1204,MATCH(289,$S$5:$S$1204,0),17))</f>
        <v/>
      </c>
      <c r="R293" s="17"/>
      <c r="S293" s="17">
        <f>S292+IF(M2_Accesos!A97="",0,1)</f>
        <v>0</v>
      </c>
      <c r="T293" s="17" t="str">
        <f>IF(M2_Accesos!A97="","",IF(M2_Accesos!A97="","",M2_Accesos!A97))</f>
        <v/>
      </c>
      <c r="U293" s="17" t="str">
        <f>IF(M2_Accesos!A97="","",IF(M2_Accesos!R97="","",M2_Accesos!R97))</f>
        <v/>
      </c>
      <c r="V293" s="17" t="str">
        <f>IF(M2_Accesos!A97="","",IF(M2_Accesos!D97="","",M2_Accesos!D97))</f>
        <v/>
      </c>
      <c r="W293" s="17" t="str">
        <f>IF(M2_Accesos!A97="","",IF(M2_Accesos!B97="","",M2_Accesos!B97))</f>
        <v/>
      </c>
      <c r="X293" s="17" t="str">
        <f>IF(M2_Accesos!A97="","",IF(M2_Accesos!C97="","",M2_Accesos!C97))</f>
        <v/>
      </c>
      <c r="Y293" s="17" t="str">
        <f>IF(M2_Accesos!A97="","",IF(M2_Accesos!E97="","",M2_Accesos!E97))</f>
        <v/>
      </c>
      <c r="Z293" s="17" t="str">
        <f>IF(M2_Accesos!A97="","",IF(M2_Accesos!F97="","",M2_Accesos!F97))</f>
        <v/>
      </c>
      <c r="AA293" s="17" t="str">
        <f>IF(M2_Accesos!A97="","","M2 Accesos")</f>
        <v/>
      </c>
      <c r="AB293" s="17" t="str">
        <f>IF(M2_Accesos!A97="","",IF(M2_Accesos!G97="","",M2_Accesos!G97))</f>
        <v/>
      </c>
      <c r="AC293" s="17" t="str">
        <f>IF(M2_Accesos!A97="","",IF(M2_Accesos!M97="","",M2_Accesos!M97))</f>
        <v/>
      </c>
      <c r="AD293" s="17" t="str">
        <f>IF(M2_Accesos!A97="","","RD")</f>
        <v/>
      </c>
      <c r="AE293" s="17" t="str">
        <f>IF(M2_Accesos!A97="","",IF(M2_Accesos!O97="","",M2_Accesos!O97))</f>
        <v/>
      </c>
      <c r="AF293" s="17" t="str">
        <f>IF(M2_Accesos!A97="","",IF(M2_Accesos!P97="","",M2_Accesos!P97))</f>
        <v/>
      </c>
      <c r="AG293" s="17" t="str">
        <f>IF(M2_Accesos!A97="","",IF(M2_Accesos!Q97="","",M2_Accesos!Q97))</f>
        <v/>
      </c>
      <c r="AH293" s="17" t="str">
        <f>IF(M2_Accesos!A97="","",IF(M2_Accesos!J97="","",M2_Accesos!J97))</f>
        <v/>
      </c>
      <c r="AI293" s="17" t="str">
        <f>IF(M2_Accesos!A97="","","M2_Accesos!97")</f>
        <v/>
      </c>
      <c r="AJ293" s="17" t="str">
        <f>IF(M2_Accesos!A97="","",IF(M2_Accesos!M97="","Pendiente de resultado","Disponible"))</f>
        <v/>
      </c>
    </row>
    <row r="294" spans="1:36" ht="55.5" customHeight="1">
      <c r="A294" s="6" t="str">
        <f t="array" ref="A294">IF(290&gt;$S$1204,"",INDEX($T$5:$AJ$1204,MATCH(290,$S$5:$S$1204,0),1))</f>
        <v/>
      </c>
      <c r="B294" s="8" t="str">
        <f t="array" ref="B294">IF(290&gt;$S$1204,"",INDEX($T$5:$AJ$1204,MATCH(290,$S$5:$S$1204,0),2))</f>
        <v/>
      </c>
      <c r="C294" s="10" t="str">
        <f t="array" ref="C294">IF(290&gt;$S$1204,"",INDEX($T$5:$AJ$1204,MATCH(290,$S$5:$S$1204,0),3))</f>
        <v/>
      </c>
      <c r="D294" s="8" t="str">
        <f t="array" ref="D294">IF(290&gt;$S$1204,"",INDEX($T$5:$AJ$1204,MATCH(290,$S$5:$S$1204,0),4))</f>
        <v/>
      </c>
      <c r="E294" s="8" t="str">
        <f t="array" ref="E294">IF(290&gt;$S$1204,"",INDEX($T$5:$AJ$1204,MATCH(290,$S$5:$S$1204,0),5))</f>
        <v/>
      </c>
      <c r="F294" s="8" t="str">
        <f t="array" ref="F294">IF(290&gt;$S$1204,"",INDEX($T$5:$AJ$1204,MATCH(290,$S$5:$S$1204,0),6))</f>
        <v/>
      </c>
      <c r="G294" s="8" t="str">
        <f t="array" ref="G294">IF(290&gt;$S$1204,"",INDEX($T$5:$AJ$1204,MATCH(290,$S$5:$S$1204,0),7))</f>
        <v/>
      </c>
      <c r="H294" s="8" t="str">
        <f t="array" ref="H294">IF(290&gt;$S$1204,"",INDEX($T$5:$AJ$1204,MATCH(290,$S$5:$S$1204,0),8))</f>
        <v/>
      </c>
      <c r="I294" s="8" t="str">
        <f t="array" ref="I294">IF(290&gt;$S$1204,"",INDEX($T$5:$AJ$1204,MATCH(290,$S$5:$S$1204,0),9))</f>
        <v/>
      </c>
      <c r="J294" s="14" t="str">
        <f t="array" ref="J294">IF(290&gt;$S$1204,"",INDEX($T$5:$AJ$1204,MATCH(290,$S$5:$S$1204,0),10))</f>
        <v/>
      </c>
      <c r="K294" s="8" t="str">
        <f t="array" ref="K294">IF(290&gt;$S$1204,"",INDEX($T$5:$AJ$1204,MATCH(290,$S$5:$S$1204,0),11))</f>
        <v/>
      </c>
      <c r="L294" s="8" t="str">
        <f t="array" ref="L294">IF(290&gt;$S$1204,"",INDEX($T$5:$AJ$1204,MATCH(290,$S$5:$S$1204,0),12))</f>
        <v/>
      </c>
      <c r="M294" s="8" t="str">
        <f t="array" ref="M294">IF(290&gt;$S$1204,"",INDEX($T$5:$AJ$1204,MATCH(290,$S$5:$S$1204,0),13))</f>
        <v/>
      </c>
      <c r="N294" s="8" t="str">
        <f t="array" ref="N294">IF(290&gt;$S$1204,"",INDEX($T$5:$AJ$1204,MATCH(290,$S$5:$S$1204,0),14))</f>
        <v/>
      </c>
      <c r="O294" s="15" t="str">
        <f t="array" ref="O294">IF(290&gt;$S$1204,"",INDEX($T$5:$AJ$1204,MATCH(290,$S$5:$S$1204,0),15))</f>
        <v/>
      </c>
      <c r="P294" s="8" t="str">
        <f t="array" ref="P294">IF(290&gt;$S$1204,"",INDEX($T$5:$AJ$1204,MATCH(290,$S$5:$S$1204,0),16))</f>
        <v/>
      </c>
      <c r="Q294" s="8" t="str">
        <f t="array" ref="Q294">IF(290&gt;$S$1204,"",INDEX($T$5:$AJ$1204,MATCH(290,$S$5:$S$1204,0),17))</f>
        <v/>
      </c>
      <c r="R294" s="17"/>
      <c r="S294" s="17">
        <f>S293+IF(M2_Accesos!A98="",0,1)</f>
        <v>0</v>
      </c>
      <c r="T294" s="17" t="str">
        <f>IF(M2_Accesos!A98="","",IF(M2_Accesos!A98="","",M2_Accesos!A98))</f>
        <v/>
      </c>
      <c r="U294" s="17" t="str">
        <f>IF(M2_Accesos!A98="","",IF(M2_Accesos!R98="","",M2_Accesos!R98))</f>
        <v/>
      </c>
      <c r="V294" s="17" t="str">
        <f>IF(M2_Accesos!A98="","",IF(M2_Accesos!D98="","",M2_Accesos!D98))</f>
        <v/>
      </c>
      <c r="W294" s="17" t="str">
        <f>IF(M2_Accesos!A98="","",IF(M2_Accesos!B98="","",M2_Accesos!B98))</f>
        <v/>
      </c>
      <c r="X294" s="17" t="str">
        <f>IF(M2_Accesos!A98="","",IF(M2_Accesos!C98="","",M2_Accesos!C98))</f>
        <v/>
      </c>
      <c r="Y294" s="17" t="str">
        <f>IF(M2_Accesos!A98="","",IF(M2_Accesos!E98="","",M2_Accesos!E98))</f>
        <v/>
      </c>
      <c r="Z294" s="17" t="str">
        <f>IF(M2_Accesos!A98="","",IF(M2_Accesos!F98="","",M2_Accesos!F98))</f>
        <v/>
      </c>
      <c r="AA294" s="17" t="str">
        <f>IF(M2_Accesos!A98="","","M2 Accesos")</f>
        <v/>
      </c>
      <c r="AB294" s="17" t="str">
        <f>IF(M2_Accesos!A98="","",IF(M2_Accesos!G98="","",M2_Accesos!G98))</f>
        <v/>
      </c>
      <c r="AC294" s="17" t="str">
        <f>IF(M2_Accesos!A98="","",IF(M2_Accesos!M98="","",M2_Accesos!M98))</f>
        <v/>
      </c>
      <c r="AD294" s="17" t="str">
        <f>IF(M2_Accesos!A98="","","RD")</f>
        <v/>
      </c>
      <c r="AE294" s="17" t="str">
        <f>IF(M2_Accesos!A98="","",IF(M2_Accesos!O98="","",M2_Accesos!O98))</f>
        <v/>
      </c>
      <c r="AF294" s="17" t="str">
        <f>IF(M2_Accesos!A98="","",IF(M2_Accesos!P98="","",M2_Accesos!P98))</f>
        <v/>
      </c>
      <c r="AG294" s="17" t="str">
        <f>IF(M2_Accesos!A98="","",IF(M2_Accesos!Q98="","",M2_Accesos!Q98))</f>
        <v/>
      </c>
      <c r="AH294" s="17" t="str">
        <f>IF(M2_Accesos!A98="","",IF(M2_Accesos!J98="","",M2_Accesos!J98))</f>
        <v/>
      </c>
      <c r="AI294" s="17" t="str">
        <f>IF(M2_Accesos!A98="","","M2_Accesos!98")</f>
        <v/>
      </c>
      <c r="AJ294" s="17" t="str">
        <f>IF(M2_Accesos!A98="","",IF(M2_Accesos!M98="","Pendiente de resultado","Disponible"))</f>
        <v/>
      </c>
    </row>
    <row r="295" spans="1:36" ht="55.5" customHeight="1">
      <c r="A295" s="6" t="str">
        <f t="array" ref="A295">IF(291&gt;$S$1204,"",INDEX($T$5:$AJ$1204,MATCH(291,$S$5:$S$1204,0),1))</f>
        <v/>
      </c>
      <c r="B295" s="8" t="str">
        <f t="array" ref="B295">IF(291&gt;$S$1204,"",INDEX($T$5:$AJ$1204,MATCH(291,$S$5:$S$1204,0),2))</f>
        <v/>
      </c>
      <c r="C295" s="10" t="str">
        <f t="array" ref="C295">IF(291&gt;$S$1204,"",INDEX($T$5:$AJ$1204,MATCH(291,$S$5:$S$1204,0),3))</f>
        <v/>
      </c>
      <c r="D295" s="8" t="str">
        <f t="array" ref="D295">IF(291&gt;$S$1204,"",INDEX($T$5:$AJ$1204,MATCH(291,$S$5:$S$1204,0),4))</f>
        <v/>
      </c>
      <c r="E295" s="8" t="str">
        <f t="array" ref="E295">IF(291&gt;$S$1204,"",INDEX($T$5:$AJ$1204,MATCH(291,$S$5:$S$1204,0),5))</f>
        <v/>
      </c>
      <c r="F295" s="8" t="str">
        <f t="array" ref="F295">IF(291&gt;$S$1204,"",INDEX($T$5:$AJ$1204,MATCH(291,$S$5:$S$1204,0),6))</f>
        <v/>
      </c>
      <c r="G295" s="8" t="str">
        <f t="array" ref="G295">IF(291&gt;$S$1204,"",INDEX($T$5:$AJ$1204,MATCH(291,$S$5:$S$1204,0),7))</f>
        <v/>
      </c>
      <c r="H295" s="8" t="str">
        <f t="array" ref="H295">IF(291&gt;$S$1204,"",INDEX($T$5:$AJ$1204,MATCH(291,$S$5:$S$1204,0),8))</f>
        <v/>
      </c>
      <c r="I295" s="8" t="str">
        <f t="array" ref="I295">IF(291&gt;$S$1204,"",INDEX($T$5:$AJ$1204,MATCH(291,$S$5:$S$1204,0),9))</f>
        <v/>
      </c>
      <c r="J295" s="14" t="str">
        <f t="array" ref="J295">IF(291&gt;$S$1204,"",INDEX($T$5:$AJ$1204,MATCH(291,$S$5:$S$1204,0),10))</f>
        <v/>
      </c>
      <c r="K295" s="8" t="str">
        <f t="array" ref="K295">IF(291&gt;$S$1204,"",INDEX($T$5:$AJ$1204,MATCH(291,$S$5:$S$1204,0),11))</f>
        <v/>
      </c>
      <c r="L295" s="8" t="str">
        <f t="array" ref="L295">IF(291&gt;$S$1204,"",INDEX($T$5:$AJ$1204,MATCH(291,$S$5:$S$1204,0),12))</f>
        <v/>
      </c>
      <c r="M295" s="8" t="str">
        <f t="array" ref="M295">IF(291&gt;$S$1204,"",INDEX($T$5:$AJ$1204,MATCH(291,$S$5:$S$1204,0),13))</f>
        <v/>
      </c>
      <c r="N295" s="8" t="str">
        <f t="array" ref="N295">IF(291&gt;$S$1204,"",INDEX($T$5:$AJ$1204,MATCH(291,$S$5:$S$1204,0),14))</f>
        <v/>
      </c>
      <c r="O295" s="15" t="str">
        <f t="array" ref="O295">IF(291&gt;$S$1204,"",INDEX($T$5:$AJ$1204,MATCH(291,$S$5:$S$1204,0),15))</f>
        <v/>
      </c>
      <c r="P295" s="8" t="str">
        <f t="array" ref="P295">IF(291&gt;$S$1204,"",INDEX($T$5:$AJ$1204,MATCH(291,$S$5:$S$1204,0),16))</f>
        <v/>
      </c>
      <c r="Q295" s="8" t="str">
        <f t="array" ref="Q295">IF(291&gt;$S$1204,"",INDEX($T$5:$AJ$1204,MATCH(291,$S$5:$S$1204,0),17))</f>
        <v/>
      </c>
      <c r="R295" s="17"/>
      <c r="S295" s="17">
        <f>S294+IF(M2_Accesos!A99="",0,1)</f>
        <v>0</v>
      </c>
      <c r="T295" s="17" t="str">
        <f>IF(M2_Accesos!A99="","",IF(M2_Accesos!A99="","",M2_Accesos!A99))</f>
        <v/>
      </c>
      <c r="U295" s="17" t="str">
        <f>IF(M2_Accesos!A99="","",IF(M2_Accesos!R99="","",M2_Accesos!R99))</f>
        <v/>
      </c>
      <c r="V295" s="17" t="str">
        <f>IF(M2_Accesos!A99="","",IF(M2_Accesos!D99="","",M2_Accesos!D99))</f>
        <v/>
      </c>
      <c r="W295" s="17" t="str">
        <f>IF(M2_Accesos!A99="","",IF(M2_Accesos!B99="","",M2_Accesos!B99))</f>
        <v/>
      </c>
      <c r="X295" s="17" t="str">
        <f>IF(M2_Accesos!A99="","",IF(M2_Accesos!C99="","",M2_Accesos!C99))</f>
        <v/>
      </c>
      <c r="Y295" s="17" t="str">
        <f>IF(M2_Accesos!A99="","",IF(M2_Accesos!E99="","",M2_Accesos!E99))</f>
        <v/>
      </c>
      <c r="Z295" s="17" t="str">
        <f>IF(M2_Accesos!A99="","",IF(M2_Accesos!F99="","",M2_Accesos!F99))</f>
        <v/>
      </c>
      <c r="AA295" s="17" t="str">
        <f>IF(M2_Accesos!A99="","","M2 Accesos")</f>
        <v/>
      </c>
      <c r="AB295" s="17" t="str">
        <f>IF(M2_Accesos!A99="","",IF(M2_Accesos!G99="","",M2_Accesos!G99))</f>
        <v/>
      </c>
      <c r="AC295" s="17" t="str">
        <f>IF(M2_Accesos!A99="","",IF(M2_Accesos!M99="","",M2_Accesos!M99))</f>
        <v/>
      </c>
      <c r="AD295" s="17" t="str">
        <f>IF(M2_Accesos!A99="","","RD")</f>
        <v/>
      </c>
      <c r="AE295" s="17" t="str">
        <f>IF(M2_Accesos!A99="","",IF(M2_Accesos!O99="","",M2_Accesos!O99))</f>
        <v/>
      </c>
      <c r="AF295" s="17" t="str">
        <f>IF(M2_Accesos!A99="","",IF(M2_Accesos!P99="","",M2_Accesos!P99))</f>
        <v/>
      </c>
      <c r="AG295" s="17" t="str">
        <f>IF(M2_Accesos!A99="","",IF(M2_Accesos!Q99="","",M2_Accesos!Q99))</f>
        <v/>
      </c>
      <c r="AH295" s="17" t="str">
        <f>IF(M2_Accesos!A99="","",IF(M2_Accesos!J99="","",M2_Accesos!J99))</f>
        <v/>
      </c>
      <c r="AI295" s="17" t="str">
        <f>IF(M2_Accesos!A99="","","M2_Accesos!99")</f>
        <v/>
      </c>
      <c r="AJ295" s="17" t="str">
        <f>IF(M2_Accesos!A99="","",IF(M2_Accesos!M99="","Pendiente de resultado","Disponible"))</f>
        <v/>
      </c>
    </row>
    <row r="296" spans="1:36" ht="55.5" customHeight="1">
      <c r="A296" s="6" t="str">
        <f t="array" ref="A296">IF(292&gt;$S$1204,"",INDEX($T$5:$AJ$1204,MATCH(292,$S$5:$S$1204,0),1))</f>
        <v/>
      </c>
      <c r="B296" s="8" t="str">
        <f t="array" ref="B296">IF(292&gt;$S$1204,"",INDEX($T$5:$AJ$1204,MATCH(292,$S$5:$S$1204,0),2))</f>
        <v/>
      </c>
      <c r="C296" s="10" t="str">
        <f t="array" ref="C296">IF(292&gt;$S$1204,"",INDEX($T$5:$AJ$1204,MATCH(292,$S$5:$S$1204,0),3))</f>
        <v/>
      </c>
      <c r="D296" s="8" t="str">
        <f t="array" ref="D296">IF(292&gt;$S$1204,"",INDEX($T$5:$AJ$1204,MATCH(292,$S$5:$S$1204,0),4))</f>
        <v/>
      </c>
      <c r="E296" s="8" t="str">
        <f t="array" ref="E296">IF(292&gt;$S$1204,"",INDEX($T$5:$AJ$1204,MATCH(292,$S$5:$S$1204,0),5))</f>
        <v/>
      </c>
      <c r="F296" s="8" t="str">
        <f t="array" ref="F296">IF(292&gt;$S$1204,"",INDEX($T$5:$AJ$1204,MATCH(292,$S$5:$S$1204,0),6))</f>
        <v/>
      </c>
      <c r="G296" s="8" t="str">
        <f t="array" ref="G296">IF(292&gt;$S$1204,"",INDEX($T$5:$AJ$1204,MATCH(292,$S$5:$S$1204,0),7))</f>
        <v/>
      </c>
      <c r="H296" s="8" t="str">
        <f t="array" ref="H296">IF(292&gt;$S$1204,"",INDEX($T$5:$AJ$1204,MATCH(292,$S$5:$S$1204,0),8))</f>
        <v/>
      </c>
      <c r="I296" s="8" t="str">
        <f t="array" ref="I296">IF(292&gt;$S$1204,"",INDEX($T$5:$AJ$1204,MATCH(292,$S$5:$S$1204,0),9))</f>
        <v/>
      </c>
      <c r="J296" s="14" t="str">
        <f t="array" ref="J296">IF(292&gt;$S$1204,"",INDEX($T$5:$AJ$1204,MATCH(292,$S$5:$S$1204,0),10))</f>
        <v/>
      </c>
      <c r="K296" s="8" t="str">
        <f t="array" ref="K296">IF(292&gt;$S$1204,"",INDEX($T$5:$AJ$1204,MATCH(292,$S$5:$S$1204,0),11))</f>
        <v/>
      </c>
      <c r="L296" s="8" t="str">
        <f t="array" ref="L296">IF(292&gt;$S$1204,"",INDEX($T$5:$AJ$1204,MATCH(292,$S$5:$S$1204,0),12))</f>
        <v/>
      </c>
      <c r="M296" s="8" t="str">
        <f t="array" ref="M296">IF(292&gt;$S$1204,"",INDEX($T$5:$AJ$1204,MATCH(292,$S$5:$S$1204,0),13))</f>
        <v/>
      </c>
      <c r="N296" s="8" t="str">
        <f t="array" ref="N296">IF(292&gt;$S$1204,"",INDEX($T$5:$AJ$1204,MATCH(292,$S$5:$S$1204,0),14))</f>
        <v/>
      </c>
      <c r="O296" s="15" t="str">
        <f t="array" ref="O296">IF(292&gt;$S$1204,"",INDEX($T$5:$AJ$1204,MATCH(292,$S$5:$S$1204,0),15))</f>
        <v/>
      </c>
      <c r="P296" s="8" t="str">
        <f t="array" ref="P296">IF(292&gt;$S$1204,"",INDEX($T$5:$AJ$1204,MATCH(292,$S$5:$S$1204,0),16))</f>
        <v/>
      </c>
      <c r="Q296" s="8" t="str">
        <f t="array" ref="Q296">IF(292&gt;$S$1204,"",INDEX($T$5:$AJ$1204,MATCH(292,$S$5:$S$1204,0),17))</f>
        <v/>
      </c>
      <c r="R296" s="17"/>
      <c r="S296" s="17">
        <f>S295+IF(M2_Accesos!A100="",0,1)</f>
        <v>0</v>
      </c>
      <c r="T296" s="17" t="str">
        <f>IF(M2_Accesos!A100="","",IF(M2_Accesos!A100="","",M2_Accesos!A100))</f>
        <v/>
      </c>
      <c r="U296" s="17" t="str">
        <f>IF(M2_Accesos!A100="","",IF(M2_Accesos!R100="","",M2_Accesos!R100))</f>
        <v/>
      </c>
      <c r="V296" s="17" t="str">
        <f>IF(M2_Accesos!A100="","",IF(M2_Accesos!D100="","",M2_Accesos!D100))</f>
        <v/>
      </c>
      <c r="W296" s="17" t="str">
        <f>IF(M2_Accesos!A100="","",IF(M2_Accesos!B100="","",M2_Accesos!B100))</f>
        <v/>
      </c>
      <c r="X296" s="17" t="str">
        <f>IF(M2_Accesos!A100="","",IF(M2_Accesos!C100="","",M2_Accesos!C100))</f>
        <v/>
      </c>
      <c r="Y296" s="17" t="str">
        <f>IF(M2_Accesos!A100="","",IF(M2_Accesos!E100="","",M2_Accesos!E100))</f>
        <v/>
      </c>
      <c r="Z296" s="17" t="str">
        <f>IF(M2_Accesos!A100="","",IF(M2_Accesos!F100="","",M2_Accesos!F100))</f>
        <v/>
      </c>
      <c r="AA296" s="17" t="str">
        <f>IF(M2_Accesos!A100="","","M2 Accesos")</f>
        <v/>
      </c>
      <c r="AB296" s="17" t="str">
        <f>IF(M2_Accesos!A100="","",IF(M2_Accesos!G100="","",M2_Accesos!G100))</f>
        <v/>
      </c>
      <c r="AC296" s="17" t="str">
        <f>IF(M2_Accesos!A100="","",IF(M2_Accesos!M100="","",M2_Accesos!M100))</f>
        <v/>
      </c>
      <c r="AD296" s="17" t="str">
        <f>IF(M2_Accesos!A100="","","RD")</f>
        <v/>
      </c>
      <c r="AE296" s="17" t="str">
        <f>IF(M2_Accesos!A100="","",IF(M2_Accesos!O100="","",M2_Accesos!O100))</f>
        <v/>
      </c>
      <c r="AF296" s="17" t="str">
        <f>IF(M2_Accesos!A100="","",IF(M2_Accesos!P100="","",M2_Accesos!P100))</f>
        <v/>
      </c>
      <c r="AG296" s="17" t="str">
        <f>IF(M2_Accesos!A100="","",IF(M2_Accesos!Q100="","",M2_Accesos!Q100))</f>
        <v/>
      </c>
      <c r="AH296" s="17" t="str">
        <f>IF(M2_Accesos!A100="","",IF(M2_Accesos!J100="","",M2_Accesos!J100))</f>
        <v/>
      </c>
      <c r="AI296" s="17" t="str">
        <f>IF(M2_Accesos!A100="","","M2_Accesos!100")</f>
        <v/>
      </c>
      <c r="AJ296" s="17" t="str">
        <f>IF(M2_Accesos!A100="","",IF(M2_Accesos!M100="","Pendiente de resultado","Disponible"))</f>
        <v/>
      </c>
    </row>
    <row r="297" spans="1:36" ht="55.5" customHeight="1">
      <c r="A297" s="6" t="str">
        <f t="array" ref="A297">IF(293&gt;$S$1204,"",INDEX($T$5:$AJ$1204,MATCH(293,$S$5:$S$1204,0),1))</f>
        <v/>
      </c>
      <c r="B297" s="8" t="str">
        <f t="array" ref="B297">IF(293&gt;$S$1204,"",INDEX($T$5:$AJ$1204,MATCH(293,$S$5:$S$1204,0),2))</f>
        <v/>
      </c>
      <c r="C297" s="10" t="str">
        <f t="array" ref="C297">IF(293&gt;$S$1204,"",INDEX($T$5:$AJ$1204,MATCH(293,$S$5:$S$1204,0),3))</f>
        <v/>
      </c>
      <c r="D297" s="8" t="str">
        <f t="array" ref="D297">IF(293&gt;$S$1204,"",INDEX($T$5:$AJ$1204,MATCH(293,$S$5:$S$1204,0),4))</f>
        <v/>
      </c>
      <c r="E297" s="8" t="str">
        <f t="array" ref="E297">IF(293&gt;$S$1204,"",INDEX($T$5:$AJ$1204,MATCH(293,$S$5:$S$1204,0),5))</f>
        <v/>
      </c>
      <c r="F297" s="8" t="str">
        <f t="array" ref="F297">IF(293&gt;$S$1204,"",INDEX($T$5:$AJ$1204,MATCH(293,$S$5:$S$1204,0),6))</f>
        <v/>
      </c>
      <c r="G297" s="8" t="str">
        <f t="array" ref="G297">IF(293&gt;$S$1204,"",INDEX($T$5:$AJ$1204,MATCH(293,$S$5:$S$1204,0),7))</f>
        <v/>
      </c>
      <c r="H297" s="8" t="str">
        <f t="array" ref="H297">IF(293&gt;$S$1204,"",INDEX($T$5:$AJ$1204,MATCH(293,$S$5:$S$1204,0),8))</f>
        <v/>
      </c>
      <c r="I297" s="8" t="str">
        <f t="array" ref="I297">IF(293&gt;$S$1204,"",INDEX($T$5:$AJ$1204,MATCH(293,$S$5:$S$1204,0),9))</f>
        <v/>
      </c>
      <c r="J297" s="14" t="str">
        <f t="array" ref="J297">IF(293&gt;$S$1204,"",INDEX($T$5:$AJ$1204,MATCH(293,$S$5:$S$1204,0),10))</f>
        <v/>
      </c>
      <c r="K297" s="8" t="str">
        <f t="array" ref="K297">IF(293&gt;$S$1204,"",INDEX($T$5:$AJ$1204,MATCH(293,$S$5:$S$1204,0),11))</f>
        <v/>
      </c>
      <c r="L297" s="8" t="str">
        <f t="array" ref="L297">IF(293&gt;$S$1204,"",INDEX($T$5:$AJ$1204,MATCH(293,$S$5:$S$1204,0),12))</f>
        <v/>
      </c>
      <c r="M297" s="8" t="str">
        <f t="array" ref="M297">IF(293&gt;$S$1204,"",INDEX($T$5:$AJ$1204,MATCH(293,$S$5:$S$1204,0),13))</f>
        <v/>
      </c>
      <c r="N297" s="8" t="str">
        <f t="array" ref="N297">IF(293&gt;$S$1204,"",INDEX($T$5:$AJ$1204,MATCH(293,$S$5:$S$1204,0),14))</f>
        <v/>
      </c>
      <c r="O297" s="15" t="str">
        <f t="array" ref="O297">IF(293&gt;$S$1204,"",INDEX($T$5:$AJ$1204,MATCH(293,$S$5:$S$1204,0),15))</f>
        <v/>
      </c>
      <c r="P297" s="8" t="str">
        <f t="array" ref="P297">IF(293&gt;$S$1204,"",INDEX($T$5:$AJ$1204,MATCH(293,$S$5:$S$1204,0),16))</f>
        <v/>
      </c>
      <c r="Q297" s="8" t="str">
        <f t="array" ref="Q297">IF(293&gt;$S$1204,"",INDEX($T$5:$AJ$1204,MATCH(293,$S$5:$S$1204,0),17))</f>
        <v/>
      </c>
      <c r="R297" s="17"/>
      <c r="S297" s="17">
        <f>S296+IF(M2_Accesos!A101="",0,1)</f>
        <v>0</v>
      </c>
      <c r="T297" s="17" t="str">
        <f>IF(M2_Accesos!A101="","",IF(M2_Accesos!A101="","",M2_Accesos!A101))</f>
        <v/>
      </c>
      <c r="U297" s="17" t="str">
        <f>IF(M2_Accesos!A101="","",IF(M2_Accesos!R101="","",M2_Accesos!R101))</f>
        <v/>
      </c>
      <c r="V297" s="17" t="str">
        <f>IF(M2_Accesos!A101="","",IF(M2_Accesos!D101="","",M2_Accesos!D101))</f>
        <v/>
      </c>
      <c r="W297" s="17" t="str">
        <f>IF(M2_Accesos!A101="","",IF(M2_Accesos!B101="","",M2_Accesos!B101))</f>
        <v/>
      </c>
      <c r="X297" s="17" t="str">
        <f>IF(M2_Accesos!A101="","",IF(M2_Accesos!C101="","",M2_Accesos!C101))</f>
        <v/>
      </c>
      <c r="Y297" s="17" t="str">
        <f>IF(M2_Accesos!A101="","",IF(M2_Accesos!E101="","",M2_Accesos!E101))</f>
        <v/>
      </c>
      <c r="Z297" s="17" t="str">
        <f>IF(M2_Accesos!A101="","",IF(M2_Accesos!F101="","",M2_Accesos!F101))</f>
        <v/>
      </c>
      <c r="AA297" s="17" t="str">
        <f>IF(M2_Accesos!A101="","","M2 Accesos")</f>
        <v/>
      </c>
      <c r="AB297" s="17" t="str">
        <f>IF(M2_Accesos!A101="","",IF(M2_Accesos!G101="","",M2_Accesos!G101))</f>
        <v/>
      </c>
      <c r="AC297" s="17" t="str">
        <f>IF(M2_Accesos!A101="","",IF(M2_Accesos!M101="","",M2_Accesos!M101))</f>
        <v/>
      </c>
      <c r="AD297" s="17" t="str">
        <f>IF(M2_Accesos!A101="","","RD")</f>
        <v/>
      </c>
      <c r="AE297" s="17" t="str">
        <f>IF(M2_Accesos!A101="","",IF(M2_Accesos!O101="","",M2_Accesos!O101))</f>
        <v/>
      </c>
      <c r="AF297" s="17" t="str">
        <f>IF(M2_Accesos!A101="","",IF(M2_Accesos!P101="","",M2_Accesos!P101))</f>
        <v/>
      </c>
      <c r="AG297" s="17" t="str">
        <f>IF(M2_Accesos!A101="","",IF(M2_Accesos!Q101="","",M2_Accesos!Q101))</f>
        <v/>
      </c>
      <c r="AH297" s="17" t="str">
        <f>IF(M2_Accesos!A101="","",IF(M2_Accesos!J101="","",M2_Accesos!J101))</f>
        <v/>
      </c>
      <c r="AI297" s="17" t="str">
        <f>IF(M2_Accesos!A101="","","M2_Accesos!101")</f>
        <v/>
      </c>
      <c r="AJ297" s="17" t="str">
        <f>IF(M2_Accesos!A101="","",IF(M2_Accesos!M101="","Pendiente de resultado","Disponible"))</f>
        <v/>
      </c>
    </row>
    <row r="298" spans="1:36" ht="55.5" customHeight="1">
      <c r="A298" s="6" t="str">
        <f t="array" ref="A298">IF(294&gt;$S$1204,"",INDEX($T$5:$AJ$1204,MATCH(294,$S$5:$S$1204,0),1))</f>
        <v/>
      </c>
      <c r="B298" s="8" t="str">
        <f t="array" ref="B298">IF(294&gt;$S$1204,"",INDEX($T$5:$AJ$1204,MATCH(294,$S$5:$S$1204,0),2))</f>
        <v/>
      </c>
      <c r="C298" s="10" t="str">
        <f t="array" ref="C298">IF(294&gt;$S$1204,"",INDEX($T$5:$AJ$1204,MATCH(294,$S$5:$S$1204,0),3))</f>
        <v/>
      </c>
      <c r="D298" s="8" t="str">
        <f t="array" ref="D298">IF(294&gt;$S$1204,"",INDEX($T$5:$AJ$1204,MATCH(294,$S$5:$S$1204,0),4))</f>
        <v/>
      </c>
      <c r="E298" s="8" t="str">
        <f t="array" ref="E298">IF(294&gt;$S$1204,"",INDEX($T$5:$AJ$1204,MATCH(294,$S$5:$S$1204,0),5))</f>
        <v/>
      </c>
      <c r="F298" s="8" t="str">
        <f t="array" ref="F298">IF(294&gt;$S$1204,"",INDEX($T$5:$AJ$1204,MATCH(294,$S$5:$S$1204,0),6))</f>
        <v/>
      </c>
      <c r="G298" s="8" t="str">
        <f t="array" ref="G298">IF(294&gt;$S$1204,"",INDEX($T$5:$AJ$1204,MATCH(294,$S$5:$S$1204,0),7))</f>
        <v/>
      </c>
      <c r="H298" s="8" t="str">
        <f t="array" ref="H298">IF(294&gt;$S$1204,"",INDEX($T$5:$AJ$1204,MATCH(294,$S$5:$S$1204,0),8))</f>
        <v/>
      </c>
      <c r="I298" s="8" t="str">
        <f t="array" ref="I298">IF(294&gt;$S$1204,"",INDEX($T$5:$AJ$1204,MATCH(294,$S$5:$S$1204,0),9))</f>
        <v/>
      </c>
      <c r="J298" s="14" t="str">
        <f t="array" ref="J298">IF(294&gt;$S$1204,"",INDEX($T$5:$AJ$1204,MATCH(294,$S$5:$S$1204,0),10))</f>
        <v/>
      </c>
      <c r="K298" s="8" t="str">
        <f t="array" ref="K298">IF(294&gt;$S$1204,"",INDEX($T$5:$AJ$1204,MATCH(294,$S$5:$S$1204,0),11))</f>
        <v/>
      </c>
      <c r="L298" s="8" t="str">
        <f t="array" ref="L298">IF(294&gt;$S$1204,"",INDEX($T$5:$AJ$1204,MATCH(294,$S$5:$S$1204,0),12))</f>
        <v/>
      </c>
      <c r="M298" s="8" t="str">
        <f t="array" ref="M298">IF(294&gt;$S$1204,"",INDEX($T$5:$AJ$1204,MATCH(294,$S$5:$S$1204,0),13))</f>
        <v/>
      </c>
      <c r="N298" s="8" t="str">
        <f t="array" ref="N298">IF(294&gt;$S$1204,"",INDEX($T$5:$AJ$1204,MATCH(294,$S$5:$S$1204,0),14))</f>
        <v/>
      </c>
      <c r="O298" s="15" t="str">
        <f t="array" ref="O298">IF(294&gt;$S$1204,"",INDEX($T$5:$AJ$1204,MATCH(294,$S$5:$S$1204,0),15))</f>
        <v/>
      </c>
      <c r="P298" s="8" t="str">
        <f t="array" ref="P298">IF(294&gt;$S$1204,"",INDEX($T$5:$AJ$1204,MATCH(294,$S$5:$S$1204,0),16))</f>
        <v/>
      </c>
      <c r="Q298" s="8" t="str">
        <f t="array" ref="Q298">IF(294&gt;$S$1204,"",INDEX($T$5:$AJ$1204,MATCH(294,$S$5:$S$1204,0),17))</f>
        <v/>
      </c>
      <c r="R298" s="17"/>
      <c r="S298" s="17">
        <f>S297+IF(M2_Accesos!A102="",0,1)</f>
        <v>0</v>
      </c>
      <c r="T298" s="17" t="str">
        <f>IF(M2_Accesos!A102="","",IF(M2_Accesos!A102="","",M2_Accesos!A102))</f>
        <v/>
      </c>
      <c r="U298" s="17" t="str">
        <f>IF(M2_Accesos!A102="","",IF(M2_Accesos!R102="","",M2_Accesos!R102))</f>
        <v/>
      </c>
      <c r="V298" s="17" t="str">
        <f>IF(M2_Accesos!A102="","",IF(M2_Accesos!D102="","",M2_Accesos!D102))</f>
        <v/>
      </c>
      <c r="W298" s="17" t="str">
        <f>IF(M2_Accesos!A102="","",IF(M2_Accesos!B102="","",M2_Accesos!B102))</f>
        <v/>
      </c>
      <c r="X298" s="17" t="str">
        <f>IF(M2_Accesos!A102="","",IF(M2_Accesos!C102="","",M2_Accesos!C102))</f>
        <v/>
      </c>
      <c r="Y298" s="17" t="str">
        <f>IF(M2_Accesos!A102="","",IF(M2_Accesos!E102="","",M2_Accesos!E102))</f>
        <v/>
      </c>
      <c r="Z298" s="17" t="str">
        <f>IF(M2_Accesos!A102="","",IF(M2_Accesos!F102="","",M2_Accesos!F102))</f>
        <v/>
      </c>
      <c r="AA298" s="17" t="str">
        <f>IF(M2_Accesos!A102="","","M2 Accesos")</f>
        <v/>
      </c>
      <c r="AB298" s="17" t="str">
        <f>IF(M2_Accesos!A102="","",IF(M2_Accesos!G102="","",M2_Accesos!G102))</f>
        <v/>
      </c>
      <c r="AC298" s="17" t="str">
        <f>IF(M2_Accesos!A102="","",IF(M2_Accesos!M102="","",M2_Accesos!M102))</f>
        <v/>
      </c>
      <c r="AD298" s="17" t="str">
        <f>IF(M2_Accesos!A102="","","RD")</f>
        <v/>
      </c>
      <c r="AE298" s="17" t="str">
        <f>IF(M2_Accesos!A102="","",IF(M2_Accesos!O102="","",M2_Accesos!O102))</f>
        <v/>
      </c>
      <c r="AF298" s="17" t="str">
        <f>IF(M2_Accesos!A102="","",IF(M2_Accesos!P102="","",M2_Accesos!P102))</f>
        <v/>
      </c>
      <c r="AG298" s="17" t="str">
        <f>IF(M2_Accesos!A102="","",IF(M2_Accesos!Q102="","",M2_Accesos!Q102))</f>
        <v/>
      </c>
      <c r="AH298" s="17" t="str">
        <f>IF(M2_Accesos!A102="","",IF(M2_Accesos!J102="","",M2_Accesos!J102))</f>
        <v/>
      </c>
      <c r="AI298" s="17" t="str">
        <f>IF(M2_Accesos!A102="","","M2_Accesos!102")</f>
        <v/>
      </c>
      <c r="AJ298" s="17" t="str">
        <f>IF(M2_Accesos!A102="","",IF(M2_Accesos!M102="","Pendiente de resultado","Disponible"))</f>
        <v/>
      </c>
    </row>
    <row r="299" spans="1:36" ht="55.5" customHeight="1">
      <c r="A299" s="6" t="str">
        <f t="array" ref="A299">IF(295&gt;$S$1204,"",INDEX($T$5:$AJ$1204,MATCH(295,$S$5:$S$1204,0),1))</f>
        <v/>
      </c>
      <c r="B299" s="8" t="str">
        <f t="array" ref="B299">IF(295&gt;$S$1204,"",INDEX($T$5:$AJ$1204,MATCH(295,$S$5:$S$1204,0),2))</f>
        <v/>
      </c>
      <c r="C299" s="10" t="str">
        <f t="array" ref="C299">IF(295&gt;$S$1204,"",INDEX($T$5:$AJ$1204,MATCH(295,$S$5:$S$1204,0),3))</f>
        <v/>
      </c>
      <c r="D299" s="8" t="str">
        <f t="array" ref="D299">IF(295&gt;$S$1204,"",INDEX($T$5:$AJ$1204,MATCH(295,$S$5:$S$1204,0),4))</f>
        <v/>
      </c>
      <c r="E299" s="8" t="str">
        <f t="array" ref="E299">IF(295&gt;$S$1204,"",INDEX($T$5:$AJ$1204,MATCH(295,$S$5:$S$1204,0),5))</f>
        <v/>
      </c>
      <c r="F299" s="8" t="str">
        <f t="array" ref="F299">IF(295&gt;$S$1204,"",INDEX($T$5:$AJ$1204,MATCH(295,$S$5:$S$1204,0),6))</f>
        <v/>
      </c>
      <c r="G299" s="8" t="str">
        <f t="array" ref="G299">IF(295&gt;$S$1204,"",INDEX($T$5:$AJ$1204,MATCH(295,$S$5:$S$1204,0),7))</f>
        <v/>
      </c>
      <c r="H299" s="8" t="str">
        <f t="array" ref="H299">IF(295&gt;$S$1204,"",INDEX($T$5:$AJ$1204,MATCH(295,$S$5:$S$1204,0),8))</f>
        <v/>
      </c>
      <c r="I299" s="8" t="str">
        <f t="array" ref="I299">IF(295&gt;$S$1204,"",INDEX($T$5:$AJ$1204,MATCH(295,$S$5:$S$1204,0),9))</f>
        <v/>
      </c>
      <c r="J299" s="14" t="str">
        <f t="array" ref="J299">IF(295&gt;$S$1204,"",INDEX($T$5:$AJ$1204,MATCH(295,$S$5:$S$1204,0),10))</f>
        <v/>
      </c>
      <c r="K299" s="8" t="str">
        <f t="array" ref="K299">IF(295&gt;$S$1204,"",INDEX($T$5:$AJ$1204,MATCH(295,$S$5:$S$1204,0),11))</f>
        <v/>
      </c>
      <c r="L299" s="8" t="str">
        <f t="array" ref="L299">IF(295&gt;$S$1204,"",INDEX($T$5:$AJ$1204,MATCH(295,$S$5:$S$1204,0),12))</f>
        <v/>
      </c>
      <c r="M299" s="8" t="str">
        <f t="array" ref="M299">IF(295&gt;$S$1204,"",INDEX($T$5:$AJ$1204,MATCH(295,$S$5:$S$1204,0),13))</f>
        <v/>
      </c>
      <c r="N299" s="8" t="str">
        <f t="array" ref="N299">IF(295&gt;$S$1204,"",INDEX($T$5:$AJ$1204,MATCH(295,$S$5:$S$1204,0),14))</f>
        <v/>
      </c>
      <c r="O299" s="15" t="str">
        <f t="array" ref="O299">IF(295&gt;$S$1204,"",INDEX($T$5:$AJ$1204,MATCH(295,$S$5:$S$1204,0),15))</f>
        <v/>
      </c>
      <c r="P299" s="8" t="str">
        <f t="array" ref="P299">IF(295&gt;$S$1204,"",INDEX($T$5:$AJ$1204,MATCH(295,$S$5:$S$1204,0),16))</f>
        <v/>
      </c>
      <c r="Q299" s="8" t="str">
        <f t="array" ref="Q299">IF(295&gt;$S$1204,"",INDEX($T$5:$AJ$1204,MATCH(295,$S$5:$S$1204,0),17))</f>
        <v/>
      </c>
      <c r="R299" s="17"/>
      <c r="S299" s="17">
        <f>S298+IF(M2_Accesos!A103="",0,1)</f>
        <v>0</v>
      </c>
      <c r="T299" s="17" t="str">
        <f>IF(M2_Accesos!A103="","",IF(M2_Accesos!A103="","",M2_Accesos!A103))</f>
        <v/>
      </c>
      <c r="U299" s="17" t="str">
        <f>IF(M2_Accesos!A103="","",IF(M2_Accesos!R103="","",M2_Accesos!R103))</f>
        <v/>
      </c>
      <c r="V299" s="17" t="str">
        <f>IF(M2_Accesos!A103="","",IF(M2_Accesos!D103="","",M2_Accesos!D103))</f>
        <v/>
      </c>
      <c r="W299" s="17" t="str">
        <f>IF(M2_Accesos!A103="","",IF(M2_Accesos!B103="","",M2_Accesos!B103))</f>
        <v/>
      </c>
      <c r="X299" s="17" t="str">
        <f>IF(M2_Accesos!A103="","",IF(M2_Accesos!C103="","",M2_Accesos!C103))</f>
        <v/>
      </c>
      <c r="Y299" s="17" t="str">
        <f>IF(M2_Accesos!A103="","",IF(M2_Accesos!E103="","",M2_Accesos!E103))</f>
        <v/>
      </c>
      <c r="Z299" s="17" t="str">
        <f>IF(M2_Accesos!A103="","",IF(M2_Accesos!F103="","",M2_Accesos!F103))</f>
        <v/>
      </c>
      <c r="AA299" s="17" t="str">
        <f>IF(M2_Accesos!A103="","","M2 Accesos")</f>
        <v/>
      </c>
      <c r="AB299" s="17" t="str">
        <f>IF(M2_Accesos!A103="","",IF(M2_Accesos!G103="","",M2_Accesos!G103))</f>
        <v/>
      </c>
      <c r="AC299" s="17" t="str">
        <f>IF(M2_Accesos!A103="","",IF(M2_Accesos!M103="","",M2_Accesos!M103))</f>
        <v/>
      </c>
      <c r="AD299" s="17" t="str">
        <f>IF(M2_Accesos!A103="","","RD")</f>
        <v/>
      </c>
      <c r="AE299" s="17" t="str">
        <f>IF(M2_Accesos!A103="","",IF(M2_Accesos!O103="","",M2_Accesos!O103))</f>
        <v/>
      </c>
      <c r="AF299" s="17" t="str">
        <f>IF(M2_Accesos!A103="","",IF(M2_Accesos!P103="","",M2_Accesos!P103))</f>
        <v/>
      </c>
      <c r="AG299" s="17" t="str">
        <f>IF(M2_Accesos!A103="","",IF(M2_Accesos!Q103="","",M2_Accesos!Q103))</f>
        <v/>
      </c>
      <c r="AH299" s="17" t="str">
        <f>IF(M2_Accesos!A103="","",IF(M2_Accesos!J103="","",M2_Accesos!J103))</f>
        <v/>
      </c>
      <c r="AI299" s="17" t="str">
        <f>IF(M2_Accesos!A103="","","M2_Accesos!103")</f>
        <v/>
      </c>
      <c r="AJ299" s="17" t="str">
        <f>IF(M2_Accesos!A103="","",IF(M2_Accesos!M103="","Pendiente de resultado","Disponible"))</f>
        <v/>
      </c>
    </row>
    <row r="300" spans="1:36" ht="55.5" customHeight="1">
      <c r="A300" s="6" t="str">
        <f t="array" ref="A300">IF(296&gt;$S$1204,"",INDEX($T$5:$AJ$1204,MATCH(296,$S$5:$S$1204,0),1))</f>
        <v/>
      </c>
      <c r="B300" s="8" t="str">
        <f t="array" ref="B300">IF(296&gt;$S$1204,"",INDEX($T$5:$AJ$1204,MATCH(296,$S$5:$S$1204,0),2))</f>
        <v/>
      </c>
      <c r="C300" s="10" t="str">
        <f t="array" ref="C300">IF(296&gt;$S$1204,"",INDEX($T$5:$AJ$1204,MATCH(296,$S$5:$S$1204,0),3))</f>
        <v/>
      </c>
      <c r="D300" s="8" t="str">
        <f t="array" ref="D300">IF(296&gt;$S$1204,"",INDEX($T$5:$AJ$1204,MATCH(296,$S$5:$S$1204,0),4))</f>
        <v/>
      </c>
      <c r="E300" s="8" t="str">
        <f t="array" ref="E300">IF(296&gt;$S$1204,"",INDEX($T$5:$AJ$1204,MATCH(296,$S$5:$S$1204,0),5))</f>
        <v/>
      </c>
      <c r="F300" s="8" t="str">
        <f t="array" ref="F300">IF(296&gt;$S$1204,"",INDEX($T$5:$AJ$1204,MATCH(296,$S$5:$S$1204,0),6))</f>
        <v/>
      </c>
      <c r="G300" s="8" t="str">
        <f t="array" ref="G300">IF(296&gt;$S$1204,"",INDEX($T$5:$AJ$1204,MATCH(296,$S$5:$S$1204,0),7))</f>
        <v/>
      </c>
      <c r="H300" s="8" t="str">
        <f t="array" ref="H300">IF(296&gt;$S$1204,"",INDEX($T$5:$AJ$1204,MATCH(296,$S$5:$S$1204,0),8))</f>
        <v/>
      </c>
      <c r="I300" s="8" t="str">
        <f t="array" ref="I300">IF(296&gt;$S$1204,"",INDEX($T$5:$AJ$1204,MATCH(296,$S$5:$S$1204,0),9))</f>
        <v/>
      </c>
      <c r="J300" s="14" t="str">
        <f t="array" ref="J300">IF(296&gt;$S$1204,"",INDEX($T$5:$AJ$1204,MATCH(296,$S$5:$S$1204,0),10))</f>
        <v/>
      </c>
      <c r="K300" s="8" t="str">
        <f t="array" ref="K300">IF(296&gt;$S$1204,"",INDEX($T$5:$AJ$1204,MATCH(296,$S$5:$S$1204,0),11))</f>
        <v/>
      </c>
      <c r="L300" s="8" t="str">
        <f t="array" ref="L300">IF(296&gt;$S$1204,"",INDEX($T$5:$AJ$1204,MATCH(296,$S$5:$S$1204,0),12))</f>
        <v/>
      </c>
      <c r="M300" s="8" t="str">
        <f t="array" ref="M300">IF(296&gt;$S$1204,"",INDEX($T$5:$AJ$1204,MATCH(296,$S$5:$S$1204,0),13))</f>
        <v/>
      </c>
      <c r="N300" s="8" t="str">
        <f t="array" ref="N300">IF(296&gt;$S$1204,"",INDEX($T$5:$AJ$1204,MATCH(296,$S$5:$S$1204,0),14))</f>
        <v/>
      </c>
      <c r="O300" s="15" t="str">
        <f t="array" ref="O300">IF(296&gt;$S$1204,"",INDEX($T$5:$AJ$1204,MATCH(296,$S$5:$S$1204,0),15))</f>
        <v/>
      </c>
      <c r="P300" s="8" t="str">
        <f t="array" ref="P300">IF(296&gt;$S$1204,"",INDEX($T$5:$AJ$1204,MATCH(296,$S$5:$S$1204,0),16))</f>
        <v/>
      </c>
      <c r="Q300" s="8" t="str">
        <f t="array" ref="Q300">IF(296&gt;$S$1204,"",INDEX($T$5:$AJ$1204,MATCH(296,$S$5:$S$1204,0),17))</f>
        <v/>
      </c>
      <c r="R300" s="17"/>
      <c r="S300" s="17">
        <f>S299+IF(M2_Accesos!A104="",0,1)</f>
        <v>0</v>
      </c>
      <c r="T300" s="17" t="str">
        <f>IF(M2_Accesos!A104="","",IF(M2_Accesos!A104="","",M2_Accesos!A104))</f>
        <v/>
      </c>
      <c r="U300" s="17" t="str">
        <f>IF(M2_Accesos!A104="","",IF(M2_Accesos!R104="","",M2_Accesos!R104))</f>
        <v/>
      </c>
      <c r="V300" s="17" t="str">
        <f>IF(M2_Accesos!A104="","",IF(M2_Accesos!D104="","",M2_Accesos!D104))</f>
        <v/>
      </c>
      <c r="W300" s="17" t="str">
        <f>IF(M2_Accesos!A104="","",IF(M2_Accesos!B104="","",M2_Accesos!B104))</f>
        <v/>
      </c>
      <c r="X300" s="17" t="str">
        <f>IF(M2_Accesos!A104="","",IF(M2_Accesos!C104="","",M2_Accesos!C104))</f>
        <v/>
      </c>
      <c r="Y300" s="17" t="str">
        <f>IF(M2_Accesos!A104="","",IF(M2_Accesos!E104="","",M2_Accesos!E104))</f>
        <v/>
      </c>
      <c r="Z300" s="17" t="str">
        <f>IF(M2_Accesos!A104="","",IF(M2_Accesos!F104="","",M2_Accesos!F104))</f>
        <v/>
      </c>
      <c r="AA300" s="17" t="str">
        <f>IF(M2_Accesos!A104="","","M2 Accesos")</f>
        <v/>
      </c>
      <c r="AB300" s="17" t="str">
        <f>IF(M2_Accesos!A104="","",IF(M2_Accesos!G104="","",M2_Accesos!G104))</f>
        <v/>
      </c>
      <c r="AC300" s="17" t="str">
        <f>IF(M2_Accesos!A104="","",IF(M2_Accesos!M104="","",M2_Accesos!M104))</f>
        <v/>
      </c>
      <c r="AD300" s="17" t="str">
        <f>IF(M2_Accesos!A104="","","RD")</f>
        <v/>
      </c>
      <c r="AE300" s="17" t="str">
        <f>IF(M2_Accesos!A104="","",IF(M2_Accesos!O104="","",M2_Accesos!O104))</f>
        <v/>
      </c>
      <c r="AF300" s="17" t="str">
        <f>IF(M2_Accesos!A104="","",IF(M2_Accesos!P104="","",M2_Accesos!P104))</f>
        <v/>
      </c>
      <c r="AG300" s="17" t="str">
        <f>IF(M2_Accesos!A104="","",IF(M2_Accesos!Q104="","",M2_Accesos!Q104))</f>
        <v/>
      </c>
      <c r="AH300" s="17" t="str">
        <f>IF(M2_Accesos!A104="","",IF(M2_Accesos!J104="","",M2_Accesos!J104))</f>
        <v/>
      </c>
      <c r="AI300" s="17" t="str">
        <f>IF(M2_Accesos!A104="","","M2_Accesos!104")</f>
        <v/>
      </c>
      <c r="AJ300" s="17" t="str">
        <f>IF(M2_Accesos!A104="","",IF(M2_Accesos!M104="","Pendiente de resultado","Disponible"))</f>
        <v/>
      </c>
    </row>
    <row r="301" spans="1:36" ht="55.5" customHeight="1">
      <c r="A301" s="6" t="str">
        <f t="array" ref="A301">IF(297&gt;$S$1204,"",INDEX($T$5:$AJ$1204,MATCH(297,$S$5:$S$1204,0),1))</f>
        <v/>
      </c>
      <c r="B301" s="8" t="str">
        <f t="array" ref="B301">IF(297&gt;$S$1204,"",INDEX($T$5:$AJ$1204,MATCH(297,$S$5:$S$1204,0),2))</f>
        <v/>
      </c>
      <c r="C301" s="10" t="str">
        <f t="array" ref="C301">IF(297&gt;$S$1204,"",INDEX($T$5:$AJ$1204,MATCH(297,$S$5:$S$1204,0),3))</f>
        <v/>
      </c>
      <c r="D301" s="8" t="str">
        <f t="array" ref="D301">IF(297&gt;$S$1204,"",INDEX($T$5:$AJ$1204,MATCH(297,$S$5:$S$1204,0),4))</f>
        <v/>
      </c>
      <c r="E301" s="8" t="str">
        <f t="array" ref="E301">IF(297&gt;$S$1204,"",INDEX($T$5:$AJ$1204,MATCH(297,$S$5:$S$1204,0),5))</f>
        <v/>
      </c>
      <c r="F301" s="8" t="str">
        <f t="array" ref="F301">IF(297&gt;$S$1204,"",INDEX($T$5:$AJ$1204,MATCH(297,$S$5:$S$1204,0),6))</f>
        <v/>
      </c>
      <c r="G301" s="8" t="str">
        <f t="array" ref="G301">IF(297&gt;$S$1204,"",INDEX($T$5:$AJ$1204,MATCH(297,$S$5:$S$1204,0),7))</f>
        <v/>
      </c>
      <c r="H301" s="8" t="str">
        <f t="array" ref="H301">IF(297&gt;$S$1204,"",INDEX($T$5:$AJ$1204,MATCH(297,$S$5:$S$1204,0),8))</f>
        <v/>
      </c>
      <c r="I301" s="8" t="str">
        <f t="array" ref="I301">IF(297&gt;$S$1204,"",INDEX($T$5:$AJ$1204,MATCH(297,$S$5:$S$1204,0),9))</f>
        <v/>
      </c>
      <c r="J301" s="14" t="str">
        <f t="array" ref="J301">IF(297&gt;$S$1204,"",INDEX($T$5:$AJ$1204,MATCH(297,$S$5:$S$1204,0),10))</f>
        <v/>
      </c>
      <c r="K301" s="8" t="str">
        <f t="array" ref="K301">IF(297&gt;$S$1204,"",INDEX($T$5:$AJ$1204,MATCH(297,$S$5:$S$1204,0),11))</f>
        <v/>
      </c>
      <c r="L301" s="8" t="str">
        <f t="array" ref="L301">IF(297&gt;$S$1204,"",INDEX($T$5:$AJ$1204,MATCH(297,$S$5:$S$1204,0),12))</f>
        <v/>
      </c>
      <c r="M301" s="8" t="str">
        <f t="array" ref="M301">IF(297&gt;$S$1204,"",INDEX($T$5:$AJ$1204,MATCH(297,$S$5:$S$1204,0),13))</f>
        <v/>
      </c>
      <c r="N301" s="8" t="str">
        <f t="array" ref="N301">IF(297&gt;$S$1204,"",INDEX($T$5:$AJ$1204,MATCH(297,$S$5:$S$1204,0),14))</f>
        <v/>
      </c>
      <c r="O301" s="15" t="str">
        <f t="array" ref="O301">IF(297&gt;$S$1204,"",INDEX($T$5:$AJ$1204,MATCH(297,$S$5:$S$1204,0),15))</f>
        <v/>
      </c>
      <c r="P301" s="8" t="str">
        <f t="array" ref="P301">IF(297&gt;$S$1204,"",INDEX($T$5:$AJ$1204,MATCH(297,$S$5:$S$1204,0),16))</f>
        <v/>
      </c>
      <c r="Q301" s="8" t="str">
        <f t="array" ref="Q301">IF(297&gt;$S$1204,"",INDEX($T$5:$AJ$1204,MATCH(297,$S$5:$S$1204,0),17))</f>
        <v/>
      </c>
      <c r="R301" s="17"/>
      <c r="S301" s="17">
        <f>S300+IF(M2_Accesos!A105="",0,1)</f>
        <v>0</v>
      </c>
      <c r="T301" s="17" t="str">
        <f>IF(M2_Accesos!A105="","",IF(M2_Accesos!A105="","",M2_Accesos!A105))</f>
        <v/>
      </c>
      <c r="U301" s="17" t="str">
        <f>IF(M2_Accesos!A105="","",IF(M2_Accesos!R105="","",M2_Accesos!R105))</f>
        <v/>
      </c>
      <c r="V301" s="17" t="str">
        <f>IF(M2_Accesos!A105="","",IF(M2_Accesos!D105="","",M2_Accesos!D105))</f>
        <v/>
      </c>
      <c r="W301" s="17" t="str">
        <f>IF(M2_Accesos!A105="","",IF(M2_Accesos!B105="","",M2_Accesos!B105))</f>
        <v/>
      </c>
      <c r="X301" s="17" t="str">
        <f>IF(M2_Accesos!A105="","",IF(M2_Accesos!C105="","",M2_Accesos!C105))</f>
        <v/>
      </c>
      <c r="Y301" s="17" t="str">
        <f>IF(M2_Accesos!A105="","",IF(M2_Accesos!E105="","",M2_Accesos!E105))</f>
        <v/>
      </c>
      <c r="Z301" s="17" t="str">
        <f>IF(M2_Accesos!A105="","",IF(M2_Accesos!F105="","",M2_Accesos!F105))</f>
        <v/>
      </c>
      <c r="AA301" s="17" t="str">
        <f>IF(M2_Accesos!A105="","","M2 Accesos")</f>
        <v/>
      </c>
      <c r="AB301" s="17" t="str">
        <f>IF(M2_Accesos!A105="","",IF(M2_Accesos!G105="","",M2_Accesos!G105))</f>
        <v/>
      </c>
      <c r="AC301" s="17" t="str">
        <f>IF(M2_Accesos!A105="","",IF(M2_Accesos!M105="","",M2_Accesos!M105))</f>
        <v/>
      </c>
      <c r="AD301" s="17" t="str">
        <f>IF(M2_Accesos!A105="","","RD")</f>
        <v/>
      </c>
      <c r="AE301" s="17" t="str">
        <f>IF(M2_Accesos!A105="","",IF(M2_Accesos!O105="","",M2_Accesos!O105))</f>
        <v/>
      </c>
      <c r="AF301" s="17" t="str">
        <f>IF(M2_Accesos!A105="","",IF(M2_Accesos!P105="","",M2_Accesos!P105))</f>
        <v/>
      </c>
      <c r="AG301" s="17" t="str">
        <f>IF(M2_Accesos!A105="","",IF(M2_Accesos!Q105="","",M2_Accesos!Q105))</f>
        <v/>
      </c>
      <c r="AH301" s="17" t="str">
        <f>IF(M2_Accesos!A105="","",IF(M2_Accesos!J105="","",M2_Accesos!J105))</f>
        <v/>
      </c>
      <c r="AI301" s="17" t="str">
        <f>IF(M2_Accesos!A105="","","M2_Accesos!105")</f>
        <v/>
      </c>
      <c r="AJ301" s="17" t="str">
        <f>IF(M2_Accesos!A105="","",IF(M2_Accesos!M105="","Pendiente de resultado","Disponible"))</f>
        <v/>
      </c>
    </row>
    <row r="302" spans="1:36" ht="55.5" customHeight="1">
      <c r="A302" s="6" t="str">
        <f t="array" ref="A302">IF(298&gt;$S$1204,"",INDEX($T$5:$AJ$1204,MATCH(298,$S$5:$S$1204,0),1))</f>
        <v/>
      </c>
      <c r="B302" s="8" t="str">
        <f t="array" ref="B302">IF(298&gt;$S$1204,"",INDEX($T$5:$AJ$1204,MATCH(298,$S$5:$S$1204,0),2))</f>
        <v/>
      </c>
      <c r="C302" s="10" t="str">
        <f t="array" ref="C302">IF(298&gt;$S$1204,"",INDEX($T$5:$AJ$1204,MATCH(298,$S$5:$S$1204,0),3))</f>
        <v/>
      </c>
      <c r="D302" s="8" t="str">
        <f t="array" ref="D302">IF(298&gt;$S$1204,"",INDEX($T$5:$AJ$1204,MATCH(298,$S$5:$S$1204,0),4))</f>
        <v/>
      </c>
      <c r="E302" s="8" t="str">
        <f t="array" ref="E302">IF(298&gt;$S$1204,"",INDEX($T$5:$AJ$1204,MATCH(298,$S$5:$S$1204,0),5))</f>
        <v/>
      </c>
      <c r="F302" s="8" t="str">
        <f t="array" ref="F302">IF(298&gt;$S$1204,"",INDEX($T$5:$AJ$1204,MATCH(298,$S$5:$S$1204,0),6))</f>
        <v/>
      </c>
      <c r="G302" s="8" t="str">
        <f t="array" ref="G302">IF(298&gt;$S$1204,"",INDEX($T$5:$AJ$1204,MATCH(298,$S$5:$S$1204,0),7))</f>
        <v/>
      </c>
      <c r="H302" s="8" t="str">
        <f t="array" ref="H302">IF(298&gt;$S$1204,"",INDEX($T$5:$AJ$1204,MATCH(298,$S$5:$S$1204,0),8))</f>
        <v/>
      </c>
      <c r="I302" s="8" t="str">
        <f t="array" ref="I302">IF(298&gt;$S$1204,"",INDEX($T$5:$AJ$1204,MATCH(298,$S$5:$S$1204,0),9))</f>
        <v/>
      </c>
      <c r="J302" s="14" t="str">
        <f t="array" ref="J302">IF(298&gt;$S$1204,"",INDEX($T$5:$AJ$1204,MATCH(298,$S$5:$S$1204,0),10))</f>
        <v/>
      </c>
      <c r="K302" s="8" t="str">
        <f t="array" ref="K302">IF(298&gt;$S$1204,"",INDEX($T$5:$AJ$1204,MATCH(298,$S$5:$S$1204,0),11))</f>
        <v/>
      </c>
      <c r="L302" s="8" t="str">
        <f t="array" ref="L302">IF(298&gt;$S$1204,"",INDEX($T$5:$AJ$1204,MATCH(298,$S$5:$S$1204,0),12))</f>
        <v/>
      </c>
      <c r="M302" s="8" t="str">
        <f t="array" ref="M302">IF(298&gt;$S$1204,"",INDEX($T$5:$AJ$1204,MATCH(298,$S$5:$S$1204,0),13))</f>
        <v/>
      </c>
      <c r="N302" s="8" t="str">
        <f t="array" ref="N302">IF(298&gt;$S$1204,"",INDEX($T$5:$AJ$1204,MATCH(298,$S$5:$S$1204,0),14))</f>
        <v/>
      </c>
      <c r="O302" s="15" t="str">
        <f t="array" ref="O302">IF(298&gt;$S$1204,"",INDEX($T$5:$AJ$1204,MATCH(298,$S$5:$S$1204,0),15))</f>
        <v/>
      </c>
      <c r="P302" s="8" t="str">
        <f t="array" ref="P302">IF(298&gt;$S$1204,"",INDEX($T$5:$AJ$1204,MATCH(298,$S$5:$S$1204,0),16))</f>
        <v/>
      </c>
      <c r="Q302" s="8" t="str">
        <f t="array" ref="Q302">IF(298&gt;$S$1204,"",INDEX($T$5:$AJ$1204,MATCH(298,$S$5:$S$1204,0),17))</f>
        <v/>
      </c>
      <c r="R302" s="17"/>
      <c r="S302" s="17">
        <f>S301+IF(M2_Accesos!A106="",0,1)</f>
        <v>0</v>
      </c>
      <c r="T302" s="17" t="str">
        <f>IF(M2_Accesos!A106="","",IF(M2_Accesos!A106="","",M2_Accesos!A106))</f>
        <v/>
      </c>
      <c r="U302" s="17" t="str">
        <f>IF(M2_Accesos!A106="","",IF(M2_Accesos!R106="","",M2_Accesos!R106))</f>
        <v/>
      </c>
      <c r="V302" s="17" t="str">
        <f>IF(M2_Accesos!A106="","",IF(M2_Accesos!D106="","",M2_Accesos!D106))</f>
        <v/>
      </c>
      <c r="W302" s="17" t="str">
        <f>IF(M2_Accesos!A106="","",IF(M2_Accesos!B106="","",M2_Accesos!B106))</f>
        <v/>
      </c>
      <c r="X302" s="17" t="str">
        <f>IF(M2_Accesos!A106="","",IF(M2_Accesos!C106="","",M2_Accesos!C106))</f>
        <v/>
      </c>
      <c r="Y302" s="17" t="str">
        <f>IF(M2_Accesos!A106="","",IF(M2_Accesos!E106="","",M2_Accesos!E106))</f>
        <v/>
      </c>
      <c r="Z302" s="17" t="str">
        <f>IF(M2_Accesos!A106="","",IF(M2_Accesos!F106="","",M2_Accesos!F106))</f>
        <v/>
      </c>
      <c r="AA302" s="17" t="str">
        <f>IF(M2_Accesos!A106="","","M2 Accesos")</f>
        <v/>
      </c>
      <c r="AB302" s="17" t="str">
        <f>IF(M2_Accesos!A106="","",IF(M2_Accesos!G106="","",M2_Accesos!G106))</f>
        <v/>
      </c>
      <c r="AC302" s="17" t="str">
        <f>IF(M2_Accesos!A106="","",IF(M2_Accesos!M106="","",M2_Accesos!M106))</f>
        <v/>
      </c>
      <c r="AD302" s="17" t="str">
        <f>IF(M2_Accesos!A106="","","RD")</f>
        <v/>
      </c>
      <c r="AE302" s="17" t="str">
        <f>IF(M2_Accesos!A106="","",IF(M2_Accesos!O106="","",M2_Accesos!O106))</f>
        <v/>
      </c>
      <c r="AF302" s="17" t="str">
        <f>IF(M2_Accesos!A106="","",IF(M2_Accesos!P106="","",M2_Accesos!P106))</f>
        <v/>
      </c>
      <c r="AG302" s="17" t="str">
        <f>IF(M2_Accesos!A106="","",IF(M2_Accesos!Q106="","",M2_Accesos!Q106))</f>
        <v/>
      </c>
      <c r="AH302" s="17" t="str">
        <f>IF(M2_Accesos!A106="","",IF(M2_Accesos!J106="","",M2_Accesos!J106))</f>
        <v/>
      </c>
      <c r="AI302" s="17" t="str">
        <f>IF(M2_Accesos!A106="","","M2_Accesos!106")</f>
        <v/>
      </c>
      <c r="AJ302" s="17" t="str">
        <f>IF(M2_Accesos!A106="","",IF(M2_Accesos!M106="","Pendiente de resultado","Disponible"))</f>
        <v/>
      </c>
    </row>
    <row r="303" spans="1:36" ht="55.5" customHeight="1">
      <c r="A303" s="6" t="str">
        <f t="array" ref="A303">IF(299&gt;$S$1204,"",INDEX($T$5:$AJ$1204,MATCH(299,$S$5:$S$1204,0),1))</f>
        <v/>
      </c>
      <c r="B303" s="8" t="str">
        <f t="array" ref="B303">IF(299&gt;$S$1204,"",INDEX($T$5:$AJ$1204,MATCH(299,$S$5:$S$1204,0),2))</f>
        <v/>
      </c>
      <c r="C303" s="10" t="str">
        <f t="array" ref="C303">IF(299&gt;$S$1204,"",INDEX($T$5:$AJ$1204,MATCH(299,$S$5:$S$1204,0),3))</f>
        <v/>
      </c>
      <c r="D303" s="8" t="str">
        <f t="array" ref="D303">IF(299&gt;$S$1204,"",INDEX($T$5:$AJ$1204,MATCH(299,$S$5:$S$1204,0),4))</f>
        <v/>
      </c>
      <c r="E303" s="8" t="str">
        <f t="array" ref="E303">IF(299&gt;$S$1204,"",INDEX($T$5:$AJ$1204,MATCH(299,$S$5:$S$1204,0),5))</f>
        <v/>
      </c>
      <c r="F303" s="8" t="str">
        <f t="array" ref="F303">IF(299&gt;$S$1204,"",INDEX($T$5:$AJ$1204,MATCH(299,$S$5:$S$1204,0),6))</f>
        <v/>
      </c>
      <c r="G303" s="8" t="str">
        <f t="array" ref="G303">IF(299&gt;$S$1204,"",INDEX($T$5:$AJ$1204,MATCH(299,$S$5:$S$1204,0),7))</f>
        <v/>
      </c>
      <c r="H303" s="8" t="str">
        <f t="array" ref="H303">IF(299&gt;$S$1204,"",INDEX($T$5:$AJ$1204,MATCH(299,$S$5:$S$1204,0),8))</f>
        <v/>
      </c>
      <c r="I303" s="8" t="str">
        <f t="array" ref="I303">IF(299&gt;$S$1204,"",INDEX($T$5:$AJ$1204,MATCH(299,$S$5:$S$1204,0),9))</f>
        <v/>
      </c>
      <c r="J303" s="14" t="str">
        <f t="array" ref="J303">IF(299&gt;$S$1204,"",INDEX($T$5:$AJ$1204,MATCH(299,$S$5:$S$1204,0),10))</f>
        <v/>
      </c>
      <c r="K303" s="8" t="str">
        <f t="array" ref="K303">IF(299&gt;$S$1204,"",INDEX($T$5:$AJ$1204,MATCH(299,$S$5:$S$1204,0),11))</f>
        <v/>
      </c>
      <c r="L303" s="8" t="str">
        <f t="array" ref="L303">IF(299&gt;$S$1204,"",INDEX($T$5:$AJ$1204,MATCH(299,$S$5:$S$1204,0),12))</f>
        <v/>
      </c>
      <c r="M303" s="8" t="str">
        <f t="array" ref="M303">IF(299&gt;$S$1204,"",INDEX($T$5:$AJ$1204,MATCH(299,$S$5:$S$1204,0),13))</f>
        <v/>
      </c>
      <c r="N303" s="8" t="str">
        <f t="array" ref="N303">IF(299&gt;$S$1204,"",INDEX($T$5:$AJ$1204,MATCH(299,$S$5:$S$1204,0),14))</f>
        <v/>
      </c>
      <c r="O303" s="15" t="str">
        <f t="array" ref="O303">IF(299&gt;$S$1204,"",INDEX($T$5:$AJ$1204,MATCH(299,$S$5:$S$1204,0),15))</f>
        <v/>
      </c>
      <c r="P303" s="8" t="str">
        <f t="array" ref="P303">IF(299&gt;$S$1204,"",INDEX($T$5:$AJ$1204,MATCH(299,$S$5:$S$1204,0),16))</f>
        <v/>
      </c>
      <c r="Q303" s="8" t="str">
        <f t="array" ref="Q303">IF(299&gt;$S$1204,"",INDEX($T$5:$AJ$1204,MATCH(299,$S$5:$S$1204,0),17))</f>
        <v/>
      </c>
      <c r="R303" s="17"/>
      <c r="S303" s="17">
        <f>S302+IF(M2_Accesos!A107="",0,1)</f>
        <v>0</v>
      </c>
      <c r="T303" s="17" t="str">
        <f>IF(M2_Accesos!A107="","",IF(M2_Accesos!A107="","",M2_Accesos!A107))</f>
        <v/>
      </c>
      <c r="U303" s="17" t="str">
        <f>IF(M2_Accesos!A107="","",IF(M2_Accesos!R107="","",M2_Accesos!R107))</f>
        <v/>
      </c>
      <c r="V303" s="17" t="str">
        <f>IF(M2_Accesos!A107="","",IF(M2_Accesos!D107="","",M2_Accesos!D107))</f>
        <v/>
      </c>
      <c r="W303" s="17" t="str">
        <f>IF(M2_Accesos!A107="","",IF(M2_Accesos!B107="","",M2_Accesos!B107))</f>
        <v/>
      </c>
      <c r="X303" s="17" t="str">
        <f>IF(M2_Accesos!A107="","",IF(M2_Accesos!C107="","",M2_Accesos!C107))</f>
        <v/>
      </c>
      <c r="Y303" s="17" t="str">
        <f>IF(M2_Accesos!A107="","",IF(M2_Accesos!E107="","",M2_Accesos!E107))</f>
        <v/>
      </c>
      <c r="Z303" s="17" t="str">
        <f>IF(M2_Accesos!A107="","",IF(M2_Accesos!F107="","",M2_Accesos!F107))</f>
        <v/>
      </c>
      <c r="AA303" s="17" t="str">
        <f>IF(M2_Accesos!A107="","","M2 Accesos")</f>
        <v/>
      </c>
      <c r="AB303" s="17" t="str">
        <f>IF(M2_Accesos!A107="","",IF(M2_Accesos!G107="","",M2_Accesos!G107))</f>
        <v/>
      </c>
      <c r="AC303" s="17" t="str">
        <f>IF(M2_Accesos!A107="","",IF(M2_Accesos!M107="","",M2_Accesos!M107))</f>
        <v/>
      </c>
      <c r="AD303" s="17" t="str">
        <f>IF(M2_Accesos!A107="","","RD")</f>
        <v/>
      </c>
      <c r="AE303" s="17" t="str">
        <f>IF(M2_Accesos!A107="","",IF(M2_Accesos!O107="","",M2_Accesos!O107))</f>
        <v/>
      </c>
      <c r="AF303" s="17" t="str">
        <f>IF(M2_Accesos!A107="","",IF(M2_Accesos!P107="","",M2_Accesos!P107))</f>
        <v/>
      </c>
      <c r="AG303" s="17" t="str">
        <f>IF(M2_Accesos!A107="","",IF(M2_Accesos!Q107="","",M2_Accesos!Q107))</f>
        <v/>
      </c>
      <c r="AH303" s="17" t="str">
        <f>IF(M2_Accesos!A107="","",IF(M2_Accesos!J107="","",M2_Accesos!J107))</f>
        <v/>
      </c>
      <c r="AI303" s="17" t="str">
        <f>IF(M2_Accesos!A107="","","M2_Accesos!107")</f>
        <v/>
      </c>
      <c r="AJ303" s="17" t="str">
        <f>IF(M2_Accesos!A107="","",IF(M2_Accesos!M107="","Pendiente de resultado","Disponible"))</f>
        <v/>
      </c>
    </row>
    <row r="304" spans="1:36" ht="55.5" customHeight="1">
      <c r="A304" s="6" t="str">
        <f t="array" ref="A304">IF(300&gt;$S$1204,"",INDEX($T$5:$AJ$1204,MATCH(300,$S$5:$S$1204,0),1))</f>
        <v/>
      </c>
      <c r="B304" s="8" t="str">
        <f t="array" ref="B304">IF(300&gt;$S$1204,"",INDEX($T$5:$AJ$1204,MATCH(300,$S$5:$S$1204,0),2))</f>
        <v/>
      </c>
      <c r="C304" s="10" t="str">
        <f t="array" ref="C304">IF(300&gt;$S$1204,"",INDEX($T$5:$AJ$1204,MATCH(300,$S$5:$S$1204,0),3))</f>
        <v/>
      </c>
      <c r="D304" s="8" t="str">
        <f t="array" ref="D304">IF(300&gt;$S$1204,"",INDEX($T$5:$AJ$1204,MATCH(300,$S$5:$S$1204,0),4))</f>
        <v/>
      </c>
      <c r="E304" s="8" t="str">
        <f t="array" ref="E304">IF(300&gt;$S$1204,"",INDEX($T$5:$AJ$1204,MATCH(300,$S$5:$S$1204,0),5))</f>
        <v/>
      </c>
      <c r="F304" s="8" t="str">
        <f t="array" ref="F304">IF(300&gt;$S$1204,"",INDEX($T$5:$AJ$1204,MATCH(300,$S$5:$S$1204,0),6))</f>
        <v/>
      </c>
      <c r="G304" s="8" t="str">
        <f t="array" ref="G304">IF(300&gt;$S$1204,"",INDEX($T$5:$AJ$1204,MATCH(300,$S$5:$S$1204,0),7))</f>
        <v/>
      </c>
      <c r="H304" s="8" t="str">
        <f t="array" ref="H304">IF(300&gt;$S$1204,"",INDEX($T$5:$AJ$1204,MATCH(300,$S$5:$S$1204,0),8))</f>
        <v/>
      </c>
      <c r="I304" s="8" t="str">
        <f t="array" ref="I304">IF(300&gt;$S$1204,"",INDEX($T$5:$AJ$1204,MATCH(300,$S$5:$S$1204,0),9))</f>
        <v/>
      </c>
      <c r="J304" s="14" t="str">
        <f t="array" ref="J304">IF(300&gt;$S$1204,"",INDEX($T$5:$AJ$1204,MATCH(300,$S$5:$S$1204,0),10))</f>
        <v/>
      </c>
      <c r="K304" s="8" t="str">
        <f t="array" ref="K304">IF(300&gt;$S$1204,"",INDEX($T$5:$AJ$1204,MATCH(300,$S$5:$S$1204,0),11))</f>
        <v/>
      </c>
      <c r="L304" s="8" t="str">
        <f t="array" ref="L304">IF(300&gt;$S$1204,"",INDEX($T$5:$AJ$1204,MATCH(300,$S$5:$S$1204,0),12))</f>
        <v/>
      </c>
      <c r="M304" s="8" t="str">
        <f t="array" ref="M304">IF(300&gt;$S$1204,"",INDEX($T$5:$AJ$1204,MATCH(300,$S$5:$S$1204,0),13))</f>
        <v/>
      </c>
      <c r="N304" s="8" t="str">
        <f t="array" ref="N304">IF(300&gt;$S$1204,"",INDEX($T$5:$AJ$1204,MATCH(300,$S$5:$S$1204,0),14))</f>
        <v/>
      </c>
      <c r="O304" s="15" t="str">
        <f t="array" ref="O304">IF(300&gt;$S$1204,"",INDEX($T$5:$AJ$1204,MATCH(300,$S$5:$S$1204,0),15))</f>
        <v/>
      </c>
      <c r="P304" s="8" t="str">
        <f t="array" ref="P304">IF(300&gt;$S$1204,"",INDEX($T$5:$AJ$1204,MATCH(300,$S$5:$S$1204,0),16))</f>
        <v/>
      </c>
      <c r="Q304" s="8" t="str">
        <f t="array" ref="Q304">IF(300&gt;$S$1204,"",INDEX($T$5:$AJ$1204,MATCH(300,$S$5:$S$1204,0),17))</f>
        <v/>
      </c>
      <c r="R304" s="17"/>
      <c r="S304" s="17">
        <f>S303+IF(M2_Accesos!A108="",0,1)</f>
        <v>0</v>
      </c>
      <c r="T304" s="17" t="str">
        <f>IF(M2_Accesos!A108="","",IF(M2_Accesos!A108="","",M2_Accesos!A108))</f>
        <v/>
      </c>
      <c r="U304" s="17" t="str">
        <f>IF(M2_Accesos!A108="","",IF(M2_Accesos!R108="","",M2_Accesos!R108))</f>
        <v/>
      </c>
      <c r="V304" s="17" t="str">
        <f>IF(M2_Accesos!A108="","",IF(M2_Accesos!D108="","",M2_Accesos!D108))</f>
        <v/>
      </c>
      <c r="W304" s="17" t="str">
        <f>IF(M2_Accesos!A108="","",IF(M2_Accesos!B108="","",M2_Accesos!B108))</f>
        <v/>
      </c>
      <c r="X304" s="17" t="str">
        <f>IF(M2_Accesos!A108="","",IF(M2_Accesos!C108="","",M2_Accesos!C108))</f>
        <v/>
      </c>
      <c r="Y304" s="17" t="str">
        <f>IF(M2_Accesos!A108="","",IF(M2_Accesos!E108="","",M2_Accesos!E108))</f>
        <v/>
      </c>
      <c r="Z304" s="17" t="str">
        <f>IF(M2_Accesos!A108="","",IF(M2_Accesos!F108="","",M2_Accesos!F108))</f>
        <v/>
      </c>
      <c r="AA304" s="17" t="str">
        <f>IF(M2_Accesos!A108="","","M2 Accesos")</f>
        <v/>
      </c>
      <c r="AB304" s="17" t="str">
        <f>IF(M2_Accesos!A108="","",IF(M2_Accesos!G108="","",M2_Accesos!G108))</f>
        <v/>
      </c>
      <c r="AC304" s="17" t="str">
        <f>IF(M2_Accesos!A108="","",IF(M2_Accesos!M108="","",M2_Accesos!M108))</f>
        <v/>
      </c>
      <c r="AD304" s="17" t="str">
        <f>IF(M2_Accesos!A108="","","RD")</f>
        <v/>
      </c>
      <c r="AE304" s="17" t="str">
        <f>IF(M2_Accesos!A108="","",IF(M2_Accesos!O108="","",M2_Accesos!O108))</f>
        <v/>
      </c>
      <c r="AF304" s="17" t="str">
        <f>IF(M2_Accesos!A108="","",IF(M2_Accesos!P108="","",M2_Accesos!P108))</f>
        <v/>
      </c>
      <c r="AG304" s="17" t="str">
        <f>IF(M2_Accesos!A108="","",IF(M2_Accesos!Q108="","",M2_Accesos!Q108))</f>
        <v/>
      </c>
      <c r="AH304" s="17" t="str">
        <f>IF(M2_Accesos!A108="","",IF(M2_Accesos!J108="","",M2_Accesos!J108))</f>
        <v/>
      </c>
      <c r="AI304" s="17" t="str">
        <f>IF(M2_Accesos!A108="","","M2_Accesos!108")</f>
        <v/>
      </c>
      <c r="AJ304" s="17" t="str">
        <f>IF(M2_Accesos!A108="","",IF(M2_Accesos!M108="","Pendiente de resultado","Disponible"))</f>
        <v/>
      </c>
    </row>
    <row r="305" spans="1:36" ht="55.5" customHeight="1">
      <c r="A305" s="6" t="str">
        <f t="array" ref="A305">IF(301&gt;$S$1204,"",INDEX($T$5:$AJ$1204,MATCH(301,$S$5:$S$1204,0),1))</f>
        <v/>
      </c>
      <c r="B305" s="8" t="str">
        <f t="array" ref="B305">IF(301&gt;$S$1204,"",INDEX($T$5:$AJ$1204,MATCH(301,$S$5:$S$1204,0),2))</f>
        <v/>
      </c>
      <c r="C305" s="10" t="str">
        <f t="array" ref="C305">IF(301&gt;$S$1204,"",INDEX($T$5:$AJ$1204,MATCH(301,$S$5:$S$1204,0),3))</f>
        <v/>
      </c>
      <c r="D305" s="8" t="str">
        <f t="array" ref="D305">IF(301&gt;$S$1204,"",INDEX($T$5:$AJ$1204,MATCH(301,$S$5:$S$1204,0),4))</f>
        <v/>
      </c>
      <c r="E305" s="8" t="str">
        <f t="array" ref="E305">IF(301&gt;$S$1204,"",INDEX($T$5:$AJ$1204,MATCH(301,$S$5:$S$1204,0),5))</f>
        <v/>
      </c>
      <c r="F305" s="8" t="str">
        <f t="array" ref="F305">IF(301&gt;$S$1204,"",INDEX($T$5:$AJ$1204,MATCH(301,$S$5:$S$1204,0),6))</f>
        <v/>
      </c>
      <c r="G305" s="8" t="str">
        <f t="array" ref="G305">IF(301&gt;$S$1204,"",INDEX($T$5:$AJ$1204,MATCH(301,$S$5:$S$1204,0),7))</f>
        <v/>
      </c>
      <c r="H305" s="8" t="str">
        <f t="array" ref="H305">IF(301&gt;$S$1204,"",INDEX($T$5:$AJ$1204,MATCH(301,$S$5:$S$1204,0),8))</f>
        <v/>
      </c>
      <c r="I305" s="8" t="str">
        <f t="array" ref="I305">IF(301&gt;$S$1204,"",INDEX($T$5:$AJ$1204,MATCH(301,$S$5:$S$1204,0),9))</f>
        <v/>
      </c>
      <c r="J305" s="14" t="str">
        <f t="array" ref="J305">IF(301&gt;$S$1204,"",INDEX($T$5:$AJ$1204,MATCH(301,$S$5:$S$1204,0),10))</f>
        <v/>
      </c>
      <c r="K305" s="8" t="str">
        <f t="array" ref="K305">IF(301&gt;$S$1204,"",INDEX($T$5:$AJ$1204,MATCH(301,$S$5:$S$1204,0),11))</f>
        <v/>
      </c>
      <c r="L305" s="8" t="str">
        <f t="array" ref="L305">IF(301&gt;$S$1204,"",INDEX($T$5:$AJ$1204,MATCH(301,$S$5:$S$1204,0),12))</f>
        <v/>
      </c>
      <c r="M305" s="8" t="str">
        <f t="array" ref="M305">IF(301&gt;$S$1204,"",INDEX($T$5:$AJ$1204,MATCH(301,$S$5:$S$1204,0),13))</f>
        <v/>
      </c>
      <c r="N305" s="8" t="str">
        <f t="array" ref="N305">IF(301&gt;$S$1204,"",INDEX($T$5:$AJ$1204,MATCH(301,$S$5:$S$1204,0),14))</f>
        <v/>
      </c>
      <c r="O305" s="15" t="str">
        <f t="array" ref="O305">IF(301&gt;$S$1204,"",INDEX($T$5:$AJ$1204,MATCH(301,$S$5:$S$1204,0),15))</f>
        <v/>
      </c>
      <c r="P305" s="8" t="str">
        <f t="array" ref="P305">IF(301&gt;$S$1204,"",INDEX($T$5:$AJ$1204,MATCH(301,$S$5:$S$1204,0),16))</f>
        <v/>
      </c>
      <c r="Q305" s="8" t="str">
        <f t="array" ref="Q305">IF(301&gt;$S$1204,"",INDEX($T$5:$AJ$1204,MATCH(301,$S$5:$S$1204,0),17))</f>
        <v/>
      </c>
      <c r="R305" s="17"/>
      <c r="S305" s="17">
        <f>S304+IF(M2_Accesos!A109="",0,1)</f>
        <v>0</v>
      </c>
      <c r="T305" s="17" t="str">
        <f>IF(M2_Accesos!A109="","",IF(M2_Accesos!A109="","",M2_Accesos!A109))</f>
        <v/>
      </c>
      <c r="U305" s="17" t="str">
        <f>IF(M2_Accesos!A109="","",IF(M2_Accesos!R109="","",M2_Accesos!R109))</f>
        <v/>
      </c>
      <c r="V305" s="17" t="str">
        <f>IF(M2_Accesos!A109="","",IF(M2_Accesos!D109="","",M2_Accesos!D109))</f>
        <v/>
      </c>
      <c r="W305" s="17" t="str">
        <f>IF(M2_Accesos!A109="","",IF(M2_Accesos!B109="","",M2_Accesos!B109))</f>
        <v/>
      </c>
      <c r="X305" s="17" t="str">
        <f>IF(M2_Accesos!A109="","",IF(M2_Accesos!C109="","",M2_Accesos!C109))</f>
        <v/>
      </c>
      <c r="Y305" s="17" t="str">
        <f>IF(M2_Accesos!A109="","",IF(M2_Accesos!E109="","",M2_Accesos!E109))</f>
        <v/>
      </c>
      <c r="Z305" s="17" t="str">
        <f>IF(M2_Accesos!A109="","",IF(M2_Accesos!F109="","",M2_Accesos!F109))</f>
        <v/>
      </c>
      <c r="AA305" s="17" t="str">
        <f>IF(M2_Accesos!A109="","","M2 Accesos")</f>
        <v/>
      </c>
      <c r="AB305" s="17" t="str">
        <f>IF(M2_Accesos!A109="","",IF(M2_Accesos!G109="","",M2_Accesos!G109))</f>
        <v/>
      </c>
      <c r="AC305" s="17" t="str">
        <f>IF(M2_Accesos!A109="","",IF(M2_Accesos!M109="","",M2_Accesos!M109))</f>
        <v/>
      </c>
      <c r="AD305" s="17" t="str">
        <f>IF(M2_Accesos!A109="","","RD")</f>
        <v/>
      </c>
      <c r="AE305" s="17" t="str">
        <f>IF(M2_Accesos!A109="","",IF(M2_Accesos!O109="","",M2_Accesos!O109))</f>
        <v/>
      </c>
      <c r="AF305" s="17" t="str">
        <f>IF(M2_Accesos!A109="","",IF(M2_Accesos!P109="","",M2_Accesos!P109))</f>
        <v/>
      </c>
      <c r="AG305" s="17" t="str">
        <f>IF(M2_Accesos!A109="","",IF(M2_Accesos!Q109="","",M2_Accesos!Q109))</f>
        <v/>
      </c>
      <c r="AH305" s="17" t="str">
        <f>IF(M2_Accesos!A109="","",IF(M2_Accesos!J109="","",M2_Accesos!J109))</f>
        <v/>
      </c>
      <c r="AI305" s="17" t="str">
        <f>IF(M2_Accesos!A109="","","M2_Accesos!109")</f>
        <v/>
      </c>
      <c r="AJ305" s="17" t="str">
        <f>IF(M2_Accesos!A109="","",IF(M2_Accesos!M109="","Pendiente de resultado","Disponible"))</f>
        <v/>
      </c>
    </row>
    <row r="306" spans="1:36" ht="55.5" customHeight="1">
      <c r="A306" s="6" t="str">
        <f t="array" ref="A306">IF(302&gt;$S$1204,"",INDEX($T$5:$AJ$1204,MATCH(302,$S$5:$S$1204,0),1))</f>
        <v/>
      </c>
      <c r="B306" s="8" t="str">
        <f t="array" ref="B306">IF(302&gt;$S$1204,"",INDEX($T$5:$AJ$1204,MATCH(302,$S$5:$S$1204,0),2))</f>
        <v/>
      </c>
      <c r="C306" s="10" t="str">
        <f t="array" ref="C306">IF(302&gt;$S$1204,"",INDEX($T$5:$AJ$1204,MATCH(302,$S$5:$S$1204,0),3))</f>
        <v/>
      </c>
      <c r="D306" s="8" t="str">
        <f t="array" ref="D306">IF(302&gt;$S$1204,"",INDEX($T$5:$AJ$1204,MATCH(302,$S$5:$S$1204,0),4))</f>
        <v/>
      </c>
      <c r="E306" s="8" t="str">
        <f t="array" ref="E306">IF(302&gt;$S$1204,"",INDEX($T$5:$AJ$1204,MATCH(302,$S$5:$S$1204,0),5))</f>
        <v/>
      </c>
      <c r="F306" s="8" t="str">
        <f t="array" ref="F306">IF(302&gt;$S$1204,"",INDEX($T$5:$AJ$1204,MATCH(302,$S$5:$S$1204,0),6))</f>
        <v/>
      </c>
      <c r="G306" s="8" t="str">
        <f t="array" ref="G306">IF(302&gt;$S$1204,"",INDEX($T$5:$AJ$1204,MATCH(302,$S$5:$S$1204,0),7))</f>
        <v/>
      </c>
      <c r="H306" s="8" t="str">
        <f t="array" ref="H306">IF(302&gt;$S$1204,"",INDEX($T$5:$AJ$1204,MATCH(302,$S$5:$S$1204,0),8))</f>
        <v/>
      </c>
      <c r="I306" s="8" t="str">
        <f t="array" ref="I306">IF(302&gt;$S$1204,"",INDEX($T$5:$AJ$1204,MATCH(302,$S$5:$S$1204,0),9))</f>
        <v/>
      </c>
      <c r="J306" s="14" t="str">
        <f t="array" ref="J306">IF(302&gt;$S$1204,"",INDEX($T$5:$AJ$1204,MATCH(302,$S$5:$S$1204,0),10))</f>
        <v/>
      </c>
      <c r="K306" s="8" t="str">
        <f t="array" ref="K306">IF(302&gt;$S$1204,"",INDEX($T$5:$AJ$1204,MATCH(302,$S$5:$S$1204,0),11))</f>
        <v/>
      </c>
      <c r="L306" s="8" t="str">
        <f t="array" ref="L306">IF(302&gt;$S$1204,"",INDEX($T$5:$AJ$1204,MATCH(302,$S$5:$S$1204,0),12))</f>
        <v/>
      </c>
      <c r="M306" s="8" t="str">
        <f t="array" ref="M306">IF(302&gt;$S$1204,"",INDEX($T$5:$AJ$1204,MATCH(302,$S$5:$S$1204,0),13))</f>
        <v/>
      </c>
      <c r="N306" s="8" t="str">
        <f t="array" ref="N306">IF(302&gt;$S$1204,"",INDEX($T$5:$AJ$1204,MATCH(302,$S$5:$S$1204,0),14))</f>
        <v/>
      </c>
      <c r="O306" s="15" t="str">
        <f t="array" ref="O306">IF(302&gt;$S$1204,"",INDEX($T$5:$AJ$1204,MATCH(302,$S$5:$S$1204,0),15))</f>
        <v/>
      </c>
      <c r="P306" s="8" t="str">
        <f t="array" ref="P306">IF(302&gt;$S$1204,"",INDEX($T$5:$AJ$1204,MATCH(302,$S$5:$S$1204,0),16))</f>
        <v/>
      </c>
      <c r="Q306" s="8" t="str">
        <f t="array" ref="Q306">IF(302&gt;$S$1204,"",INDEX($T$5:$AJ$1204,MATCH(302,$S$5:$S$1204,0),17))</f>
        <v/>
      </c>
      <c r="R306" s="17"/>
      <c r="S306" s="17">
        <f>S305+IF(M2_Accesos!A110="",0,1)</f>
        <v>0</v>
      </c>
      <c r="T306" s="17" t="str">
        <f>IF(M2_Accesos!A110="","",IF(M2_Accesos!A110="","",M2_Accesos!A110))</f>
        <v/>
      </c>
      <c r="U306" s="17" t="str">
        <f>IF(M2_Accesos!A110="","",IF(M2_Accesos!R110="","",M2_Accesos!R110))</f>
        <v/>
      </c>
      <c r="V306" s="17" t="str">
        <f>IF(M2_Accesos!A110="","",IF(M2_Accesos!D110="","",M2_Accesos!D110))</f>
        <v/>
      </c>
      <c r="W306" s="17" t="str">
        <f>IF(M2_Accesos!A110="","",IF(M2_Accesos!B110="","",M2_Accesos!B110))</f>
        <v/>
      </c>
      <c r="X306" s="17" t="str">
        <f>IF(M2_Accesos!A110="","",IF(M2_Accesos!C110="","",M2_Accesos!C110))</f>
        <v/>
      </c>
      <c r="Y306" s="17" t="str">
        <f>IF(M2_Accesos!A110="","",IF(M2_Accesos!E110="","",M2_Accesos!E110))</f>
        <v/>
      </c>
      <c r="Z306" s="17" t="str">
        <f>IF(M2_Accesos!A110="","",IF(M2_Accesos!F110="","",M2_Accesos!F110))</f>
        <v/>
      </c>
      <c r="AA306" s="17" t="str">
        <f>IF(M2_Accesos!A110="","","M2 Accesos")</f>
        <v/>
      </c>
      <c r="AB306" s="17" t="str">
        <f>IF(M2_Accesos!A110="","",IF(M2_Accesos!G110="","",M2_Accesos!G110))</f>
        <v/>
      </c>
      <c r="AC306" s="17" t="str">
        <f>IF(M2_Accesos!A110="","",IF(M2_Accesos!M110="","",M2_Accesos!M110))</f>
        <v/>
      </c>
      <c r="AD306" s="17" t="str">
        <f>IF(M2_Accesos!A110="","","RD")</f>
        <v/>
      </c>
      <c r="AE306" s="17" t="str">
        <f>IF(M2_Accesos!A110="","",IF(M2_Accesos!O110="","",M2_Accesos!O110))</f>
        <v/>
      </c>
      <c r="AF306" s="17" t="str">
        <f>IF(M2_Accesos!A110="","",IF(M2_Accesos!P110="","",M2_Accesos!P110))</f>
        <v/>
      </c>
      <c r="AG306" s="17" t="str">
        <f>IF(M2_Accesos!A110="","",IF(M2_Accesos!Q110="","",M2_Accesos!Q110))</f>
        <v/>
      </c>
      <c r="AH306" s="17" t="str">
        <f>IF(M2_Accesos!A110="","",IF(M2_Accesos!J110="","",M2_Accesos!J110))</f>
        <v/>
      </c>
      <c r="AI306" s="17" t="str">
        <f>IF(M2_Accesos!A110="","","M2_Accesos!110")</f>
        <v/>
      </c>
      <c r="AJ306" s="17" t="str">
        <f>IF(M2_Accesos!A110="","",IF(M2_Accesos!M110="","Pendiente de resultado","Disponible"))</f>
        <v/>
      </c>
    </row>
    <row r="307" spans="1:36" ht="55.5" customHeight="1">
      <c r="A307" s="6" t="str">
        <f t="array" ref="A307">IF(303&gt;$S$1204,"",INDEX($T$5:$AJ$1204,MATCH(303,$S$5:$S$1204,0),1))</f>
        <v/>
      </c>
      <c r="B307" s="8" t="str">
        <f t="array" ref="B307">IF(303&gt;$S$1204,"",INDEX($T$5:$AJ$1204,MATCH(303,$S$5:$S$1204,0),2))</f>
        <v/>
      </c>
      <c r="C307" s="10" t="str">
        <f t="array" ref="C307">IF(303&gt;$S$1204,"",INDEX($T$5:$AJ$1204,MATCH(303,$S$5:$S$1204,0),3))</f>
        <v/>
      </c>
      <c r="D307" s="8" t="str">
        <f t="array" ref="D307">IF(303&gt;$S$1204,"",INDEX($T$5:$AJ$1204,MATCH(303,$S$5:$S$1204,0),4))</f>
        <v/>
      </c>
      <c r="E307" s="8" t="str">
        <f t="array" ref="E307">IF(303&gt;$S$1204,"",INDEX($T$5:$AJ$1204,MATCH(303,$S$5:$S$1204,0),5))</f>
        <v/>
      </c>
      <c r="F307" s="8" t="str">
        <f t="array" ref="F307">IF(303&gt;$S$1204,"",INDEX($T$5:$AJ$1204,MATCH(303,$S$5:$S$1204,0),6))</f>
        <v/>
      </c>
      <c r="G307" s="8" t="str">
        <f t="array" ref="G307">IF(303&gt;$S$1204,"",INDEX($T$5:$AJ$1204,MATCH(303,$S$5:$S$1204,0),7))</f>
        <v/>
      </c>
      <c r="H307" s="8" t="str">
        <f t="array" ref="H307">IF(303&gt;$S$1204,"",INDEX($T$5:$AJ$1204,MATCH(303,$S$5:$S$1204,0),8))</f>
        <v/>
      </c>
      <c r="I307" s="8" t="str">
        <f t="array" ref="I307">IF(303&gt;$S$1204,"",INDEX($T$5:$AJ$1204,MATCH(303,$S$5:$S$1204,0),9))</f>
        <v/>
      </c>
      <c r="J307" s="14" t="str">
        <f t="array" ref="J307">IF(303&gt;$S$1204,"",INDEX($T$5:$AJ$1204,MATCH(303,$S$5:$S$1204,0),10))</f>
        <v/>
      </c>
      <c r="K307" s="8" t="str">
        <f t="array" ref="K307">IF(303&gt;$S$1204,"",INDEX($T$5:$AJ$1204,MATCH(303,$S$5:$S$1204,0),11))</f>
        <v/>
      </c>
      <c r="L307" s="8" t="str">
        <f t="array" ref="L307">IF(303&gt;$S$1204,"",INDEX($T$5:$AJ$1204,MATCH(303,$S$5:$S$1204,0),12))</f>
        <v/>
      </c>
      <c r="M307" s="8" t="str">
        <f t="array" ref="M307">IF(303&gt;$S$1204,"",INDEX($T$5:$AJ$1204,MATCH(303,$S$5:$S$1204,0),13))</f>
        <v/>
      </c>
      <c r="N307" s="8" t="str">
        <f t="array" ref="N307">IF(303&gt;$S$1204,"",INDEX($T$5:$AJ$1204,MATCH(303,$S$5:$S$1204,0),14))</f>
        <v/>
      </c>
      <c r="O307" s="15" t="str">
        <f t="array" ref="O307">IF(303&gt;$S$1204,"",INDEX($T$5:$AJ$1204,MATCH(303,$S$5:$S$1204,0),15))</f>
        <v/>
      </c>
      <c r="P307" s="8" t="str">
        <f t="array" ref="P307">IF(303&gt;$S$1204,"",INDEX($T$5:$AJ$1204,MATCH(303,$S$5:$S$1204,0),16))</f>
        <v/>
      </c>
      <c r="Q307" s="8" t="str">
        <f t="array" ref="Q307">IF(303&gt;$S$1204,"",INDEX($T$5:$AJ$1204,MATCH(303,$S$5:$S$1204,0),17))</f>
        <v/>
      </c>
      <c r="R307" s="17"/>
      <c r="S307" s="17">
        <f>S306+IF(M2_Accesos!A111="",0,1)</f>
        <v>0</v>
      </c>
      <c r="T307" s="17" t="str">
        <f>IF(M2_Accesos!A111="","",IF(M2_Accesos!A111="","",M2_Accesos!A111))</f>
        <v/>
      </c>
      <c r="U307" s="17" t="str">
        <f>IF(M2_Accesos!A111="","",IF(M2_Accesos!R111="","",M2_Accesos!R111))</f>
        <v/>
      </c>
      <c r="V307" s="17" t="str">
        <f>IF(M2_Accesos!A111="","",IF(M2_Accesos!D111="","",M2_Accesos!D111))</f>
        <v/>
      </c>
      <c r="W307" s="17" t="str">
        <f>IF(M2_Accesos!A111="","",IF(M2_Accesos!B111="","",M2_Accesos!B111))</f>
        <v/>
      </c>
      <c r="X307" s="17" t="str">
        <f>IF(M2_Accesos!A111="","",IF(M2_Accesos!C111="","",M2_Accesos!C111))</f>
        <v/>
      </c>
      <c r="Y307" s="17" t="str">
        <f>IF(M2_Accesos!A111="","",IF(M2_Accesos!E111="","",M2_Accesos!E111))</f>
        <v/>
      </c>
      <c r="Z307" s="17" t="str">
        <f>IF(M2_Accesos!A111="","",IF(M2_Accesos!F111="","",M2_Accesos!F111))</f>
        <v/>
      </c>
      <c r="AA307" s="17" t="str">
        <f>IF(M2_Accesos!A111="","","M2 Accesos")</f>
        <v/>
      </c>
      <c r="AB307" s="17" t="str">
        <f>IF(M2_Accesos!A111="","",IF(M2_Accesos!G111="","",M2_Accesos!G111))</f>
        <v/>
      </c>
      <c r="AC307" s="17" t="str">
        <f>IF(M2_Accesos!A111="","",IF(M2_Accesos!M111="","",M2_Accesos!M111))</f>
        <v/>
      </c>
      <c r="AD307" s="17" t="str">
        <f>IF(M2_Accesos!A111="","","RD")</f>
        <v/>
      </c>
      <c r="AE307" s="17" t="str">
        <f>IF(M2_Accesos!A111="","",IF(M2_Accesos!O111="","",M2_Accesos!O111))</f>
        <v/>
      </c>
      <c r="AF307" s="17" t="str">
        <f>IF(M2_Accesos!A111="","",IF(M2_Accesos!P111="","",M2_Accesos!P111))</f>
        <v/>
      </c>
      <c r="AG307" s="17" t="str">
        <f>IF(M2_Accesos!A111="","",IF(M2_Accesos!Q111="","",M2_Accesos!Q111))</f>
        <v/>
      </c>
      <c r="AH307" s="17" t="str">
        <f>IF(M2_Accesos!A111="","",IF(M2_Accesos!J111="","",M2_Accesos!J111))</f>
        <v/>
      </c>
      <c r="AI307" s="17" t="str">
        <f>IF(M2_Accesos!A111="","","M2_Accesos!111")</f>
        <v/>
      </c>
      <c r="AJ307" s="17" t="str">
        <f>IF(M2_Accesos!A111="","",IF(M2_Accesos!M111="","Pendiente de resultado","Disponible"))</f>
        <v/>
      </c>
    </row>
    <row r="308" spans="1:36" ht="55.5" customHeight="1">
      <c r="A308" s="6" t="str">
        <f t="array" ref="A308">IF(304&gt;$S$1204,"",INDEX($T$5:$AJ$1204,MATCH(304,$S$5:$S$1204,0),1))</f>
        <v/>
      </c>
      <c r="B308" s="8" t="str">
        <f t="array" ref="B308">IF(304&gt;$S$1204,"",INDEX($T$5:$AJ$1204,MATCH(304,$S$5:$S$1204,0),2))</f>
        <v/>
      </c>
      <c r="C308" s="10" t="str">
        <f t="array" ref="C308">IF(304&gt;$S$1204,"",INDEX($T$5:$AJ$1204,MATCH(304,$S$5:$S$1204,0),3))</f>
        <v/>
      </c>
      <c r="D308" s="8" t="str">
        <f t="array" ref="D308">IF(304&gt;$S$1204,"",INDEX($T$5:$AJ$1204,MATCH(304,$S$5:$S$1204,0),4))</f>
        <v/>
      </c>
      <c r="E308" s="8" t="str">
        <f t="array" ref="E308">IF(304&gt;$S$1204,"",INDEX($T$5:$AJ$1204,MATCH(304,$S$5:$S$1204,0),5))</f>
        <v/>
      </c>
      <c r="F308" s="8" t="str">
        <f t="array" ref="F308">IF(304&gt;$S$1204,"",INDEX($T$5:$AJ$1204,MATCH(304,$S$5:$S$1204,0),6))</f>
        <v/>
      </c>
      <c r="G308" s="8" t="str">
        <f t="array" ref="G308">IF(304&gt;$S$1204,"",INDEX($T$5:$AJ$1204,MATCH(304,$S$5:$S$1204,0),7))</f>
        <v/>
      </c>
      <c r="H308" s="8" t="str">
        <f t="array" ref="H308">IF(304&gt;$S$1204,"",INDEX($T$5:$AJ$1204,MATCH(304,$S$5:$S$1204,0),8))</f>
        <v/>
      </c>
      <c r="I308" s="8" t="str">
        <f t="array" ref="I308">IF(304&gt;$S$1204,"",INDEX($T$5:$AJ$1204,MATCH(304,$S$5:$S$1204,0),9))</f>
        <v/>
      </c>
      <c r="J308" s="14" t="str">
        <f t="array" ref="J308">IF(304&gt;$S$1204,"",INDEX($T$5:$AJ$1204,MATCH(304,$S$5:$S$1204,0),10))</f>
        <v/>
      </c>
      <c r="K308" s="8" t="str">
        <f t="array" ref="K308">IF(304&gt;$S$1204,"",INDEX($T$5:$AJ$1204,MATCH(304,$S$5:$S$1204,0),11))</f>
        <v/>
      </c>
      <c r="L308" s="8" t="str">
        <f t="array" ref="L308">IF(304&gt;$S$1204,"",INDEX($T$5:$AJ$1204,MATCH(304,$S$5:$S$1204,0),12))</f>
        <v/>
      </c>
      <c r="M308" s="8" t="str">
        <f t="array" ref="M308">IF(304&gt;$S$1204,"",INDEX($T$5:$AJ$1204,MATCH(304,$S$5:$S$1204,0),13))</f>
        <v/>
      </c>
      <c r="N308" s="8" t="str">
        <f t="array" ref="N308">IF(304&gt;$S$1204,"",INDEX($T$5:$AJ$1204,MATCH(304,$S$5:$S$1204,0),14))</f>
        <v/>
      </c>
      <c r="O308" s="15" t="str">
        <f t="array" ref="O308">IF(304&gt;$S$1204,"",INDEX($T$5:$AJ$1204,MATCH(304,$S$5:$S$1204,0),15))</f>
        <v/>
      </c>
      <c r="P308" s="8" t="str">
        <f t="array" ref="P308">IF(304&gt;$S$1204,"",INDEX($T$5:$AJ$1204,MATCH(304,$S$5:$S$1204,0),16))</f>
        <v/>
      </c>
      <c r="Q308" s="8" t="str">
        <f t="array" ref="Q308">IF(304&gt;$S$1204,"",INDEX($T$5:$AJ$1204,MATCH(304,$S$5:$S$1204,0),17))</f>
        <v/>
      </c>
      <c r="R308" s="17"/>
      <c r="S308" s="17">
        <f>S307+IF(M2_Accesos!A112="",0,1)</f>
        <v>0</v>
      </c>
      <c r="T308" s="17" t="str">
        <f>IF(M2_Accesos!A112="","",IF(M2_Accesos!A112="","",M2_Accesos!A112))</f>
        <v/>
      </c>
      <c r="U308" s="17" t="str">
        <f>IF(M2_Accesos!A112="","",IF(M2_Accesos!R112="","",M2_Accesos!R112))</f>
        <v/>
      </c>
      <c r="V308" s="17" t="str">
        <f>IF(M2_Accesos!A112="","",IF(M2_Accesos!D112="","",M2_Accesos!D112))</f>
        <v/>
      </c>
      <c r="W308" s="17" t="str">
        <f>IF(M2_Accesos!A112="","",IF(M2_Accesos!B112="","",M2_Accesos!B112))</f>
        <v/>
      </c>
      <c r="X308" s="17" t="str">
        <f>IF(M2_Accesos!A112="","",IF(M2_Accesos!C112="","",M2_Accesos!C112))</f>
        <v/>
      </c>
      <c r="Y308" s="17" t="str">
        <f>IF(M2_Accesos!A112="","",IF(M2_Accesos!E112="","",M2_Accesos!E112))</f>
        <v/>
      </c>
      <c r="Z308" s="17" t="str">
        <f>IF(M2_Accesos!A112="","",IF(M2_Accesos!F112="","",M2_Accesos!F112))</f>
        <v/>
      </c>
      <c r="AA308" s="17" t="str">
        <f>IF(M2_Accesos!A112="","","M2 Accesos")</f>
        <v/>
      </c>
      <c r="AB308" s="17" t="str">
        <f>IF(M2_Accesos!A112="","",IF(M2_Accesos!G112="","",M2_Accesos!G112))</f>
        <v/>
      </c>
      <c r="AC308" s="17" t="str">
        <f>IF(M2_Accesos!A112="","",IF(M2_Accesos!M112="","",M2_Accesos!M112))</f>
        <v/>
      </c>
      <c r="AD308" s="17" t="str">
        <f>IF(M2_Accesos!A112="","","RD")</f>
        <v/>
      </c>
      <c r="AE308" s="17" t="str">
        <f>IF(M2_Accesos!A112="","",IF(M2_Accesos!O112="","",M2_Accesos!O112))</f>
        <v/>
      </c>
      <c r="AF308" s="17" t="str">
        <f>IF(M2_Accesos!A112="","",IF(M2_Accesos!P112="","",M2_Accesos!P112))</f>
        <v/>
      </c>
      <c r="AG308" s="17" t="str">
        <f>IF(M2_Accesos!A112="","",IF(M2_Accesos!Q112="","",M2_Accesos!Q112))</f>
        <v/>
      </c>
      <c r="AH308" s="17" t="str">
        <f>IF(M2_Accesos!A112="","",IF(M2_Accesos!J112="","",M2_Accesos!J112))</f>
        <v/>
      </c>
      <c r="AI308" s="17" t="str">
        <f>IF(M2_Accesos!A112="","","M2_Accesos!112")</f>
        <v/>
      </c>
      <c r="AJ308" s="17" t="str">
        <f>IF(M2_Accesos!A112="","",IF(M2_Accesos!M112="","Pendiente de resultado","Disponible"))</f>
        <v/>
      </c>
    </row>
    <row r="309" spans="1:36" ht="55.5" customHeight="1">
      <c r="A309" s="6" t="str">
        <f t="array" ref="A309">IF(305&gt;$S$1204,"",INDEX($T$5:$AJ$1204,MATCH(305,$S$5:$S$1204,0),1))</f>
        <v/>
      </c>
      <c r="B309" s="8" t="str">
        <f t="array" ref="B309">IF(305&gt;$S$1204,"",INDEX($T$5:$AJ$1204,MATCH(305,$S$5:$S$1204,0),2))</f>
        <v/>
      </c>
      <c r="C309" s="10" t="str">
        <f t="array" ref="C309">IF(305&gt;$S$1204,"",INDEX($T$5:$AJ$1204,MATCH(305,$S$5:$S$1204,0),3))</f>
        <v/>
      </c>
      <c r="D309" s="8" t="str">
        <f t="array" ref="D309">IF(305&gt;$S$1204,"",INDEX($T$5:$AJ$1204,MATCH(305,$S$5:$S$1204,0),4))</f>
        <v/>
      </c>
      <c r="E309" s="8" t="str">
        <f t="array" ref="E309">IF(305&gt;$S$1204,"",INDEX($T$5:$AJ$1204,MATCH(305,$S$5:$S$1204,0),5))</f>
        <v/>
      </c>
      <c r="F309" s="8" t="str">
        <f t="array" ref="F309">IF(305&gt;$S$1204,"",INDEX($T$5:$AJ$1204,MATCH(305,$S$5:$S$1204,0),6))</f>
        <v/>
      </c>
      <c r="G309" s="8" t="str">
        <f t="array" ref="G309">IF(305&gt;$S$1204,"",INDEX($T$5:$AJ$1204,MATCH(305,$S$5:$S$1204,0),7))</f>
        <v/>
      </c>
      <c r="H309" s="8" t="str">
        <f t="array" ref="H309">IF(305&gt;$S$1204,"",INDEX($T$5:$AJ$1204,MATCH(305,$S$5:$S$1204,0),8))</f>
        <v/>
      </c>
      <c r="I309" s="8" t="str">
        <f t="array" ref="I309">IF(305&gt;$S$1204,"",INDEX($T$5:$AJ$1204,MATCH(305,$S$5:$S$1204,0),9))</f>
        <v/>
      </c>
      <c r="J309" s="14" t="str">
        <f t="array" ref="J309">IF(305&gt;$S$1204,"",INDEX($T$5:$AJ$1204,MATCH(305,$S$5:$S$1204,0),10))</f>
        <v/>
      </c>
      <c r="K309" s="8" t="str">
        <f t="array" ref="K309">IF(305&gt;$S$1204,"",INDEX($T$5:$AJ$1204,MATCH(305,$S$5:$S$1204,0),11))</f>
        <v/>
      </c>
      <c r="L309" s="8" t="str">
        <f t="array" ref="L309">IF(305&gt;$S$1204,"",INDEX($T$5:$AJ$1204,MATCH(305,$S$5:$S$1204,0),12))</f>
        <v/>
      </c>
      <c r="M309" s="8" t="str">
        <f t="array" ref="M309">IF(305&gt;$S$1204,"",INDEX($T$5:$AJ$1204,MATCH(305,$S$5:$S$1204,0),13))</f>
        <v/>
      </c>
      <c r="N309" s="8" t="str">
        <f t="array" ref="N309">IF(305&gt;$S$1204,"",INDEX($T$5:$AJ$1204,MATCH(305,$S$5:$S$1204,0),14))</f>
        <v/>
      </c>
      <c r="O309" s="15" t="str">
        <f t="array" ref="O309">IF(305&gt;$S$1204,"",INDEX($T$5:$AJ$1204,MATCH(305,$S$5:$S$1204,0),15))</f>
        <v/>
      </c>
      <c r="P309" s="8" t="str">
        <f t="array" ref="P309">IF(305&gt;$S$1204,"",INDEX($T$5:$AJ$1204,MATCH(305,$S$5:$S$1204,0),16))</f>
        <v/>
      </c>
      <c r="Q309" s="8" t="str">
        <f t="array" ref="Q309">IF(305&gt;$S$1204,"",INDEX($T$5:$AJ$1204,MATCH(305,$S$5:$S$1204,0),17))</f>
        <v/>
      </c>
      <c r="R309" s="17"/>
      <c r="S309" s="17">
        <f>S308+IF(M2_Accesos!A113="",0,1)</f>
        <v>0</v>
      </c>
      <c r="T309" s="17" t="str">
        <f>IF(M2_Accesos!A113="","",IF(M2_Accesos!A113="","",M2_Accesos!A113))</f>
        <v/>
      </c>
      <c r="U309" s="17" t="str">
        <f>IF(M2_Accesos!A113="","",IF(M2_Accesos!R113="","",M2_Accesos!R113))</f>
        <v/>
      </c>
      <c r="V309" s="17" t="str">
        <f>IF(M2_Accesos!A113="","",IF(M2_Accesos!D113="","",M2_Accesos!D113))</f>
        <v/>
      </c>
      <c r="W309" s="17" t="str">
        <f>IF(M2_Accesos!A113="","",IF(M2_Accesos!B113="","",M2_Accesos!B113))</f>
        <v/>
      </c>
      <c r="X309" s="17" t="str">
        <f>IF(M2_Accesos!A113="","",IF(M2_Accesos!C113="","",M2_Accesos!C113))</f>
        <v/>
      </c>
      <c r="Y309" s="17" t="str">
        <f>IF(M2_Accesos!A113="","",IF(M2_Accesos!E113="","",M2_Accesos!E113))</f>
        <v/>
      </c>
      <c r="Z309" s="17" t="str">
        <f>IF(M2_Accesos!A113="","",IF(M2_Accesos!F113="","",M2_Accesos!F113))</f>
        <v/>
      </c>
      <c r="AA309" s="17" t="str">
        <f>IF(M2_Accesos!A113="","","M2 Accesos")</f>
        <v/>
      </c>
      <c r="AB309" s="17" t="str">
        <f>IF(M2_Accesos!A113="","",IF(M2_Accesos!G113="","",M2_Accesos!G113))</f>
        <v/>
      </c>
      <c r="AC309" s="17" t="str">
        <f>IF(M2_Accesos!A113="","",IF(M2_Accesos!M113="","",M2_Accesos!M113))</f>
        <v/>
      </c>
      <c r="AD309" s="17" t="str">
        <f>IF(M2_Accesos!A113="","","RD")</f>
        <v/>
      </c>
      <c r="AE309" s="17" t="str">
        <f>IF(M2_Accesos!A113="","",IF(M2_Accesos!O113="","",M2_Accesos!O113))</f>
        <v/>
      </c>
      <c r="AF309" s="17" t="str">
        <f>IF(M2_Accesos!A113="","",IF(M2_Accesos!P113="","",M2_Accesos!P113))</f>
        <v/>
      </c>
      <c r="AG309" s="17" t="str">
        <f>IF(M2_Accesos!A113="","",IF(M2_Accesos!Q113="","",M2_Accesos!Q113))</f>
        <v/>
      </c>
      <c r="AH309" s="17" t="str">
        <f>IF(M2_Accesos!A113="","",IF(M2_Accesos!J113="","",M2_Accesos!J113))</f>
        <v/>
      </c>
      <c r="AI309" s="17" t="str">
        <f>IF(M2_Accesos!A113="","","M2_Accesos!113")</f>
        <v/>
      </c>
      <c r="AJ309" s="17" t="str">
        <f>IF(M2_Accesos!A113="","",IF(M2_Accesos!M113="","Pendiente de resultado","Disponible"))</f>
        <v/>
      </c>
    </row>
    <row r="310" spans="1:36" ht="55.5" customHeight="1">
      <c r="A310" s="6" t="str">
        <f t="array" ref="A310">IF(306&gt;$S$1204,"",INDEX($T$5:$AJ$1204,MATCH(306,$S$5:$S$1204,0),1))</f>
        <v/>
      </c>
      <c r="B310" s="8" t="str">
        <f t="array" ref="B310">IF(306&gt;$S$1204,"",INDEX($T$5:$AJ$1204,MATCH(306,$S$5:$S$1204,0),2))</f>
        <v/>
      </c>
      <c r="C310" s="10" t="str">
        <f t="array" ref="C310">IF(306&gt;$S$1204,"",INDEX($T$5:$AJ$1204,MATCH(306,$S$5:$S$1204,0),3))</f>
        <v/>
      </c>
      <c r="D310" s="8" t="str">
        <f t="array" ref="D310">IF(306&gt;$S$1204,"",INDEX($T$5:$AJ$1204,MATCH(306,$S$5:$S$1204,0),4))</f>
        <v/>
      </c>
      <c r="E310" s="8" t="str">
        <f t="array" ref="E310">IF(306&gt;$S$1204,"",INDEX($T$5:$AJ$1204,MATCH(306,$S$5:$S$1204,0),5))</f>
        <v/>
      </c>
      <c r="F310" s="8" t="str">
        <f t="array" ref="F310">IF(306&gt;$S$1204,"",INDEX($T$5:$AJ$1204,MATCH(306,$S$5:$S$1204,0),6))</f>
        <v/>
      </c>
      <c r="G310" s="8" t="str">
        <f t="array" ref="G310">IF(306&gt;$S$1204,"",INDEX($T$5:$AJ$1204,MATCH(306,$S$5:$S$1204,0),7))</f>
        <v/>
      </c>
      <c r="H310" s="8" t="str">
        <f t="array" ref="H310">IF(306&gt;$S$1204,"",INDEX($T$5:$AJ$1204,MATCH(306,$S$5:$S$1204,0),8))</f>
        <v/>
      </c>
      <c r="I310" s="8" t="str">
        <f t="array" ref="I310">IF(306&gt;$S$1204,"",INDEX($T$5:$AJ$1204,MATCH(306,$S$5:$S$1204,0),9))</f>
        <v/>
      </c>
      <c r="J310" s="14" t="str">
        <f t="array" ref="J310">IF(306&gt;$S$1204,"",INDEX($T$5:$AJ$1204,MATCH(306,$S$5:$S$1204,0),10))</f>
        <v/>
      </c>
      <c r="K310" s="8" t="str">
        <f t="array" ref="K310">IF(306&gt;$S$1204,"",INDEX($T$5:$AJ$1204,MATCH(306,$S$5:$S$1204,0),11))</f>
        <v/>
      </c>
      <c r="L310" s="8" t="str">
        <f t="array" ref="L310">IF(306&gt;$S$1204,"",INDEX($T$5:$AJ$1204,MATCH(306,$S$5:$S$1204,0),12))</f>
        <v/>
      </c>
      <c r="M310" s="8" t="str">
        <f t="array" ref="M310">IF(306&gt;$S$1204,"",INDEX($T$5:$AJ$1204,MATCH(306,$S$5:$S$1204,0),13))</f>
        <v/>
      </c>
      <c r="N310" s="8" t="str">
        <f t="array" ref="N310">IF(306&gt;$S$1204,"",INDEX($T$5:$AJ$1204,MATCH(306,$S$5:$S$1204,0),14))</f>
        <v/>
      </c>
      <c r="O310" s="15" t="str">
        <f t="array" ref="O310">IF(306&gt;$S$1204,"",INDEX($T$5:$AJ$1204,MATCH(306,$S$5:$S$1204,0),15))</f>
        <v/>
      </c>
      <c r="P310" s="8" t="str">
        <f t="array" ref="P310">IF(306&gt;$S$1204,"",INDEX($T$5:$AJ$1204,MATCH(306,$S$5:$S$1204,0),16))</f>
        <v/>
      </c>
      <c r="Q310" s="8" t="str">
        <f t="array" ref="Q310">IF(306&gt;$S$1204,"",INDEX($T$5:$AJ$1204,MATCH(306,$S$5:$S$1204,0),17))</f>
        <v/>
      </c>
      <c r="R310" s="17"/>
      <c r="S310" s="17">
        <f>S309+IF(M2_Accesos!A114="",0,1)</f>
        <v>0</v>
      </c>
      <c r="T310" s="17" t="str">
        <f>IF(M2_Accesos!A114="","",IF(M2_Accesos!A114="","",M2_Accesos!A114))</f>
        <v/>
      </c>
      <c r="U310" s="17" t="str">
        <f>IF(M2_Accesos!A114="","",IF(M2_Accesos!R114="","",M2_Accesos!R114))</f>
        <v/>
      </c>
      <c r="V310" s="17" t="str">
        <f>IF(M2_Accesos!A114="","",IF(M2_Accesos!D114="","",M2_Accesos!D114))</f>
        <v/>
      </c>
      <c r="W310" s="17" t="str">
        <f>IF(M2_Accesos!A114="","",IF(M2_Accesos!B114="","",M2_Accesos!B114))</f>
        <v/>
      </c>
      <c r="X310" s="17" t="str">
        <f>IF(M2_Accesos!A114="","",IF(M2_Accesos!C114="","",M2_Accesos!C114))</f>
        <v/>
      </c>
      <c r="Y310" s="17" t="str">
        <f>IF(M2_Accesos!A114="","",IF(M2_Accesos!E114="","",M2_Accesos!E114))</f>
        <v/>
      </c>
      <c r="Z310" s="17" t="str">
        <f>IF(M2_Accesos!A114="","",IF(M2_Accesos!F114="","",M2_Accesos!F114))</f>
        <v/>
      </c>
      <c r="AA310" s="17" t="str">
        <f>IF(M2_Accesos!A114="","","M2 Accesos")</f>
        <v/>
      </c>
      <c r="AB310" s="17" t="str">
        <f>IF(M2_Accesos!A114="","",IF(M2_Accesos!G114="","",M2_Accesos!G114))</f>
        <v/>
      </c>
      <c r="AC310" s="17" t="str">
        <f>IF(M2_Accesos!A114="","",IF(M2_Accesos!M114="","",M2_Accesos!M114))</f>
        <v/>
      </c>
      <c r="AD310" s="17" t="str">
        <f>IF(M2_Accesos!A114="","","RD")</f>
        <v/>
      </c>
      <c r="AE310" s="17" t="str">
        <f>IF(M2_Accesos!A114="","",IF(M2_Accesos!O114="","",M2_Accesos!O114))</f>
        <v/>
      </c>
      <c r="AF310" s="17" t="str">
        <f>IF(M2_Accesos!A114="","",IF(M2_Accesos!P114="","",M2_Accesos!P114))</f>
        <v/>
      </c>
      <c r="AG310" s="17" t="str">
        <f>IF(M2_Accesos!A114="","",IF(M2_Accesos!Q114="","",M2_Accesos!Q114))</f>
        <v/>
      </c>
      <c r="AH310" s="17" t="str">
        <f>IF(M2_Accesos!A114="","",IF(M2_Accesos!J114="","",M2_Accesos!J114))</f>
        <v/>
      </c>
      <c r="AI310" s="17" t="str">
        <f>IF(M2_Accesos!A114="","","M2_Accesos!114")</f>
        <v/>
      </c>
      <c r="AJ310" s="17" t="str">
        <f>IF(M2_Accesos!A114="","",IF(M2_Accesos!M114="","Pendiente de resultado","Disponible"))</f>
        <v/>
      </c>
    </row>
    <row r="311" spans="1:36" ht="55.5" customHeight="1">
      <c r="A311" s="6" t="str">
        <f t="array" ref="A311">IF(307&gt;$S$1204,"",INDEX($T$5:$AJ$1204,MATCH(307,$S$5:$S$1204,0),1))</f>
        <v/>
      </c>
      <c r="B311" s="8" t="str">
        <f t="array" ref="B311">IF(307&gt;$S$1204,"",INDEX($T$5:$AJ$1204,MATCH(307,$S$5:$S$1204,0),2))</f>
        <v/>
      </c>
      <c r="C311" s="10" t="str">
        <f t="array" ref="C311">IF(307&gt;$S$1204,"",INDEX($T$5:$AJ$1204,MATCH(307,$S$5:$S$1204,0),3))</f>
        <v/>
      </c>
      <c r="D311" s="8" t="str">
        <f t="array" ref="D311">IF(307&gt;$S$1204,"",INDEX($T$5:$AJ$1204,MATCH(307,$S$5:$S$1204,0),4))</f>
        <v/>
      </c>
      <c r="E311" s="8" t="str">
        <f t="array" ref="E311">IF(307&gt;$S$1204,"",INDEX($T$5:$AJ$1204,MATCH(307,$S$5:$S$1204,0),5))</f>
        <v/>
      </c>
      <c r="F311" s="8" t="str">
        <f t="array" ref="F311">IF(307&gt;$S$1204,"",INDEX($T$5:$AJ$1204,MATCH(307,$S$5:$S$1204,0),6))</f>
        <v/>
      </c>
      <c r="G311" s="8" t="str">
        <f t="array" ref="G311">IF(307&gt;$S$1204,"",INDEX($T$5:$AJ$1204,MATCH(307,$S$5:$S$1204,0),7))</f>
        <v/>
      </c>
      <c r="H311" s="8" t="str">
        <f t="array" ref="H311">IF(307&gt;$S$1204,"",INDEX($T$5:$AJ$1204,MATCH(307,$S$5:$S$1204,0),8))</f>
        <v/>
      </c>
      <c r="I311" s="8" t="str">
        <f t="array" ref="I311">IF(307&gt;$S$1204,"",INDEX($T$5:$AJ$1204,MATCH(307,$S$5:$S$1204,0),9))</f>
        <v/>
      </c>
      <c r="J311" s="14" t="str">
        <f t="array" ref="J311">IF(307&gt;$S$1204,"",INDEX($T$5:$AJ$1204,MATCH(307,$S$5:$S$1204,0),10))</f>
        <v/>
      </c>
      <c r="K311" s="8" t="str">
        <f t="array" ref="K311">IF(307&gt;$S$1204,"",INDEX($T$5:$AJ$1204,MATCH(307,$S$5:$S$1204,0),11))</f>
        <v/>
      </c>
      <c r="L311" s="8" t="str">
        <f t="array" ref="L311">IF(307&gt;$S$1204,"",INDEX($T$5:$AJ$1204,MATCH(307,$S$5:$S$1204,0),12))</f>
        <v/>
      </c>
      <c r="M311" s="8" t="str">
        <f t="array" ref="M311">IF(307&gt;$S$1204,"",INDEX($T$5:$AJ$1204,MATCH(307,$S$5:$S$1204,0),13))</f>
        <v/>
      </c>
      <c r="N311" s="8" t="str">
        <f t="array" ref="N311">IF(307&gt;$S$1204,"",INDEX($T$5:$AJ$1204,MATCH(307,$S$5:$S$1204,0),14))</f>
        <v/>
      </c>
      <c r="O311" s="15" t="str">
        <f t="array" ref="O311">IF(307&gt;$S$1204,"",INDEX($T$5:$AJ$1204,MATCH(307,$S$5:$S$1204,0),15))</f>
        <v/>
      </c>
      <c r="P311" s="8" t="str">
        <f t="array" ref="P311">IF(307&gt;$S$1204,"",INDEX($T$5:$AJ$1204,MATCH(307,$S$5:$S$1204,0),16))</f>
        <v/>
      </c>
      <c r="Q311" s="8" t="str">
        <f t="array" ref="Q311">IF(307&gt;$S$1204,"",INDEX($T$5:$AJ$1204,MATCH(307,$S$5:$S$1204,0),17))</f>
        <v/>
      </c>
      <c r="R311" s="17"/>
      <c r="S311" s="17">
        <f>S310+IF(M2_Accesos!A115="",0,1)</f>
        <v>0</v>
      </c>
      <c r="T311" s="17" t="str">
        <f>IF(M2_Accesos!A115="","",IF(M2_Accesos!A115="","",M2_Accesos!A115))</f>
        <v/>
      </c>
      <c r="U311" s="17" t="str">
        <f>IF(M2_Accesos!A115="","",IF(M2_Accesos!R115="","",M2_Accesos!R115))</f>
        <v/>
      </c>
      <c r="V311" s="17" t="str">
        <f>IF(M2_Accesos!A115="","",IF(M2_Accesos!D115="","",M2_Accesos!D115))</f>
        <v/>
      </c>
      <c r="W311" s="17" t="str">
        <f>IF(M2_Accesos!A115="","",IF(M2_Accesos!B115="","",M2_Accesos!B115))</f>
        <v/>
      </c>
      <c r="X311" s="17" t="str">
        <f>IF(M2_Accesos!A115="","",IF(M2_Accesos!C115="","",M2_Accesos!C115))</f>
        <v/>
      </c>
      <c r="Y311" s="17" t="str">
        <f>IF(M2_Accesos!A115="","",IF(M2_Accesos!E115="","",M2_Accesos!E115))</f>
        <v/>
      </c>
      <c r="Z311" s="17" t="str">
        <f>IF(M2_Accesos!A115="","",IF(M2_Accesos!F115="","",M2_Accesos!F115))</f>
        <v/>
      </c>
      <c r="AA311" s="17" t="str">
        <f>IF(M2_Accesos!A115="","","M2 Accesos")</f>
        <v/>
      </c>
      <c r="AB311" s="17" t="str">
        <f>IF(M2_Accesos!A115="","",IF(M2_Accesos!G115="","",M2_Accesos!G115))</f>
        <v/>
      </c>
      <c r="AC311" s="17" t="str">
        <f>IF(M2_Accesos!A115="","",IF(M2_Accesos!M115="","",M2_Accesos!M115))</f>
        <v/>
      </c>
      <c r="AD311" s="17" t="str">
        <f>IF(M2_Accesos!A115="","","RD")</f>
        <v/>
      </c>
      <c r="AE311" s="17" t="str">
        <f>IF(M2_Accesos!A115="","",IF(M2_Accesos!O115="","",M2_Accesos!O115))</f>
        <v/>
      </c>
      <c r="AF311" s="17" t="str">
        <f>IF(M2_Accesos!A115="","",IF(M2_Accesos!P115="","",M2_Accesos!P115))</f>
        <v/>
      </c>
      <c r="AG311" s="17" t="str">
        <f>IF(M2_Accesos!A115="","",IF(M2_Accesos!Q115="","",M2_Accesos!Q115))</f>
        <v/>
      </c>
      <c r="AH311" s="17" t="str">
        <f>IF(M2_Accesos!A115="","",IF(M2_Accesos!J115="","",M2_Accesos!J115))</f>
        <v/>
      </c>
      <c r="AI311" s="17" t="str">
        <f>IF(M2_Accesos!A115="","","M2_Accesos!115")</f>
        <v/>
      </c>
      <c r="AJ311" s="17" t="str">
        <f>IF(M2_Accesos!A115="","",IF(M2_Accesos!M115="","Pendiente de resultado","Disponible"))</f>
        <v/>
      </c>
    </row>
    <row r="312" spans="1:36" ht="55.5" customHeight="1">
      <c r="A312" s="6" t="str">
        <f t="array" ref="A312">IF(308&gt;$S$1204,"",INDEX($T$5:$AJ$1204,MATCH(308,$S$5:$S$1204,0),1))</f>
        <v/>
      </c>
      <c r="B312" s="8" t="str">
        <f t="array" ref="B312">IF(308&gt;$S$1204,"",INDEX($T$5:$AJ$1204,MATCH(308,$S$5:$S$1204,0),2))</f>
        <v/>
      </c>
      <c r="C312" s="10" t="str">
        <f t="array" ref="C312">IF(308&gt;$S$1204,"",INDEX($T$5:$AJ$1204,MATCH(308,$S$5:$S$1204,0),3))</f>
        <v/>
      </c>
      <c r="D312" s="8" t="str">
        <f t="array" ref="D312">IF(308&gt;$S$1204,"",INDEX($T$5:$AJ$1204,MATCH(308,$S$5:$S$1204,0),4))</f>
        <v/>
      </c>
      <c r="E312" s="8" t="str">
        <f t="array" ref="E312">IF(308&gt;$S$1204,"",INDEX($T$5:$AJ$1204,MATCH(308,$S$5:$S$1204,0),5))</f>
        <v/>
      </c>
      <c r="F312" s="8" t="str">
        <f t="array" ref="F312">IF(308&gt;$S$1204,"",INDEX($T$5:$AJ$1204,MATCH(308,$S$5:$S$1204,0),6))</f>
        <v/>
      </c>
      <c r="G312" s="8" t="str">
        <f t="array" ref="G312">IF(308&gt;$S$1204,"",INDEX($T$5:$AJ$1204,MATCH(308,$S$5:$S$1204,0),7))</f>
        <v/>
      </c>
      <c r="H312" s="8" t="str">
        <f t="array" ref="H312">IF(308&gt;$S$1204,"",INDEX($T$5:$AJ$1204,MATCH(308,$S$5:$S$1204,0),8))</f>
        <v/>
      </c>
      <c r="I312" s="8" t="str">
        <f t="array" ref="I312">IF(308&gt;$S$1204,"",INDEX($T$5:$AJ$1204,MATCH(308,$S$5:$S$1204,0),9))</f>
        <v/>
      </c>
      <c r="J312" s="14" t="str">
        <f t="array" ref="J312">IF(308&gt;$S$1204,"",INDEX($T$5:$AJ$1204,MATCH(308,$S$5:$S$1204,0),10))</f>
        <v/>
      </c>
      <c r="K312" s="8" t="str">
        <f t="array" ref="K312">IF(308&gt;$S$1204,"",INDEX($T$5:$AJ$1204,MATCH(308,$S$5:$S$1204,0),11))</f>
        <v/>
      </c>
      <c r="L312" s="8" t="str">
        <f t="array" ref="L312">IF(308&gt;$S$1204,"",INDEX($T$5:$AJ$1204,MATCH(308,$S$5:$S$1204,0),12))</f>
        <v/>
      </c>
      <c r="M312" s="8" t="str">
        <f t="array" ref="M312">IF(308&gt;$S$1204,"",INDEX($T$5:$AJ$1204,MATCH(308,$S$5:$S$1204,0),13))</f>
        <v/>
      </c>
      <c r="N312" s="8" t="str">
        <f t="array" ref="N312">IF(308&gt;$S$1204,"",INDEX($T$5:$AJ$1204,MATCH(308,$S$5:$S$1204,0),14))</f>
        <v/>
      </c>
      <c r="O312" s="15" t="str">
        <f t="array" ref="O312">IF(308&gt;$S$1204,"",INDEX($T$5:$AJ$1204,MATCH(308,$S$5:$S$1204,0),15))</f>
        <v/>
      </c>
      <c r="P312" s="8" t="str">
        <f t="array" ref="P312">IF(308&gt;$S$1204,"",INDEX($T$5:$AJ$1204,MATCH(308,$S$5:$S$1204,0),16))</f>
        <v/>
      </c>
      <c r="Q312" s="8" t="str">
        <f t="array" ref="Q312">IF(308&gt;$S$1204,"",INDEX($T$5:$AJ$1204,MATCH(308,$S$5:$S$1204,0),17))</f>
        <v/>
      </c>
      <c r="R312" s="17"/>
      <c r="S312" s="17">
        <f>S311+IF(M2_Accesos!A116="",0,1)</f>
        <v>0</v>
      </c>
      <c r="T312" s="17" t="str">
        <f>IF(M2_Accesos!A116="","",IF(M2_Accesos!A116="","",M2_Accesos!A116))</f>
        <v/>
      </c>
      <c r="U312" s="17" t="str">
        <f>IF(M2_Accesos!A116="","",IF(M2_Accesos!R116="","",M2_Accesos!R116))</f>
        <v/>
      </c>
      <c r="V312" s="17" t="str">
        <f>IF(M2_Accesos!A116="","",IF(M2_Accesos!D116="","",M2_Accesos!D116))</f>
        <v/>
      </c>
      <c r="W312" s="17" t="str">
        <f>IF(M2_Accesos!A116="","",IF(M2_Accesos!B116="","",M2_Accesos!B116))</f>
        <v/>
      </c>
      <c r="X312" s="17" t="str">
        <f>IF(M2_Accesos!A116="","",IF(M2_Accesos!C116="","",M2_Accesos!C116))</f>
        <v/>
      </c>
      <c r="Y312" s="17" t="str">
        <f>IF(M2_Accesos!A116="","",IF(M2_Accesos!E116="","",M2_Accesos!E116))</f>
        <v/>
      </c>
      <c r="Z312" s="17" t="str">
        <f>IF(M2_Accesos!A116="","",IF(M2_Accesos!F116="","",M2_Accesos!F116))</f>
        <v/>
      </c>
      <c r="AA312" s="17" t="str">
        <f>IF(M2_Accesos!A116="","","M2 Accesos")</f>
        <v/>
      </c>
      <c r="AB312" s="17" t="str">
        <f>IF(M2_Accesos!A116="","",IF(M2_Accesos!G116="","",M2_Accesos!G116))</f>
        <v/>
      </c>
      <c r="AC312" s="17" t="str">
        <f>IF(M2_Accesos!A116="","",IF(M2_Accesos!M116="","",M2_Accesos!M116))</f>
        <v/>
      </c>
      <c r="AD312" s="17" t="str">
        <f>IF(M2_Accesos!A116="","","RD")</f>
        <v/>
      </c>
      <c r="AE312" s="17" t="str">
        <f>IF(M2_Accesos!A116="","",IF(M2_Accesos!O116="","",M2_Accesos!O116))</f>
        <v/>
      </c>
      <c r="AF312" s="17" t="str">
        <f>IF(M2_Accesos!A116="","",IF(M2_Accesos!P116="","",M2_Accesos!P116))</f>
        <v/>
      </c>
      <c r="AG312" s="17" t="str">
        <f>IF(M2_Accesos!A116="","",IF(M2_Accesos!Q116="","",M2_Accesos!Q116))</f>
        <v/>
      </c>
      <c r="AH312" s="17" t="str">
        <f>IF(M2_Accesos!A116="","",IF(M2_Accesos!J116="","",M2_Accesos!J116))</f>
        <v/>
      </c>
      <c r="AI312" s="17" t="str">
        <f>IF(M2_Accesos!A116="","","M2_Accesos!116")</f>
        <v/>
      </c>
      <c r="AJ312" s="17" t="str">
        <f>IF(M2_Accesos!A116="","",IF(M2_Accesos!M116="","Pendiente de resultado","Disponible"))</f>
        <v/>
      </c>
    </row>
    <row r="313" spans="1:36" ht="55.5" customHeight="1">
      <c r="A313" s="6" t="str">
        <f t="array" ref="A313">IF(309&gt;$S$1204,"",INDEX($T$5:$AJ$1204,MATCH(309,$S$5:$S$1204,0),1))</f>
        <v/>
      </c>
      <c r="B313" s="8" t="str">
        <f t="array" ref="B313">IF(309&gt;$S$1204,"",INDEX($T$5:$AJ$1204,MATCH(309,$S$5:$S$1204,0),2))</f>
        <v/>
      </c>
      <c r="C313" s="10" t="str">
        <f t="array" ref="C313">IF(309&gt;$S$1204,"",INDEX($T$5:$AJ$1204,MATCH(309,$S$5:$S$1204,0),3))</f>
        <v/>
      </c>
      <c r="D313" s="8" t="str">
        <f t="array" ref="D313">IF(309&gt;$S$1204,"",INDEX($T$5:$AJ$1204,MATCH(309,$S$5:$S$1204,0),4))</f>
        <v/>
      </c>
      <c r="E313" s="8" t="str">
        <f t="array" ref="E313">IF(309&gt;$S$1204,"",INDEX($T$5:$AJ$1204,MATCH(309,$S$5:$S$1204,0),5))</f>
        <v/>
      </c>
      <c r="F313" s="8" t="str">
        <f t="array" ref="F313">IF(309&gt;$S$1204,"",INDEX($T$5:$AJ$1204,MATCH(309,$S$5:$S$1204,0),6))</f>
        <v/>
      </c>
      <c r="G313" s="8" t="str">
        <f t="array" ref="G313">IF(309&gt;$S$1204,"",INDEX($T$5:$AJ$1204,MATCH(309,$S$5:$S$1204,0),7))</f>
        <v/>
      </c>
      <c r="H313" s="8" t="str">
        <f t="array" ref="H313">IF(309&gt;$S$1204,"",INDEX($T$5:$AJ$1204,MATCH(309,$S$5:$S$1204,0),8))</f>
        <v/>
      </c>
      <c r="I313" s="8" t="str">
        <f t="array" ref="I313">IF(309&gt;$S$1204,"",INDEX($T$5:$AJ$1204,MATCH(309,$S$5:$S$1204,0),9))</f>
        <v/>
      </c>
      <c r="J313" s="14" t="str">
        <f t="array" ref="J313">IF(309&gt;$S$1204,"",INDEX($T$5:$AJ$1204,MATCH(309,$S$5:$S$1204,0),10))</f>
        <v/>
      </c>
      <c r="K313" s="8" t="str">
        <f t="array" ref="K313">IF(309&gt;$S$1204,"",INDEX($T$5:$AJ$1204,MATCH(309,$S$5:$S$1204,0),11))</f>
        <v/>
      </c>
      <c r="L313" s="8" t="str">
        <f t="array" ref="L313">IF(309&gt;$S$1204,"",INDEX($T$5:$AJ$1204,MATCH(309,$S$5:$S$1204,0),12))</f>
        <v/>
      </c>
      <c r="M313" s="8" t="str">
        <f t="array" ref="M313">IF(309&gt;$S$1204,"",INDEX($T$5:$AJ$1204,MATCH(309,$S$5:$S$1204,0),13))</f>
        <v/>
      </c>
      <c r="N313" s="8" t="str">
        <f t="array" ref="N313">IF(309&gt;$S$1204,"",INDEX($T$5:$AJ$1204,MATCH(309,$S$5:$S$1204,0),14))</f>
        <v/>
      </c>
      <c r="O313" s="15" t="str">
        <f t="array" ref="O313">IF(309&gt;$S$1204,"",INDEX($T$5:$AJ$1204,MATCH(309,$S$5:$S$1204,0),15))</f>
        <v/>
      </c>
      <c r="P313" s="8" t="str">
        <f t="array" ref="P313">IF(309&gt;$S$1204,"",INDEX($T$5:$AJ$1204,MATCH(309,$S$5:$S$1204,0),16))</f>
        <v/>
      </c>
      <c r="Q313" s="8" t="str">
        <f t="array" ref="Q313">IF(309&gt;$S$1204,"",INDEX($T$5:$AJ$1204,MATCH(309,$S$5:$S$1204,0),17))</f>
        <v/>
      </c>
      <c r="R313" s="17"/>
      <c r="S313" s="17">
        <f>S312+IF(M2_Accesos!A117="",0,1)</f>
        <v>0</v>
      </c>
      <c r="T313" s="17" t="str">
        <f>IF(M2_Accesos!A117="","",IF(M2_Accesos!A117="","",M2_Accesos!A117))</f>
        <v/>
      </c>
      <c r="U313" s="17" t="str">
        <f>IF(M2_Accesos!A117="","",IF(M2_Accesos!R117="","",M2_Accesos!R117))</f>
        <v/>
      </c>
      <c r="V313" s="17" t="str">
        <f>IF(M2_Accesos!A117="","",IF(M2_Accesos!D117="","",M2_Accesos!D117))</f>
        <v/>
      </c>
      <c r="W313" s="17" t="str">
        <f>IF(M2_Accesos!A117="","",IF(M2_Accesos!B117="","",M2_Accesos!B117))</f>
        <v/>
      </c>
      <c r="X313" s="17" t="str">
        <f>IF(M2_Accesos!A117="","",IF(M2_Accesos!C117="","",M2_Accesos!C117))</f>
        <v/>
      </c>
      <c r="Y313" s="17" t="str">
        <f>IF(M2_Accesos!A117="","",IF(M2_Accesos!E117="","",M2_Accesos!E117))</f>
        <v/>
      </c>
      <c r="Z313" s="17" t="str">
        <f>IF(M2_Accesos!A117="","",IF(M2_Accesos!F117="","",M2_Accesos!F117))</f>
        <v/>
      </c>
      <c r="AA313" s="17" t="str">
        <f>IF(M2_Accesos!A117="","","M2 Accesos")</f>
        <v/>
      </c>
      <c r="AB313" s="17" t="str">
        <f>IF(M2_Accesos!A117="","",IF(M2_Accesos!G117="","",M2_Accesos!G117))</f>
        <v/>
      </c>
      <c r="AC313" s="17" t="str">
        <f>IF(M2_Accesos!A117="","",IF(M2_Accesos!M117="","",M2_Accesos!M117))</f>
        <v/>
      </c>
      <c r="AD313" s="17" t="str">
        <f>IF(M2_Accesos!A117="","","RD")</f>
        <v/>
      </c>
      <c r="AE313" s="17" t="str">
        <f>IF(M2_Accesos!A117="","",IF(M2_Accesos!O117="","",M2_Accesos!O117))</f>
        <v/>
      </c>
      <c r="AF313" s="17" t="str">
        <f>IF(M2_Accesos!A117="","",IF(M2_Accesos!P117="","",M2_Accesos!P117))</f>
        <v/>
      </c>
      <c r="AG313" s="17" t="str">
        <f>IF(M2_Accesos!A117="","",IF(M2_Accesos!Q117="","",M2_Accesos!Q117))</f>
        <v/>
      </c>
      <c r="AH313" s="17" t="str">
        <f>IF(M2_Accesos!A117="","",IF(M2_Accesos!J117="","",M2_Accesos!J117))</f>
        <v/>
      </c>
      <c r="AI313" s="17" t="str">
        <f>IF(M2_Accesos!A117="","","M2_Accesos!117")</f>
        <v/>
      </c>
      <c r="AJ313" s="17" t="str">
        <f>IF(M2_Accesos!A117="","",IF(M2_Accesos!M117="","Pendiente de resultado","Disponible"))</f>
        <v/>
      </c>
    </row>
    <row r="314" spans="1:36" ht="55.5" customHeight="1">
      <c r="A314" s="6" t="str">
        <f t="array" ref="A314">IF(310&gt;$S$1204,"",INDEX($T$5:$AJ$1204,MATCH(310,$S$5:$S$1204,0),1))</f>
        <v/>
      </c>
      <c r="B314" s="8" t="str">
        <f t="array" ref="B314">IF(310&gt;$S$1204,"",INDEX($T$5:$AJ$1204,MATCH(310,$S$5:$S$1204,0),2))</f>
        <v/>
      </c>
      <c r="C314" s="10" t="str">
        <f t="array" ref="C314">IF(310&gt;$S$1204,"",INDEX($T$5:$AJ$1204,MATCH(310,$S$5:$S$1204,0),3))</f>
        <v/>
      </c>
      <c r="D314" s="8" t="str">
        <f t="array" ref="D314">IF(310&gt;$S$1204,"",INDEX($T$5:$AJ$1204,MATCH(310,$S$5:$S$1204,0),4))</f>
        <v/>
      </c>
      <c r="E314" s="8" t="str">
        <f t="array" ref="E314">IF(310&gt;$S$1204,"",INDEX($T$5:$AJ$1204,MATCH(310,$S$5:$S$1204,0),5))</f>
        <v/>
      </c>
      <c r="F314" s="8" t="str">
        <f t="array" ref="F314">IF(310&gt;$S$1204,"",INDEX($T$5:$AJ$1204,MATCH(310,$S$5:$S$1204,0),6))</f>
        <v/>
      </c>
      <c r="G314" s="8" t="str">
        <f t="array" ref="G314">IF(310&gt;$S$1204,"",INDEX($T$5:$AJ$1204,MATCH(310,$S$5:$S$1204,0),7))</f>
        <v/>
      </c>
      <c r="H314" s="8" t="str">
        <f t="array" ref="H314">IF(310&gt;$S$1204,"",INDEX($T$5:$AJ$1204,MATCH(310,$S$5:$S$1204,0),8))</f>
        <v/>
      </c>
      <c r="I314" s="8" t="str">
        <f t="array" ref="I314">IF(310&gt;$S$1204,"",INDEX($T$5:$AJ$1204,MATCH(310,$S$5:$S$1204,0),9))</f>
        <v/>
      </c>
      <c r="J314" s="14" t="str">
        <f t="array" ref="J314">IF(310&gt;$S$1204,"",INDEX($T$5:$AJ$1204,MATCH(310,$S$5:$S$1204,0),10))</f>
        <v/>
      </c>
      <c r="K314" s="8" t="str">
        <f t="array" ref="K314">IF(310&gt;$S$1204,"",INDEX($T$5:$AJ$1204,MATCH(310,$S$5:$S$1204,0),11))</f>
        <v/>
      </c>
      <c r="L314" s="8" t="str">
        <f t="array" ref="L314">IF(310&gt;$S$1204,"",INDEX($T$5:$AJ$1204,MATCH(310,$S$5:$S$1204,0),12))</f>
        <v/>
      </c>
      <c r="M314" s="8" t="str">
        <f t="array" ref="M314">IF(310&gt;$S$1204,"",INDEX($T$5:$AJ$1204,MATCH(310,$S$5:$S$1204,0),13))</f>
        <v/>
      </c>
      <c r="N314" s="8" t="str">
        <f t="array" ref="N314">IF(310&gt;$S$1204,"",INDEX($T$5:$AJ$1204,MATCH(310,$S$5:$S$1204,0),14))</f>
        <v/>
      </c>
      <c r="O314" s="15" t="str">
        <f t="array" ref="O314">IF(310&gt;$S$1204,"",INDEX($T$5:$AJ$1204,MATCH(310,$S$5:$S$1204,0),15))</f>
        <v/>
      </c>
      <c r="P314" s="8" t="str">
        <f t="array" ref="P314">IF(310&gt;$S$1204,"",INDEX($T$5:$AJ$1204,MATCH(310,$S$5:$S$1204,0),16))</f>
        <v/>
      </c>
      <c r="Q314" s="8" t="str">
        <f t="array" ref="Q314">IF(310&gt;$S$1204,"",INDEX($T$5:$AJ$1204,MATCH(310,$S$5:$S$1204,0),17))</f>
        <v/>
      </c>
      <c r="R314" s="17"/>
      <c r="S314" s="17">
        <f>S313+IF(M2_Accesos!A118="",0,1)</f>
        <v>0</v>
      </c>
      <c r="T314" s="17" t="str">
        <f>IF(M2_Accesos!A118="","",IF(M2_Accesos!A118="","",M2_Accesos!A118))</f>
        <v/>
      </c>
      <c r="U314" s="17" t="str">
        <f>IF(M2_Accesos!A118="","",IF(M2_Accesos!R118="","",M2_Accesos!R118))</f>
        <v/>
      </c>
      <c r="V314" s="17" t="str">
        <f>IF(M2_Accesos!A118="","",IF(M2_Accesos!D118="","",M2_Accesos!D118))</f>
        <v/>
      </c>
      <c r="W314" s="17" t="str">
        <f>IF(M2_Accesos!A118="","",IF(M2_Accesos!B118="","",M2_Accesos!B118))</f>
        <v/>
      </c>
      <c r="X314" s="17" t="str">
        <f>IF(M2_Accesos!A118="","",IF(M2_Accesos!C118="","",M2_Accesos!C118))</f>
        <v/>
      </c>
      <c r="Y314" s="17" t="str">
        <f>IF(M2_Accesos!A118="","",IF(M2_Accesos!E118="","",M2_Accesos!E118))</f>
        <v/>
      </c>
      <c r="Z314" s="17" t="str">
        <f>IF(M2_Accesos!A118="","",IF(M2_Accesos!F118="","",M2_Accesos!F118))</f>
        <v/>
      </c>
      <c r="AA314" s="17" t="str">
        <f>IF(M2_Accesos!A118="","","M2 Accesos")</f>
        <v/>
      </c>
      <c r="AB314" s="17" t="str">
        <f>IF(M2_Accesos!A118="","",IF(M2_Accesos!G118="","",M2_Accesos!G118))</f>
        <v/>
      </c>
      <c r="AC314" s="17" t="str">
        <f>IF(M2_Accesos!A118="","",IF(M2_Accesos!M118="","",M2_Accesos!M118))</f>
        <v/>
      </c>
      <c r="AD314" s="17" t="str">
        <f>IF(M2_Accesos!A118="","","RD")</f>
        <v/>
      </c>
      <c r="AE314" s="17" t="str">
        <f>IF(M2_Accesos!A118="","",IF(M2_Accesos!O118="","",M2_Accesos!O118))</f>
        <v/>
      </c>
      <c r="AF314" s="17" t="str">
        <f>IF(M2_Accesos!A118="","",IF(M2_Accesos!P118="","",M2_Accesos!P118))</f>
        <v/>
      </c>
      <c r="AG314" s="17" t="str">
        <f>IF(M2_Accesos!A118="","",IF(M2_Accesos!Q118="","",M2_Accesos!Q118))</f>
        <v/>
      </c>
      <c r="AH314" s="17" t="str">
        <f>IF(M2_Accesos!A118="","",IF(M2_Accesos!J118="","",M2_Accesos!J118))</f>
        <v/>
      </c>
      <c r="AI314" s="17" t="str">
        <f>IF(M2_Accesos!A118="","","M2_Accesos!118")</f>
        <v/>
      </c>
      <c r="AJ314" s="17" t="str">
        <f>IF(M2_Accesos!A118="","",IF(M2_Accesos!M118="","Pendiente de resultado","Disponible"))</f>
        <v/>
      </c>
    </row>
    <row r="315" spans="1:36" ht="55.5" customHeight="1">
      <c r="A315" s="6" t="str">
        <f t="array" ref="A315">IF(311&gt;$S$1204,"",INDEX($T$5:$AJ$1204,MATCH(311,$S$5:$S$1204,0),1))</f>
        <v/>
      </c>
      <c r="B315" s="8" t="str">
        <f t="array" ref="B315">IF(311&gt;$S$1204,"",INDEX($T$5:$AJ$1204,MATCH(311,$S$5:$S$1204,0),2))</f>
        <v/>
      </c>
      <c r="C315" s="10" t="str">
        <f t="array" ref="C315">IF(311&gt;$S$1204,"",INDEX($T$5:$AJ$1204,MATCH(311,$S$5:$S$1204,0),3))</f>
        <v/>
      </c>
      <c r="D315" s="8" t="str">
        <f t="array" ref="D315">IF(311&gt;$S$1204,"",INDEX($T$5:$AJ$1204,MATCH(311,$S$5:$S$1204,0),4))</f>
        <v/>
      </c>
      <c r="E315" s="8" t="str">
        <f t="array" ref="E315">IF(311&gt;$S$1204,"",INDEX($T$5:$AJ$1204,MATCH(311,$S$5:$S$1204,0),5))</f>
        <v/>
      </c>
      <c r="F315" s="8" t="str">
        <f t="array" ref="F315">IF(311&gt;$S$1204,"",INDEX($T$5:$AJ$1204,MATCH(311,$S$5:$S$1204,0),6))</f>
        <v/>
      </c>
      <c r="G315" s="8" t="str">
        <f t="array" ref="G315">IF(311&gt;$S$1204,"",INDEX($T$5:$AJ$1204,MATCH(311,$S$5:$S$1204,0),7))</f>
        <v/>
      </c>
      <c r="H315" s="8" t="str">
        <f t="array" ref="H315">IF(311&gt;$S$1204,"",INDEX($T$5:$AJ$1204,MATCH(311,$S$5:$S$1204,0),8))</f>
        <v/>
      </c>
      <c r="I315" s="8" t="str">
        <f t="array" ref="I315">IF(311&gt;$S$1204,"",INDEX($T$5:$AJ$1204,MATCH(311,$S$5:$S$1204,0),9))</f>
        <v/>
      </c>
      <c r="J315" s="14" t="str">
        <f t="array" ref="J315">IF(311&gt;$S$1204,"",INDEX($T$5:$AJ$1204,MATCH(311,$S$5:$S$1204,0),10))</f>
        <v/>
      </c>
      <c r="K315" s="8" t="str">
        <f t="array" ref="K315">IF(311&gt;$S$1204,"",INDEX($T$5:$AJ$1204,MATCH(311,$S$5:$S$1204,0),11))</f>
        <v/>
      </c>
      <c r="L315" s="8" t="str">
        <f t="array" ref="L315">IF(311&gt;$S$1204,"",INDEX($T$5:$AJ$1204,MATCH(311,$S$5:$S$1204,0),12))</f>
        <v/>
      </c>
      <c r="M315" s="8" t="str">
        <f t="array" ref="M315">IF(311&gt;$S$1204,"",INDEX($T$5:$AJ$1204,MATCH(311,$S$5:$S$1204,0),13))</f>
        <v/>
      </c>
      <c r="N315" s="8" t="str">
        <f t="array" ref="N315">IF(311&gt;$S$1204,"",INDEX($T$5:$AJ$1204,MATCH(311,$S$5:$S$1204,0),14))</f>
        <v/>
      </c>
      <c r="O315" s="15" t="str">
        <f t="array" ref="O315">IF(311&gt;$S$1204,"",INDEX($T$5:$AJ$1204,MATCH(311,$S$5:$S$1204,0),15))</f>
        <v/>
      </c>
      <c r="P315" s="8" t="str">
        <f t="array" ref="P315">IF(311&gt;$S$1204,"",INDEX($T$5:$AJ$1204,MATCH(311,$S$5:$S$1204,0),16))</f>
        <v/>
      </c>
      <c r="Q315" s="8" t="str">
        <f t="array" ref="Q315">IF(311&gt;$S$1204,"",INDEX($T$5:$AJ$1204,MATCH(311,$S$5:$S$1204,0),17))</f>
        <v/>
      </c>
      <c r="R315" s="17"/>
      <c r="S315" s="17">
        <f>S314+IF(M2_Accesos!A119="",0,1)</f>
        <v>0</v>
      </c>
      <c r="T315" s="17" t="str">
        <f>IF(M2_Accesos!A119="","",IF(M2_Accesos!A119="","",M2_Accesos!A119))</f>
        <v/>
      </c>
      <c r="U315" s="17" t="str">
        <f>IF(M2_Accesos!A119="","",IF(M2_Accesos!R119="","",M2_Accesos!R119))</f>
        <v/>
      </c>
      <c r="V315" s="17" t="str">
        <f>IF(M2_Accesos!A119="","",IF(M2_Accesos!D119="","",M2_Accesos!D119))</f>
        <v/>
      </c>
      <c r="W315" s="17" t="str">
        <f>IF(M2_Accesos!A119="","",IF(M2_Accesos!B119="","",M2_Accesos!B119))</f>
        <v/>
      </c>
      <c r="X315" s="17" t="str">
        <f>IF(M2_Accesos!A119="","",IF(M2_Accesos!C119="","",M2_Accesos!C119))</f>
        <v/>
      </c>
      <c r="Y315" s="17" t="str">
        <f>IF(M2_Accesos!A119="","",IF(M2_Accesos!E119="","",M2_Accesos!E119))</f>
        <v/>
      </c>
      <c r="Z315" s="17" t="str">
        <f>IF(M2_Accesos!A119="","",IF(M2_Accesos!F119="","",M2_Accesos!F119))</f>
        <v/>
      </c>
      <c r="AA315" s="17" t="str">
        <f>IF(M2_Accesos!A119="","","M2 Accesos")</f>
        <v/>
      </c>
      <c r="AB315" s="17" t="str">
        <f>IF(M2_Accesos!A119="","",IF(M2_Accesos!G119="","",M2_Accesos!G119))</f>
        <v/>
      </c>
      <c r="AC315" s="17" t="str">
        <f>IF(M2_Accesos!A119="","",IF(M2_Accesos!M119="","",M2_Accesos!M119))</f>
        <v/>
      </c>
      <c r="AD315" s="17" t="str">
        <f>IF(M2_Accesos!A119="","","RD")</f>
        <v/>
      </c>
      <c r="AE315" s="17" t="str">
        <f>IF(M2_Accesos!A119="","",IF(M2_Accesos!O119="","",M2_Accesos!O119))</f>
        <v/>
      </c>
      <c r="AF315" s="17" t="str">
        <f>IF(M2_Accesos!A119="","",IF(M2_Accesos!P119="","",M2_Accesos!P119))</f>
        <v/>
      </c>
      <c r="AG315" s="17" t="str">
        <f>IF(M2_Accesos!A119="","",IF(M2_Accesos!Q119="","",M2_Accesos!Q119))</f>
        <v/>
      </c>
      <c r="AH315" s="17" t="str">
        <f>IF(M2_Accesos!A119="","",IF(M2_Accesos!J119="","",M2_Accesos!J119))</f>
        <v/>
      </c>
      <c r="AI315" s="17" t="str">
        <f>IF(M2_Accesos!A119="","","M2_Accesos!119")</f>
        <v/>
      </c>
      <c r="AJ315" s="17" t="str">
        <f>IF(M2_Accesos!A119="","",IF(M2_Accesos!M119="","Pendiente de resultado","Disponible"))</f>
        <v/>
      </c>
    </row>
    <row r="316" spans="1:36" ht="55.5" customHeight="1">
      <c r="A316" s="6" t="str">
        <f t="array" ref="A316">IF(312&gt;$S$1204,"",INDEX($T$5:$AJ$1204,MATCH(312,$S$5:$S$1204,0),1))</f>
        <v/>
      </c>
      <c r="B316" s="8" t="str">
        <f t="array" ref="B316">IF(312&gt;$S$1204,"",INDEX($T$5:$AJ$1204,MATCH(312,$S$5:$S$1204,0),2))</f>
        <v/>
      </c>
      <c r="C316" s="10" t="str">
        <f t="array" ref="C316">IF(312&gt;$S$1204,"",INDEX($T$5:$AJ$1204,MATCH(312,$S$5:$S$1204,0),3))</f>
        <v/>
      </c>
      <c r="D316" s="8" t="str">
        <f t="array" ref="D316">IF(312&gt;$S$1204,"",INDEX($T$5:$AJ$1204,MATCH(312,$S$5:$S$1204,0),4))</f>
        <v/>
      </c>
      <c r="E316" s="8" t="str">
        <f t="array" ref="E316">IF(312&gt;$S$1204,"",INDEX($T$5:$AJ$1204,MATCH(312,$S$5:$S$1204,0),5))</f>
        <v/>
      </c>
      <c r="F316" s="8" t="str">
        <f t="array" ref="F316">IF(312&gt;$S$1204,"",INDEX($T$5:$AJ$1204,MATCH(312,$S$5:$S$1204,0),6))</f>
        <v/>
      </c>
      <c r="G316" s="8" t="str">
        <f t="array" ref="G316">IF(312&gt;$S$1204,"",INDEX($T$5:$AJ$1204,MATCH(312,$S$5:$S$1204,0),7))</f>
        <v/>
      </c>
      <c r="H316" s="8" t="str">
        <f t="array" ref="H316">IF(312&gt;$S$1204,"",INDEX($T$5:$AJ$1204,MATCH(312,$S$5:$S$1204,0),8))</f>
        <v/>
      </c>
      <c r="I316" s="8" t="str">
        <f t="array" ref="I316">IF(312&gt;$S$1204,"",INDEX($T$5:$AJ$1204,MATCH(312,$S$5:$S$1204,0),9))</f>
        <v/>
      </c>
      <c r="J316" s="14" t="str">
        <f t="array" ref="J316">IF(312&gt;$S$1204,"",INDEX($T$5:$AJ$1204,MATCH(312,$S$5:$S$1204,0),10))</f>
        <v/>
      </c>
      <c r="K316" s="8" t="str">
        <f t="array" ref="K316">IF(312&gt;$S$1204,"",INDEX($T$5:$AJ$1204,MATCH(312,$S$5:$S$1204,0),11))</f>
        <v/>
      </c>
      <c r="L316" s="8" t="str">
        <f t="array" ref="L316">IF(312&gt;$S$1204,"",INDEX($T$5:$AJ$1204,MATCH(312,$S$5:$S$1204,0),12))</f>
        <v/>
      </c>
      <c r="M316" s="8" t="str">
        <f t="array" ref="M316">IF(312&gt;$S$1204,"",INDEX($T$5:$AJ$1204,MATCH(312,$S$5:$S$1204,0),13))</f>
        <v/>
      </c>
      <c r="N316" s="8" t="str">
        <f t="array" ref="N316">IF(312&gt;$S$1204,"",INDEX($T$5:$AJ$1204,MATCH(312,$S$5:$S$1204,0),14))</f>
        <v/>
      </c>
      <c r="O316" s="15" t="str">
        <f t="array" ref="O316">IF(312&gt;$S$1204,"",INDEX($T$5:$AJ$1204,MATCH(312,$S$5:$S$1204,0),15))</f>
        <v/>
      </c>
      <c r="P316" s="8" t="str">
        <f t="array" ref="P316">IF(312&gt;$S$1204,"",INDEX($T$5:$AJ$1204,MATCH(312,$S$5:$S$1204,0),16))</f>
        <v/>
      </c>
      <c r="Q316" s="8" t="str">
        <f t="array" ref="Q316">IF(312&gt;$S$1204,"",INDEX($T$5:$AJ$1204,MATCH(312,$S$5:$S$1204,0),17))</f>
        <v/>
      </c>
      <c r="R316" s="17"/>
      <c r="S316" s="17">
        <f>S315+IF(M2_Accesos!A120="",0,1)</f>
        <v>0</v>
      </c>
      <c r="T316" s="17" t="str">
        <f>IF(M2_Accesos!A120="","",IF(M2_Accesos!A120="","",M2_Accesos!A120))</f>
        <v/>
      </c>
      <c r="U316" s="17" t="str">
        <f>IF(M2_Accesos!A120="","",IF(M2_Accesos!R120="","",M2_Accesos!R120))</f>
        <v/>
      </c>
      <c r="V316" s="17" t="str">
        <f>IF(M2_Accesos!A120="","",IF(M2_Accesos!D120="","",M2_Accesos!D120))</f>
        <v/>
      </c>
      <c r="W316" s="17" t="str">
        <f>IF(M2_Accesos!A120="","",IF(M2_Accesos!B120="","",M2_Accesos!B120))</f>
        <v/>
      </c>
      <c r="X316" s="17" t="str">
        <f>IF(M2_Accesos!A120="","",IF(M2_Accesos!C120="","",M2_Accesos!C120))</f>
        <v/>
      </c>
      <c r="Y316" s="17" t="str">
        <f>IF(M2_Accesos!A120="","",IF(M2_Accesos!E120="","",M2_Accesos!E120))</f>
        <v/>
      </c>
      <c r="Z316" s="17" t="str">
        <f>IF(M2_Accesos!A120="","",IF(M2_Accesos!F120="","",M2_Accesos!F120))</f>
        <v/>
      </c>
      <c r="AA316" s="17" t="str">
        <f>IF(M2_Accesos!A120="","","M2 Accesos")</f>
        <v/>
      </c>
      <c r="AB316" s="17" t="str">
        <f>IF(M2_Accesos!A120="","",IF(M2_Accesos!G120="","",M2_Accesos!G120))</f>
        <v/>
      </c>
      <c r="AC316" s="17" t="str">
        <f>IF(M2_Accesos!A120="","",IF(M2_Accesos!M120="","",M2_Accesos!M120))</f>
        <v/>
      </c>
      <c r="AD316" s="17" t="str">
        <f>IF(M2_Accesos!A120="","","RD")</f>
        <v/>
      </c>
      <c r="AE316" s="17" t="str">
        <f>IF(M2_Accesos!A120="","",IF(M2_Accesos!O120="","",M2_Accesos!O120))</f>
        <v/>
      </c>
      <c r="AF316" s="17" t="str">
        <f>IF(M2_Accesos!A120="","",IF(M2_Accesos!P120="","",M2_Accesos!P120))</f>
        <v/>
      </c>
      <c r="AG316" s="17" t="str">
        <f>IF(M2_Accesos!A120="","",IF(M2_Accesos!Q120="","",M2_Accesos!Q120))</f>
        <v/>
      </c>
      <c r="AH316" s="17" t="str">
        <f>IF(M2_Accesos!A120="","",IF(M2_Accesos!J120="","",M2_Accesos!J120))</f>
        <v/>
      </c>
      <c r="AI316" s="17" t="str">
        <f>IF(M2_Accesos!A120="","","M2_Accesos!120")</f>
        <v/>
      </c>
      <c r="AJ316" s="17" t="str">
        <f>IF(M2_Accesos!A120="","",IF(M2_Accesos!M120="","Pendiente de resultado","Disponible"))</f>
        <v/>
      </c>
    </row>
    <row r="317" spans="1:36" ht="55.5" customHeight="1">
      <c r="A317" s="6" t="str">
        <f t="array" ref="A317">IF(313&gt;$S$1204,"",INDEX($T$5:$AJ$1204,MATCH(313,$S$5:$S$1204,0),1))</f>
        <v/>
      </c>
      <c r="B317" s="8" t="str">
        <f t="array" ref="B317">IF(313&gt;$S$1204,"",INDEX($T$5:$AJ$1204,MATCH(313,$S$5:$S$1204,0),2))</f>
        <v/>
      </c>
      <c r="C317" s="10" t="str">
        <f t="array" ref="C317">IF(313&gt;$S$1204,"",INDEX($T$5:$AJ$1204,MATCH(313,$S$5:$S$1204,0),3))</f>
        <v/>
      </c>
      <c r="D317" s="8" t="str">
        <f t="array" ref="D317">IF(313&gt;$S$1204,"",INDEX($T$5:$AJ$1204,MATCH(313,$S$5:$S$1204,0),4))</f>
        <v/>
      </c>
      <c r="E317" s="8" t="str">
        <f t="array" ref="E317">IF(313&gt;$S$1204,"",INDEX($T$5:$AJ$1204,MATCH(313,$S$5:$S$1204,0),5))</f>
        <v/>
      </c>
      <c r="F317" s="8" t="str">
        <f t="array" ref="F317">IF(313&gt;$S$1204,"",INDEX($T$5:$AJ$1204,MATCH(313,$S$5:$S$1204,0),6))</f>
        <v/>
      </c>
      <c r="G317" s="8" t="str">
        <f t="array" ref="G317">IF(313&gt;$S$1204,"",INDEX($T$5:$AJ$1204,MATCH(313,$S$5:$S$1204,0),7))</f>
        <v/>
      </c>
      <c r="H317" s="8" t="str">
        <f t="array" ref="H317">IF(313&gt;$S$1204,"",INDEX($T$5:$AJ$1204,MATCH(313,$S$5:$S$1204,0),8))</f>
        <v/>
      </c>
      <c r="I317" s="8" t="str">
        <f t="array" ref="I317">IF(313&gt;$S$1204,"",INDEX($T$5:$AJ$1204,MATCH(313,$S$5:$S$1204,0),9))</f>
        <v/>
      </c>
      <c r="J317" s="14" t="str">
        <f t="array" ref="J317">IF(313&gt;$S$1204,"",INDEX($T$5:$AJ$1204,MATCH(313,$S$5:$S$1204,0),10))</f>
        <v/>
      </c>
      <c r="K317" s="8" t="str">
        <f t="array" ref="K317">IF(313&gt;$S$1204,"",INDEX($T$5:$AJ$1204,MATCH(313,$S$5:$S$1204,0),11))</f>
        <v/>
      </c>
      <c r="L317" s="8" t="str">
        <f t="array" ref="L317">IF(313&gt;$S$1204,"",INDEX($T$5:$AJ$1204,MATCH(313,$S$5:$S$1204,0),12))</f>
        <v/>
      </c>
      <c r="M317" s="8" t="str">
        <f t="array" ref="M317">IF(313&gt;$S$1204,"",INDEX($T$5:$AJ$1204,MATCH(313,$S$5:$S$1204,0),13))</f>
        <v/>
      </c>
      <c r="N317" s="8" t="str">
        <f t="array" ref="N317">IF(313&gt;$S$1204,"",INDEX($T$5:$AJ$1204,MATCH(313,$S$5:$S$1204,0),14))</f>
        <v/>
      </c>
      <c r="O317" s="15" t="str">
        <f t="array" ref="O317">IF(313&gt;$S$1204,"",INDEX($T$5:$AJ$1204,MATCH(313,$S$5:$S$1204,0),15))</f>
        <v/>
      </c>
      <c r="P317" s="8" t="str">
        <f t="array" ref="P317">IF(313&gt;$S$1204,"",INDEX($T$5:$AJ$1204,MATCH(313,$S$5:$S$1204,0),16))</f>
        <v/>
      </c>
      <c r="Q317" s="8" t="str">
        <f t="array" ref="Q317">IF(313&gt;$S$1204,"",INDEX($T$5:$AJ$1204,MATCH(313,$S$5:$S$1204,0),17))</f>
        <v/>
      </c>
      <c r="R317" s="17"/>
      <c r="S317" s="17">
        <f>S316+IF(M2_Accesos!A121="",0,1)</f>
        <v>0</v>
      </c>
      <c r="T317" s="17" t="str">
        <f>IF(M2_Accesos!A121="","",IF(M2_Accesos!A121="","",M2_Accesos!A121))</f>
        <v/>
      </c>
      <c r="U317" s="17" t="str">
        <f>IF(M2_Accesos!A121="","",IF(M2_Accesos!R121="","",M2_Accesos!R121))</f>
        <v/>
      </c>
      <c r="V317" s="17" t="str">
        <f>IF(M2_Accesos!A121="","",IF(M2_Accesos!D121="","",M2_Accesos!D121))</f>
        <v/>
      </c>
      <c r="W317" s="17" t="str">
        <f>IF(M2_Accesos!A121="","",IF(M2_Accesos!B121="","",M2_Accesos!B121))</f>
        <v/>
      </c>
      <c r="X317" s="17" t="str">
        <f>IF(M2_Accesos!A121="","",IF(M2_Accesos!C121="","",M2_Accesos!C121))</f>
        <v/>
      </c>
      <c r="Y317" s="17" t="str">
        <f>IF(M2_Accesos!A121="","",IF(M2_Accesos!E121="","",M2_Accesos!E121))</f>
        <v/>
      </c>
      <c r="Z317" s="17" t="str">
        <f>IF(M2_Accesos!A121="","",IF(M2_Accesos!F121="","",M2_Accesos!F121))</f>
        <v/>
      </c>
      <c r="AA317" s="17" t="str">
        <f>IF(M2_Accesos!A121="","","M2 Accesos")</f>
        <v/>
      </c>
      <c r="AB317" s="17" t="str">
        <f>IF(M2_Accesos!A121="","",IF(M2_Accesos!G121="","",M2_Accesos!G121))</f>
        <v/>
      </c>
      <c r="AC317" s="17" t="str">
        <f>IF(M2_Accesos!A121="","",IF(M2_Accesos!M121="","",M2_Accesos!M121))</f>
        <v/>
      </c>
      <c r="AD317" s="17" t="str">
        <f>IF(M2_Accesos!A121="","","RD")</f>
        <v/>
      </c>
      <c r="AE317" s="17" t="str">
        <f>IF(M2_Accesos!A121="","",IF(M2_Accesos!O121="","",M2_Accesos!O121))</f>
        <v/>
      </c>
      <c r="AF317" s="17" t="str">
        <f>IF(M2_Accesos!A121="","",IF(M2_Accesos!P121="","",M2_Accesos!P121))</f>
        <v/>
      </c>
      <c r="AG317" s="17" t="str">
        <f>IF(M2_Accesos!A121="","",IF(M2_Accesos!Q121="","",M2_Accesos!Q121))</f>
        <v/>
      </c>
      <c r="AH317" s="17" t="str">
        <f>IF(M2_Accesos!A121="","",IF(M2_Accesos!J121="","",M2_Accesos!J121))</f>
        <v/>
      </c>
      <c r="AI317" s="17" t="str">
        <f>IF(M2_Accesos!A121="","","M2_Accesos!121")</f>
        <v/>
      </c>
      <c r="AJ317" s="17" t="str">
        <f>IF(M2_Accesos!A121="","",IF(M2_Accesos!M121="","Pendiente de resultado","Disponible"))</f>
        <v/>
      </c>
    </row>
    <row r="318" spans="1:36" ht="55.5" customHeight="1">
      <c r="A318" s="6" t="str">
        <f t="array" ref="A318">IF(314&gt;$S$1204,"",INDEX($T$5:$AJ$1204,MATCH(314,$S$5:$S$1204,0),1))</f>
        <v/>
      </c>
      <c r="B318" s="8" t="str">
        <f t="array" ref="B318">IF(314&gt;$S$1204,"",INDEX($T$5:$AJ$1204,MATCH(314,$S$5:$S$1204,0),2))</f>
        <v/>
      </c>
      <c r="C318" s="10" t="str">
        <f t="array" ref="C318">IF(314&gt;$S$1204,"",INDEX($T$5:$AJ$1204,MATCH(314,$S$5:$S$1204,0),3))</f>
        <v/>
      </c>
      <c r="D318" s="8" t="str">
        <f t="array" ref="D318">IF(314&gt;$S$1204,"",INDEX($T$5:$AJ$1204,MATCH(314,$S$5:$S$1204,0),4))</f>
        <v/>
      </c>
      <c r="E318" s="8" t="str">
        <f t="array" ref="E318">IF(314&gt;$S$1204,"",INDEX($T$5:$AJ$1204,MATCH(314,$S$5:$S$1204,0),5))</f>
        <v/>
      </c>
      <c r="F318" s="8" t="str">
        <f t="array" ref="F318">IF(314&gt;$S$1204,"",INDEX($T$5:$AJ$1204,MATCH(314,$S$5:$S$1204,0),6))</f>
        <v/>
      </c>
      <c r="G318" s="8" t="str">
        <f t="array" ref="G318">IF(314&gt;$S$1204,"",INDEX($T$5:$AJ$1204,MATCH(314,$S$5:$S$1204,0),7))</f>
        <v/>
      </c>
      <c r="H318" s="8" t="str">
        <f t="array" ref="H318">IF(314&gt;$S$1204,"",INDEX($T$5:$AJ$1204,MATCH(314,$S$5:$S$1204,0),8))</f>
        <v/>
      </c>
      <c r="I318" s="8" t="str">
        <f t="array" ref="I318">IF(314&gt;$S$1204,"",INDEX($T$5:$AJ$1204,MATCH(314,$S$5:$S$1204,0),9))</f>
        <v/>
      </c>
      <c r="J318" s="14" t="str">
        <f t="array" ref="J318">IF(314&gt;$S$1204,"",INDEX($T$5:$AJ$1204,MATCH(314,$S$5:$S$1204,0),10))</f>
        <v/>
      </c>
      <c r="K318" s="8" t="str">
        <f t="array" ref="K318">IF(314&gt;$S$1204,"",INDEX($T$5:$AJ$1204,MATCH(314,$S$5:$S$1204,0),11))</f>
        <v/>
      </c>
      <c r="L318" s="8" t="str">
        <f t="array" ref="L318">IF(314&gt;$S$1204,"",INDEX($T$5:$AJ$1204,MATCH(314,$S$5:$S$1204,0),12))</f>
        <v/>
      </c>
      <c r="M318" s="8" t="str">
        <f t="array" ref="M318">IF(314&gt;$S$1204,"",INDEX($T$5:$AJ$1204,MATCH(314,$S$5:$S$1204,0),13))</f>
        <v/>
      </c>
      <c r="N318" s="8" t="str">
        <f t="array" ref="N318">IF(314&gt;$S$1204,"",INDEX($T$5:$AJ$1204,MATCH(314,$S$5:$S$1204,0),14))</f>
        <v/>
      </c>
      <c r="O318" s="15" t="str">
        <f t="array" ref="O318">IF(314&gt;$S$1204,"",INDEX($T$5:$AJ$1204,MATCH(314,$S$5:$S$1204,0),15))</f>
        <v/>
      </c>
      <c r="P318" s="8" t="str">
        <f t="array" ref="P318">IF(314&gt;$S$1204,"",INDEX($T$5:$AJ$1204,MATCH(314,$S$5:$S$1204,0),16))</f>
        <v/>
      </c>
      <c r="Q318" s="8" t="str">
        <f t="array" ref="Q318">IF(314&gt;$S$1204,"",INDEX($T$5:$AJ$1204,MATCH(314,$S$5:$S$1204,0),17))</f>
        <v/>
      </c>
      <c r="R318" s="17"/>
      <c r="S318" s="17">
        <f>S317+IF(M2_Accesos!A122="",0,1)</f>
        <v>0</v>
      </c>
      <c r="T318" s="17" t="str">
        <f>IF(M2_Accesos!A122="","",IF(M2_Accesos!A122="","",M2_Accesos!A122))</f>
        <v/>
      </c>
      <c r="U318" s="17" t="str">
        <f>IF(M2_Accesos!A122="","",IF(M2_Accesos!R122="","",M2_Accesos!R122))</f>
        <v/>
      </c>
      <c r="V318" s="17" t="str">
        <f>IF(M2_Accesos!A122="","",IF(M2_Accesos!D122="","",M2_Accesos!D122))</f>
        <v/>
      </c>
      <c r="W318" s="17" t="str">
        <f>IF(M2_Accesos!A122="","",IF(M2_Accesos!B122="","",M2_Accesos!B122))</f>
        <v/>
      </c>
      <c r="X318" s="17" t="str">
        <f>IF(M2_Accesos!A122="","",IF(M2_Accesos!C122="","",M2_Accesos!C122))</f>
        <v/>
      </c>
      <c r="Y318" s="17" t="str">
        <f>IF(M2_Accesos!A122="","",IF(M2_Accesos!E122="","",M2_Accesos!E122))</f>
        <v/>
      </c>
      <c r="Z318" s="17" t="str">
        <f>IF(M2_Accesos!A122="","",IF(M2_Accesos!F122="","",M2_Accesos!F122))</f>
        <v/>
      </c>
      <c r="AA318" s="17" t="str">
        <f>IF(M2_Accesos!A122="","","M2 Accesos")</f>
        <v/>
      </c>
      <c r="AB318" s="17" t="str">
        <f>IF(M2_Accesos!A122="","",IF(M2_Accesos!G122="","",M2_Accesos!G122))</f>
        <v/>
      </c>
      <c r="AC318" s="17" t="str">
        <f>IF(M2_Accesos!A122="","",IF(M2_Accesos!M122="","",M2_Accesos!M122))</f>
        <v/>
      </c>
      <c r="AD318" s="17" t="str">
        <f>IF(M2_Accesos!A122="","","RD")</f>
        <v/>
      </c>
      <c r="AE318" s="17" t="str">
        <f>IF(M2_Accesos!A122="","",IF(M2_Accesos!O122="","",M2_Accesos!O122))</f>
        <v/>
      </c>
      <c r="AF318" s="17" t="str">
        <f>IF(M2_Accesos!A122="","",IF(M2_Accesos!P122="","",M2_Accesos!P122))</f>
        <v/>
      </c>
      <c r="AG318" s="17" t="str">
        <f>IF(M2_Accesos!A122="","",IF(M2_Accesos!Q122="","",M2_Accesos!Q122))</f>
        <v/>
      </c>
      <c r="AH318" s="17" t="str">
        <f>IF(M2_Accesos!A122="","",IF(M2_Accesos!J122="","",M2_Accesos!J122))</f>
        <v/>
      </c>
      <c r="AI318" s="17" t="str">
        <f>IF(M2_Accesos!A122="","","M2_Accesos!122")</f>
        <v/>
      </c>
      <c r="AJ318" s="17" t="str">
        <f>IF(M2_Accesos!A122="","",IF(M2_Accesos!M122="","Pendiente de resultado","Disponible"))</f>
        <v/>
      </c>
    </row>
    <row r="319" spans="1:36" ht="55.5" customHeight="1">
      <c r="A319" s="6" t="str">
        <f t="array" ref="A319">IF(315&gt;$S$1204,"",INDEX($T$5:$AJ$1204,MATCH(315,$S$5:$S$1204,0),1))</f>
        <v/>
      </c>
      <c r="B319" s="8" t="str">
        <f t="array" ref="B319">IF(315&gt;$S$1204,"",INDEX($T$5:$AJ$1204,MATCH(315,$S$5:$S$1204,0),2))</f>
        <v/>
      </c>
      <c r="C319" s="10" t="str">
        <f t="array" ref="C319">IF(315&gt;$S$1204,"",INDEX($T$5:$AJ$1204,MATCH(315,$S$5:$S$1204,0),3))</f>
        <v/>
      </c>
      <c r="D319" s="8" t="str">
        <f t="array" ref="D319">IF(315&gt;$S$1204,"",INDEX($T$5:$AJ$1204,MATCH(315,$S$5:$S$1204,0),4))</f>
        <v/>
      </c>
      <c r="E319" s="8" t="str">
        <f t="array" ref="E319">IF(315&gt;$S$1204,"",INDEX($T$5:$AJ$1204,MATCH(315,$S$5:$S$1204,0),5))</f>
        <v/>
      </c>
      <c r="F319" s="8" t="str">
        <f t="array" ref="F319">IF(315&gt;$S$1204,"",INDEX($T$5:$AJ$1204,MATCH(315,$S$5:$S$1204,0),6))</f>
        <v/>
      </c>
      <c r="G319" s="8" t="str">
        <f t="array" ref="G319">IF(315&gt;$S$1204,"",INDEX($T$5:$AJ$1204,MATCH(315,$S$5:$S$1204,0),7))</f>
        <v/>
      </c>
      <c r="H319" s="8" t="str">
        <f t="array" ref="H319">IF(315&gt;$S$1204,"",INDEX($T$5:$AJ$1204,MATCH(315,$S$5:$S$1204,0),8))</f>
        <v/>
      </c>
      <c r="I319" s="8" t="str">
        <f t="array" ref="I319">IF(315&gt;$S$1204,"",INDEX($T$5:$AJ$1204,MATCH(315,$S$5:$S$1204,0),9))</f>
        <v/>
      </c>
      <c r="J319" s="14" t="str">
        <f t="array" ref="J319">IF(315&gt;$S$1204,"",INDEX($T$5:$AJ$1204,MATCH(315,$S$5:$S$1204,0),10))</f>
        <v/>
      </c>
      <c r="K319" s="8" t="str">
        <f t="array" ref="K319">IF(315&gt;$S$1204,"",INDEX($T$5:$AJ$1204,MATCH(315,$S$5:$S$1204,0),11))</f>
        <v/>
      </c>
      <c r="L319" s="8" t="str">
        <f t="array" ref="L319">IF(315&gt;$S$1204,"",INDEX($T$5:$AJ$1204,MATCH(315,$S$5:$S$1204,0),12))</f>
        <v/>
      </c>
      <c r="M319" s="8" t="str">
        <f t="array" ref="M319">IF(315&gt;$S$1204,"",INDEX($T$5:$AJ$1204,MATCH(315,$S$5:$S$1204,0),13))</f>
        <v/>
      </c>
      <c r="N319" s="8" t="str">
        <f t="array" ref="N319">IF(315&gt;$S$1204,"",INDEX($T$5:$AJ$1204,MATCH(315,$S$5:$S$1204,0),14))</f>
        <v/>
      </c>
      <c r="O319" s="15" t="str">
        <f t="array" ref="O319">IF(315&gt;$S$1204,"",INDEX($T$5:$AJ$1204,MATCH(315,$S$5:$S$1204,0),15))</f>
        <v/>
      </c>
      <c r="P319" s="8" t="str">
        <f t="array" ref="P319">IF(315&gt;$S$1204,"",INDEX($T$5:$AJ$1204,MATCH(315,$S$5:$S$1204,0),16))</f>
        <v/>
      </c>
      <c r="Q319" s="8" t="str">
        <f t="array" ref="Q319">IF(315&gt;$S$1204,"",INDEX($T$5:$AJ$1204,MATCH(315,$S$5:$S$1204,0),17))</f>
        <v/>
      </c>
      <c r="R319" s="17"/>
      <c r="S319" s="17">
        <f>S318+IF(M2_Accesos!A123="",0,1)</f>
        <v>0</v>
      </c>
      <c r="T319" s="17" t="str">
        <f>IF(M2_Accesos!A123="","",IF(M2_Accesos!A123="","",M2_Accesos!A123))</f>
        <v/>
      </c>
      <c r="U319" s="17" t="str">
        <f>IF(M2_Accesos!A123="","",IF(M2_Accesos!R123="","",M2_Accesos!R123))</f>
        <v/>
      </c>
      <c r="V319" s="17" t="str">
        <f>IF(M2_Accesos!A123="","",IF(M2_Accesos!D123="","",M2_Accesos!D123))</f>
        <v/>
      </c>
      <c r="W319" s="17" t="str">
        <f>IF(M2_Accesos!A123="","",IF(M2_Accesos!B123="","",M2_Accesos!B123))</f>
        <v/>
      </c>
      <c r="X319" s="17" t="str">
        <f>IF(M2_Accesos!A123="","",IF(M2_Accesos!C123="","",M2_Accesos!C123))</f>
        <v/>
      </c>
      <c r="Y319" s="17" t="str">
        <f>IF(M2_Accesos!A123="","",IF(M2_Accesos!E123="","",M2_Accesos!E123))</f>
        <v/>
      </c>
      <c r="Z319" s="17" t="str">
        <f>IF(M2_Accesos!A123="","",IF(M2_Accesos!F123="","",M2_Accesos!F123))</f>
        <v/>
      </c>
      <c r="AA319" s="17" t="str">
        <f>IF(M2_Accesos!A123="","","M2 Accesos")</f>
        <v/>
      </c>
      <c r="AB319" s="17" t="str">
        <f>IF(M2_Accesos!A123="","",IF(M2_Accesos!G123="","",M2_Accesos!G123))</f>
        <v/>
      </c>
      <c r="AC319" s="17" t="str">
        <f>IF(M2_Accesos!A123="","",IF(M2_Accesos!M123="","",M2_Accesos!M123))</f>
        <v/>
      </c>
      <c r="AD319" s="17" t="str">
        <f>IF(M2_Accesos!A123="","","RD")</f>
        <v/>
      </c>
      <c r="AE319" s="17" t="str">
        <f>IF(M2_Accesos!A123="","",IF(M2_Accesos!O123="","",M2_Accesos!O123))</f>
        <v/>
      </c>
      <c r="AF319" s="17" t="str">
        <f>IF(M2_Accesos!A123="","",IF(M2_Accesos!P123="","",M2_Accesos!P123))</f>
        <v/>
      </c>
      <c r="AG319" s="17" t="str">
        <f>IF(M2_Accesos!A123="","",IF(M2_Accesos!Q123="","",M2_Accesos!Q123))</f>
        <v/>
      </c>
      <c r="AH319" s="17" t="str">
        <f>IF(M2_Accesos!A123="","",IF(M2_Accesos!J123="","",M2_Accesos!J123))</f>
        <v/>
      </c>
      <c r="AI319" s="17" t="str">
        <f>IF(M2_Accesos!A123="","","M2_Accesos!123")</f>
        <v/>
      </c>
      <c r="AJ319" s="17" t="str">
        <f>IF(M2_Accesos!A123="","",IF(M2_Accesos!M123="","Pendiente de resultado","Disponible"))</f>
        <v/>
      </c>
    </row>
    <row r="320" spans="1:36" ht="55.5" customHeight="1">
      <c r="A320" s="6" t="str">
        <f t="array" ref="A320">IF(316&gt;$S$1204,"",INDEX($T$5:$AJ$1204,MATCH(316,$S$5:$S$1204,0),1))</f>
        <v/>
      </c>
      <c r="B320" s="8" t="str">
        <f t="array" ref="B320">IF(316&gt;$S$1204,"",INDEX($T$5:$AJ$1204,MATCH(316,$S$5:$S$1204,0),2))</f>
        <v/>
      </c>
      <c r="C320" s="10" t="str">
        <f t="array" ref="C320">IF(316&gt;$S$1204,"",INDEX($T$5:$AJ$1204,MATCH(316,$S$5:$S$1204,0),3))</f>
        <v/>
      </c>
      <c r="D320" s="8" t="str">
        <f t="array" ref="D320">IF(316&gt;$S$1204,"",INDEX($T$5:$AJ$1204,MATCH(316,$S$5:$S$1204,0),4))</f>
        <v/>
      </c>
      <c r="E320" s="8" t="str">
        <f t="array" ref="E320">IF(316&gt;$S$1204,"",INDEX($T$5:$AJ$1204,MATCH(316,$S$5:$S$1204,0),5))</f>
        <v/>
      </c>
      <c r="F320" s="8" t="str">
        <f t="array" ref="F320">IF(316&gt;$S$1204,"",INDEX($T$5:$AJ$1204,MATCH(316,$S$5:$S$1204,0),6))</f>
        <v/>
      </c>
      <c r="G320" s="8" t="str">
        <f t="array" ref="G320">IF(316&gt;$S$1204,"",INDEX($T$5:$AJ$1204,MATCH(316,$S$5:$S$1204,0),7))</f>
        <v/>
      </c>
      <c r="H320" s="8" t="str">
        <f t="array" ref="H320">IF(316&gt;$S$1204,"",INDEX($T$5:$AJ$1204,MATCH(316,$S$5:$S$1204,0),8))</f>
        <v/>
      </c>
      <c r="I320" s="8" t="str">
        <f t="array" ref="I320">IF(316&gt;$S$1204,"",INDEX($T$5:$AJ$1204,MATCH(316,$S$5:$S$1204,0),9))</f>
        <v/>
      </c>
      <c r="J320" s="14" t="str">
        <f t="array" ref="J320">IF(316&gt;$S$1204,"",INDEX($T$5:$AJ$1204,MATCH(316,$S$5:$S$1204,0),10))</f>
        <v/>
      </c>
      <c r="K320" s="8" t="str">
        <f t="array" ref="K320">IF(316&gt;$S$1204,"",INDEX($T$5:$AJ$1204,MATCH(316,$S$5:$S$1204,0),11))</f>
        <v/>
      </c>
      <c r="L320" s="8" t="str">
        <f t="array" ref="L320">IF(316&gt;$S$1204,"",INDEX($T$5:$AJ$1204,MATCH(316,$S$5:$S$1204,0),12))</f>
        <v/>
      </c>
      <c r="M320" s="8" t="str">
        <f t="array" ref="M320">IF(316&gt;$S$1204,"",INDEX($T$5:$AJ$1204,MATCH(316,$S$5:$S$1204,0),13))</f>
        <v/>
      </c>
      <c r="N320" s="8" t="str">
        <f t="array" ref="N320">IF(316&gt;$S$1204,"",INDEX($T$5:$AJ$1204,MATCH(316,$S$5:$S$1204,0),14))</f>
        <v/>
      </c>
      <c r="O320" s="15" t="str">
        <f t="array" ref="O320">IF(316&gt;$S$1204,"",INDEX($T$5:$AJ$1204,MATCH(316,$S$5:$S$1204,0),15))</f>
        <v/>
      </c>
      <c r="P320" s="8" t="str">
        <f t="array" ref="P320">IF(316&gt;$S$1204,"",INDEX($T$5:$AJ$1204,MATCH(316,$S$5:$S$1204,0),16))</f>
        <v/>
      </c>
      <c r="Q320" s="8" t="str">
        <f t="array" ref="Q320">IF(316&gt;$S$1204,"",INDEX($T$5:$AJ$1204,MATCH(316,$S$5:$S$1204,0),17))</f>
        <v/>
      </c>
      <c r="R320" s="17"/>
      <c r="S320" s="17">
        <f>S319+IF(M2_Accesos!A124="",0,1)</f>
        <v>0</v>
      </c>
      <c r="T320" s="17" t="str">
        <f>IF(M2_Accesos!A124="","",IF(M2_Accesos!A124="","",M2_Accesos!A124))</f>
        <v/>
      </c>
      <c r="U320" s="17" t="str">
        <f>IF(M2_Accesos!A124="","",IF(M2_Accesos!R124="","",M2_Accesos!R124))</f>
        <v/>
      </c>
      <c r="V320" s="17" t="str">
        <f>IF(M2_Accesos!A124="","",IF(M2_Accesos!D124="","",M2_Accesos!D124))</f>
        <v/>
      </c>
      <c r="W320" s="17" t="str">
        <f>IF(M2_Accesos!A124="","",IF(M2_Accesos!B124="","",M2_Accesos!B124))</f>
        <v/>
      </c>
      <c r="X320" s="17" t="str">
        <f>IF(M2_Accesos!A124="","",IF(M2_Accesos!C124="","",M2_Accesos!C124))</f>
        <v/>
      </c>
      <c r="Y320" s="17" t="str">
        <f>IF(M2_Accesos!A124="","",IF(M2_Accesos!E124="","",M2_Accesos!E124))</f>
        <v/>
      </c>
      <c r="Z320" s="17" t="str">
        <f>IF(M2_Accesos!A124="","",IF(M2_Accesos!F124="","",M2_Accesos!F124))</f>
        <v/>
      </c>
      <c r="AA320" s="17" t="str">
        <f>IF(M2_Accesos!A124="","","M2 Accesos")</f>
        <v/>
      </c>
      <c r="AB320" s="17" t="str">
        <f>IF(M2_Accesos!A124="","",IF(M2_Accesos!G124="","",M2_Accesos!G124))</f>
        <v/>
      </c>
      <c r="AC320" s="17" t="str">
        <f>IF(M2_Accesos!A124="","",IF(M2_Accesos!M124="","",M2_Accesos!M124))</f>
        <v/>
      </c>
      <c r="AD320" s="17" t="str">
        <f>IF(M2_Accesos!A124="","","RD")</f>
        <v/>
      </c>
      <c r="AE320" s="17" t="str">
        <f>IF(M2_Accesos!A124="","",IF(M2_Accesos!O124="","",M2_Accesos!O124))</f>
        <v/>
      </c>
      <c r="AF320" s="17" t="str">
        <f>IF(M2_Accesos!A124="","",IF(M2_Accesos!P124="","",M2_Accesos!P124))</f>
        <v/>
      </c>
      <c r="AG320" s="17" t="str">
        <f>IF(M2_Accesos!A124="","",IF(M2_Accesos!Q124="","",M2_Accesos!Q124))</f>
        <v/>
      </c>
      <c r="AH320" s="17" t="str">
        <f>IF(M2_Accesos!A124="","",IF(M2_Accesos!J124="","",M2_Accesos!J124))</f>
        <v/>
      </c>
      <c r="AI320" s="17" t="str">
        <f>IF(M2_Accesos!A124="","","M2_Accesos!124")</f>
        <v/>
      </c>
      <c r="AJ320" s="17" t="str">
        <f>IF(M2_Accesos!A124="","",IF(M2_Accesos!M124="","Pendiente de resultado","Disponible"))</f>
        <v/>
      </c>
    </row>
    <row r="321" spans="1:36" ht="55.5" customHeight="1">
      <c r="A321" s="6" t="str">
        <f t="array" ref="A321">IF(317&gt;$S$1204,"",INDEX($T$5:$AJ$1204,MATCH(317,$S$5:$S$1204,0),1))</f>
        <v/>
      </c>
      <c r="B321" s="8" t="str">
        <f t="array" ref="B321">IF(317&gt;$S$1204,"",INDEX($T$5:$AJ$1204,MATCH(317,$S$5:$S$1204,0),2))</f>
        <v/>
      </c>
      <c r="C321" s="10" t="str">
        <f t="array" ref="C321">IF(317&gt;$S$1204,"",INDEX($T$5:$AJ$1204,MATCH(317,$S$5:$S$1204,0),3))</f>
        <v/>
      </c>
      <c r="D321" s="8" t="str">
        <f t="array" ref="D321">IF(317&gt;$S$1204,"",INDEX($T$5:$AJ$1204,MATCH(317,$S$5:$S$1204,0),4))</f>
        <v/>
      </c>
      <c r="E321" s="8" t="str">
        <f t="array" ref="E321">IF(317&gt;$S$1204,"",INDEX($T$5:$AJ$1204,MATCH(317,$S$5:$S$1204,0),5))</f>
        <v/>
      </c>
      <c r="F321" s="8" t="str">
        <f t="array" ref="F321">IF(317&gt;$S$1204,"",INDEX($T$5:$AJ$1204,MATCH(317,$S$5:$S$1204,0),6))</f>
        <v/>
      </c>
      <c r="G321" s="8" t="str">
        <f t="array" ref="G321">IF(317&gt;$S$1204,"",INDEX($T$5:$AJ$1204,MATCH(317,$S$5:$S$1204,0),7))</f>
        <v/>
      </c>
      <c r="H321" s="8" t="str">
        <f t="array" ref="H321">IF(317&gt;$S$1204,"",INDEX($T$5:$AJ$1204,MATCH(317,$S$5:$S$1204,0),8))</f>
        <v/>
      </c>
      <c r="I321" s="8" t="str">
        <f t="array" ref="I321">IF(317&gt;$S$1204,"",INDEX($T$5:$AJ$1204,MATCH(317,$S$5:$S$1204,0),9))</f>
        <v/>
      </c>
      <c r="J321" s="14" t="str">
        <f t="array" ref="J321">IF(317&gt;$S$1204,"",INDEX($T$5:$AJ$1204,MATCH(317,$S$5:$S$1204,0),10))</f>
        <v/>
      </c>
      <c r="K321" s="8" t="str">
        <f t="array" ref="K321">IF(317&gt;$S$1204,"",INDEX($T$5:$AJ$1204,MATCH(317,$S$5:$S$1204,0),11))</f>
        <v/>
      </c>
      <c r="L321" s="8" t="str">
        <f t="array" ref="L321">IF(317&gt;$S$1204,"",INDEX($T$5:$AJ$1204,MATCH(317,$S$5:$S$1204,0),12))</f>
        <v/>
      </c>
      <c r="M321" s="8" t="str">
        <f t="array" ref="M321">IF(317&gt;$S$1204,"",INDEX($T$5:$AJ$1204,MATCH(317,$S$5:$S$1204,0),13))</f>
        <v/>
      </c>
      <c r="N321" s="8" t="str">
        <f t="array" ref="N321">IF(317&gt;$S$1204,"",INDEX($T$5:$AJ$1204,MATCH(317,$S$5:$S$1204,0),14))</f>
        <v/>
      </c>
      <c r="O321" s="15" t="str">
        <f t="array" ref="O321">IF(317&gt;$S$1204,"",INDEX($T$5:$AJ$1204,MATCH(317,$S$5:$S$1204,0),15))</f>
        <v/>
      </c>
      <c r="P321" s="8" t="str">
        <f t="array" ref="P321">IF(317&gt;$S$1204,"",INDEX($T$5:$AJ$1204,MATCH(317,$S$5:$S$1204,0),16))</f>
        <v/>
      </c>
      <c r="Q321" s="8" t="str">
        <f t="array" ref="Q321">IF(317&gt;$S$1204,"",INDEX($T$5:$AJ$1204,MATCH(317,$S$5:$S$1204,0),17))</f>
        <v/>
      </c>
      <c r="R321" s="17"/>
      <c r="S321" s="17">
        <f>S320+IF(M2_Accesos!A125="",0,1)</f>
        <v>0</v>
      </c>
      <c r="T321" s="17" t="str">
        <f>IF(M2_Accesos!A125="","",IF(M2_Accesos!A125="","",M2_Accesos!A125))</f>
        <v/>
      </c>
      <c r="U321" s="17" t="str">
        <f>IF(M2_Accesos!A125="","",IF(M2_Accesos!R125="","",M2_Accesos!R125))</f>
        <v/>
      </c>
      <c r="V321" s="17" t="str">
        <f>IF(M2_Accesos!A125="","",IF(M2_Accesos!D125="","",M2_Accesos!D125))</f>
        <v/>
      </c>
      <c r="W321" s="17" t="str">
        <f>IF(M2_Accesos!A125="","",IF(M2_Accesos!B125="","",M2_Accesos!B125))</f>
        <v/>
      </c>
      <c r="X321" s="17" t="str">
        <f>IF(M2_Accesos!A125="","",IF(M2_Accesos!C125="","",M2_Accesos!C125))</f>
        <v/>
      </c>
      <c r="Y321" s="17" t="str">
        <f>IF(M2_Accesos!A125="","",IF(M2_Accesos!E125="","",M2_Accesos!E125))</f>
        <v/>
      </c>
      <c r="Z321" s="17" t="str">
        <f>IF(M2_Accesos!A125="","",IF(M2_Accesos!F125="","",M2_Accesos!F125))</f>
        <v/>
      </c>
      <c r="AA321" s="17" t="str">
        <f>IF(M2_Accesos!A125="","","M2 Accesos")</f>
        <v/>
      </c>
      <c r="AB321" s="17" t="str">
        <f>IF(M2_Accesos!A125="","",IF(M2_Accesos!G125="","",M2_Accesos!G125))</f>
        <v/>
      </c>
      <c r="AC321" s="17" t="str">
        <f>IF(M2_Accesos!A125="","",IF(M2_Accesos!M125="","",M2_Accesos!M125))</f>
        <v/>
      </c>
      <c r="AD321" s="17" t="str">
        <f>IF(M2_Accesos!A125="","","RD")</f>
        <v/>
      </c>
      <c r="AE321" s="17" t="str">
        <f>IF(M2_Accesos!A125="","",IF(M2_Accesos!O125="","",M2_Accesos!O125))</f>
        <v/>
      </c>
      <c r="AF321" s="17" t="str">
        <f>IF(M2_Accesos!A125="","",IF(M2_Accesos!P125="","",M2_Accesos!P125))</f>
        <v/>
      </c>
      <c r="AG321" s="17" t="str">
        <f>IF(M2_Accesos!A125="","",IF(M2_Accesos!Q125="","",M2_Accesos!Q125))</f>
        <v/>
      </c>
      <c r="AH321" s="17" t="str">
        <f>IF(M2_Accesos!A125="","",IF(M2_Accesos!J125="","",M2_Accesos!J125))</f>
        <v/>
      </c>
      <c r="AI321" s="17" t="str">
        <f>IF(M2_Accesos!A125="","","M2_Accesos!125")</f>
        <v/>
      </c>
      <c r="AJ321" s="17" t="str">
        <f>IF(M2_Accesos!A125="","",IF(M2_Accesos!M125="","Pendiente de resultado","Disponible"))</f>
        <v/>
      </c>
    </row>
    <row r="322" spans="1:36" ht="55.5" customHeight="1">
      <c r="A322" s="6" t="str">
        <f t="array" ref="A322">IF(318&gt;$S$1204,"",INDEX($T$5:$AJ$1204,MATCH(318,$S$5:$S$1204,0),1))</f>
        <v/>
      </c>
      <c r="B322" s="8" t="str">
        <f t="array" ref="B322">IF(318&gt;$S$1204,"",INDEX($T$5:$AJ$1204,MATCH(318,$S$5:$S$1204,0),2))</f>
        <v/>
      </c>
      <c r="C322" s="10" t="str">
        <f t="array" ref="C322">IF(318&gt;$S$1204,"",INDEX($T$5:$AJ$1204,MATCH(318,$S$5:$S$1204,0),3))</f>
        <v/>
      </c>
      <c r="D322" s="8" t="str">
        <f t="array" ref="D322">IF(318&gt;$S$1204,"",INDEX($T$5:$AJ$1204,MATCH(318,$S$5:$S$1204,0),4))</f>
        <v/>
      </c>
      <c r="E322" s="8" t="str">
        <f t="array" ref="E322">IF(318&gt;$S$1204,"",INDEX($T$5:$AJ$1204,MATCH(318,$S$5:$S$1204,0),5))</f>
        <v/>
      </c>
      <c r="F322" s="8" t="str">
        <f t="array" ref="F322">IF(318&gt;$S$1204,"",INDEX($T$5:$AJ$1204,MATCH(318,$S$5:$S$1204,0),6))</f>
        <v/>
      </c>
      <c r="G322" s="8" t="str">
        <f t="array" ref="G322">IF(318&gt;$S$1204,"",INDEX($T$5:$AJ$1204,MATCH(318,$S$5:$S$1204,0),7))</f>
        <v/>
      </c>
      <c r="H322" s="8" t="str">
        <f t="array" ref="H322">IF(318&gt;$S$1204,"",INDEX($T$5:$AJ$1204,MATCH(318,$S$5:$S$1204,0),8))</f>
        <v/>
      </c>
      <c r="I322" s="8" t="str">
        <f t="array" ref="I322">IF(318&gt;$S$1204,"",INDEX($T$5:$AJ$1204,MATCH(318,$S$5:$S$1204,0),9))</f>
        <v/>
      </c>
      <c r="J322" s="14" t="str">
        <f t="array" ref="J322">IF(318&gt;$S$1204,"",INDEX($T$5:$AJ$1204,MATCH(318,$S$5:$S$1204,0),10))</f>
        <v/>
      </c>
      <c r="K322" s="8" t="str">
        <f t="array" ref="K322">IF(318&gt;$S$1204,"",INDEX($T$5:$AJ$1204,MATCH(318,$S$5:$S$1204,0),11))</f>
        <v/>
      </c>
      <c r="L322" s="8" t="str">
        <f t="array" ref="L322">IF(318&gt;$S$1204,"",INDEX($T$5:$AJ$1204,MATCH(318,$S$5:$S$1204,0),12))</f>
        <v/>
      </c>
      <c r="M322" s="8" t="str">
        <f t="array" ref="M322">IF(318&gt;$S$1204,"",INDEX($T$5:$AJ$1204,MATCH(318,$S$5:$S$1204,0),13))</f>
        <v/>
      </c>
      <c r="N322" s="8" t="str">
        <f t="array" ref="N322">IF(318&gt;$S$1204,"",INDEX($T$5:$AJ$1204,MATCH(318,$S$5:$S$1204,0),14))</f>
        <v/>
      </c>
      <c r="O322" s="15" t="str">
        <f t="array" ref="O322">IF(318&gt;$S$1204,"",INDEX($T$5:$AJ$1204,MATCH(318,$S$5:$S$1204,0),15))</f>
        <v/>
      </c>
      <c r="P322" s="8" t="str">
        <f t="array" ref="P322">IF(318&gt;$S$1204,"",INDEX($T$5:$AJ$1204,MATCH(318,$S$5:$S$1204,0),16))</f>
        <v/>
      </c>
      <c r="Q322" s="8" t="str">
        <f t="array" ref="Q322">IF(318&gt;$S$1204,"",INDEX($T$5:$AJ$1204,MATCH(318,$S$5:$S$1204,0),17))</f>
        <v/>
      </c>
      <c r="R322" s="17"/>
      <c r="S322" s="17">
        <f>S321+IF(M2_Accesos!A126="",0,1)</f>
        <v>0</v>
      </c>
      <c r="T322" s="17" t="str">
        <f>IF(M2_Accesos!A126="","",IF(M2_Accesos!A126="","",M2_Accesos!A126))</f>
        <v/>
      </c>
      <c r="U322" s="17" t="str">
        <f>IF(M2_Accesos!A126="","",IF(M2_Accesos!R126="","",M2_Accesos!R126))</f>
        <v/>
      </c>
      <c r="V322" s="17" t="str">
        <f>IF(M2_Accesos!A126="","",IF(M2_Accesos!D126="","",M2_Accesos!D126))</f>
        <v/>
      </c>
      <c r="W322" s="17" t="str">
        <f>IF(M2_Accesos!A126="","",IF(M2_Accesos!B126="","",M2_Accesos!B126))</f>
        <v/>
      </c>
      <c r="X322" s="17" t="str">
        <f>IF(M2_Accesos!A126="","",IF(M2_Accesos!C126="","",M2_Accesos!C126))</f>
        <v/>
      </c>
      <c r="Y322" s="17" t="str">
        <f>IF(M2_Accesos!A126="","",IF(M2_Accesos!E126="","",M2_Accesos!E126))</f>
        <v/>
      </c>
      <c r="Z322" s="17" t="str">
        <f>IF(M2_Accesos!A126="","",IF(M2_Accesos!F126="","",M2_Accesos!F126))</f>
        <v/>
      </c>
      <c r="AA322" s="17" t="str">
        <f>IF(M2_Accesos!A126="","","M2 Accesos")</f>
        <v/>
      </c>
      <c r="AB322" s="17" t="str">
        <f>IF(M2_Accesos!A126="","",IF(M2_Accesos!G126="","",M2_Accesos!G126))</f>
        <v/>
      </c>
      <c r="AC322" s="17" t="str">
        <f>IF(M2_Accesos!A126="","",IF(M2_Accesos!M126="","",M2_Accesos!M126))</f>
        <v/>
      </c>
      <c r="AD322" s="17" t="str">
        <f>IF(M2_Accesos!A126="","","RD")</f>
        <v/>
      </c>
      <c r="AE322" s="17" t="str">
        <f>IF(M2_Accesos!A126="","",IF(M2_Accesos!O126="","",M2_Accesos!O126))</f>
        <v/>
      </c>
      <c r="AF322" s="17" t="str">
        <f>IF(M2_Accesos!A126="","",IF(M2_Accesos!P126="","",M2_Accesos!P126))</f>
        <v/>
      </c>
      <c r="AG322" s="17" t="str">
        <f>IF(M2_Accesos!A126="","",IF(M2_Accesos!Q126="","",M2_Accesos!Q126))</f>
        <v/>
      </c>
      <c r="AH322" s="17" t="str">
        <f>IF(M2_Accesos!A126="","",IF(M2_Accesos!J126="","",M2_Accesos!J126))</f>
        <v/>
      </c>
      <c r="AI322" s="17" t="str">
        <f>IF(M2_Accesos!A126="","","M2_Accesos!126")</f>
        <v/>
      </c>
      <c r="AJ322" s="17" t="str">
        <f>IF(M2_Accesos!A126="","",IF(M2_Accesos!M126="","Pendiente de resultado","Disponible"))</f>
        <v/>
      </c>
    </row>
    <row r="323" spans="1:36" ht="55.5" customHeight="1">
      <c r="A323" s="6" t="str">
        <f t="array" ref="A323">IF(319&gt;$S$1204,"",INDEX($T$5:$AJ$1204,MATCH(319,$S$5:$S$1204,0),1))</f>
        <v/>
      </c>
      <c r="B323" s="8" t="str">
        <f t="array" ref="B323">IF(319&gt;$S$1204,"",INDEX($T$5:$AJ$1204,MATCH(319,$S$5:$S$1204,0),2))</f>
        <v/>
      </c>
      <c r="C323" s="10" t="str">
        <f t="array" ref="C323">IF(319&gt;$S$1204,"",INDEX($T$5:$AJ$1204,MATCH(319,$S$5:$S$1204,0),3))</f>
        <v/>
      </c>
      <c r="D323" s="8" t="str">
        <f t="array" ref="D323">IF(319&gt;$S$1204,"",INDEX($T$5:$AJ$1204,MATCH(319,$S$5:$S$1204,0),4))</f>
        <v/>
      </c>
      <c r="E323" s="8" t="str">
        <f t="array" ref="E323">IF(319&gt;$S$1204,"",INDEX($T$5:$AJ$1204,MATCH(319,$S$5:$S$1204,0),5))</f>
        <v/>
      </c>
      <c r="F323" s="8" t="str">
        <f t="array" ref="F323">IF(319&gt;$S$1204,"",INDEX($T$5:$AJ$1204,MATCH(319,$S$5:$S$1204,0),6))</f>
        <v/>
      </c>
      <c r="G323" s="8" t="str">
        <f t="array" ref="G323">IF(319&gt;$S$1204,"",INDEX($T$5:$AJ$1204,MATCH(319,$S$5:$S$1204,0),7))</f>
        <v/>
      </c>
      <c r="H323" s="8" t="str">
        <f t="array" ref="H323">IF(319&gt;$S$1204,"",INDEX($T$5:$AJ$1204,MATCH(319,$S$5:$S$1204,0),8))</f>
        <v/>
      </c>
      <c r="I323" s="8" t="str">
        <f t="array" ref="I323">IF(319&gt;$S$1204,"",INDEX($T$5:$AJ$1204,MATCH(319,$S$5:$S$1204,0),9))</f>
        <v/>
      </c>
      <c r="J323" s="14" t="str">
        <f t="array" ref="J323">IF(319&gt;$S$1204,"",INDEX($T$5:$AJ$1204,MATCH(319,$S$5:$S$1204,0),10))</f>
        <v/>
      </c>
      <c r="K323" s="8" t="str">
        <f t="array" ref="K323">IF(319&gt;$S$1204,"",INDEX($T$5:$AJ$1204,MATCH(319,$S$5:$S$1204,0),11))</f>
        <v/>
      </c>
      <c r="L323" s="8" t="str">
        <f t="array" ref="L323">IF(319&gt;$S$1204,"",INDEX($T$5:$AJ$1204,MATCH(319,$S$5:$S$1204,0),12))</f>
        <v/>
      </c>
      <c r="M323" s="8" t="str">
        <f t="array" ref="M323">IF(319&gt;$S$1204,"",INDEX($T$5:$AJ$1204,MATCH(319,$S$5:$S$1204,0),13))</f>
        <v/>
      </c>
      <c r="N323" s="8" t="str">
        <f t="array" ref="N323">IF(319&gt;$S$1204,"",INDEX($T$5:$AJ$1204,MATCH(319,$S$5:$S$1204,0),14))</f>
        <v/>
      </c>
      <c r="O323" s="15" t="str">
        <f t="array" ref="O323">IF(319&gt;$S$1204,"",INDEX($T$5:$AJ$1204,MATCH(319,$S$5:$S$1204,0),15))</f>
        <v/>
      </c>
      <c r="P323" s="8" t="str">
        <f t="array" ref="P323">IF(319&gt;$S$1204,"",INDEX($T$5:$AJ$1204,MATCH(319,$S$5:$S$1204,0),16))</f>
        <v/>
      </c>
      <c r="Q323" s="8" t="str">
        <f t="array" ref="Q323">IF(319&gt;$S$1204,"",INDEX($T$5:$AJ$1204,MATCH(319,$S$5:$S$1204,0),17))</f>
        <v/>
      </c>
      <c r="R323" s="17"/>
      <c r="S323" s="17">
        <f>S322+IF(M2_Accesos!A127="",0,1)</f>
        <v>0</v>
      </c>
      <c r="T323" s="17" t="str">
        <f>IF(M2_Accesos!A127="","",IF(M2_Accesos!A127="","",M2_Accesos!A127))</f>
        <v/>
      </c>
      <c r="U323" s="17" t="str">
        <f>IF(M2_Accesos!A127="","",IF(M2_Accesos!R127="","",M2_Accesos!R127))</f>
        <v/>
      </c>
      <c r="V323" s="17" t="str">
        <f>IF(M2_Accesos!A127="","",IF(M2_Accesos!D127="","",M2_Accesos!D127))</f>
        <v/>
      </c>
      <c r="W323" s="17" t="str">
        <f>IF(M2_Accesos!A127="","",IF(M2_Accesos!B127="","",M2_Accesos!B127))</f>
        <v/>
      </c>
      <c r="X323" s="17" t="str">
        <f>IF(M2_Accesos!A127="","",IF(M2_Accesos!C127="","",M2_Accesos!C127))</f>
        <v/>
      </c>
      <c r="Y323" s="17" t="str">
        <f>IF(M2_Accesos!A127="","",IF(M2_Accesos!E127="","",M2_Accesos!E127))</f>
        <v/>
      </c>
      <c r="Z323" s="17" t="str">
        <f>IF(M2_Accesos!A127="","",IF(M2_Accesos!F127="","",M2_Accesos!F127))</f>
        <v/>
      </c>
      <c r="AA323" s="17" t="str">
        <f>IF(M2_Accesos!A127="","","M2 Accesos")</f>
        <v/>
      </c>
      <c r="AB323" s="17" t="str">
        <f>IF(M2_Accesos!A127="","",IF(M2_Accesos!G127="","",M2_Accesos!G127))</f>
        <v/>
      </c>
      <c r="AC323" s="17" t="str">
        <f>IF(M2_Accesos!A127="","",IF(M2_Accesos!M127="","",M2_Accesos!M127))</f>
        <v/>
      </c>
      <c r="AD323" s="17" t="str">
        <f>IF(M2_Accesos!A127="","","RD")</f>
        <v/>
      </c>
      <c r="AE323" s="17" t="str">
        <f>IF(M2_Accesos!A127="","",IF(M2_Accesos!O127="","",M2_Accesos!O127))</f>
        <v/>
      </c>
      <c r="AF323" s="17" t="str">
        <f>IF(M2_Accesos!A127="","",IF(M2_Accesos!P127="","",M2_Accesos!P127))</f>
        <v/>
      </c>
      <c r="AG323" s="17" t="str">
        <f>IF(M2_Accesos!A127="","",IF(M2_Accesos!Q127="","",M2_Accesos!Q127))</f>
        <v/>
      </c>
      <c r="AH323" s="17" t="str">
        <f>IF(M2_Accesos!A127="","",IF(M2_Accesos!J127="","",M2_Accesos!J127))</f>
        <v/>
      </c>
      <c r="AI323" s="17" t="str">
        <f>IF(M2_Accesos!A127="","","M2_Accesos!127")</f>
        <v/>
      </c>
      <c r="AJ323" s="17" t="str">
        <f>IF(M2_Accesos!A127="","",IF(M2_Accesos!M127="","Pendiente de resultado","Disponible"))</f>
        <v/>
      </c>
    </row>
    <row r="324" spans="1:36" ht="55.5" customHeight="1">
      <c r="A324" s="6" t="str">
        <f t="array" ref="A324">IF(320&gt;$S$1204,"",INDEX($T$5:$AJ$1204,MATCH(320,$S$5:$S$1204,0),1))</f>
        <v/>
      </c>
      <c r="B324" s="8" t="str">
        <f t="array" ref="B324">IF(320&gt;$S$1204,"",INDEX($T$5:$AJ$1204,MATCH(320,$S$5:$S$1204,0),2))</f>
        <v/>
      </c>
      <c r="C324" s="10" t="str">
        <f t="array" ref="C324">IF(320&gt;$S$1204,"",INDEX($T$5:$AJ$1204,MATCH(320,$S$5:$S$1204,0),3))</f>
        <v/>
      </c>
      <c r="D324" s="8" t="str">
        <f t="array" ref="D324">IF(320&gt;$S$1204,"",INDEX($T$5:$AJ$1204,MATCH(320,$S$5:$S$1204,0),4))</f>
        <v/>
      </c>
      <c r="E324" s="8" t="str">
        <f t="array" ref="E324">IF(320&gt;$S$1204,"",INDEX($T$5:$AJ$1204,MATCH(320,$S$5:$S$1204,0),5))</f>
        <v/>
      </c>
      <c r="F324" s="8" t="str">
        <f t="array" ref="F324">IF(320&gt;$S$1204,"",INDEX($T$5:$AJ$1204,MATCH(320,$S$5:$S$1204,0),6))</f>
        <v/>
      </c>
      <c r="G324" s="8" t="str">
        <f t="array" ref="G324">IF(320&gt;$S$1204,"",INDEX($T$5:$AJ$1204,MATCH(320,$S$5:$S$1204,0),7))</f>
        <v/>
      </c>
      <c r="H324" s="8" t="str">
        <f t="array" ref="H324">IF(320&gt;$S$1204,"",INDEX($T$5:$AJ$1204,MATCH(320,$S$5:$S$1204,0),8))</f>
        <v/>
      </c>
      <c r="I324" s="8" t="str">
        <f t="array" ref="I324">IF(320&gt;$S$1204,"",INDEX($T$5:$AJ$1204,MATCH(320,$S$5:$S$1204,0),9))</f>
        <v/>
      </c>
      <c r="J324" s="14" t="str">
        <f t="array" ref="J324">IF(320&gt;$S$1204,"",INDEX($T$5:$AJ$1204,MATCH(320,$S$5:$S$1204,0),10))</f>
        <v/>
      </c>
      <c r="K324" s="8" t="str">
        <f t="array" ref="K324">IF(320&gt;$S$1204,"",INDEX($T$5:$AJ$1204,MATCH(320,$S$5:$S$1204,0),11))</f>
        <v/>
      </c>
      <c r="L324" s="8" t="str">
        <f t="array" ref="L324">IF(320&gt;$S$1204,"",INDEX($T$5:$AJ$1204,MATCH(320,$S$5:$S$1204,0),12))</f>
        <v/>
      </c>
      <c r="M324" s="8" t="str">
        <f t="array" ref="M324">IF(320&gt;$S$1204,"",INDEX($T$5:$AJ$1204,MATCH(320,$S$5:$S$1204,0),13))</f>
        <v/>
      </c>
      <c r="N324" s="8" t="str">
        <f t="array" ref="N324">IF(320&gt;$S$1204,"",INDEX($T$5:$AJ$1204,MATCH(320,$S$5:$S$1204,0),14))</f>
        <v/>
      </c>
      <c r="O324" s="15" t="str">
        <f t="array" ref="O324">IF(320&gt;$S$1204,"",INDEX($T$5:$AJ$1204,MATCH(320,$S$5:$S$1204,0),15))</f>
        <v/>
      </c>
      <c r="P324" s="8" t="str">
        <f t="array" ref="P324">IF(320&gt;$S$1204,"",INDEX($T$5:$AJ$1204,MATCH(320,$S$5:$S$1204,0),16))</f>
        <v/>
      </c>
      <c r="Q324" s="8" t="str">
        <f t="array" ref="Q324">IF(320&gt;$S$1204,"",INDEX($T$5:$AJ$1204,MATCH(320,$S$5:$S$1204,0),17))</f>
        <v/>
      </c>
      <c r="R324" s="17"/>
      <c r="S324" s="17">
        <f>S323+IF(M2_Accesos!A128="",0,1)</f>
        <v>0</v>
      </c>
      <c r="T324" s="17" t="str">
        <f>IF(M2_Accesos!A128="","",IF(M2_Accesos!A128="","",M2_Accesos!A128))</f>
        <v/>
      </c>
      <c r="U324" s="17" t="str">
        <f>IF(M2_Accesos!A128="","",IF(M2_Accesos!R128="","",M2_Accesos!R128))</f>
        <v/>
      </c>
      <c r="V324" s="17" t="str">
        <f>IF(M2_Accesos!A128="","",IF(M2_Accesos!D128="","",M2_Accesos!D128))</f>
        <v/>
      </c>
      <c r="W324" s="17" t="str">
        <f>IF(M2_Accesos!A128="","",IF(M2_Accesos!B128="","",M2_Accesos!B128))</f>
        <v/>
      </c>
      <c r="X324" s="17" t="str">
        <f>IF(M2_Accesos!A128="","",IF(M2_Accesos!C128="","",M2_Accesos!C128))</f>
        <v/>
      </c>
      <c r="Y324" s="17" t="str">
        <f>IF(M2_Accesos!A128="","",IF(M2_Accesos!E128="","",M2_Accesos!E128))</f>
        <v/>
      </c>
      <c r="Z324" s="17" t="str">
        <f>IF(M2_Accesos!A128="","",IF(M2_Accesos!F128="","",M2_Accesos!F128))</f>
        <v/>
      </c>
      <c r="AA324" s="17" t="str">
        <f>IF(M2_Accesos!A128="","","M2 Accesos")</f>
        <v/>
      </c>
      <c r="AB324" s="17" t="str">
        <f>IF(M2_Accesos!A128="","",IF(M2_Accesos!G128="","",M2_Accesos!G128))</f>
        <v/>
      </c>
      <c r="AC324" s="17" t="str">
        <f>IF(M2_Accesos!A128="","",IF(M2_Accesos!M128="","",M2_Accesos!M128))</f>
        <v/>
      </c>
      <c r="AD324" s="17" t="str">
        <f>IF(M2_Accesos!A128="","","RD")</f>
        <v/>
      </c>
      <c r="AE324" s="17" t="str">
        <f>IF(M2_Accesos!A128="","",IF(M2_Accesos!O128="","",M2_Accesos!O128))</f>
        <v/>
      </c>
      <c r="AF324" s="17" t="str">
        <f>IF(M2_Accesos!A128="","",IF(M2_Accesos!P128="","",M2_Accesos!P128))</f>
        <v/>
      </c>
      <c r="AG324" s="17" t="str">
        <f>IF(M2_Accesos!A128="","",IF(M2_Accesos!Q128="","",M2_Accesos!Q128))</f>
        <v/>
      </c>
      <c r="AH324" s="17" t="str">
        <f>IF(M2_Accesos!A128="","",IF(M2_Accesos!J128="","",M2_Accesos!J128))</f>
        <v/>
      </c>
      <c r="AI324" s="17" t="str">
        <f>IF(M2_Accesos!A128="","","M2_Accesos!128")</f>
        <v/>
      </c>
      <c r="AJ324" s="17" t="str">
        <f>IF(M2_Accesos!A128="","",IF(M2_Accesos!M128="","Pendiente de resultado","Disponible"))</f>
        <v/>
      </c>
    </row>
    <row r="325" spans="1:36" ht="55.5" customHeight="1">
      <c r="A325" s="6" t="str">
        <f t="array" ref="A325">IF(321&gt;$S$1204,"",INDEX($T$5:$AJ$1204,MATCH(321,$S$5:$S$1204,0),1))</f>
        <v/>
      </c>
      <c r="B325" s="8" t="str">
        <f t="array" ref="B325">IF(321&gt;$S$1204,"",INDEX($T$5:$AJ$1204,MATCH(321,$S$5:$S$1204,0),2))</f>
        <v/>
      </c>
      <c r="C325" s="10" t="str">
        <f t="array" ref="C325">IF(321&gt;$S$1204,"",INDEX($T$5:$AJ$1204,MATCH(321,$S$5:$S$1204,0),3))</f>
        <v/>
      </c>
      <c r="D325" s="8" t="str">
        <f t="array" ref="D325">IF(321&gt;$S$1204,"",INDEX($T$5:$AJ$1204,MATCH(321,$S$5:$S$1204,0),4))</f>
        <v/>
      </c>
      <c r="E325" s="8" t="str">
        <f t="array" ref="E325">IF(321&gt;$S$1204,"",INDEX($T$5:$AJ$1204,MATCH(321,$S$5:$S$1204,0),5))</f>
        <v/>
      </c>
      <c r="F325" s="8" t="str">
        <f t="array" ref="F325">IF(321&gt;$S$1204,"",INDEX($T$5:$AJ$1204,MATCH(321,$S$5:$S$1204,0),6))</f>
        <v/>
      </c>
      <c r="G325" s="8" t="str">
        <f t="array" ref="G325">IF(321&gt;$S$1204,"",INDEX($T$5:$AJ$1204,MATCH(321,$S$5:$S$1204,0),7))</f>
        <v/>
      </c>
      <c r="H325" s="8" t="str">
        <f t="array" ref="H325">IF(321&gt;$S$1204,"",INDEX($T$5:$AJ$1204,MATCH(321,$S$5:$S$1204,0),8))</f>
        <v/>
      </c>
      <c r="I325" s="8" t="str">
        <f t="array" ref="I325">IF(321&gt;$S$1204,"",INDEX($T$5:$AJ$1204,MATCH(321,$S$5:$S$1204,0),9))</f>
        <v/>
      </c>
      <c r="J325" s="14" t="str">
        <f t="array" ref="J325">IF(321&gt;$S$1204,"",INDEX($T$5:$AJ$1204,MATCH(321,$S$5:$S$1204,0),10))</f>
        <v/>
      </c>
      <c r="K325" s="8" t="str">
        <f t="array" ref="K325">IF(321&gt;$S$1204,"",INDEX($T$5:$AJ$1204,MATCH(321,$S$5:$S$1204,0),11))</f>
        <v/>
      </c>
      <c r="L325" s="8" t="str">
        <f t="array" ref="L325">IF(321&gt;$S$1204,"",INDEX($T$5:$AJ$1204,MATCH(321,$S$5:$S$1204,0),12))</f>
        <v/>
      </c>
      <c r="M325" s="8" t="str">
        <f t="array" ref="M325">IF(321&gt;$S$1204,"",INDEX($T$5:$AJ$1204,MATCH(321,$S$5:$S$1204,0),13))</f>
        <v/>
      </c>
      <c r="N325" s="8" t="str">
        <f t="array" ref="N325">IF(321&gt;$S$1204,"",INDEX($T$5:$AJ$1204,MATCH(321,$S$5:$S$1204,0),14))</f>
        <v/>
      </c>
      <c r="O325" s="15" t="str">
        <f t="array" ref="O325">IF(321&gt;$S$1204,"",INDEX($T$5:$AJ$1204,MATCH(321,$S$5:$S$1204,0),15))</f>
        <v/>
      </c>
      <c r="P325" s="8" t="str">
        <f t="array" ref="P325">IF(321&gt;$S$1204,"",INDEX($T$5:$AJ$1204,MATCH(321,$S$5:$S$1204,0),16))</f>
        <v/>
      </c>
      <c r="Q325" s="8" t="str">
        <f t="array" ref="Q325">IF(321&gt;$S$1204,"",INDEX($T$5:$AJ$1204,MATCH(321,$S$5:$S$1204,0),17))</f>
        <v/>
      </c>
      <c r="R325" s="17"/>
      <c r="S325" s="17">
        <f>S324+IF(M2_Accesos!A129="",0,1)</f>
        <v>0</v>
      </c>
      <c r="T325" s="17" t="str">
        <f>IF(M2_Accesos!A129="","",IF(M2_Accesos!A129="","",M2_Accesos!A129))</f>
        <v/>
      </c>
      <c r="U325" s="17" t="str">
        <f>IF(M2_Accesos!A129="","",IF(M2_Accesos!R129="","",M2_Accesos!R129))</f>
        <v/>
      </c>
      <c r="V325" s="17" t="str">
        <f>IF(M2_Accesos!A129="","",IF(M2_Accesos!D129="","",M2_Accesos!D129))</f>
        <v/>
      </c>
      <c r="W325" s="17" t="str">
        <f>IF(M2_Accesos!A129="","",IF(M2_Accesos!B129="","",M2_Accesos!B129))</f>
        <v/>
      </c>
      <c r="X325" s="17" t="str">
        <f>IF(M2_Accesos!A129="","",IF(M2_Accesos!C129="","",M2_Accesos!C129))</f>
        <v/>
      </c>
      <c r="Y325" s="17" t="str">
        <f>IF(M2_Accesos!A129="","",IF(M2_Accesos!E129="","",M2_Accesos!E129))</f>
        <v/>
      </c>
      <c r="Z325" s="17" t="str">
        <f>IF(M2_Accesos!A129="","",IF(M2_Accesos!F129="","",M2_Accesos!F129))</f>
        <v/>
      </c>
      <c r="AA325" s="17" t="str">
        <f>IF(M2_Accesos!A129="","","M2 Accesos")</f>
        <v/>
      </c>
      <c r="AB325" s="17" t="str">
        <f>IF(M2_Accesos!A129="","",IF(M2_Accesos!G129="","",M2_Accesos!G129))</f>
        <v/>
      </c>
      <c r="AC325" s="17" t="str">
        <f>IF(M2_Accesos!A129="","",IF(M2_Accesos!M129="","",M2_Accesos!M129))</f>
        <v/>
      </c>
      <c r="AD325" s="17" t="str">
        <f>IF(M2_Accesos!A129="","","RD")</f>
        <v/>
      </c>
      <c r="AE325" s="17" t="str">
        <f>IF(M2_Accesos!A129="","",IF(M2_Accesos!O129="","",M2_Accesos!O129))</f>
        <v/>
      </c>
      <c r="AF325" s="17" t="str">
        <f>IF(M2_Accesos!A129="","",IF(M2_Accesos!P129="","",M2_Accesos!P129))</f>
        <v/>
      </c>
      <c r="AG325" s="17" t="str">
        <f>IF(M2_Accesos!A129="","",IF(M2_Accesos!Q129="","",M2_Accesos!Q129))</f>
        <v/>
      </c>
      <c r="AH325" s="17" t="str">
        <f>IF(M2_Accesos!A129="","",IF(M2_Accesos!J129="","",M2_Accesos!J129))</f>
        <v/>
      </c>
      <c r="AI325" s="17" t="str">
        <f>IF(M2_Accesos!A129="","","M2_Accesos!129")</f>
        <v/>
      </c>
      <c r="AJ325" s="17" t="str">
        <f>IF(M2_Accesos!A129="","",IF(M2_Accesos!M129="","Pendiente de resultado","Disponible"))</f>
        <v/>
      </c>
    </row>
    <row r="326" spans="1:36" ht="55.5" customHeight="1">
      <c r="A326" s="6" t="str">
        <f t="array" ref="A326">IF(322&gt;$S$1204,"",INDEX($T$5:$AJ$1204,MATCH(322,$S$5:$S$1204,0),1))</f>
        <v/>
      </c>
      <c r="B326" s="8" t="str">
        <f t="array" ref="B326">IF(322&gt;$S$1204,"",INDEX($T$5:$AJ$1204,MATCH(322,$S$5:$S$1204,0),2))</f>
        <v/>
      </c>
      <c r="C326" s="10" t="str">
        <f t="array" ref="C326">IF(322&gt;$S$1204,"",INDEX($T$5:$AJ$1204,MATCH(322,$S$5:$S$1204,0),3))</f>
        <v/>
      </c>
      <c r="D326" s="8" t="str">
        <f t="array" ref="D326">IF(322&gt;$S$1204,"",INDEX($T$5:$AJ$1204,MATCH(322,$S$5:$S$1204,0),4))</f>
        <v/>
      </c>
      <c r="E326" s="8" t="str">
        <f t="array" ref="E326">IF(322&gt;$S$1204,"",INDEX($T$5:$AJ$1204,MATCH(322,$S$5:$S$1204,0),5))</f>
        <v/>
      </c>
      <c r="F326" s="8" t="str">
        <f t="array" ref="F326">IF(322&gt;$S$1204,"",INDEX($T$5:$AJ$1204,MATCH(322,$S$5:$S$1204,0),6))</f>
        <v/>
      </c>
      <c r="G326" s="8" t="str">
        <f t="array" ref="G326">IF(322&gt;$S$1204,"",INDEX($T$5:$AJ$1204,MATCH(322,$S$5:$S$1204,0),7))</f>
        <v/>
      </c>
      <c r="H326" s="8" t="str">
        <f t="array" ref="H326">IF(322&gt;$S$1204,"",INDEX($T$5:$AJ$1204,MATCH(322,$S$5:$S$1204,0),8))</f>
        <v/>
      </c>
      <c r="I326" s="8" t="str">
        <f t="array" ref="I326">IF(322&gt;$S$1204,"",INDEX($T$5:$AJ$1204,MATCH(322,$S$5:$S$1204,0),9))</f>
        <v/>
      </c>
      <c r="J326" s="14" t="str">
        <f t="array" ref="J326">IF(322&gt;$S$1204,"",INDEX($T$5:$AJ$1204,MATCH(322,$S$5:$S$1204,0),10))</f>
        <v/>
      </c>
      <c r="K326" s="8" t="str">
        <f t="array" ref="K326">IF(322&gt;$S$1204,"",INDEX($T$5:$AJ$1204,MATCH(322,$S$5:$S$1204,0),11))</f>
        <v/>
      </c>
      <c r="L326" s="8" t="str">
        <f t="array" ref="L326">IF(322&gt;$S$1204,"",INDEX($T$5:$AJ$1204,MATCH(322,$S$5:$S$1204,0),12))</f>
        <v/>
      </c>
      <c r="M326" s="8" t="str">
        <f t="array" ref="M326">IF(322&gt;$S$1204,"",INDEX($T$5:$AJ$1204,MATCH(322,$S$5:$S$1204,0),13))</f>
        <v/>
      </c>
      <c r="N326" s="8" t="str">
        <f t="array" ref="N326">IF(322&gt;$S$1204,"",INDEX($T$5:$AJ$1204,MATCH(322,$S$5:$S$1204,0),14))</f>
        <v/>
      </c>
      <c r="O326" s="15" t="str">
        <f t="array" ref="O326">IF(322&gt;$S$1204,"",INDEX($T$5:$AJ$1204,MATCH(322,$S$5:$S$1204,0),15))</f>
        <v/>
      </c>
      <c r="P326" s="8" t="str">
        <f t="array" ref="P326">IF(322&gt;$S$1204,"",INDEX($T$5:$AJ$1204,MATCH(322,$S$5:$S$1204,0),16))</f>
        <v/>
      </c>
      <c r="Q326" s="8" t="str">
        <f t="array" ref="Q326">IF(322&gt;$S$1204,"",INDEX($T$5:$AJ$1204,MATCH(322,$S$5:$S$1204,0),17))</f>
        <v/>
      </c>
      <c r="R326" s="17"/>
      <c r="S326" s="17">
        <f>S325+IF(M2_Accesos!A130="",0,1)</f>
        <v>0</v>
      </c>
      <c r="T326" s="17" t="str">
        <f>IF(M2_Accesos!A130="","",IF(M2_Accesos!A130="","",M2_Accesos!A130))</f>
        <v/>
      </c>
      <c r="U326" s="17" t="str">
        <f>IF(M2_Accesos!A130="","",IF(M2_Accesos!R130="","",M2_Accesos!R130))</f>
        <v/>
      </c>
      <c r="V326" s="17" t="str">
        <f>IF(M2_Accesos!A130="","",IF(M2_Accesos!D130="","",M2_Accesos!D130))</f>
        <v/>
      </c>
      <c r="W326" s="17" t="str">
        <f>IF(M2_Accesos!A130="","",IF(M2_Accesos!B130="","",M2_Accesos!B130))</f>
        <v/>
      </c>
      <c r="X326" s="17" t="str">
        <f>IF(M2_Accesos!A130="","",IF(M2_Accesos!C130="","",M2_Accesos!C130))</f>
        <v/>
      </c>
      <c r="Y326" s="17" t="str">
        <f>IF(M2_Accesos!A130="","",IF(M2_Accesos!E130="","",M2_Accesos!E130))</f>
        <v/>
      </c>
      <c r="Z326" s="17" t="str">
        <f>IF(M2_Accesos!A130="","",IF(M2_Accesos!F130="","",M2_Accesos!F130))</f>
        <v/>
      </c>
      <c r="AA326" s="17" t="str">
        <f>IF(M2_Accesos!A130="","","M2 Accesos")</f>
        <v/>
      </c>
      <c r="AB326" s="17" t="str">
        <f>IF(M2_Accesos!A130="","",IF(M2_Accesos!G130="","",M2_Accesos!G130))</f>
        <v/>
      </c>
      <c r="AC326" s="17" t="str">
        <f>IF(M2_Accesos!A130="","",IF(M2_Accesos!M130="","",M2_Accesos!M130))</f>
        <v/>
      </c>
      <c r="AD326" s="17" t="str">
        <f>IF(M2_Accesos!A130="","","RD")</f>
        <v/>
      </c>
      <c r="AE326" s="17" t="str">
        <f>IF(M2_Accesos!A130="","",IF(M2_Accesos!O130="","",M2_Accesos!O130))</f>
        <v/>
      </c>
      <c r="AF326" s="17" t="str">
        <f>IF(M2_Accesos!A130="","",IF(M2_Accesos!P130="","",M2_Accesos!P130))</f>
        <v/>
      </c>
      <c r="AG326" s="17" t="str">
        <f>IF(M2_Accesos!A130="","",IF(M2_Accesos!Q130="","",M2_Accesos!Q130))</f>
        <v/>
      </c>
      <c r="AH326" s="17" t="str">
        <f>IF(M2_Accesos!A130="","",IF(M2_Accesos!J130="","",M2_Accesos!J130))</f>
        <v/>
      </c>
      <c r="AI326" s="17" t="str">
        <f>IF(M2_Accesos!A130="","","M2_Accesos!130")</f>
        <v/>
      </c>
      <c r="AJ326" s="17" t="str">
        <f>IF(M2_Accesos!A130="","",IF(M2_Accesos!M130="","Pendiente de resultado","Disponible"))</f>
        <v/>
      </c>
    </row>
    <row r="327" spans="1:36" ht="55.5" customHeight="1">
      <c r="A327" s="6" t="str">
        <f t="array" ref="A327">IF(323&gt;$S$1204,"",INDEX($T$5:$AJ$1204,MATCH(323,$S$5:$S$1204,0),1))</f>
        <v/>
      </c>
      <c r="B327" s="8" t="str">
        <f t="array" ref="B327">IF(323&gt;$S$1204,"",INDEX($T$5:$AJ$1204,MATCH(323,$S$5:$S$1204,0),2))</f>
        <v/>
      </c>
      <c r="C327" s="10" t="str">
        <f t="array" ref="C327">IF(323&gt;$S$1204,"",INDEX($T$5:$AJ$1204,MATCH(323,$S$5:$S$1204,0),3))</f>
        <v/>
      </c>
      <c r="D327" s="8" t="str">
        <f t="array" ref="D327">IF(323&gt;$S$1204,"",INDEX($T$5:$AJ$1204,MATCH(323,$S$5:$S$1204,0),4))</f>
        <v/>
      </c>
      <c r="E327" s="8" t="str">
        <f t="array" ref="E327">IF(323&gt;$S$1204,"",INDEX($T$5:$AJ$1204,MATCH(323,$S$5:$S$1204,0),5))</f>
        <v/>
      </c>
      <c r="F327" s="8" t="str">
        <f t="array" ref="F327">IF(323&gt;$S$1204,"",INDEX($T$5:$AJ$1204,MATCH(323,$S$5:$S$1204,0),6))</f>
        <v/>
      </c>
      <c r="G327" s="8" t="str">
        <f t="array" ref="G327">IF(323&gt;$S$1204,"",INDEX($T$5:$AJ$1204,MATCH(323,$S$5:$S$1204,0),7))</f>
        <v/>
      </c>
      <c r="H327" s="8" t="str">
        <f t="array" ref="H327">IF(323&gt;$S$1204,"",INDEX($T$5:$AJ$1204,MATCH(323,$S$5:$S$1204,0),8))</f>
        <v/>
      </c>
      <c r="I327" s="8" t="str">
        <f t="array" ref="I327">IF(323&gt;$S$1204,"",INDEX($T$5:$AJ$1204,MATCH(323,$S$5:$S$1204,0),9))</f>
        <v/>
      </c>
      <c r="J327" s="14" t="str">
        <f t="array" ref="J327">IF(323&gt;$S$1204,"",INDEX($T$5:$AJ$1204,MATCH(323,$S$5:$S$1204,0),10))</f>
        <v/>
      </c>
      <c r="K327" s="8" t="str">
        <f t="array" ref="K327">IF(323&gt;$S$1204,"",INDEX($T$5:$AJ$1204,MATCH(323,$S$5:$S$1204,0),11))</f>
        <v/>
      </c>
      <c r="L327" s="8" t="str">
        <f t="array" ref="L327">IF(323&gt;$S$1204,"",INDEX($T$5:$AJ$1204,MATCH(323,$S$5:$S$1204,0),12))</f>
        <v/>
      </c>
      <c r="M327" s="8" t="str">
        <f t="array" ref="M327">IF(323&gt;$S$1204,"",INDEX($T$5:$AJ$1204,MATCH(323,$S$5:$S$1204,0),13))</f>
        <v/>
      </c>
      <c r="N327" s="8" t="str">
        <f t="array" ref="N327">IF(323&gt;$S$1204,"",INDEX($T$5:$AJ$1204,MATCH(323,$S$5:$S$1204,0),14))</f>
        <v/>
      </c>
      <c r="O327" s="15" t="str">
        <f t="array" ref="O327">IF(323&gt;$S$1204,"",INDEX($T$5:$AJ$1204,MATCH(323,$S$5:$S$1204,0),15))</f>
        <v/>
      </c>
      <c r="P327" s="8" t="str">
        <f t="array" ref="P327">IF(323&gt;$S$1204,"",INDEX($T$5:$AJ$1204,MATCH(323,$S$5:$S$1204,0),16))</f>
        <v/>
      </c>
      <c r="Q327" s="8" t="str">
        <f t="array" ref="Q327">IF(323&gt;$S$1204,"",INDEX($T$5:$AJ$1204,MATCH(323,$S$5:$S$1204,0),17))</f>
        <v/>
      </c>
      <c r="R327" s="17"/>
      <c r="S327" s="17">
        <f>S326+IF(M2_Accesos!A131="",0,1)</f>
        <v>0</v>
      </c>
      <c r="T327" s="17" t="str">
        <f>IF(M2_Accesos!A131="","",IF(M2_Accesos!A131="","",M2_Accesos!A131))</f>
        <v/>
      </c>
      <c r="U327" s="17" t="str">
        <f>IF(M2_Accesos!A131="","",IF(M2_Accesos!R131="","",M2_Accesos!R131))</f>
        <v/>
      </c>
      <c r="V327" s="17" t="str">
        <f>IF(M2_Accesos!A131="","",IF(M2_Accesos!D131="","",M2_Accesos!D131))</f>
        <v/>
      </c>
      <c r="W327" s="17" t="str">
        <f>IF(M2_Accesos!A131="","",IF(M2_Accesos!B131="","",M2_Accesos!B131))</f>
        <v/>
      </c>
      <c r="X327" s="17" t="str">
        <f>IF(M2_Accesos!A131="","",IF(M2_Accesos!C131="","",M2_Accesos!C131))</f>
        <v/>
      </c>
      <c r="Y327" s="17" t="str">
        <f>IF(M2_Accesos!A131="","",IF(M2_Accesos!E131="","",M2_Accesos!E131))</f>
        <v/>
      </c>
      <c r="Z327" s="17" t="str">
        <f>IF(M2_Accesos!A131="","",IF(M2_Accesos!F131="","",M2_Accesos!F131))</f>
        <v/>
      </c>
      <c r="AA327" s="17" t="str">
        <f>IF(M2_Accesos!A131="","","M2 Accesos")</f>
        <v/>
      </c>
      <c r="AB327" s="17" t="str">
        <f>IF(M2_Accesos!A131="","",IF(M2_Accesos!G131="","",M2_Accesos!G131))</f>
        <v/>
      </c>
      <c r="AC327" s="17" t="str">
        <f>IF(M2_Accesos!A131="","",IF(M2_Accesos!M131="","",M2_Accesos!M131))</f>
        <v/>
      </c>
      <c r="AD327" s="17" t="str">
        <f>IF(M2_Accesos!A131="","","RD")</f>
        <v/>
      </c>
      <c r="AE327" s="17" t="str">
        <f>IF(M2_Accesos!A131="","",IF(M2_Accesos!O131="","",M2_Accesos!O131))</f>
        <v/>
      </c>
      <c r="AF327" s="17" t="str">
        <f>IF(M2_Accesos!A131="","",IF(M2_Accesos!P131="","",M2_Accesos!P131))</f>
        <v/>
      </c>
      <c r="AG327" s="17" t="str">
        <f>IF(M2_Accesos!A131="","",IF(M2_Accesos!Q131="","",M2_Accesos!Q131))</f>
        <v/>
      </c>
      <c r="AH327" s="17" t="str">
        <f>IF(M2_Accesos!A131="","",IF(M2_Accesos!J131="","",M2_Accesos!J131))</f>
        <v/>
      </c>
      <c r="AI327" s="17" t="str">
        <f>IF(M2_Accesos!A131="","","M2_Accesos!131")</f>
        <v/>
      </c>
      <c r="AJ327" s="17" t="str">
        <f>IF(M2_Accesos!A131="","",IF(M2_Accesos!M131="","Pendiente de resultado","Disponible"))</f>
        <v/>
      </c>
    </row>
    <row r="328" spans="1:36" ht="55.5" customHeight="1">
      <c r="A328" s="6" t="str">
        <f t="array" ref="A328">IF(324&gt;$S$1204,"",INDEX($T$5:$AJ$1204,MATCH(324,$S$5:$S$1204,0),1))</f>
        <v/>
      </c>
      <c r="B328" s="8" t="str">
        <f t="array" ref="B328">IF(324&gt;$S$1204,"",INDEX($T$5:$AJ$1204,MATCH(324,$S$5:$S$1204,0),2))</f>
        <v/>
      </c>
      <c r="C328" s="10" t="str">
        <f t="array" ref="C328">IF(324&gt;$S$1204,"",INDEX($T$5:$AJ$1204,MATCH(324,$S$5:$S$1204,0),3))</f>
        <v/>
      </c>
      <c r="D328" s="8" t="str">
        <f t="array" ref="D328">IF(324&gt;$S$1204,"",INDEX($T$5:$AJ$1204,MATCH(324,$S$5:$S$1204,0),4))</f>
        <v/>
      </c>
      <c r="E328" s="8" t="str">
        <f t="array" ref="E328">IF(324&gt;$S$1204,"",INDEX($T$5:$AJ$1204,MATCH(324,$S$5:$S$1204,0),5))</f>
        <v/>
      </c>
      <c r="F328" s="8" t="str">
        <f t="array" ref="F328">IF(324&gt;$S$1204,"",INDEX($T$5:$AJ$1204,MATCH(324,$S$5:$S$1204,0),6))</f>
        <v/>
      </c>
      <c r="G328" s="8" t="str">
        <f t="array" ref="G328">IF(324&gt;$S$1204,"",INDEX($T$5:$AJ$1204,MATCH(324,$S$5:$S$1204,0),7))</f>
        <v/>
      </c>
      <c r="H328" s="8" t="str">
        <f t="array" ref="H328">IF(324&gt;$S$1204,"",INDEX($T$5:$AJ$1204,MATCH(324,$S$5:$S$1204,0),8))</f>
        <v/>
      </c>
      <c r="I328" s="8" t="str">
        <f t="array" ref="I328">IF(324&gt;$S$1204,"",INDEX($T$5:$AJ$1204,MATCH(324,$S$5:$S$1204,0),9))</f>
        <v/>
      </c>
      <c r="J328" s="14" t="str">
        <f t="array" ref="J328">IF(324&gt;$S$1204,"",INDEX($T$5:$AJ$1204,MATCH(324,$S$5:$S$1204,0),10))</f>
        <v/>
      </c>
      <c r="K328" s="8" t="str">
        <f t="array" ref="K328">IF(324&gt;$S$1204,"",INDEX($T$5:$AJ$1204,MATCH(324,$S$5:$S$1204,0),11))</f>
        <v/>
      </c>
      <c r="L328" s="8" t="str">
        <f t="array" ref="L328">IF(324&gt;$S$1204,"",INDEX($T$5:$AJ$1204,MATCH(324,$S$5:$S$1204,0),12))</f>
        <v/>
      </c>
      <c r="M328" s="8" t="str">
        <f t="array" ref="M328">IF(324&gt;$S$1204,"",INDEX($T$5:$AJ$1204,MATCH(324,$S$5:$S$1204,0),13))</f>
        <v/>
      </c>
      <c r="N328" s="8" t="str">
        <f t="array" ref="N328">IF(324&gt;$S$1204,"",INDEX($T$5:$AJ$1204,MATCH(324,$S$5:$S$1204,0),14))</f>
        <v/>
      </c>
      <c r="O328" s="15" t="str">
        <f t="array" ref="O328">IF(324&gt;$S$1204,"",INDEX($T$5:$AJ$1204,MATCH(324,$S$5:$S$1204,0),15))</f>
        <v/>
      </c>
      <c r="P328" s="8" t="str">
        <f t="array" ref="P328">IF(324&gt;$S$1204,"",INDEX($T$5:$AJ$1204,MATCH(324,$S$5:$S$1204,0),16))</f>
        <v/>
      </c>
      <c r="Q328" s="8" t="str">
        <f t="array" ref="Q328">IF(324&gt;$S$1204,"",INDEX($T$5:$AJ$1204,MATCH(324,$S$5:$S$1204,0),17))</f>
        <v/>
      </c>
      <c r="R328" s="17"/>
      <c r="S328" s="17">
        <f>S327+IF(M2_Accesos!A132="",0,1)</f>
        <v>0</v>
      </c>
      <c r="T328" s="17" t="str">
        <f>IF(M2_Accesos!A132="","",IF(M2_Accesos!A132="","",M2_Accesos!A132))</f>
        <v/>
      </c>
      <c r="U328" s="17" t="str">
        <f>IF(M2_Accesos!A132="","",IF(M2_Accesos!R132="","",M2_Accesos!R132))</f>
        <v/>
      </c>
      <c r="V328" s="17" t="str">
        <f>IF(M2_Accesos!A132="","",IF(M2_Accesos!D132="","",M2_Accesos!D132))</f>
        <v/>
      </c>
      <c r="W328" s="17" t="str">
        <f>IF(M2_Accesos!A132="","",IF(M2_Accesos!B132="","",M2_Accesos!B132))</f>
        <v/>
      </c>
      <c r="X328" s="17" t="str">
        <f>IF(M2_Accesos!A132="","",IF(M2_Accesos!C132="","",M2_Accesos!C132))</f>
        <v/>
      </c>
      <c r="Y328" s="17" t="str">
        <f>IF(M2_Accesos!A132="","",IF(M2_Accesos!E132="","",M2_Accesos!E132))</f>
        <v/>
      </c>
      <c r="Z328" s="17" t="str">
        <f>IF(M2_Accesos!A132="","",IF(M2_Accesos!F132="","",M2_Accesos!F132))</f>
        <v/>
      </c>
      <c r="AA328" s="17" t="str">
        <f>IF(M2_Accesos!A132="","","M2 Accesos")</f>
        <v/>
      </c>
      <c r="AB328" s="17" t="str">
        <f>IF(M2_Accesos!A132="","",IF(M2_Accesos!G132="","",M2_Accesos!G132))</f>
        <v/>
      </c>
      <c r="AC328" s="17" t="str">
        <f>IF(M2_Accesos!A132="","",IF(M2_Accesos!M132="","",M2_Accesos!M132))</f>
        <v/>
      </c>
      <c r="AD328" s="17" t="str">
        <f>IF(M2_Accesos!A132="","","RD")</f>
        <v/>
      </c>
      <c r="AE328" s="17" t="str">
        <f>IF(M2_Accesos!A132="","",IF(M2_Accesos!O132="","",M2_Accesos!O132))</f>
        <v/>
      </c>
      <c r="AF328" s="17" t="str">
        <f>IF(M2_Accesos!A132="","",IF(M2_Accesos!P132="","",M2_Accesos!P132))</f>
        <v/>
      </c>
      <c r="AG328" s="17" t="str">
        <f>IF(M2_Accesos!A132="","",IF(M2_Accesos!Q132="","",M2_Accesos!Q132))</f>
        <v/>
      </c>
      <c r="AH328" s="17" t="str">
        <f>IF(M2_Accesos!A132="","",IF(M2_Accesos!J132="","",M2_Accesos!J132))</f>
        <v/>
      </c>
      <c r="AI328" s="17" t="str">
        <f>IF(M2_Accesos!A132="","","M2_Accesos!132")</f>
        <v/>
      </c>
      <c r="AJ328" s="17" t="str">
        <f>IF(M2_Accesos!A132="","",IF(M2_Accesos!M132="","Pendiente de resultado","Disponible"))</f>
        <v/>
      </c>
    </row>
    <row r="329" spans="1:36" ht="55.5" customHeight="1">
      <c r="A329" s="6" t="str">
        <f t="array" ref="A329">IF(325&gt;$S$1204,"",INDEX($T$5:$AJ$1204,MATCH(325,$S$5:$S$1204,0),1))</f>
        <v/>
      </c>
      <c r="B329" s="8" t="str">
        <f t="array" ref="B329">IF(325&gt;$S$1204,"",INDEX($T$5:$AJ$1204,MATCH(325,$S$5:$S$1204,0),2))</f>
        <v/>
      </c>
      <c r="C329" s="10" t="str">
        <f t="array" ref="C329">IF(325&gt;$S$1204,"",INDEX($T$5:$AJ$1204,MATCH(325,$S$5:$S$1204,0),3))</f>
        <v/>
      </c>
      <c r="D329" s="8" t="str">
        <f t="array" ref="D329">IF(325&gt;$S$1204,"",INDEX($T$5:$AJ$1204,MATCH(325,$S$5:$S$1204,0),4))</f>
        <v/>
      </c>
      <c r="E329" s="8" t="str">
        <f t="array" ref="E329">IF(325&gt;$S$1204,"",INDEX($T$5:$AJ$1204,MATCH(325,$S$5:$S$1204,0),5))</f>
        <v/>
      </c>
      <c r="F329" s="8" t="str">
        <f t="array" ref="F329">IF(325&gt;$S$1204,"",INDEX($T$5:$AJ$1204,MATCH(325,$S$5:$S$1204,0),6))</f>
        <v/>
      </c>
      <c r="G329" s="8" t="str">
        <f t="array" ref="G329">IF(325&gt;$S$1204,"",INDEX($T$5:$AJ$1204,MATCH(325,$S$5:$S$1204,0),7))</f>
        <v/>
      </c>
      <c r="H329" s="8" t="str">
        <f t="array" ref="H329">IF(325&gt;$S$1204,"",INDEX($T$5:$AJ$1204,MATCH(325,$S$5:$S$1204,0),8))</f>
        <v/>
      </c>
      <c r="I329" s="8" t="str">
        <f t="array" ref="I329">IF(325&gt;$S$1204,"",INDEX($T$5:$AJ$1204,MATCH(325,$S$5:$S$1204,0),9))</f>
        <v/>
      </c>
      <c r="J329" s="14" t="str">
        <f t="array" ref="J329">IF(325&gt;$S$1204,"",INDEX($T$5:$AJ$1204,MATCH(325,$S$5:$S$1204,0),10))</f>
        <v/>
      </c>
      <c r="K329" s="8" t="str">
        <f t="array" ref="K329">IF(325&gt;$S$1204,"",INDEX($T$5:$AJ$1204,MATCH(325,$S$5:$S$1204,0),11))</f>
        <v/>
      </c>
      <c r="L329" s="8" t="str">
        <f t="array" ref="L329">IF(325&gt;$S$1204,"",INDEX($T$5:$AJ$1204,MATCH(325,$S$5:$S$1204,0),12))</f>
        <v/>
      </c>
      <c r="M329" s="8" t="str">
        <f t="array" ref="M329">IF(325&gt;$S$1204,"",INDEX($T$5:$AJ$1204,MATCH(325,$S$5:$S$1204,0),13))</f>
        <v/>
      </c>
      <c r="N329" s="8" t="str">
        <f t="array" ref="N329">IF(325&gt;$S$1204,"",INDEX($T$5:$AJ$1204,MATCH(325,$S$5:$S$1204,0),14))</f>
        <v/>
      </c>
      <c r="O329" s="15" t="str">
        <f t="array" ref="O329">IF(325&gt;$S$1204,"",INDEX($T$5:$AJ$1204,MATCH(325,$S$5:$S$1204,0),15))</f>
        <v/>
      </c>
      <c r="P329" s="8" t="str">
        <f t="array" ref="P329">IF(325&gt;$S$1204,"",INDEX($T$5:$AJ$1204,MATCH(325,$S$5:$S$1204,0),16))</f>
        <v/>
      </c>
      <c r="Q329" s="8" t="str">
        <f t="array" ref="Q329">IF(325&gt;$S$1204,"",INDEX($T$5:$AJ$1204,MATCH(325,$S$5:$S$1204,0),17))</f>
        <v/>
      </c>
      <c r="R329" s="17"/>
      <c r="S329" s="17">
        <f>S328+IF(M2_Accesos!A133="",0,1)</f>
        <v>0</v>
      </c>
      <c r="T329" s="17" t="str">
        <f>IF(M2_Accesos!A133="","",IF(M2_Accesos!A133="","",M2_Accesos!A133))</f>
        <v/>
      </c>
      <c r="U329" s="17" t="str">
        <f>IF(M2_Accesos!A133="","",IF(M2_Accesos!R133="","",M2_Accesos!R133))</f>
        <v/>
      </c>
      <c r="V329" s="17" t="str">
        <f>IF(M2_Accesos!A133="","",IF(M2_Accesos!D133="","",M2_Accesos!D133))</f>
        <v/>
      </c>
      <c r="W329" s="17" t="str">
        <f>IF(M2_Accesos!A133="","",IF(M2_Accesos!B133="","",M2_Accesos!B133))</f>
        <v/>
      </c>
      <c r="X329" s="17" t="str">
        <f>IF(M2_Accesos!A133="","",IF(M2_Accesos!C133="","",M2_Accesos!C133))</f>
        <v/>
      </c>
      <c r="Y329" s="17" t="str">
        <f>IF(M2_Accesos!A133="","",IF(M2_Accesos!E133="","",M2_Accesos!E133))</f>
        <v/>
      </c>
      <c r="Z329" s="17" t="str">
        <f>IF(M2_Accesos!A133="","",IF(M2_Accesos!F133="","",M2_Accesos!F133))</f>
        <v/>
      </c>
      <c r="AA329" s="17" t="str">
        <f>IF(M2_Accesos!A133="","","M2 Accesos")</f>
        <v/>
      </c>
      <c r="AB329" s="17" t="str">
        <f>IF(M2_Accesos!A133="","",IF(M2_Accesos!G133="","",M2_Accesos!G133))</f>
        <v/>
      </c>
      <c r="AC329" s="17" t="str">
        <f>IF(M2_Accesos!A133="","",IF(M2_Accesos!M133="","",M2_Accesos!M133))</f>
        <v/>
      </c>
      <c r="AD329" s="17" t="str">
        <f>IF(M2_Accesos!A133="","","RD")</f>
        <v/>
      </c>
      <c r="AE329" s="17" t="str">
        <f>IF(M2_Accesos!A133="","",IF(M2_Accesos!O133="","",M2_Accesos!O133))</f>
        <v/>
      </c>
      <c r="AF329" s="17" t="str">
        <f>IF(M2_Accesos!A133="","",IF(M2_Accesos!P133="","",M2_Accesos!P133))</f>
        <v/>
      </c>
      <c r="AG329" s="17" t="str">
        <f>IF(M2_Accesos!A133="","",IF(M2_Accesos!Q133="","",M2_Accesos!Q133))</f>
        <v/>
      </c>
      <c r="AH329" s="17" t="str">
        <f>IF(M2_Accesos!A133="","",IF(M2_Accesos!J133="","",M2_Accesos!J133))</f>
        <v/>
      </c>
      <c r="AI329" s="17" t="str">
        <f>IF(M2_Accesos!A133="","","M2_Accesos!133")</f>
        <v/>
      </c>
      <c r="AJ329" s="17" t="str">
        <f>IF(M2_Accesos!A133="","",IF(M2_Accesos!M133="","Pendiente de resultado","Disponible"))</f>
        <v/>
      </c>
    </row>
    <row r="330" spans="1:36" ht="55.5" customHeight="1">
      <c r="A330" s="6" t="str">
        <f t="array" ref="A330">IF(326&gt;$S$1204,"",INDEX($T$5:$AJ$1204,MATCH(326,$S$5:$S$1204,0),1))</f>
        <v/>
      </c>
      <c r="B330" s="8" t="str">
        <f t="array" ref="B330">IF(326&gt;$S$1204,"",INDEX($T$5:$AJ$1204,MATCH(326,$S$5:$S$1204,0),2))</f>
        <v/>
      </c>
      <c r="C330" s="10" t="str">
        <f t="array" ref="C330">IF(326&gt;$S$1204,"",INDEX($T$5:$AJ$1204,MATCH(326,$S$5:$S$1204,0),3))</f>
        <v/>
      </c>
      <c r="D330" s="8" t="str">
        <f t="array" ref="D330">IF(326&gt;$S$1204,"",INDEX($T$5:$AJ$1204,MATCH(326,$S$5:$S$1204,0),4))</f>
        <v/>
      </c>
      <c r="E330" s="8" t="str">
        <f t="array" ref="E330">IF(326&gt;$S$1204,"",INDEX($T$5:$AJ$1204,MATCH(326,$S$5:$S$1204,0),5))</f>
        <v/>
      </c>
      <c r="F330" s="8" t="str">
        <f t="array" ref="F330">IF(326&gt;$S$1204,"",INDEX($T$5:$AJ$1204,MATCH(326,$S$5:$S$1204,0),6))</f>
        <v/>
      </c>
      <c r="G330" s="8" t="str">
        <f t="array" ref="G330">IF(326&gt;$S$1204,"",INDEX($T$5:$AJ$1204,MATCH(326,$S$5:$S$1204,0),7))</f>
        <v/>
      </c>
      <c r="H330" s="8" t="str">
        <f t="array" ref="H330">IF(326&gt;$S$1204,"",INDEX($T$5:$AJ$1204,MATCH(326,$S$5:$S$1204,0),8))</f>
        <v/>
      </c>
      <c r="I330" s="8" t="str">
        <f t="array" ref="I330">IF(326&gt;$S$1204,"",INDEX($T$5:$AJ$1204,MATCH(326,$S$5:$S$1204,0),9))</f>
        <v/>
      </c>
      <c r="J330" s="14" t="str">
        <f t="array" ref="J330">IF(326&gt;$S$1204,"",INDEX($T$5:$AJ$1204,MATCH(326,$S$5:$S$1204,0),10))</f>
        <v/>
      </c>
      <c r="K330" s="8" t="str">
        <f t="array" ref="K330">IF(326&gt;$S$1204,"",INDEX($T$5:$AJ$1204,MATCH(326,$S$5:$S$1204,0),11))</f>
        <v/>
      </c>
      <c r="L330" s="8" t="str">
        <f t="array" ref="L330">IF(326&gt;$S$1204,"",INDEX($T$5:$AJ$1204,MATCH(326,$S$5:$S$1204,0),12))</f>
        <v/>
      </c>
      <c r="M330" s="8" t="str">
        <f t="array" ref="M330">IF(326&gt;$S$1204,"",INDEX($T$5:$AJ$1204,MATCH(326,$S$5:$S$1204,0),13))</f>
        <v/>
      </c>
      <c r="N330" s="8" t="str">
        <f t="array" ref="N330">IF(326&gt;$S$1204,"",INDEX($T$5:$AJ$1204,MATCH(326,$S$5:$S$1204,0),14))</f>
        <v/>
      </c>
      <c r="O330" s="15" t="str">
        <f t="array" ref="O330">IF(326&gt;$S$1204,"",INDEX($T$5:$AJ$1204,MATCH(326,$S$5:$S$1204,0),15))</f>
        <v/>
      </c>
      <c r="P330" s="8" t="str">
        <f t="array" ref="P330">IF(326&gt;$S$1204,"",INDEX($T$5:$AJ$1204,MATCH(326,$S$5:$S$1204,0),16))</f>
        <v/>
      </c>
      <c r="Q330" s="8" t="str">
        <f t="array" ref="Q330">IF(326&gt;$S$1204,"",INDEX($T$5:$AJ$1204,MATCH(326,$S$5:$S$1204,0),17))</f>
        <v/>
      </c>
      <c r="R330" s="17"/>
      <c r="S330" s="17">
        <f>S329+IF(M2_Accesos!A134="",0,1)</f>
        <v>0</v>
      </c>
      <c r="T330" s="17" t="str">
        <f>IF(M2_Accesos!A134="","",IF(M2_Accesos!A134="","",M2_Accesos!A134))</f>
        <v/>
      </c>
      <c r="U330" s="17" t="str">
        <f>IF(M2_Accesos!A134="","",IF(M2_Accesos!R134="","",M2_Accesos!R134))</f>
        <v/>
      </c>
      <c r="V330" s="17" t="str">
        <f>IF(M2_Accesos!A134="","",IF(M2_Accesos!D134="","",M2_Accesos!D134))</f>
        <v/>
      </c>
      <c r="W330" s="17" t="str">
        <f>IF(M2_Accesos!A134="","",IF(M2_Accesos!B134="","",M2_Accesos!B134))</f>
        <v/>
      </c>
      <c r="X330" s="17" t="str">
        <f>IF(M2_Accesos!A134="","",IF(M2_Accesos!C134="","",M2_Accesos!C134))</f>
        <v/>
      </c>
      <c r="Y330" s="17" t="str">
        <f>IF(M2_Accesos!A134="","",IF(M2_Accesos!E134="","",M2_Accesos!E134))</f>
        <v/>
      </c>
      <c r="Z330" s="17" t="str">
        <f>IF(M2_Accesos!A134="","",IF(M2_Accesos!F134="","",M2_Accesos!F134))</f>
        <v/>
      </c>
      <c r="AA330" s="17" t="str">
        <f>IF(M2_Accesos!A134="","","M2 Accesos")</f>
        <v/>
      </c>
      <c r="AB330" s="17" t="str">
        <f>IF(M2_Accesos!A134="","",IF(M2_Accesos!G134="","",M2_Accesos!G134))</f>
        <v/>
      </c>
      <c r="AC330" s="17" t="str">
        <f>IF(M2_Accesos!A134="","",IF(M2_Accesos!M134="","",M2_Accesos!M134))</f>
        <v/>
      </c>
      <c r="AD330" s="17" t="str">
        <f>IF(M2_Accesos!A134="","","RD")</f>
        <v/>
      </c>
      <c r="AE330" s="17" t="str">
        <f>IF(M2_Accesos!A134="","",IF(M2_Accesos!O134="","",M2_Accesos!O134))</f>
        <v/>
      </c>
      <c r="AF330" s="17" t="str">
        <f>IF(M2_Accesos!A134="","",IF(M2_Accesos!P134="","",M2_Accesos!P134))</f>
        <v/>
      </c>
      <c r="AG330" s="17" t="str">
        <f>IF(M2_Accesos!A134="","",IF(M2_Accesos!Q134="","",M2_Accesos!Q134))</f>
        <v/>
      </c>
      <c r="AH330" s="17" t="str">
        <f>IF(M2_Accesos!A134="","",IF(M2_Accesos!J134="","",M2_Accesos!J134))</f>
        <v/>
      </c>
      <c r="AI330" s="17" t="str">
        <f>IF(M2_Accesos!A134="","","M2_Accesos!134")</f>
        <v/>
      </c>
      <c r="AJ330" s="17" t="str">
        <f>IF(M2_Accesos!A134="","",IF(M2_Accesos!M134="","Pendiente de resultado","Disponible"))</f>
        <v/>
      </c>
    </row>
    <row r="331" spans="1:36" ht="55.5" customHeight="1">
      <c r="A331" s="6" t="str">
        <f t="array" ref="A331">IF(327&gt;$S$1204,"",INDEX($T$5:$AJ$1204,MATCH(327,$S$5:$S$1204,0),1))</f>
        <v/>
      </c>
      <c r="B331" s="8" t="str">
        <f t="array" ref="B331">IF(327&gt;$S$1204,"",INDEX($T$5:$AJ$1204,MATCH(327,$S$5:$S$1204,0),2))</f>
        <v/>
      </c>
      <c r="C331" s="10" t="str">
        <f t="array" ref="C331">IF(327&gt;$S$1204,"",INDEX($T$5:$AJ$1204,MATCH(327,$S$5:$S$1204,0),3))</f>
        <v/>
      </c>
      <c r="D331" s="8" t="str">
        <f t="array" ref="D331">IF(327&gt;$S$1204,"",INDEX($T$5:$AJ$1204,MATCH(327,$S$5:$S$1204,0),4))</f>
        <v/>
      </c>
      <c r="E331" s="8" t="str">
        <f t="array" ref="E331">IF(327&gt;$S$1204,"",INDEX($T$5:$AJ$1204,MATCH(327,$S$5:$S$1204,0),5))</f>
        <v/>
      </c>
      <c r="F331" s="8" t="str">
        <f t="array" ref="F331">IF(327&gt;$S$1204,"",INDEX($T$5:$AJ$1204,MATCH(327,$S$5:$S$1204,0),6))</f>
        <v/>
      </c>
      <c r="G331" s="8" t="str">
        <f t="array" ref="G331">IF(327&gt;$S$1204,"",INDEX($T$5:$AJ$1204,MATCH(327,$S$5:$S$1204,0),7))</f>
        <v/>
      </c>
      <c r="H331" s="8" t="str">
        <f t="array" ref="H331">IF(327&gt;$S$1204,"",INDEX($T$5:$AJ$1204,MATCH(327,$S$5:$S$1204,0),8))</f>
        <v/>
      </c>
      <c r="I331" s="8" t="str">
        <f t="array" ref="I331">IF(327&gt;$S$1204,"",INDEX($T$5:$AJ$1204,MATCH(327,$S$5:$S$1204,0),9))</f>
        <v/>
      </c>
      <c r="J331" s="14" t="str">
        <f t="array" ref="J331">IF(327&gt;$S$1204,"",INDEX($T$5:$AJ$1204,MATCH(327,$S$5:$S$1204,0),10))</f>
        <v/>
      </c>
      <c r="K331" s="8" t="str">
        <f t="array" ref="K331">IF(327&gt;$S$1204,"",INDEX($T$5:$AJ$1204,MATCH(327,$S$5:$S$1204,0),11))</f>
        <v/>
      </c>
      <c r="L331" s="8" t="str">
        <f t="array" ref="L331">IF(327&gt;$S$1204,"",INDEX($T$5:$AJ$1204,MATCH(327,$S$5:$S$1204,0),12))</f>
        <v/>
      </c>
      <c r="M331" s="8" t="str">
        <f t="array" ref="M331">IF(327&gt;$S$1204,"",INDEX($T$5:$AJ$1204,MATCH(327,$S$5:$S$1204,0),13))</f>
        <v/>
      </c>
      <c r="N331" s="8" t="str">
        <f t="array" ref="N331">IF(327&gt;$S$1204,"",INDEX($T$5:$AJ$1204,MATCH(327,$S$5:$S$1204,0),14))</f>
        <v/>
      </c>
      <c r="O331" s="15" t="str">
        <f t="array" ref="O331">IF(327&gt;$S$1204,"",INDEX($T$5:$AJ$1204,MATCH(327,$S$5:$S$1204,0),15))</f>
        <v/>
      </c>
      <c r="P331" s="8" t="str">
        <f t="array" ref="P331">IF(327&gt;$S$1204,"",INDEX($T$5:$AJ$1204,MATCH(327,$S$5:$S$1204,0),16))</f>
        <v/>
      </c>
      <c r="Q331" s="8" t="str">
        <f t="array" ref="Q331">IF(327&gt;$S$1204,"",INDEX($T$5:$AJ$1204,MATCH(327,$S$5:$S$1204,0),17))</f>
        <v/>
      </c>
      <c r="R331" s="17"/>
      <c r="S331" s="17">
        <f>S330+IF(M2_Accesos!A135="",0,1)</f>
        <v>0</v>
      </c>
      <c r="T331" s="17" t="str">
        <f>IF(M2_Accesos!A135="","",IF(M2_Accesos!A135="","",M2_Accesos!A135))</f>
        <v/>
      </c>
      <c r="U331" s="17" t="str">
        <f>IF(M2_Accesos!A135="","",IF(M2_Accesos!R135="","",M2_Accesos!R135))</f>
        <v/>
      </c>
      <c r="V331" s="17" t="str">
        <f>IF(M2_Accesos!A135="","",IF(M2_Accesos!D135="","",M2_Accesos!D135))</f>
        <v/>
      </c>
      <c r="W331" s="17" t="str">
        <f>IF(M2_Accesos!A135="","",IF(M2_Accesos!B135="","",M2_Accesos!B135))</f>
        <v/>
      </c>
      <c r="X331" s="17" t="str">
        <f>IF(M2_Accesos!A135="","",IF(M2_Accesos!C135="","",M2_Accesos!C135))</f>
        <v/>
      </c>
      <c r="Y331" s="17" t="str">
        <f>IF(M2_Accesos!A135="","",IF(M2_Accesos!E135="","",M2_Accesos!E135))</f>
        <v/>
      </c>
      <c r="Z331" s="17" t="str">
        <f>IF(M2_Accesos!A135="","",IF(M2_Accesos!F135="","",M2_Accesos!F135))</f>
        <v/>
      </c>
      <c r="AA331" s="17" t="str">
        <f>IF(M2_Accesos!A135="","","M2 Accesos")</f>
        <v/>
      </c>
      <c r="AB331" s="17" t="str">
        <f>IF(M2_Accesos!A135="","",IF(M2_Accesos!G135="","",M2_Accesos!G135))</f>
        <v/>
      </c>
      <c r="AC331" s="17" t="str">
        <f>IF(M2_Accesos!A135="","",IF(M2_Accesos!M135="","",M2_Accesos!M135))</f>
        <v/>
      </c>
      <c r="AD331" s="17" t="str">
        <f>IF(M2_Accesos!A135="","","RD")</f>
        <v/>
      </c>
      <c r="AE331" s="17" t="str">
        <f>IF(M2_Accesos!A135="","",IF(M2_Accesos!O135="","",M2_Accesos!O135))</f>
        <v/>
      </c>
      <c r="AF331" s="17" t="str">
        <f>IF(M2_Accesos!A135="","",IF(M2_Accesos!P135="","",M2_Accesos!P135))</f>
        <v/>
      </c>
      <c r="AG331" s="17" t="str">
        <f>IF(M2_Accesos!A135="","",IF(M2_Accesos!Q135="","",M2_Accesos!Q135))</f>
        <v/>
      </c>
      <c r="AH331" s="17" t="str">
        <f>IF(M2_Accesos!A135="","",IF(M2_Accesos!J135="","",M2_Accesos!J135))</f>
        <v/>
      </c>
      <c r="AI331" s="17" t="str">
        <f>IF(M2_Accesos!A135="","","M2_Accesos!135")</f>
        <v/>
      </c>
      <c r="AJ331" s="17" t="str">
        <f>IF(M2_Accesos!A135="","",IF(M2_Accesos!M135="","Pendiente de resultado","Disponible"))</f>
        <v/>
      </c>
    </row>
    <row r="332" spans="1:36" ht="55.5" customHeight="1">
      <c r="A332" s="6" t="str">
        <f t="array" ref="A332">IF(328&gt;$S$1204,"",INDEX($T$5:$AJ$1204,MATCH(328,$S$5:$S$1204,0),1))</f>
        <v/>
      </c>
      <c r="B332" s="8" t="str">
        <f t="array" ref="B332">IF(328&gt;$S$1204,"",INDEX($T$5:$AJ$1204,MATCH(328,$S$5:$S$1204,0),2))</f>
        <v/>
      </c>
      <c r="C332" s="10" t="str">
        <f t="array" ref="C332">IF(328&gt;$S$1204,"",INDEX($T$5:$AJ$1204,MATCH(328,$S$5:$S$1204,0),3))</f>
        <v/>
      </c>
      <c r="D332" s="8" t="str">
        <f t="array" ref="D332">IF(328&gt;$S$1204,"",INDEX($T$5:$AJ$1204,MATCH(328,$S$5:$S$1204,0),4))</f>
        <v/>
      </c>
      <c r="E332" s="8" t="str">
        <f t="array" ref="E332">IF(328&gt;$S$1204,"",INDEX($T$5:$AJ$1204,MATCH(328,$S$5:$S$1204,0),5))</f>
        <v/>
      </c>
      <c r="F332" s="8" t="str">
        <f t="array" ref="F332">IF(328&gt;$S$1204,"",INDEX($T$5:$AJ$1204,MATCH(328,$S$5:$S$1204,0),6))</f>
        <v/>
      </c>
      <c r="G332" s="8" t="str">
        <f t="array" ref="G332">IF(328&gt;$S$1204,"",INDEX($T$5:$AJ$1204,MATCH(328,$S$5:$S$1204,0),7))</f>
        <v/>
      </c>
      <c r="H332" s="8" t="str">
        <f t="array" ref="H332">IF(328&gt;$S$1204,"",INDEX($T$5:$AJ$1204,MATCH(328,$S$5:$S$1204,0),8))</f>
        <v/>
      </c>
      <c r="I332" s="8" t="str">
        <f t="array" ref="I332">IF(328&gt;$S$1204,"",INDEX($T$5:$AJ$1204,MATCH(328,$S$5:$S$1204,0),9))</f>
        <v/>
      </c>
      <c r="J332" s="14" t="str">
        <f t="array" ref="J332">IF(328&gt;$S$1204,"",INDEX($T$5:$AJ$1204,MATCH(328,$S$5:$S$1204,0),10))</f>
        <v/>
      </c>
      <c r="K332" s="8" t="str">
        <f t="array" ref="K332">IF(328&gt;$S$1204,"",INDEX($T$5:$AJ$1204,MATCH(328,$S$5:$S$1204,0),11))</f>
        <v/>
      </c>
      <c r="L332" s="8" t="str">
        <f t="array" ref="L332">IF(328&gt;$S$1204,"",INDEX($T$5:$AJ$1204,MATCH(328,$S$5:$S$1204,0),12))</f>
        <v/>
      </c>
      <c r="M332" s="8" t="str">
        <f t="array" ref="M332">IF(328&gt;$S$1204,"",INDEX($T$5:$AJ$1204,MATCH(328,$S$5:$S$1204,0),13))</f>
        <v/>
      </c>
      <c r="N332" s="8" t="str">
        <f t="array" ref="N332">IF(328&gt;$S$1204,"",INDEX($T$5:$AJ$1204,MATCH(328,$S$5:$S$1204,0),14))</f>
        <v/>
      </c>
      <c r="O332" s="15" t="str">
        <f t="array" ref="O332">IF(328&gt;$S$1204,"",INDEX($T$5:$AJ$1204,MATCH(328,$S$5:$S$1204,0),15))</f>
        <v/>
      </c>
      <c r="P332" s="8" t="str">
        <f t="array" ref="P332">IF(328&gt;$S$1204,"",INDEX($T$5:$AJ$1204,MATCH(328,$S$5:$S$1204,0),16))</f>
        <v/>
      </c>
      <c r="Q332" s="8" t="str">
        <f t="array" ref="Q332">IF(328&gt;$S$1204,"",INDEX($T$5:$AJ$1204,MATCH(328,$S$5:$S$1204,0),17))</f>
        <v/>
      </c>
      <c r="R332" s="17"/>
      <c r="S332" s="17">
        <f>S331+IF(M2_Accesos!A136="",0,1)</f>
        <v>0</v>
      </c>
      <c r="T332" s="17" t="str">
        <f>IF(M2_Accesos!A136="","",IF(M2_Accesos!A136="","",M2_Accesos!A136))</f>
        <v/>
      </c>
      <c r="U332" s="17" t="str">
        <f>IF(M2_Accesos!A136="","",IF(M2_Accesos!R136="","",M2_Accesos!R136))</f>
        <v/>
      </c>
      <c r="V332" s="17" t="str">
        <f>IF(M2_Accesos!A136="","",IF(M2_Accesos!D136="","",M2_Accesos!D136))</f>
        <v/>
      </c>
      <c r="W332" s="17" t="str">
        <f>IF(M2_Accesos!A136="","",IF(M2_Accesos!B136="","",M2_Accesos!B136))</f>
        <v/>
      </c>
      <c r="X332" s="17" t="str">
        <f>IF(M2_Accesos!A136="","",IF(M2_Accesos!C136="","",M2_Accesos!C136))</f>
        <v/>
      </c>
      <c r="Y332" s="17" t="str">
        <f>IF(M2_Accesos!A136="","",IF(M2_Accesos!E136="","",M2_Accesos!E136))</f>
        <v/>
      </c>
      <c r="Z332" s="17" t="str">
        <f>IF(M2_Accesos!A136="","",IF(M2_Accesos!F136="","",M2_Accesos!F136))</f>
        <v/>
      </c>
      <c r="AA332" s="17" t="str">
        <f>IF(M2_Accesos!A136="","","M2 Accesos")</f>
        <v/>
      </c>
      <c r="AB332" s="17" t="str">
        <f>IF(M2_Accesos!A136="","",IF(M2_Accesos!G136="","",M2_Accesos!G136))</f>
        <v/>
      </c>
      <c r="AC332" s="17" t="str">
        <f>IF(M2_Accesos!A136="","",IF(M2_Accesos!M136="","",M2_Accesos!M136))</f>
        <v/>
      </c>
      <c r="AD332" s="17" t="str">
        <f>IF(M2_Accesos!A136="","","RD")</f>
        <v/>
      </c>
      <c r="AE332" s="17" t="str">
        <f>IF(M2_Accesos!A136="","",IF(M2_Accesos!O136="","",M2_Accesos!O136))</f>
        <v/>
      </c>
      <c r="AF332" s="17" t="str">
        <f>IF(M2_Accesos!A136="","",IF(M2_Accesos!P136="","",M2_Accesos!P136))</f>
        <v/>
      </c>
      <c r="AG332" s="17" t="str">
        <f>IF(M2_Accesos!A136="","",IF(M2_Accesos!Q136="","",M2_Accesos!Q136))</f>
        <v/>
      </c>
      <c r="AH332" s="17" t="str">
        <f>IF(M2_Accesos!A136="","",IF(M2_Accesos!J136="","",M2_Accesos!J136))</f>
        <v/>
      </c>
      <c r="AI332" s="17" t="str">
        <f>IF(M2_Accesos!A136="","","M2_Accesos!136")</f>
        <v/>
      </c>
      <c r="AJ332" s="17" t="str">
        <f>IF(M2_Accesos!A136="","",IF(M2_Accesos!M136="","Pendiente de resultado","Disponible"))</f>
        <v/>
      </c>
    </row>
    <row r="333" spans="1:36" ht="55.5" customHeight="1">
      <c r="A333" s="6" t="str">
        <f t="array" ref="A333">IF(329&gt;$S$1204,"",INDEX($T$5:$AJ$1204,MATCH(329,$S$5:$S$1204,0),1))</f>
        <v/>
      </c>
      <c r="B333" s="8" t="str">
        <f t="array" ref="B333">IF(329&gt;$S$1204,"",INDEX($T$5:$AJ$1204,MATCH(329,$S$5:$S$1204,0),2))</f>
        <v/>
      </c>
      <c r="C333" s="10" t="str">
        <f t="array" ref="C333">IF(329&gt;$S$1204,"",INDEX($T$5:$AJ$1204,MATCH(329,$S$5:$S$1204,0),3))</f>
        <v/>
      </c>
      <c r="D333" s="8" t="str">
        <f t="array" ref="D333">IF(329&gt;$S$1204,"",INDEX($T$5:$AJ$1204,MATCH(329,$S$5:$S$1204,0),4))</f>
        <v/>
      </c>
      <c r="E333" s="8" t="str">
        <f t="array" ref="E333">IF(329&gt;$S$1204,"",INDEX($T$5:$AJ$1204,MATCH(329,$S$5:$S$1204,0),5))</f>
        <v/>
      </c>
      <c r="F333" s="8" t="str">
        <f t="array" ref="F333">IF(329&gt;$S$1204,"",INDEX($T$5:$AJ$1204,MATCH(329,$S$5:$S$1204,0),6))</f>
        <v/>
      </c>
      <c r="G333" s="8" t="str">
        <f t="array" ref="G333">IF(329&gt;$S$1204,"",INDEX($T$5:$AJ$1204,MATCH(329,$S$5:$S$1204,0),7))</f>
        <v/>
      </c>
      <c r="H333" s="8" t="str">
        <f t="array" ref="H333">IF(329&gt;$S$1204,"",INDEX($T$5:$AJ$1204,MATCH(329,$S$5:$S$1204,0),8))</f>
        <v/>
      </c>
      <c r="I333" s="8" t="str">
        <f t="array" ref="I333">IF(329&gt;$S$1204,"",INDEX($T$5:$AJ$1204,MATCH(329,$S$5:$S$1204,0),9))</f>
        <v/>
      </c>
      <c r="J333" s="14" t="str">
        <f t="array" ref="J333">IF(329&gt;$S$1204,"",INDEX($T$5:$AJ$1204,MATCH(329,$S$5:$S$1204,0),10))</f>
        <v/>
      </c>
      <c r="K333" s="8" t="str">
        <f t="array" ref="K333">IF(329&gt;$S$1204,"",INDEX($T$5:$AJ$1204,MATCH(329,$S$5:$S$1204,0),11))</f>
        <v/>
      </c>
      <c r="L333" s="8" t="str">
        <f t="array" ref="L333">IF(329&gt;$S$1204,"",INDEX($T$5:$AJ$1204,MATCH(329,$S$5:$S$1204,0),12))</f>
        <v/>
      </c>
      <c r="M333" s="8" t="str">
        <f t="array" ref="M333">IF(329&gt;$S$1204,"",INDEX($T$5:$AJ$1204,MATCH(329,$S$5:$S$1204,0),13))</f>
        <v/>
      </c>
      <c r="N333" s="8" t="str">
        <f t="array" ref="N333">IF(329&gt;$S$1204,"",INDEX($T$5:$AJ$1204,MATCH(329,$S$5:$S$1204,0),14))</f>
        <v/>
      </c>
      <c r="O333" s="15" t="str">
        <f t="array" ref="O333">IF(329&gt;$S$1204,"",INDEX($T$5:$AJ$1204,MATCH(329,$S$5:$S$1204,0),15))</f>
        <v/>
      </c>
      <c r="P333" s="8" t="str">
        <f t="array" ref="P333">IF(329&gt;$S$1204,"",INDEX($T$5:$AJ$1204,MATCH(329,$S$5:$S$1204,0),16))</f>
        <v/>
      </c>
      <c r="Q333" s="8" t="str">
        <f t="array" ref="Q333">IF(329&gt;$S$1204,"",INDEX($T$5:$AJ$1204,MATCH(329,$S$5:$S$1204,0),17))</f>
        <v/>
      </c>
      <c r="R333" s="17"/>
      <c r="S333" s="17">
        <f>S332+IF(M2_Accesos!A137="",0,1)</f>
        <v>0</v>
      </c>
      <c r="T333" s="17" t="str">
        <f>IF(M2_Accesos!A137="","",IF(M2_Accesos!A137="","",M2_Accesos!A137))</f>
        <v/>
      </c>
      <c r="U333" s="17" t="str">
        <f>IF(M2_Accesos!A137="","",IF(M2_Accesos!R137="","",M2_Accesos!R137))</f>
        <v/>
      </c>
      <c r="V333" s="17" t="str">
        <f>IF(M2_Accesos!A137="","",IF(M2_Accesos!D137="","",M2_Accesos!D137))</f>
        <v/>
      </c>
      <c r="W333" s="17" t="str">
        <f>IF(M2_Accesos!A137="","",IF(M2_Accesos!B137="","",M2_Accesos!B137))</f>
        <v/>
      </c>
      <c r="X333" s="17" t="str">
        <f>IF(M2_Accesos!A137="","",IF(M2_Accesos!C137="","",M2_Accesos!C137))</f>
        <v/>
      </c>
      <c r="Y333" s="17" t="str">
        <f>IF(M2_Accesos!A137="","",IF(M2_Accesos!E137="","",M2_Accesos!E137))</f>
        <v/>
      </c>
      <c r="Z333" s="17" t="str">
        <f>IF(M2_Accesos!A137="","",IF(M2_Accesos!F137="","",M2_Accesos!F137))</f>
        <v/>
      </c>
      <c r="AA333" s="17" t="str">
        <f>IF(M2_Accesos!A137="","","M2 Accesos")</f>
        <v/>
      </c>
      <c r="AB333" s="17" t="str">
        <f>IF(M2_Accesos!A137="","",IF(M2_Accesos!G137="","",M2_Accesos!G137))</f>
        <v/>
      </c>
      <c r="AC333" s="17" t="str">
        <f>IF(M2_Accesos!A137="","",IF(M2_Accesos!M137="","",M2_Accesos!M137))</f>
        <v/>
      </c>
      <c r="AD333" s="17" t="str">
        <f>IF(M2_Accesos!A137="","","RD")</f>
        <v/>
      </c>
      <c r="AE333" s="17" t="str">
        <f>IF(M2_Accesos!A137="","",IF(M2_Accesos!O137="","",M2_Accesos!O137))</f>
        <v/>
      </c>
      <c r="AF333" s="17" t="str">
        <f>IF(M2_Accesos!A137="","",IF(M2_Accesos!P137="","",M2_Accesos!P137))</f>
        <v/>
      </c>
      <c r="AG333" s="17" t="str">
        <f>IF(M2_Accesos!A137="","",IF(M2_Accesos!Q137="","",M2_Accesos!Q137))</f>
        <v/>
      </c>
      <c r="AH333" s="17" t="str">
        <f>IF(M2_Accesos!A137="","",IF(M2_Accesos!J137="","",M2_Accesos!J137))</f>
        <v/>
      </c>
      <c r="AI333" s="17" t="str">
        <f>IF(M2_Accesos!A137="","","M2_Accesos!137")</f>
        <v/>
      </c>
      <c r="AJ333" s="17" t="str">
        <f>IF(M2_Accesos!A137="","",IF(M2_Accesos!M137="","Pendiente de resultado","Disponible"))</f>
        <v/>
      </c>
    </row>
    <row r="334" spans="1:36" ht="55.5" customHeight="1">
      <c r="A334" s="6" t="str">
        <f t="array" ref="A334">IF(330&gt;$S$1204,"",INDEX($T$5:$AJ$1204,MATCH(330,$S$5:$S$1204,0),1))</f>
        <v/>
      </c>
      <c r="B334" s="8" t="str">
        <f t="array" ref="B334">IF(330&gt;$S$1204,"",INDEX($T$5:$AJ$1204,MATCH(330,$S$5:$S$1204,0),2))</f>
        <v/>
      </c>
      <c r="C334" s="10" t="str">
        <f t="array" ref="C334">IF(330&gt;$S$1204,"",INDEX($T$5:$AJ$1204,MATCH(330,$S$5:$S$1204,0),3))</f>
        <v/>
      </c>
      <c r="D334" s="8" t="str">
        <f t="array" ref="D334">IF(330&gt;$S$1204,"",INDEX($T$5:$AJ$1204,MATCH(330,$S$5:$S$1204,0),4))</f>
        <v/>
      </c>
      <c r="E334" s="8" t="str">
        <f t="array" ref="E334">IF(330&gt;$S$1204,"",INDEX($T$5:$AJ$1204,MATCH(330,$S$5:$S$1204,0),5))</f>
        <v/>
      </c>
      <c r="F334" s="8" t="str">
        <f t="array" ref="F334">IF(330&gt;$S$1204,"",INDEX($T$5:$AJ$1204,MATCH(330,$S$5:$S$1204,0),6))</f>
        <v/>
      </c>
      <c r="G334" s="8" t="str">
        <f t="array" ref="G334">IF(330&gt;$S$1204,"",INDEX($T$5:$AJ$1204,MATCH(330,$S$5:$S$1204,0),7))</f>
        <v/>
      </c>
      <c r="H334" s="8" t="str">
        <f t="array" ref="H334">IF(330&gt;$S$1204,"",INDEX($T$5:$AJ$1204,MATCH(330,$S$5:$S$1204,0),8))</f>
        <v/>
      </c>
      <c r="I334" s="8" t="str">
        <f t="array" ref="I334">IF(330&gt;$S$1204,"",INDEX($T$5:$AJ$1204,MATCH(330,$S$5:$S$1204,0),9))</f>
        <v/>
      </c>
      <c r="J334" s="14" t="str">
        <f t="array" ref="J334">IF(330&gt;$S$1204,"",INDEX($T$5:$AJ$1204,MATCH(330,$S$5:$S$1204,0),10))</f>
        <v/>
      </c>
      <c r="K334" s="8" t="str">
        <f t="array" ref="K334">IF(330&gt;$S$1204,"",INDEX($T$5:$AJ$1204,MATCH(330,$S$5:$S$1204,0),11))</f>
        <v/>
      </c>
      <c r="L334" s="8" t="str">
        <f t="array" ref="L334">IF(330&gt;$S$1204,"",INDEX($T$5:$AJ$1204,MATCH(330,$S$5:$S$1204,0),12))</f>
        <v/>
      </c>
      <c r="M334" s="8" t="str">
        <f t="array" ref="M334">IF(330&gt;$S$1204,"",INDEX($T$5:$AJ$1204,MATCH(330,$S$5:$S$1204,0),13))</f>
        <v/>
      </c>
      <c r="N334" s="8" t="str">
        <f t="array" ref="N334">IF(330&gt;$S$1204,"",INDEX($T$5:$AJ$1204,MATCH(330,$S$5:$S$1204,0),14))</f>
        <v/>
      </c>
      <c r="O334" s="15" t="str">
        <f t="array" ref="O334">IF(330&gt;$S$1204,"",INDEX($T$5:$AJ$1204,MATCH(330,$S$5:$S$1204,0),15))</f>
        <v/>
      </c>
      <c r="P334" s="8" t="str">
        <f t="array" ref="P334">IF(330&gt;$S$1204,"",INDEX($T$5:$AJ$1204,MATCH(330,$S$5:$S$1204,0),16))</f>
        <v/>
      </c>
      <c r="Q334" s="8" t="str">
        <f t="array" ref="Q334">IF(330&gt;$S$1204,"",INDEX($T$5:$AJ$1204,MATCH(330,$S$5:$S$1204,0),17))</f>
        <v/>
      </c>
      <c r="R334" s="17"/>
      <c r="S334" s="17">
        <f>S333+IF(M2_Accesos!A138="",0,1)</f>
        <v>0</v>
      </c>
      <c r="T334" s="17" t="str">
        <f>IF(M2_Accesos!A138="","",IF(M2_Accesos!A138="","",M2_Accesos!A138))</f>
        <v/>
      </c>
      <c r="U334" s="17" t="str">
        <f>IF(M2_Accesos!A138="","",IF(M2_Accesos!R138="","",M2_Accesos!R138))</f>
        <v/>
      </c>
      <c r="V334" s="17" t="str">
        <f>IF(M2_Accesos!A138="","",IF(M2_Accesos!D138="","",M2_Accesos!D138))</f>
        <v/>
      </c>
      <c r="W334" s="17" t="str">
        <f>IF(M2_Accesos!A138="","",IF(M2_Accesos!B138="","",M2_Accesos!B138))</f>
        <v/>
      </c>
      <c r="X334" s="17" t="str">
        <f>IF(M2_Accesos!A138="","",IF(M2_Accesos!C138="","",M2_Accesos!C138))</f>
        <v/>
      </c>
      <c r="Y334" s="17" t="str">
        <f>IF(M2_Accesos!A138="","",IF(M2_Accesos!E138="","",M2_Accesos!E138))</f>
        <v/>
      </c>
      <c r="Z334" s="17" t="str">
        <f>IF(M2_Accesos!A138="","",IF(M2_Accesos!F138="","",M2_Accesos!F138))</f>
        <v/>
      </c>
      <c r="AA334" s="17" t="str">
        <f>IF(M2_Accesos!A138="","","M2 Accesos")</f>
        <v/>
      </c>
      <c r="AB334" s="17" t="str">
        <f>IF(M2_Accesos!A138="","",IF(M2_Accesos!G138="","",M2_Accesos!G138))</f>
        <v/>
      </c>
      <c r="AC334" s="17" t="str">
        <f>IF(M2_Accesos!A138="","",IF(M2_Accesos!M138="","",M2_Accesos!M138))</f>
        <v/>
      </c>
      <c r="AD334" s="17" t="str">
        <f>IF(M2_Accesos!A138="","","RD")</f>
        <v/>
      </c>
      <c r="AE334" s="17" t="str">
        <f>IF(M2_Accesos!A138="","",IF(M2_Accesos!O138="","",M2_Accesos!O138))</f>
        <v/>
      </c>
      <c r="AF334" s="17" t="str">
        <f>IF(M2_Accesos!A138="","",IF(M2_Accesos!P138="","",M2_Accesos!P138))</f>
        <v/>
      </c>
      <c r="AG334" s="17" t="str">
        <f>IF(M2_Accesos!A138="","",IF(M2_Accesos!Q138="","",M2_Accesos!Q138))</f>
        <v/>
      </c>
      <c r="AH334" s="17" t="str">
        <f>IF(M2_Accesos!A138="","",IF(M2_Accesos!J138="","",M2_Accesos!J138))</f>
        <v/>
      </c>
      <c r="AI334" s="17" t="str">
        <f>IF(M2_Accesos!A138="","","M2_Accesos!138")</f>
        <v/>
      </c>
      <c r="AJ334" s="17" t="str">
        <f>IF(M2_Accesos!A138="","",IF(M2_Accesos!M138="","Pendiente de resultado","Disponible"))</f>
        <v/>
      </c>
    </row>
    <row r="335" spans="1:36" ht="55.5" customHeight="1">
      <c r="A335" s="6" t="str">
        <f t="array" ref="A335">IF(331&gt;$S$1204,"",INDEX($T$5:$AJ$1204,MATCH(331,$S$5:$S$1204,0),1))</f>
        <v/>
      </c>
      <c r="B335" s="8" t="str">
        <f t="array" ref="B335">IF(331&gt;$S$1204,"",INDEX($T$5:$AJ$1204,MATCH(331,$S$5:$S$1204,0),2))</f>
        <v/>
      </c>
      <c r="C335" s="10" t="str">
        <f t="array" ref="C335">IF(331&gt;$S$1204,"",INDEX($T$5:$AJ$1204,MATCH(331,$S$5:$S$1204,0),3))</f>
        <v/>
      </c>
      <c r="D335" s="8" t="str">
        <f t="array" ref="D335">IF(331&gt;$S$1204,"",INDEX($T$5:$AJ$1204,MATCH(331,$S$5:$S$1204,0),4))</f>
        <v/>
      </c>
      <c r="E335" s="8" t="str">
        <f t="array" ref="E335">IF(331&gt;$S$1204,"",INDEX($T$5:$AJ$1204,MATCH(331,$S$5:$S$1204,0),5))</f>
        <v/>
      </c>
      <c r="F335" s="8" t="str">
        <f t="array" ref="F335">IF(331&gt;$S$1204,"",INDEX($T$5:$AJ$1204,MATCH(331,$S$5:$S$1204,0),6))</f>
        <v/>
      </c>
      <c r="G335" s="8" t="str">
        <f t="array" ref="G335">IF(331&gt;$S$1204,"",INDEX($T$5:$AJ$1204,MATCH(331,$S$5:$S$1204,0),7))</f>
        <v/>
      </c>
      <c r="H335" s="8" t="str">
        <f t="array" ref="H335">IF(331&gt;$S$1204,"",INDEX($T$5:$AJ$1204,MATCH(331,$S$5:$S$1204,0),8))</f>
        <v/>
      </c>
      <c r="I335" s="8" t="str">
        <f t="array" ref="I335">IF(331&gt;$S$1204,"",INDEX($T$5:$AJ$1204,MATCH(331,$S$5:$S$1204,0),9))</f>
        <v/>
      </c>
      <c r="J335" s="14" t="str">
        <f t="array" ref="J335">IF(331&gt;$S$1204,"",INDEX($T$5:$AJ$1204,MATCH(331,$S$5:$S$1204,0),10))</f>
        <v/>
      </c>
      <c r="K335" s="8" t="str">
        <f t="array" ref="K335">IF(331&gt;$S$1204,"",INDEX($T$5:$AJ$1204,MATCH(331,$S$5:$S$1204,0),11))</f>
        <v/>
      </c>
      <c r="L335" s="8" t="str">
        <f t="array" ref="L335">IF(331&gt;$S$1204,"",INDEX($T$5:$AJ$1204,MATCH(331,$S$5:$S$1204,0),12))</f>
        <v/>
      </c>
      <c r="M335" s="8" t="str">
        <f t="array" ref="M335">IF(331&gt;$S$1204,"",INDEX($T$5:$AJ$1204,MATCH(331,$S$5:$S$1204,0),13))</f>
        <v/>
      </c>
      <c r="N335" s="8" t="str">
        <f t="array" ref="N335">IF(331&gt;$S$1204,"",INDEX($T$5:$AJ$1204,MATCH(331,$S$5:$S$1204,0),14))</f>
        <v/>
      </c>
      <c r="O335" s="15" t="str">
        <f t="array" ref="O335">IF(331&gt;$S$1204,"",INDEX($T$5:$AJ$1204,MATCH(331,$S$5:$S$1204,0),15))</f>
        <v/>
      </c>
      <c r="P335" s="8" t="str">
        <f t="array" ref="P335">IF(331&gt;$S$1204,"",INDEX($T$5:$AJ$1204,MATCH(331,$S$5:$S$1204,0),16))</f>
        <v/>
      </c>
      <c r="Q335" s="8" t="str">
        <f t="array" ref="Q335">IF(331&gt;$S$1204,"",INDEX($T$5:$AJ$1204,MATCH(331,$S$5:$S$1204,0),17))</f>
        <v/>
      </c>
      <c r="R335" s="17"/>
      <c r="S335" s="17">
        <f>S334+IF(M2_Accesos!A139="",0,1)</f>
        <v>0</v>
      </c>
      <c r="T335" s="17" t="str">
        <f>IF(M2_Accesos!A139="","",IF(M2_Accesos!A139="","",M2_Accesos!A139))</f>
        <v/>
      </c>
      <c r="U335" s="17" t="str">
        <f>IF(M2_Accesos!A139="","",IF(M2_Accesos!R139="","",M2_Accesos!R139))</f>
        <v/>
      </c>
      <c r="V335" s="17" t="str">
        <f>IF(M2_Accesos!A139="","",IF(M2_Accesos!D139="","",M2_Accesos!D139))</f>
        <v/>
      </c>
      <c r="W335" s="17" t="str">
        <f>IF(M2_Accesos!A139="","",IF(M2_Accesos!B139="","",M2_Accesos!B139))</f>
        <v/>
      </c>
      <c r="X335" s="17" t="str">
        <f>IF(M2_Accesos!A139="","",IF(M2_Accesos!C139="","",M2_Accesos!C139))</f>
        <v/>
      </c>
      <c r="Y335" s="17" t="str">
        <f>IF(M2_Accesos!A139="","",IF(M2_Accesos!E139="","",M2_Accesos!E139))</f>
        <v/>
      </c>
      <c r="Z335" s="17" t="str">
        <f>IF(M2_Accesos!A139="","",IF(M2_Accesos!F139="","",M2_Accesos!F139))</f>
        <v/>
      </c>
      <c r="AA335" s="17" t="str">
        <f>IF(M2_Accesos!A139="","","M2 Accesos")</f>
        <v/>
      </c>
      <c r="AB335" s="17" t="str">
        <f>IF(M2_Accesos!A139="","",IF(M2_Accesos!G139="","",M2_Accesos!G139))</f>
        <v/>
      </c>
      <c r="AC335" s="17" t="str">
        <f>IF(M2_Accesos!A139="","",IF(M2_Accesos!M139="","",M2_Accesos!M139))</f>
        <v/>
      </c>
      <c r="AD335" s="17" t="str">
        <f>IF(M2_Accesos!A139="","","RD")</f>
        <v/>
      </c>
      <c r="AE335" s="17" t="str">
        <f>IF(M2_Accesos!A139="","",IF(M2_Accesos!O139="","",M2_Accesos!O139))</f>
        <v/>
      </c>
      <c r="AF335" s="17" t="str">
        <f>IF(M2_Accesos!A139="","",IF(M2_Accesos!P139="","",M2_Accesos!P139))</f>
        <v/>
      </c>
      <c r="AG335" s="17" t="str">
        <f>IF(M2_Accesos!A139="","",IF(M2_Accesos!Q139="","",M2_Accesos!Q139))</f>
        <v/>
      </c>
      <c r="AH335" s="17" t="str">
        <f>IF(M2_Accesos!A139="","",IF(M2_Accesos!J139="","",M2_Accesos!J139))</f>
        <v/>
      </c>
      <c r="AI335" s="17" t="str">
        <f>IF(M2_Accesos!A139="","","M2_Accesos!139")</f>
        <v/>
      </c>
      <c r="AJ335" s="17" t="str">
        <f>IF(M2_Accesos!A139="","",IF(M2_Accesos!M139="","Pendiente de resultado","Disponible"))</f>
        <v/>
      </c>
    </row>
    <row r="336" spans="1:36" ht="55.5" customHeight="1">
      <c r="A336" s="6" t="str">
        <f t="array" ref="A336">IF(332&gt;$S$1204,"",INDEX($T$5:$AJ$1204,MATCH(332,$S$5:$S$1204,0),1))</f>
        <v/>
      </c>
      <c r="B336" s="8" t="str">
        <f t="array" ref="B336">IF(332&gt;$S$1204,"",INDEX($T$5:$AJ$1204,MATCH(332,$S$5:$S$1204,0),2))</f>
        <v/>
      </c>
      <c r="C336" s="10" t="str">
        <f t="array" ref="C336">IF(332&gt;$S$1204,"",INDEX($T$5:$AJ$1204,MATCH(332,$S$5:$S$1204,0),3))</f>
        <v/>
      </c>
      <c r="D336" s="8" t="str">
        <f t="array" ref="D336">IF(332&gt;$S$1204,"",INDEX($T$5:$AJ$1204,MATCH(332,$S$5:$S$1204,0),4))</f>
        <v/>
      </c>
      <c r="E336" s="8" t="str">
        <f t="array" ref="E336">IF(332&gt;$S$1204,"",INDEX($T$5:$AJ$1204,MATCH(332,$S$5:$S$1204,0),5))</f>
        <v/>
      </c>
      <c r="F336" s="8" t="str">
        <f t="array" ref="F336">IF(332&gt;$S$1204,"",INDEX($T$5:$AJ$1204,MATCH(332,$S$5:$S$1204,0),6))</f>
        <v/>
      </c>
      <c r="G336" s="8" t="str">
        <f t="array" ref="G336">IF(332&gt;$S$1204,"",INDEX($T$5:$AJ$1204,MATCH(332,$S$5:$S$1204,0),7))</f>
        <v/>
      </c>
      <c r="H336" s="8" t="str">
        <f t="array" ref="H336">IF(332&gt;$S$1204,"",INDEX($T$5:$AJ$1204,MATCH(332,$S$5:$S$1204,0),8))</f>
        <v/>
      </c>
      <c r="I336" s="8" t="str">
        <f t="array" ref="I336">IF(332&gt;$S$1204,"",INDEX($T$5:$AJ$1204,MATCH(332,$S$5:$S$1204,0),9))</f>
        <v/>
      </c>
      <c r="J336" s="14" t="str">
        <f t="array" ref="J336">IF(332&gt;$S$1204,"",INDEX($T$5:$AJ$1204,MATCH(332,$S$5:$S$1204,0),10))</f>
        <v/>
      </c>
      <c r="K336" s="8" t="str">
        <f t="array" ref="K336">IF(332&gt;$S$1204,"",INDEX($T$5:$AJ$1204,MATCH(332,$S$5:$S$1204,0),11))</f>
        <v/>
      </c>
      <c r="L336" s="8" t="str">
        <f t="array" ref="L336">IF(332&gt;$S$1204,"",INDEX($T$5:$AJ$1204,MATCH(332,$S$5:$S$1204,0),12))</f>
        <v/>
      </c>
      <c r="M336" s="8" t="str">
        <f t="array" ref="M336">IF(332&gt;$S$1204,"",INDEX($T$5:$AJ$1204,MATCH(332,$S$5:$S$1204,0),13))</f>
        <v/>
      </c>
      <c r="N336" s="8" t="str">
        <f t="array" ref="N336">IF(332&gt;$S$1204,"",INDEX($T$5:$AJ$1204,MATCH(332,$S$5:$S$1204,0),14))</f>
        <v/>
      </c>
      <c r="O336" s="15" t="str">
        <f t="array" ref="O336">IF(332&gt;$S$1204,"",INDEX($T$5:$AJ$1204,MATCH(332,$S$5:$S$1204,0),15))</f>
        <v/>
      </c>
      <c r="P336" s="8" t="str">
        <f t="array" ref="P336">IF(332&gt;$S$1204,"",INDEX($T$5:$AJ$1204,MATCH(332,$S$5:$S$1204,0),16))</f>
        <v/>
      </c>
      <c r="Q336" s="8" t="str">
        <f t="array" ref="Q336">IF(332&gt;$S$1204,"",INDEX($T$5:$AJ$1204,MATCH(332,$S$5:$S$1204,0),17))</f>
        <v/>
      </c>
      <c r="R336" s="17"/>
      <c r="S336" s="17">
        <f>S335+IF(M2_Accesos!A140="",0,1)</f>
        <v>0</v>
      </c>
      <c r="T336" s="17" t="str">
        <f>IF(M2_Accesos!A140="","",IF(M2_Accesos!A140="","",M2_Accesos!A140))</f>
        <v/>
      </c>
      <c r="U336" s="17" t="str">
        <f>IF(M2_Accesos!A140="","",IF(M2_Accesos!R140="","",M2_Accesos!R140))</f>
        <v/>
      </c>
      <c r="V336" s="17" t="str">
        <f>IF(M2_Accesos!A140="","",IF(M2_Accesos!D140="","",M2_Accesos!D140))</f>
        <v/>
      </c>
      <c r="W336" s="17" t="str">
        <f>IF(M2_Accesos!A140="","",IF(M2_Accesos!B140="","",M2_Accesos!B140))</f>
        <v/>
      </c>
      <c r="X336" s="17" t="str">
        <f>IF(M2_Accesos!A140="","",IF(M2_Accesos!C140="","",M2_Accesos!C140))</f>
        <v/>
      </c>
      <c r="Y336" s="17" t="str">
        <f>IF(M2_Accesos!A140="","",IF(M2_Accesos!E140="","",M2_Accesos!E140))</f>
        <v/>
      </c>
      <c r="Z336" s="17" t="str">
        <f>IF(M2_Accesos!A140="","",IF(M2_Accesos!F140="","",M2_Accesos!F140))</f>
        <v/>
      </c>
      <c r="AA336" s="17" t="str">
        <f>IF(M2_Accesos!A140="","","M2 Accesos")</f>
        <v/>
      </c>
      <c r="AB336" s="17" t="str">
        <f>IF(M2_Accesos!A140="","",IF(M2_Accesos!G140="","",M2_Accesos!G140))</f>
        <v/>
      </c>
      <c r="AC336" s="17" t="str">
        <f>IF(M2_Accesos!A140="","",IF(M2_Accesos!M140="","",M2_Accesos!M140))</f>
        <v/>
      </c>
      <c r="AD336" s="17" t="str">
        <f>IF(M2_Accesos!A140="","","RD")</f>
        <v/>
      </c>
      <c r="AE336" s="17" t="str">
        <f>IF(M2_Accesos!A140="","",IF(M2_Accesos!O140="","",M2_Accesos!O140))</f>
        <v/>
      </c>
      <c r="AF336" s="17" t="str">
        <f>IF(M2_Accesos!A140="","",IF(M2_Accesos!P140="","",M2_Accesos!P140))</f>
        <v/>
      </c>
      <c r="AG336" s="17" t="str">
        <f>IF(M2_Accesos!A140="","",IF(M2_Accesos!Q140="","",M2_Accesos!Q140))</f>
        <v/>
      </c>
      <c r="AH336" s="17" t="str">
        <f>IF(M2_Accesos!A140="","",IF(M2_Accesos!J140="","",M2_Accesos!J140))</f>
        <v/>
      </c>
      <c r="AI336" s="17" t="str">
        <f>IF(M2_Accesos!A140="","","M2_Accesos!140")</f>
        <v/>
      </c>
      <c r="AJ336" s="17" t="str">
        <f>IF(M2_Accesos!A140="","",IF(M2_Accesos!M140="","Pendiente de resultado","Disponible"))</f>
        <v/>
      </c>
    </row>
    <row r="337" spans="1:36" ht="55.5" customHeight="1">
      <c r="A337" s="6" t="str">
        <f t="array" ref="A337">IF(333&gt;$S$1204,"",INDEX($T$5:$AJ$1204,MATCH(333,$S$5:$S$1204,0),1))</f>
        <v/>
      </c>
      <c r="B337" s="8" t="str">
        <f t="array" ref="B337">IF(333&gt;$S$1204,"",INDEX($T$5:$AJ$1204,MATCH(333,$S$5:$S$1204,0),2))</f>
        <v/>
      </c>
      <c r="C337" s="10" t="str">
        <f t="array" ref="C337">IF(333&gt;$S$1204,"",INDEX($T$5:$AJ$1204,MATCH(333,$S$5:$S$1204,0),3))</f>
        <v/>
      </c>
      <c r="D337" s="8" t="str">
        <f t="array" ref="D337">IF(333&gt;$S$1204,"",INDEX($T$5:$AJ$1204,MATCH(333,$S$5:$S$1204,0),4))</f>
        <v/>
      </c>
      <c r="E337" s="8" t="str">
        <f t="array" ref="E337">IF(333&gt;$S$1204,"",INDEX($T$5:$AJ$1204,MATCH(333,$S$5:$S$1204,0),5))</f>
        <v/>
      </c>
      <c r="F337" s="8" t="str">
        <f t="array" ref="F337">IF(333&gt;$S$1204,"",INDEX($T$5:$AJ$1204,MATCH(333,$S$5:$S$1204,0),6))</f>
        <v/>
      </c>
      <c r="G337" s="8" t="str">
        <f t="array" ref="G337">IF(333&gt;$S$1204,"",INDEX($T$5:$AJ$1204,MATCH(333,$S$5:$S$1204,0),7))</f>
        <v/>
      </c>
      <c r="H337" s="8" t="str">
        <f t="array" ref="H337">IF(333&gt;$S$1204,"",INDEX($T$5:$AJ$1204,MATCH(333,$S$5:$S$1204,0),8))</f>
        <v/>
      </c>
      <c r="I337" s="8" t="str">
        <f t="array" ref="I337">IF(333&gt;$S$1204,"",INDEX($T$5:$AJ$1204,MATCH(333,$S$5:$S$1204,0),9))</f>
        <v/>
      </c>
      <c r="J337" s="14" t="str">
        <f t="array" ref="J337">IF(333&gt;$S$1204,"",INDEX($T$5:$AJ$1204,MATCH(333,$S$5:$S$1204,0),10))</f>
        <v/>
      </c>
      <c r="K337" s="8" t="str">
        <f t="array" ref="K337">IF(333&gt;$S$1204,"",INDEX($T$5:$AJ$1204,MATCH(333,$S$5:$S$1204,0),11))</f>
        <v/>
      </c>
      <c r="L337" s="8" t="str">
        <f t="array" ref="L337">IF(333&gt;$S$1204,"",INDEX($T$5:$AJ$1204,MATCH(333,$S$5:$S$1204,0),12))</f>
        <v/>
      </c>
      <c r="M337" s="8" t="str">
        <f t="array" ref="M337">IF(333&gt;$S$1204,"",INDEX($T$5:$AJ$1204,MATCH(333,$S$5:$S$1204,0),13))</f>
        <v/>
      </c>
      <c r="N337" s="8" t="str">
        <f t="array" ref="N337">IF(333&gt;$S$1204,"",INDEX($T$5:$AJ$1204,MATCH(333,$S$5:$S$1204,0),14))</f>
        <v/>
      </c>
      <c r="O337" s="15" t="str">
        <f t="array" ref="O337">IF(333&gt;$S$1204,"",INDEX($T$5:$AJ$1204,MATCH(333,$S$5:$S$1204,0),15))</f>
        <v/>
      </c>
      <c r="P337" s="8" t="str">
        <f t="array" ref="P337">IF(333&gt;$S$1204,"",INDEX($T$5:$AJ$1204,MATCH(333,$S$5:$S$1204,0),16))</f>
        <v/>
      </c>
      <c r="Q337" s="8" t="str">
        <f t="array" ref="Q337">IF(333&gt;$S$1204,"",INDEX($T$5:$AJ$1204,MATCH(333,$S$5:$S$1204,0),17))</f>
        <v/>
      </c>
      <c r="R337" s="17"/>
      <c r="S337" s="17">
        <f>S336+IF(M2_Accesos!A141="",0,1)</f>
        <v>0</v>
      </c>
      <c r="T337" s="17" t="str">
        <f>IF(M2_Accesos!A141="","",IF(M2_Accesos!A141="","",M2_Accesos!A141))</f>
        <v/>
      </c>
      <c r="U337" s="17" t="str">
        <f>IF(M2_Accesos!A141="","",IF(M2_Accesos!R141="","",M2_Accesos!R141))</f>
        <v/>
      </c>
      <c r="V337" s="17" t="str">
        <f>IF(M2_Accesos!A141="","",IF(M2_Accesos!D141="","",M2_Accesos!D141))</f>
        <v/>
      </c>
      <c r="W337" s="17" t="str">
        <f>IF(M2_Accesos!A141="","",IF(M2_Accesos!B141="","",M2_Accesos!B141))</f>
        <v/>
      </c>
      <c r="X337" s="17" t="str">
        <f>IF(M2_Accesos!A141="","",IF(M2_Accesos!C141="","",M2_Accesos!C141))</f>
        <v/>
      </c>
      <c r="Y337" s="17" t="str">
        <f>IF(M2_Accesos!A141="","",IF(M2_Accesos!E141="","",M2_Accesos!E141))</f>
        <v/>
      </c>
      <c r="Z337" s="17" t="str">
        <f>IF(M2_Accesos!A141="","",IF(M2_Accesos!F141="","",M2_Accesos!F141))</f>
        <v/>
      </c>
      <c r="AA337" s="17" t="str">
        <f>IF(M2_Accesos!A141="","","M2 Accesos")</f>
        <v/>
      </c>
      <c r="AB337" s="17" t="str">
        <f>IF(M2_Accesos!A141="","",IF(M2_Accesos!G141="","",M2_Accesos!G141))</f>
        <v/>
      </c>
      <c r="AC337" s="17" t="str">
        <f>IF(M2_Accesos!A141="","",IF(M2_Accesos!M141="","",M2_Accesos!M141))</f>
        <v/>
      </c>
      <c r="AD337" s="17" t="str">
        <f>IF(M2_Accesos!A141="","","RD")</f>
        <v/>
      </c>
      <c r="AE337" s="17" t="str">
        <f>IF(M2_Accesos!A141="","",IF(M2_Accesos!O141="","",M2_Accesos!O141))</f>
        <v/>
      </c>
      <c r="AF337" s="17" t="str">
        <f>IF(M2_Accesos!A141="","",IF(M2_Accesos!P141="","",M2_Accesos!P141))</f>
        <v/>
      </c>
      <c r="AG337" s="17" t="str">
        <f>IF(M2_Accesos!A141="","",IF(M2_Accesos!Q141="","",M2_Accesos!Q141))</f>
        <v/>
      </c>
      <c r="AH337" s="17" t="str">
        <f>IF(M2_Accesos!A141="","",IF(M2_Accesos!J141="","",M2_Accesos!J141))</f>
        <v/>
      </c>
      <c r="AI337" s="17" t="str">
        <f>IF(M2_Accesos!A141="","","M2_Accesos!141")</f>
        <v/>
      </c>
      <c r="AJ337" s="17" t="str">
        <f>IF(M2_Accesos!A141="","",IF(M2_Accesos!M141="","Pendiente de resultado","Disponible"))</f>
        <v/>
      </c>
    </row>
    <row r="338" spans="1:36" ht="55.5" customHeight="1">
      <c r="A338" s="6" t="str">
        <f t="array" ref="A338">IF(334&gt;$S$1204,"",INDEX($T$5:$AJ$1204,MATCH(334,$S$5:$S$1204,0),1))</f>
        <v/>
      </c>
      <c r="B338" s="8" t="str">
        <f t="array" ref="B338">IF(334&gt;$S$1204,"",INDEX($T$5:$AJ$1204,MATCH(334,$S$5:$S$1204,0),2))</f>
        <v/>
      </c>
      <c r="C338" s="10" t="str">
        <f t="array" ref="C338">IF(334&gt;$S$1204,"",INDEX($T$5:$AJ$1204,MATCH(334,$S$5:$S$1204,0),3))</f>
        <v/>
      </c>
      <c r="D338" s="8" t="str">
        <f t="array" ref="D338">IF(334&gt;$S$1204,"",INDEX($T$5:$AJ$1204,MATCH(334,$S$5:$S$1204,0),4))</f>
        <v/>
      </c>
      <c r="E338" s="8" t="str">
        <f t="array" ref="E338">IF(334&gt;$S$1204,"",INDEX($T$5:$AJ$1204,MATCH(334,$S$5:$S$1204,0),5))</f>
        <v/>
      </c>
      <c r="F338" s="8" t="str">
        <f t="array" ref="F338">IF(334&gt;$S$1204,"",INDEX($T$5:$AJ$1204,MATCH(334,$S$5:$S$1204,0),6))</f>
        <v/>
      </c>
      <c r="G338" s="8" t="str">
        <f t="array" ref="G338">IF(334&gt;$S$1204,"",INDEX($T$5:$AJ$1204,MATCH(334,$S$5:$S$1204,0),7))</f>
        <v/>
      </c>
      <c r="H338" s="8" t="str">
        <f t="array" ref="H338">IF(334&gt;$S$1204,"",INDEX($T$5:$AJ$1204,MATCH(334,$S$5:$S$1204,0),8))</f>
        <v/>
      </c>
      <c r="I338" s="8" t="str">
        <f t="array" ref="I338">IF(334&gt;$S$1204,"",INDEX($T$5:$AJ$1204,MATCH(334,$S$5:$S$1204,0),9))</f>
        <v/>
      </c>
      <c r="J338" s="14" t="str">
        <f t="array" ref="J338">IF(334&gt;$S$1204,"",INDEX($T$5:$AJ$1204,MATCH(334,$S$5:$S$1204,0),10))</f>
        <v/>
      </c>
      <c r="K338" s="8" t="str">
        <f t="array" ref="K338">IF(334&gt;$S$1204,"",INDEX($T$5:$AJ$1204,MATCH(334,$S$5:$S$1204,0),11))</f>
        <v/>
      </c>
      <c r="L338" s="8" t="str">
        <f t="array" ref="L338">IF(334&gt;$S$1204,"",INDEX($T$5:$AJ$1204,MATCH(334,$S$5:$S$1204,0),12))</f>
        <v/>
      </c>
      <c r="M338" s="8" t="str">
        <f t="array" ref="M338">IF(334&gt;$S$1204,"",INDEX($T$5:$AJ$1204,MATCH(334,$S$5:$S$1204,0),13))</f>
        <v/>
      </c>
      <c r="N338" s="8" t="str">
        <f t="array" ref="N338">IF(334&gt;$S$1204,"",INDEX($T$5:$AJ$1204,MATCH(334,$S$5:$S$1204,0),14))</f>
        <v/>
      </c>
      <c r="O338" s="15" t="str">
        <f t="array" ref="O338">IF(334&gt;$S$1204,"",INDEX($T$5:$AJ$1204,MATCH(334,$S$5:$S$1204,0),15))</f>
        <v/>
      </c>
      <c r="P338" s="8" t="str">
        <f t="array" ref="P338">IF(334&gt;$S$1204,"",INDEX($T$5:$AJ$1204,MATCH(334,$S$5:$S$1204,0),16))</f>
        <v/>
      </c>
      <c r="Q338" s="8" t="str">
        <f t="array" ref="Q338">IF(334&gt;$S$1204,"",INDEX($T$5:$AJ$1204,MATCH(334,$S$5:$S$1204,0),17))</f>
        <v/>
      </c>
      <c r="R338" s="17"/>
      <c r="S338" s="17">
        <f>S337+IF(M2_Accesos!A142="",0,1)</f>
        <v>0</v>
      </c>
      <c r="T338" s="17" t="str">
        <f>IF(M2_Accesos!A142="","",IF(M2_Accesos!A142="","",M2_Accesos!A142))</f>
        <v/>
      </c>
      <c r="U338" s="17" t="str">
        <f>IF(M2_Accesos!A142="","",IF(M2_Accesos!R142="","",M2_Accesos!R142))</f>
        <v/>
      </c>
      <c r="V338" s="17" t="str">
        <f>IF(M2_Accesos!A142="","",IF(M2_Accesos!D142="","",M2_Accesos!D142))</f>
        <v/>
      </c>
      <c r="W338" s="17" t="str">
        <f>IF(M2_Accesos!A142="","",IF(M2_Accesos!B142="","",M2_Accesos!B142))</f>
        <v/>
      </c>
      <c r="X338" s="17" t="str">
        <f>IF(M2_Accesos!A142="","",IF(M2_Accesos!C142="","",M2_Accesos!C142))</f>
        <v/>
      </c>
      <c r="Y338" s="17" t="str">
        <f>IF(M2_Accesos!A142="","",IF(M2_Accesos!E142="","",M2_Accesos!E142))</f>
        <v/>
      </c>
      <c r="Z338" s="17" t="str">
        <f>IF(M2_Accesos!A142="","",IF(M2_Accesos!F142="","",M2_Accesos!F142))</f>
        <v/>
      </c>
      <c r="AA338" s="17" t="str">
        <f>IF(M2_Accesos!A142="","","M2 Accesos")</f>
        <v/>
      </c>
      <c r="AB338" s="17" t="str">
        <f>IF(M2_Accesos!A142="","",IF(M2_Accesos!G142="","",M2_Accesos!G142))</f>
        <v/>
      </c>
      <c r="AC338" s="17" t="str">
        <f>IF(M2_Accesos!A142="","",IF(M2_Accesos!M142="","",M2_Accesos!M142))</f>
        <v/>
      </c>
      <c r="AD338" s="17" t="str">
        <f>IF(M2_Accesos!A142="","","RD")</f>
        <v/>
      </c>
      <c r="AE338" s="17" t="str">
        <f>IF(M2_Accesos!A142="","",IF(M2_Accesos!O142="","",M2_Accesos!O142))</f>
        <v/>
      </c>
      <c r="AF338" s="17" t="str">
        <f>IF(M2_Accesos!A142="","",IF(M2_Accesos!P142="","",M2_Accesos!P142))</f>
        <v/>
      </c>
      <c r="AG338" s="17" t="str">
        <f>IF(M2_Accesos!A142="","",IF(M2_Accesos!Q142="","",M2_Accesos!Q142))</f>
        <v/>
      </c>
      <c r="AH338" s="17" t="str">
        <f>IF(M2_Accesos!A142="","",IF(M2_Accesos!J142="","",M2_Accesos!J142))</f>
        <v/>
      </c>
      <c r="AI338" s="17" t="str">
        <f>IF(M2_Accesos!A142="","","M2_Accesos!142")</f>
        <v/>
      </c>
      <c r="AJ338" s="17" t="str">
        <f>IF(M2_Accesos!A142="","",IF(M2_Accesos!M142="","Pendiente de resultado","Disponible"))</f>
        <v/>
      </c>
    </row>
    <row r="339" spans="1:36" ht="55.5" customHeight="1">
      <c r="A339" s="6" t="str">
        <f t="array" ref="A339">IF(335&gt;$S$1204,"",INDEX($T$5:$AJ$1204,MATCH(335,$S$5:$S$1204,0),1))</f>
        <v/>
      </c>
      <c r="B339" s="8" t="str">
        <f t="array" ref="B339">IF(335&gt;$S$1204,"",INDEX($T$5:$AJ$1204,MATCH(335,$S$5:$S$1204,0),2))</f>
        <v/>
      </c>
      <c r="C339" s="10" t="str">
        <f t="array" ref="C339">IF(335&gt;$S$1204,"",INDEX($T$5:$AJ$1204,MATCH(335,$S$5:$S$1204,0),3))</f>
        <v/>
      </c>
      <c r="D339" s="8" t="str">
        <f t="array" ref="D339">IF(335&gt;$S$1204,"",INDEX($T$5:$AJ$1204,MATCH(335,$S$5:$S$1204,0),4))</f>
        <v/>
      </c>
      <c r="E339" s="8" t="str">
        <f t="array" ref="E339">IF(335&gt;$S$1204,"",INDEX($T$5:$AJ$1204,MATCH(335,$S$5:$S$1204,0),5))</f>
        <v/>
      </c>
      <c r="F339" s="8" t="str">
        <f t="array" ref="F339">IF(335&gt;$S$1204,"",INDEX($T$5:$AJ$1204,MATCH(335,$S$5:$S$1204,0),6))</f>
        <v/>
      </c>
      <c r="G339" s="8" t="str">
        <f t="array" ref="G339">IF(335&gt;$S$1204,"",INDEX($T$5:$AJ$1204,MATCH(335,$S$5:$S$1204,0),7))</f>
        <v/>
      </c>
      <c r="H339" s="8" t="str">
        <f t="array" ref="H339">IF(335&gt;$S$1204,"",INDEX($T$5:$AJ$1204,MATCH(335,$S$5:$S$1204,0),8))</f>
        <v/>
      </c>
      <c r="I339" s="8" t="str">
        <f t="array" ref="I339">IF(335&gt;$S$1204,"",INDEX($T$5:$AJ$1204,MATCH(335,$S$5:$S$1204,0),9))</f>
        <v/>
      </c>
      <c r="J339" s="14" t="str">
        <f t="array" ref="J339">IF(335&gt;$S$1204,"",INDEX($T$5:$AJ$1204,MATCH(335,$S$5:$S$1204,0),10))</f>
        <v/>
      </c>
      <c r="K339" s="8" t="str">
        <f t="array" ref="K339">IF(335&gt;$S$1204,"",INDEX($T$5:$AJ$1204,MATCH(335,$S$5:$S$1204,0),11))</f>
        <v/>
      </c>
      <c r="L339" s="8" t="str">
        <f t="array" ref="L339">IF(335&gt;$S$1204,"",INDEX($T$5:$AJ$1204,MATCH(335,$S$5:$S$1204,0),12))</f>
        <v/>
      </c>
      <c r="M339" s="8" t="str">
        <f t="array" ref="M339">IF(335&gt;$S$1204,"",INDEX($T$5:$AJ$1204,MATCH(335,$S$5:$S$1204,0),13))</f>
        <v/>
      </c>
      <c r="N339" s="8" t="str">
        <f t="array" ref="N339">IF(335&gt;$S$1204,"",INDEX($T$5:$AJ$1204,MATCH(335,$S$5:$S$1204,0),14))</f>
        <v/>
      </c>
      <c r="O339" s="15" t="str">
        <f t="array" ref="O339">IF(335&gt;$S$1204,"",INDEX($T$5:$AJ$1204,MATCH(335,$S$5:$S$1204,0),15))</f>
        <v/>
      </c>
      <c r="P339" s="8" t="str">
        <f t="array" ref="P339">IF(335&gt;$S$1204,"",INDEX($T$5:$AJ$1204,MATCH(335,$S$5:$S$1204,0),16))</f>
        <v/>
      </c>
      <c r="Q339" s="8" t="str">
        <f t="array" ref="Q339">IF(335&gt;$S$1204,"",INDEX($T$5:$AJ$1204,MATCH(335,$S$5:$S$1204,0),17))</f>
        <v/>
      </c>
      <c r="R339" s="17"/>
      <c r="S339" s="17">
        <f>S338+IF(M2_Accesos!A143="",0,1)</f>
        <v>0</v>
      </c>
      <c r="T339" s="17" t="str">
        <f>IF(M2_Accesos!A143="","",IF(M2_Accesos!A143="","",M2_Accesos!A143))</f>
        <v/>
      </c>
      <c r="U339" s="17" t="str">
        <f>IF(M2_Accesos!A143="","",IF(M2_Accesos!R143="","",M2_Accesos!R143))</f>
        <v/>
      </c>
      <c r="V339" s="17" t="str">
        <f>IF(M2_Accesos!A143="","",IF(M2_Accesos!D143="","",M2_Accesos!D143))</f>
        <v/>
      </c>
      <c r="W339" s="17" t="str">
        <f>IF(M2_Accesos!A143="","",IF(M2_Accesos!B143="","",M2_Accesos!B143))</f>
        <v/>
      </c>
      <c r="X339" s="17" t="str">
        <f>IF(M2_Accesos!A143="","",IF(M2_Accesos!C143="","",M2_Accesos!C143))</f>
        <v/>
      </c>
      <c r="Y339" s="17" t="str">
        <f>IF(M2_Accesos!A143="","",IF(M2_Accesos!E143="","",M2_Accesos!E143))</f>
        <v/>
      </c>
      <c r="Z339" s="17" t="str">
        <f>IF(M2_Accesos!A143="","",IF(M2_Accesos!F143="","",M2_Accesos!F143))</f>
        <v/>
      </c>
      <c r="AA339" s="17" t="str">
        <f>IF(M2_Accesos!A143="","","M2 Accesos")</f>
        <v/>
      </c>
      <c r="AB339" s="17" t="str">
        <f>IF(M2_Accesos!A143="","",IF(M2_Accesos!G143="","",M2_Accesos!G143))</f>
        <v/>
      </c>
      <c r="AC339" s="17" t="str">
        <f>IF(M2_Accesos!A143="","",IF(M2_Accesos!M143="","",M2_Accesos!M143))</f>
        <v/>
      </c>
      <c r="AD339" s="17" t="str">
        <f>IF(M2_Accesos!A143="","","RD")</f>
        <v/>
      </c>
      <c r="AE339" s="17" t="str">
        <f>IF(M2_Accesos!A143="","",IF(M2_Accesos!O143="","",M2_Accesos!O143))</f>
        <v/>
      </c>
      <c r="AF339" s="17" t="str">
        <f>IF(M2_Accesos!A143="","",IF(M2_Accesos!P143="","",M2_Accesos!P143))</f>
        <v/>
      </c>
      <c r="AG339" s="17" t="str">
        <f>IF(M2_Accesos!A143="","",IF(M2_Accesos!Q143="","",M2_Accesos!Q143))</f>
        <v/>
      </c>
      <c r="AH339" s="17" t="str">
        <f>IF(M2_Accesos!A143="","",IF(M2_Accesos!J143="","",M2_Accesos!J143))</f>
        <v/>
      </c>
      <c r="AI339" s="17" t="str">
        <f>IF(M2_Accesos!A143="","","M2_Accesos!143")</f>
        <v/>
      </c>
      <c r="AJ339" s="17" t="str">
        <f>IF(M2_Accesos!A143="","",IF(M2_Accesos!M143="","Pendiente de resultado","Disponible"))</f>
        <v/>
      </c>
    </row>
    <row r="340" spans="1:36" ht="55.5" customHeight="1">
      <c r="A340" s="6" t="str">
        <f t="array" ref="A340">IF(336&gt;$S$1204,"",INDEX($T$5:$AJ$1204,MATCH(336,$S$5:$S$1204,0),1))</f>
        <v/>
      </c>
      <c r="B340" s="8" t="str">
        <f t="array" ref="B340">IF(336&gt;$S$1204,"",INDEX($T$5:$AJ$1204,MATCH(336,$S$5:$S$1204,0),2))</f>
        <v/>
      </c>
      <c r="C340" s="10" t="str">
        <f t="array" ref="C340">IF(336&gt;$S$1204,"",INDEX($T$5:$AJ$1204,MATCH(336,$S$5:$S$1204,0),3))</f>
        <v/>
      </c>
      <c r="D340" s="8" t="str">
        <f t="array" ref="D340">IF(336&gt;$S$1204,"",INDEX($T$5:$AJ$1204,MATCH(336,$S$5:$S$1204,0),4))</f>
        <v/>
      </c>
      <c r="E340" s="8" t="str">
        <f t="array" ref="E340">IF(336&gt;$S$1204,"",INDEX($T$5:$AJ$1204,MATCH(336,$S$5:$S$1204,0),5))</f>
        <v/>
      </c>
      <c r="F340" s="8" t="str">
        <f t="array" ref="F340">IF(336&gt;$S$1204,"",INDEX($T$5:$AJ$1204,MATCH(336,$S$5:$S$1204,0),6))</f>
        <v/>
      </c>
      <c r="G340" s="8" t="str">
        <f t="array" ref="G340">IF(336&gt;$S$1204,"",INDEX($T$5:$AJ$1204,MATCH(336,$S$5:$S$1204,0),7))</f>
        <v/>
      </c>
      <c r="H340" s="8" t="str">
        <f t="array" ref="H340">IF(336&gt;$S$1204,"",INDEX($T$5:$AJ$1204,MATCH(336,$S$5:$S$1204,0),8))</f>
        <v/>
      </c>
      <c r="I340" s="8" t="str">
        <f t="array" ref="I340">IF(336&gt;$S$1204,"",INDEX($T$5:$AJ$1204,MATCH(336,$S$5:$S$1204,0),9))</f>
        <v/>
      </c>
      <c r="J340" s="14" t="str">
        <f t="array" ref="J340">IF(336&gt;$S$1204,"",INDEX($T$5:$AJ$1204,MATCH(336,$S$5:$S$1204,0),10))</f>
        <v/>
      </c>
      <c r="K340" s="8" t="str">
        <f t="array" ref="K340">IF(336&gt;$S$1204,"",INDEX($T$5:$AJ$1204,MATCH(336,$S$5:$S$1204,0),11))</f>
        <v/>
      </c>
      <c r="L340" s="8" t="str">
        <f t="array" ref="L340">IF(336&gt;$S$1204,"",INDEX($T$5:$AJ$1204,MATCH(336,$S$5:$S$1204,0),12))</f>
        <v/>
      </c>
      <c r="M340" s="8" t="str">
        <f t="array" ref="M340">IF(336&gt;$S$1204,"",INDEX($T$5:$AJ$1204,MATCH(336,$S$5:$S$1204,0),13))</f>
        <v/>
      </c>
      <c r="N340" s="8" t="str">
        <f t="array" ref="N340">IF(336&gt;$S$1204,"",INDEX($T$5:$AJ$1204,MATCH(336,$S$5:$S$1204,0),14))</f>
        <v/>
      </c>
      <c r="O340" s="15" t="str">
        <f t="array" ref="O340">IF(336&gt;$S$1204,"",INDEX($T$5:$AJ$1204,MATCH(336,$S$5:$S$1204,0),15))</f>
        <v/>
      </c>
      <c r="P340" s="8" t="str">
        <f t="array" ref="P340">IF(336&gt;$S$1204,"",INDEX($T$5:$AJ$1204,MATCH(336,$S$5:$S$1204,0),16))</f>
        <v/>
      </c>
      <c r="Q340" s="8" t="str">
        <f t="array" ref="Q340">IF(336&gt;$S$1204,"",INDEX($T$5:$AJ$1204,MATCH(336,$S$5:$S$1204,0),17))</f>
        <v/>
      </c>
      <c r="R340" s="17"/>
      <c r="S340" s="17">
        <f>S339+IF(M2_Accesos!A144="",0,1)</f>
        <v>0</v>
      </c>
      <c r="T340" s="17" t="str">
        <f>IF(M2_Accesos!A144="","",IF(M2_Accesos!A144="","",M2_Accesos!A144))</f>
        <v/>
      </c>
      <c r="U340" s="17" t="str">
        <f>IF(M2_Accesos!A144="","",IF(M2_Accesos!R144="","",M2_Accesos!R144))</f>
        <v/>
      </c>
      <c r="V340" s="17" t="str">
        <f>IF(M2_Accesos!A144="","",IF(M2_Accesos!D144="","",M2_Accesos!D144))</f>
        <v/>
      </c>
      <c r="W340" s="17" t="str">
        <f>IF(M2_Accesos!A144="","",IF(M2_Accesos!B144="","",M2_Accesos!B144))</f>
        <v/>
      </c>
      <c r="X340" s="17" t="str">
        <f>IF(M2_Accesos!A144="","",IF(M2_Accesos!C144="","",M2_Accesos!C144))</f>
        <v/>
      </c>
      <c r="Y340" s="17" t="str">
        <f>IF(M2_Accesos!A144="","",IF(M2_Accesos!E144="","",M2_Accesos!E144))</f>
        <v/>
      </c>
      <c r="Z340" s="17" t="str">
        <f>IF(M2_Accesos!A144="","",IF(M2_Accesos!F144="","",M2_Accesos!F144))</f>
        <v/>
      </c>
      <c r="AA340" s="17" t="str">
        <f>IF(M2_Accesos!A144="","","M2 Accesos")</f>
        <v/>
      </c>
      <c r="AB340" s="17" t="str">
        <f>IF(M2_Accesos!A144="","",IF(M2_Accesos!G144="","",M2_Accesos!G144))</f>
        <v/>
      </c>
      <c r="AC340" s="17" t="str">
        <f>IF(M2_Accesos!A144="","",IF(M2_Accesos!M144="","",M2_Accesos!M144))</f>
        <v/>
      </c>
      <c r="AD340" s="17" t="str">
        <f>IF(M2_Accesos!A144="","","RD")</f>
        <v/>
      </c>
      <c r="AE340" s="17" t="str">
        <f>IF(M2_Accesos!A144="","",IF(M2_Accesos!O144="","",M2_Accesos!O144))</f>
        <v/>
      </c>
      <c r="AF340" s="17" t="str">
        <f>IF(M2_Accesos!A144="","",IF(M2_Accesos!P144="","",M2_Accesos!P144))</f>
        <v/>
      </c>
      <c r="AG340" s="17" t="str">
        <f>IF(M2_Accesos!A144="","",IF(M2_Accesos!Q144="","",M2_Accesos!Q144))</f>
        <v/>
      </c>
      <c r="AH340" s="17" t="str">
        <f>IF(M2_Accesos!A144="","",IF(M2_Accesos!J144="","",M2_Accesos!J144))</f>
        <v/>
      </c>
      <c r="AI340" s="17" t="str">
        <f>IF(M2_Accesos!A144="","","M2_Accesos!144")</f>
        <v/>
      </c>
      <c r="AJ340" s="17" t="str">
        <f>IF(M2_Accesos!A144="","",IF(M2_Accesos!M144="","Pendiente de resultado","Disponible"))</f>
        <v/>
      </c>
    </row>
    <row r="341" spans="1:36" ht="55.5" customHeight="1">
      <c r="A341" s="6" t="str">
        <f t="array" ref="A341">IF(337&gt;$S$1204,"",INDEX($T$5:$AJ$1204,MATCH(337,$S$5:$S$1204,0),1))</f>
        <v/>
      </c>
      <c r="B341" s="8" t="str">
        <f t="array" ref="B341">IF(337&gt;$S$1204,"",INDEX($T$5:$AJ$1204,MATCH(337,$S$5:$S$1204,0),2))</f>
        <v/>
      </c>
      <c r="C341" s="10" t="str">
        <f t="array" ref="C341">IF(337&gt;$S$1204,"",INDEX($T$5:$AJ$1204,MATCH(337,$S$5:$S$1204,0),3))</f>
        <v/>
      </c>
      <c r="D341" s="8" t="str">
        <f t="array" ref="D341">IF(337&gt;$S$1204,"",INDEX($T$5:$AJ$1204,MATCH(337,$S$5:$S$1204,0),4))</f>
        <v/>
      </c>
      <c r="E341" s="8" t="str">
        <f t="array" ref="E341">IF(337&gt;$S$1204,"",INDEX($T$5:$AJ$1204,MATCH(337,$S$5:$S$1204,0),5))</f>
        <v/>
      </c>
      <c r="F341" s="8" t="str">
        <f t="array" ref="F341">IF(337&gt;$S$1204,"",INDEX($T$5:$AJ$1204,MATCH(337,$S$5:$S$1204,0),6))</f>
        <v/>
      </c>
      <c r="G341" s="8" t="str">
        <f t="array" ref="G341">IF(337&gt;$S$1204,"",INDEX($T$5:$AJ$1204,MATCH(337,$S$5:$S$1204,0),7))</f>
        <v/>
      </c>
      <c r="H341" s="8" t="str">
        <f t="array" ref="H341">IF(337&gt;$S$1204,"",INDEX($T$5:$AJ$1204,MATCH(337,$S$5:$S$1204,0),8))</f>
        <v/>
      </c>
      <c r="I341" s="8" t="str">
        <f t="array" ref="I341">IF(337&gt;$S$1204,"",INDEX($T$5:$AJ$1204,MATCH(337,$S$5:$S$1204,0),9))</f>
        <v/>
      </c>
      <c r="J341" s="14" t="str">
        <f t="array" ref="J341">IF(337&gt;$S$1204,"",INDEX($T$5:$AJ$1204,MATCH(337,$S$5:$S$1204,0),10))</f>
        <v/>
      </c>
      <c r="K341" s="8" t="str">
        <f t="array" ref="K341">IF(337&gt;$S$1204,"",INDEX($T$5:$AJ$1204,MATCH(337,$S$5:$S$1204,0),11))</f>
        <v/>
      </c>
      <c r="L341" s="8" t="str">
        <f t="array" ref="L341">IF(337&gt;$S$1204,"",INDEX($T$5:$AJ$1204,MATCH(337,$S$5:$S$1204,0),12))</f>
        <v/>
      </c>
      <c r="M341" s="8" t="str">
        <f t="array" ref="M341">IF(337&gt;$S$1204,"",INDEX($T$5:$AJ$1204,MATCH(337,$S$5:$S$1204,0),13))</f>
        <v/>
      </c>
      <c r="N341" s="8" t="str">
        <f t="array" ref="N341">IF(337&gt;$S$1204,"",INDEX($T$5:$AJ$1204,MATCH(337,$S$5:$S$1204,0),14))</f>
        <v/>
      </c>
      <c r="O341" s="15" t="str">
        <f t="array" ref="O341">IF(337&gt;$S$1204,"",INDEX($T$5:$AJ$1204,MATCH(337,$S$5:$S$1204,0),15))</f>
        <v/>
      </c>
      <c r="P341" s="8" t="str">
        <f t="array" ref="P341">IF(337&gt;$S$1204,"",INDEX($T$5:$AJ$1204,MATCH(337,$S$5:$S$1204,0),16))</f>
        <v/>
      </c>
      <c r="Q341" s="8" t="str">
        <f t="array" ref="Q341">IF(337&gt;$S$1204,"",INDEX($T$5:$AJ$1204,MATCH(337,$S$5:$S$1204,0),17))</f>
        <v/>
      </c>
      <c r="R341" s="17"/>
      <c r="S341" s="17">
        <f>S340+IF(M2_Accesos!A145="",0,1)</f>
        <v>0</v>
      </c>
      <c r="T341" s="17" t="str">
        <f>IF(M2_Accesos!A145="","",IF(M2_Accesos!A145="","",M2_Accesos!A145))</f>
        <v/>
      </c>
      <c r="U341" s="17" t="str">
        <f>IF(M2_Accesos!A145="","",IF(M2_Accesos!R145="","",M2_Accesos!R145))</f>
        <v/>
      </c>
      <c r="V341" s="17" t="str">
        <f>IF(M2_Accesos!A145="","",IF(M2_Accesos!D145="","",M2_Accesos!D145))</f>
        <v/>
      </c>
      <c r="W341" s="17" t="str">
        <f>IF(M2_Accesos!A145="","",IF(M2_Accesos!B145="","",M2_Accesos!B145))</f>
        <v/>
      </c>
      <c r="X341" s="17" t="str">
        <f>IF(M2_Accesos!A145="","",IF(M2_Accesos!C145="","",M2_Accesos!C145))</f>
        <v/>
      </c>
      <c r="Y341" s="17" t="str">
        <f>IF(M2_Accesos!A145="","",IF(M2_Accesos!E145="","",M2_Accesos!E145))</f>
        <v/>
      </c>
      <c r="Z341" s="17" t="str">
        <f>IF(M2_Accesos!A145="","",IF(M2_Accesos!F145="","",M2_Accesos!F145))</f>
        <v/>
      </c>
      <c r="AA341" s="17" t="str">
        <f>IF(M2_Accesos!A145="","","M2 Accesos")</f>
        <v/>
      </c>
      <c r="AB341" s="17" t="str">
        <f>IF(M2_Accesos!A145="","",IF(M2_Accesos!G145="","",M2_Accesos!G145))</f>
        <v/>
      </c>
      <c r="AC341" s="17" t="str">
        <f>IF(M2_Accesos!A145="","",IF(M2_Accesos!M145="","",M2_Accesos!M145))</f>
        <v/>
      </c>
      <c r="AD341" s="17" t="str">
        <f>IF(M2_Accesos!A145="","","RD")</f>
        <v/>
      </c>
      <c r="AE341" s="17" t="str">
        <f>IF(M2_Accesos!A145="","",IF(M2_Accesos!O145="","",M2_Accesos!O145))</f>
        <v/>
      </c>
      <c r="AF341" s="17" t="str">
        <f>IF(M2_Accesos!A145="","",IF(M2_Accesos!P145="","",M2_Accesos!P145))</f>
        <v/>
      </c>
      <c r="AG341" s="17" t="str">
        <f>IF(M2_Accesos!A145="","",IF(M2_Accesos!Q145="","",M2_Accesos!Q145))</f>
        <v/>
      </c>
      <c r="AH341" s="17" t="str">
        <f>IF(M2_Accesos!A145="","",IF(M2_Accesos!J145="","",M2_Accesos!J145))</f>
        <v/>
      </c>
      <c r="AI341" s="17" t="str">
        <f>IF(M2_Accesos!A145="","","M2_Accesos!145")</f>
        <v/>
      </c>
      <c r="AJ341" s="17" t="str">
        <f>IF(M2_Accesos!A145="","",IF(M2_Accesos!M145="","Pendiente de resultado","Disponible"))</f>
        <v/>
      </c>
    </row>
    <row r="342" spans="1:36" ht="55.5" customHeight="1">
      <c r="A342" s="6" t="str">
        <f t="array" ref="A342">IF(338&gt;$S$1204,"",INDEX($T$5:$AJ$1204,MATCH(338,$S$5:$S$1204,0),1))</f>
        <v/>
      </c>
      <c r="B342" s="8" t="str">
        <f t="array" ref="B342">IF(338&gt;$S$1204,"",INDEX($T$5:$AJ$1204,MATCH(338,$S$5:$S$1204,0),2))</f>
        <v/>
      </c>
      <c r="C342" s="10" t="str">
        <f t="array" ref="C342">IF(338&gt;$S$1204,"",INDEX($T$5:$AJ$1204,MATCH(338,$S$5:$S$1204,0),3))</f>
        <v/>
      </c>
      <c r="D342" s="8" t="str">
        <f t="array" ref="D342">IF(338&gt;$S$1204,"",INDEX($T$5:$AJ$1204,MATCH(338,$S$5:$S$1204,0),4))</f>
        <v/>
      </c>
      <c r="E342" s="8" t="str">
        <f t="array" ref="E342">IF(338&gt;$S$1204,"",INDEX($T$5:$AJ$1204,MATCH(338,$S$5:$S$1204,0),5))</f>
        <v/>
      </c>
      <c r="F342" s="8" t="str">
        <f t="array" ref="F342">IF(338&gt;$S$1204,"",INDEX($T$5:$AJ$1204,MATCH(338,$S$5:$S$1204,0),6))</f>
        <v/>
      </c>
      <c r="G342" s="8" t="str">
        <f t="array" ref="G342">IF(338&gt;$S$1204,"",INDEX($T$5:$AJ$1204,MATCH(338,$S$5:$S$1204,0),7))</f>
        <v/>
      </c>
      <c r="H342" s="8" t="str">
        <f t="array" ref="H342">IF(338&gt;$S$1204,"",INDEX($T$5:$AJ$1204,MATCH(338,$S$5:$S$1204,0),8))</f>
        <v/>
      </c>
      <c r="I342" s="8" t="str">
        <f t="array" ref="I342">IF(338&gt;$S$1204,"",INDEX($T$5:$AJ$1204,MATCH(338,$S$5:$S$1204,0),9))</f>
        <v/>
      </c>
      <c r="J342" s="14" t="str">
        <f t="array" ref="J342">IF(338&gt;$S$1204,"",INDEX($T$5:$AJ$1204,MATCH(338,$S$5:$S$1204,0),10))</f>
        <v/>
      </c>
      <c r="K342" s="8" t="str">
        <f t="array" ref="K342">IF(338&gt;$S$1204,"",INDEX($T$5:$AJ$1204,MATCH(338,$S$5:$S$1204,0),11))</f>
        <v/>
      </c>
      <c r="L342" s="8" t="str">
        <f t="array" ref="L342">IF(338&gt;$S$1204,"",INDEX($T$5:$AJ$1204,MATCH(338,$S$5:$S$1204,0),12))</f>
        <v/>
      </c>
      <c r="M342" s="8" t="str">
        <f t="array" ref="M342">IF(338&gt;$S$1204,"",INDEX($T$5:$AJ$1204,MATCH(338,$S$5:$S$1204,0),13))</f>
        <v/>
      </c>
      <c r="N342" s="8" t="str">
        <f t="array" ref="N342">IF(338&gt;$S$1204,"",INDEX($T$5:$AJ$1204,MATCH(338,$S$5:$S$1204,0),14))</f>
        <v/>
      </c>
      <c r="O342" s="15" t="str">
        <f t="array" ref="O342">IF(338&gt;$S$1204,"",INDEX($T$5:$AJ$1204,MATCH(338,$S$5:$S$1204,0),15))</f>
        <v/>
      </c>
      <c r="P342" s="8" t="str">
        <f t="array" ref="P342">IF(338&gt;$S$1204,"",INDEX($T$5:$AJ$1204,MATCH(338,$S$5:$S$1204,0),16))</f>
        <v/>
      </c>
      <c r="Q342" s="8" t="str">
        <f t="array" ref="Q342">IF(338&gt;$S$1204,"",INDEX($T$5:$AJ$1204,MATCH(338,$S$5:$S$1204,0),17))</f>
        <v/>
      </c>
      <c r="R342" s="17"/>
      <c r="S342" s="17">
        <f>S341+IF(M2_Accesos!A146="",0,1)</f>
        <v>0</v>
      </c>
      <c r="T342" s="17" t="str">
        <f>IF(M2_Accesos!A146="","",IF(M2_Accesos!A146="","",M2_Accesos!A146))</f>
        <v/>
      </c>
      <c r="U342" s="17" t="str">
        <f>IF(M2_Accesos!A146="","",IF(M2_Accesos!R146="","",M2_Accesos!R146))</f>
        <v/>
      </c>
      <c r="V342" s="17" t="str">
        <f>IF(M2_Accesos!A146="","",IF(M2_Accesos!D146="","",M2_Accesos!D146))</f>
        <v/>
      </c>
      <c r="W342" s="17" t="str">
        <f>IF(M2_Accesos!A146="","",IF(M2_Accesos!B146="","",M2_Accesos!B146))</f>
        <v/>
      </c>
      <c r="X342" s="17" t="str">
        <f>IF(M2_Accesos!A146="","",IF(M2_Accesos!C146="","",M2_Accesos!C146))</f>
        <v/>
      </c>
      <c r="Y342" s="17" t="str">
        <f>IF(M2_Accesos!A146="","",IF(M2_Accesos!E146="","",M2_Accesos!E146))</f>
        <v/>
      </c>
      <c r="Z342" s="17" t="str">
        <f>IF(M2_Accesos!A146="","",IF(M2_Accesos!F146="","",M2_Accesos!F146))</f>
        <v/>
      </c>
      <c r="AA342" s="17" t="str">
        <f>IF(M2_Accesos!A146="","","M2 Accesos")</f>
        <v/>
      </c>
      <c r="AB342" s="17" t="str">
        <f>IF(M2_Accesos!A146="","",IF(M2_Accesos!G146="","",M2_Accesos!G146))</f>
        <v/>
      </c>
      <c r="AC342" s="17" t="str">
        <f>IF(M2_Accesos!A146="","",IF(M2_Accesos!M146="","",M2_Accesos!M146))</f>
        <v/>
      </c>
      <c r="AD342" s="17" t="str">
        <f>IF(M2_Accesos!A146="","","RD")</f>
        <v/>
      </c>
      <c r="AE342" s="17" t="str">
        <f>IF(M2_Accesos!A146="","",IF(M2_Accesos!O146="","",M2_Accesos!O146))</f>
        <v/>
      </c>
      <c r="AF342" s="17" t="str">
        <f>IF(M2_Accesos!A146="","",IF(M2_Accesos!P146="","",M2_Accesos!P146))</f>
        <v/>
      </c>
      <c r="AG342" s="17" t="str">
        <f>IF(M2_Accesos!A146="","",IF(M2_Accesos!Q146="","",M2_Accesos!Q146))</f>
        <v/>
      </c>
      <c r="AH342" s="17" t="str">
        <f>IF(M2_Accesos!A146="","",IF(M2_Accesos!J146="","",M2_Accesos!J146))</f>
        <v/>
      </c>
      <c r="AI342" s="17" t="str">
        <f>IF(M2_Accesos!A146="","","M2_Accesos!146")</f>
        <v/>
      </c>
      <c r="AJ342" s="17" t="str">
        <f>IF(M2_Accesos!A146="","",IF(M2_Accesos!M146="","Pendiente de resultado","Disponible"))</f>
        <v/>
      </c>
    </row>
    <row r="343" spans="1:36" ht="55.5" customHeight="1">
      <c r="A343" s="6" t="str">
        <f t="array" ref="A343">IF(339&gt;$S$1204,"",INDEX($T$5:$AJ$1204,MATCH(339,$S$5:$S$1204,0),1))</f>
        <v/>
      </c>
      <c r="B343" s="8" t="str">
        <f t="array" ref="B343">IF(339&gt;$S$1204,"",INDEX($T$5:$AJ$1204,MATCH(339,$S$5:$S$1204,0),2))</f>
        <v/>
      </c>
      <c r="C343" s="10" t="str">
        <f t="array" ref="C343">IF(339&gt;$S$1204,"",INDEX($T$5:$AJ$1204,MATCH(339,$S$5:$S$1204,0),3))</f>
        <v/>
      </c>
      <c r="D343" s="8" t="str">
        <f t="array" ref="D343">IF(339&gt;$S$1204,"",INDEX($T$5:$AJ$1204,MATCH(339,$S$5:$S$1204,0),4))</f>
        <v/>
      </c>
      <c r="E343" s="8" t="str">
        <f t="array" ref="E343">IF(339&gt;$S$1204,"",INDEX($T$5:$AJ$1204,MATCH(339,$S$5:$S$1204,0),5))</f>
        <v/>
      </c>
      <c r="F343" s="8" t="str">
        <f t="array" ref="F343">IF(339&gt;$S$1204,"",INDEX($T$5:$AJ$1204,MATCH(339,$S$5:$S$1204,0),6))</f>
        <v/>
      </c>
      <c r="G343" s="8" t="str">
        <f t="array" ref="G343">IF(339&gt;$S$1204,"",INDEX($T$5:$AJ$1204,MATCH(339,$S$5:$S$1204,0),7))</f>
        <v/>
      </c>
      <c r="H343" s="8" t="str">
        <f t="array" ref="H343">IF(339&gt;$S$1204,"",INDEX($T$5:$AJ$1204,MATCH(339,$S$5:$S$1204,0),8))</f>
        <v/>
      </c>
      <c r="I343" s="8" t="str">
        <f t="array" ref="I343">IF(339&gt;$S$1204,"",INDEX($T$5:$AJ$1204,MATCH(339,$S$5:$S$1204,0),9))</f>
        <v/>
      </c>
      <c r="J343" s="14" t="str">
        <f t="array" ref="J343">IF(339&gt;$S$1204,"",INDEX($T$5:$AJ$1204,MATCH(339,$S$5:$S$1204,0),10))</f>
        <v/>
      </c>
      <c r="K343" s="8" t="str">
        <f t="array" ref="K343">IF(339&gt;$S$1204,"",INDEX($T$5:$AJ$1204,MATCH(339,$S$5:$S$1204,0),11))</f>
        <v/>
      </c>
      <c r="L343" s="8" t="str">
        <f t="array" ref="L343">IF(339&gt;$S$1204,"",INDEX($T$5:$AJ$1204,MATCH(339,$S$5:$S$1204,0),12))</f>
        <v/>
      </c>
      <c r="M343" s="8" t="str">
        <f t="array" ref="M343">IF(339&gt;$S$1204,"",INDEX($T$5:$AJ$1204,MATCH(339,$S$5:$S$1204,0),13))</f>
        <v/>
      </c>
      <c r="N343" s="8" t="str">
        <f t="array" ref="N343">IF(339&gt;$S$1204,"",INDEX($T$5:$AJ$1204,MATCH(339,$S$5:$S$1204,0),14))</f>
        <v/>
      </c>
      <c r="O343" s="15" t="str">
        <f t="array" ref="O343">IF(339&gt;$S$1204,"",INDEX($T$5:$AJ$1204,MATCH(339,$S$5:$S$1204,0),15))</f>
        <v/>
      </c>
      <c r="P343" s="8" t="str">
        <f t="array" ref="P343">IF(339&gt;$S$1204,"",INDEX($T$5:$AJ$1204,MATCH(339,$S$5:$S$1204,0),16))</f>
        <v/>
      </c>
      <c r="Q343" s="8" t="str">
        <f t="array" ref="Q343">IF(339&gt;$S$1204,"",INDEX($T$5:$AJ$1204,MATCH(339,$S$5:$S$1204,0),17))</f>
        <v/>
      </c>
      <c r="R343" s="17"/>
      <c r="S343" s="17">
        <f>S342+IF(M2_Accesos!A147="",0,1)</f>
        <v>0</v>
      </c>
      <c r="T343" s="17" t="str">
        <f>IF(M2_Accesos!A147="","",IF(M2_Accesos!A147="","",M2_Accesos!A147))</f>
        <v/>
      </c>
      <c r="U343" s="17" t="str">
        <f>IF(M2_Accesos!A147="","",IF(M2_Accesos!R147="","",M2_Accesos!R147))</f>
        <v/>
      </c>
      <c r="V343" s="17" t="str">
        <f>IF(M2_Accesos!A147="","",IF(M2_Accesos!D147="","",M2_Accesos!D147))</f>
        <v/>
      </c>
      <c r="W343" s="17" t="str">
        <f>IF(M2_Accesos!A147="","",IF(M2_Accesos!B147="","",M2_Accesos!B147))</f>
        <v/>
      </c>
      <c r="X343" s="17" t="str">
        <f>IF(M2_Accesos!A147="","",IF(M2_Accesos!C147="","",M2_Accesos!C147))</f>
        <v/>
      </c>
      <c r="Y343" s="17" t="str">
        <f>IF(M2_Accesos!A147="","",IF(M2_Accesos!E147="","",M2_Accesos!E147))</f>
        <v/>
      </c>
      <c r="Z343" s="17" t="str">
        <f>IF(M2_Accesos!A147="","",IF(M2_Accesos!F147="","",M2_Accesos!F147))</f>
        <v/>
      </c>
      <c r="AA343" s="17" t="str">
        <f>IF(M2_Accesos!A147="","","M2 Accesos")</f>
        <v/>
      </c>
      <c r="AB343" s="17" t="str">
        <f>IF(M2_Accesos!A147="","",IF(M2_Accesos!G147="","",M2_Accesos!G147))</f>
        <v/>
      </c>
      <c r="AC343" s="17" t="str">
        <f>IF(M2_Accesos!A147="","",IF(M2_Accesos!M147="","",M2_Accesos!M147))</f>
        <v/>
      </c>
      <c r="AD343" s="17" t="str">
        <f>IF(M2_Accesos!A147="","","RD")</f>
        <v/>
      </c>
      <c r="AE343" s="17" t="str">
        <f>IF(M2_Accesos!A147="","",IF(M2_Accesos!O147="","",M2_Accesos!O147))</f>
        <v/>
      </c>
      <c r="AF343" s="17" t="str">
        <f>IF(M2_Accesos!A147="","",IF(M2_Accesos!P147="","",M2_Accesos!P147))</f>
        <v/>
      </c>
      <c r="AG343" s="17" t="str">
        <f>IF(M2_Accesos!A147="","",IF(M2_Accesos!Q147="","",M2_Accesos!Q147))</f>
        <v/>
      </c>
      <c r="AH343" s="17" t="str">
        <f>IF(M2_Accesos!A147="","",IF(M2_Accesos!J147="","",M2_Accesos!J147))</f>
        <v/>
      </c>
      <c r="AI343" s="17" t="str">
        <f>IF(M2_Accesos!A147="","","M2_Accesos!147")</f>
        <v/>
      </c>
      <c r="AJ343" s="17" t="str">
        <f>IF(M2_Accesos!A147="","",IF(M2_Accesos!M147="","Pendiente de resultado","Disponible"))</f>
        <v/>
      </c>
    </row>
    <row r="344" spans="1:36" ht="55.5" customHeight="1">
      <c r="A344" s="6" t="str">
        <f t="array" ref="A344">IF(340&gt;$S$1204,"",INDEX($T$5:$AJ$1204,MATCH(340,$S$5:$S$1204,0),1))</f>
        <v/>
      </c>
      <c r="B344" s="8" t="str">
        <f t="array" ref="B344">IF(340&gt;$S$1204,"",INDEX($T$5:$AJ$1204,MATCH(340,$S$5:$S$1204,0),2))</f>
        <v/>
      </c>
      <c r="C344" s="10" t="str">
        <f t="array" ref="C344">IF(340&gt;$S$1204,"",INDEX($T$5:$AJ$1204,MATCH(340,$S$5:$S$1204,0),3))</f>
        <v/>
      </c>
      <c r="D344" s="8" t="str">
        <f t="array" ref="D344">IF(340&gt;$S$1204,"",INDEX($T$5:$AJ$1204,MATCH(340,$S$5:$S$1204,0),4))</f>
        <v/>
      </c>
      <c r="E344" s="8" t="str">
        <f t="array" ref="E344">IF(340&gt;$S$1204,"",INDEX($T$5:$AJ$1204,MATCH(340,$S$5:$S$1204,0),5))</f>
        <v/>
      </c>
      <c r="F344" s="8" t="str">
        <f t="array" ref="F344">IF(340&gt;$S$1204,"",INDEX($T$5:$AJ$1204,MATCH(340,$S$5:$S$1204,0),6))</f>
        <v/>
      </c>
      <c r="G344" s="8" t="str">
        <f t="array" ref="G344">IF(340&gt;$S$1204,"",INDEX($T$5:$AJ$1204,MATCH(340,$S$5:$S$1204,0),7))</f>
        <v/>
      </c>
      <c r="H344" s="8" t="str">
        <f t="array" ref="H344">IF(340&gt;$S$1204,"",INDEX($T$5:$AJ$1204,MATCH(340,$S$5:$S$1204,0),8))</f>
        <v/>
      </c>
      <c r="I344" s="8" t="str">
        <f t="array" ref="I344">IF(340&gt;$S$1204,"",INDEX($T$5:$AJ$1204,MATCH(340,$S$5:$S$1204,0),9))</f>
        <v/>
      </c>
      <c r="J344" s="14" t="str">
        <f t="array" ref="J344">IF(340&gt;$S$1204,"",INDEX($T$5:$AJ$1204,MATCH(340,$S$5:$S$1204,0),10))</f>
        <v/>
      </c>
      <c r="K344" s="8" t="str">
        <f t="array" ref="K344">IF(340&gt;$S$1204,"",INDEX($T$5:$AJ$1204,MATCH(340,$S$5:$S$1204,0),11))</f>
        <v/>
      </c>
      <c r="L344" s="8" t="str">
        <f t="array" ref="L344">IF(340&gt;$S$1204,"",INDEX($T$5:$AJ$1204,MATCH(340,$S$5:$S$1204,0),12))</f>
        <v/>
      </c>
      <c r="M344" s="8" t="str">
        <f t="array" ref="M344">IF(340&gt;$S$1204,"",INDEX($T$5:$AJ$1204,MATCH(340,$S$5:$S$1204,0),13))</f>
        <v/>
      </c>
      <c r="N344" s="8" t="str">
        <f t="array" ref="N344">IF(340&gt;$S$1204,"",INDEX($T$5:$AJ$1204,MATCH(340,$S$5:$S$1204,0),14))</f>
        <v/>
      </c>
      <c r="O344" s="15" t="str">
        <f t="array" ref="O344">IF(340&gt;$S$1204,"",INDEX($T$5:$AJ$1204,MATCH(340,$S$5:$S$1204,0),15))</f>
        <v/>
      </c>
      <c r="P344" s="8" t="str">
        <f t="array" ref="P344">IF(340&gt;$S$1204,"",INDEX($T$5:$AJ$1204,MATCH(340,$S$5:$S$1204,0),16))</f>
        <v/>
      </c>
      <c r="Q344" s="8" t="str">
        <f t="array" ref="Q344">IF(340&gt;$S$1204,"",INDEX($T$5:$AJ$1204,MATCH(340,$S$5:$S$1204,0),17))</f>
        <v/>
      </c>
      <c r="R344" s="17"/>
      <c r="S344" s="17">
        <f>S343+IF(M2_Accesos!A148="",0,1)</f>
        <v>0</v>
      </c>
      <c r="T344" s="17" t="str">
        <f>IF(M2_Accesos!A148="","",IF(M2_Accesos!A148="","",M2_Accesos!A148))</f>
        <v/>
      </c>
      <c r="U344" s="17" t="str">
        <f>IF(M2_Accesos!A148="","",IF(M2_Accesos!R148="","",M2_Accesos!R148))</f>
        <v/>
      </c>
      <c r="V344" s="17" t="str">
        <f>IF(M2_Accesos!A148="","",IF(M2_Accesos!D148="","",M2_Accesos!D148))</f>
        <v/>
      </c>
      <c r="W344" s="17" t="str">
        <f>IF(M2_Accesos!A148="","",IF(M2_Accesos!B148="","",M2_Accesos!B148))</f>
        <v/>
      </c>
      <c r="X344" s="17" t="str">
        <f>IF(M2_Accesos!A148="","",IF(M2_Accesos!C148="","",M2_Accesos!C148))</f>
        <v/>
      </c>
      <c r="Y344" s="17" t="str">
        <f>IF(M2_Accesos!A148="","",IF(M2_Accesos!E148="","",M2_Accesos!E148))</f>
        <v/>
      </c>
      <c r="Z344" s="17" t="str">
        <f>IF(M2_Accesos!A148="","",IF(M2_Accesos!F148="","",M2_Accesos!F148))</f>
        <v/>
      </c>
      <c r="AA344" s="17" t="str">
        <f>IF(M2_Accesos!A148="","","M2 Accesos")</f>
        <v/>
      </c>
      <c r="AB344" s="17" t="str">
        <f>IF(M2_Accesos!A148="","",IF(M2_Accesos!G148="","",M2_Accesos!G148))</f>
        <v/>
      </c>
      <c r="AC344" s="17" t="str">
        <f>IF(M2_Accesos!A148="","",IF(M2_Accesos!M148="","",M2_Accesos!M148))</f>
        <v/>
      </c>
      <c r="AD344" s="17" t="str">
        <f>IF(M2_Accesos!A148="","","RD")</f>
        <v/>
      </c>
      <c r="AE344" s="17" t="str">
        <f>IF(M2_Accesos!A148="","",IF(M2_Accesos!O148="","",M2_Accesos!O148))</f>
        <v/>
      </c>
      <c r="AF344" s="17" t="str">
        <f>IF(M2_Accesos!A148="","",IF(M2_Accesos!P148="","",M2_Accesos!P148))</f>
        <v/>
      </c>
      <c r="AG344" s="17" t="str">
        <f>IF(M2_Accesos!A148="","",IF(M2_Accesos!Q148="","",M2_Accesos!Q148))</f>
        <v/>
      </c>
      <c r="AH344" s="17" t="str">
        <f>IF(M2_Accesos!A148="","",IF(M2_Accesos!J148="","",M2_Accesos!J148))</f>
        <v/>
      </c>
      <c r="AI344" s="17" t="str">
        <f>IF(M2_Accesos!A148="","","M2_Accesos!148")</f>
        <v/>
      </c>
      <c r="AJ344" s="17" t="str">
        <f>IF(M2_Accesos!A148="","",IF(M2_Accesos!M148="","Pendiente de resultado","Disponible"))</f>
        <v/>
      </c>
    </row>
    <row r="345" spans="1:36" ht="55.5" customHeight="1">
      <c r="A345" s="6" t="str">
        <f t="array" ref="A345">IF(341&gt;$S$1204,"",INDEX($T$5:$AJ$1204,MATCH(341,$S$5:$S$1204,0),1))</f>
        <v/>
      </c>
      <c r="B345" s="8" t="str">
        <f t="array" ref="B345">IF(341&gt;$S$1204,"",INDEX($T$5:$AJ$1204,MATCH(341,$S$5:$S$1204,0),2))</f>
        <v/>
      </c>
      <c r="C345" s="10" t="str">
        <f t="array" ref="C345">IF(341&gt;$S$1204,"",INDEX($T$5:$AJ$1204,MATCH(341,$S$5:$S$1204,0),3))</f>
        <v/>
      </c>
      <c r="D345" s="8" t="str">
        <f t="array" ref="D345">IF(341&gt;$S$1204,"",INDEX($T$5:$AJ$1204,MATCH(341,$S$5:$S$1204,0),4))</f>
        <v/>
      </c>
      <c r="E345" s="8" t="str">
        <f t="array" ref="E345">IF(341&gt;$S$1204,"",INDEX($T$5:$AJ$1204,MATCH(341,$S$5:$S$1204,0),5))</f>
        <v/>
      </c>
      <c r="F345" s="8" t="str">
        <f t="array" ref="F345">IF(341&gt;$S$1204,"",INDEX($T$5:$AJ$1204,MATCH(341,$S$5:$S$1204,0),6))</f>
        <v/>
      </c>
      <c r="G345" s="8" t="str">
        <f t="array" ref="G345">IF(341&gt;$S$1204,"",INDEX($T$5:$AJ$1204,MATCH(341,$S$5:$S$1204,0),7))</f>
        <v/>
      </c>
      <c r="H345" s="8" t="str">
        <f t="array" ref="H345">IF(341&gt;$S$1204,"",INDEX($T$5:$AJ$1204,MATCH(341,$S$5:$S$1204,0),8))</f>
        <v/>
      </c>
      <c r="I345" s="8" t="str">
        <f t="array" ref="I345">IF(341&gt;$S$1204,"",INDEX($T$5:$AJ$1204,MATCH(341,$S$5:$S$1204,0),9))</f>
        <v/>
      </c>
      <c r="J345" s="14" t="str">
        <f t="array" ref="J345">IF(341&gt;$S$1204,"",INDEX($T$5:$AJ$1204,MATCH(341,$S$5:$S$1204,0),10))</f>
        <v/>
      </c>
      <c r="K345" s="8" t="str">
        <f t="array" ref="K345">IF(341&gt;$S$1204,"",INDEX($T$5:$AJ$1204,MATCH(341,$S$5:$S$1204,0),11))</f>
        <v/>
      </c>
      <c r="L345" s="8" t="str">
        <f t="array" ref="L345">IF(341&gt;$S$1204,"",INDEX($T$5:$AJ$1204,MATCH(341,$S$5:$S$1204,0),12))</f>
        <v/>
      </c>
      <c r="M345" s="8" t="str">
        <f t="array" ref="M345">IF(341&gt;$S$1204,"",INDEX($T$5:$AJ$1204,MATCH(341,$S$5:$S$1204,0),13))</f>
        <v/>
      </c>
      <c r="N345" s="8" t="str">
        <f t="array" ref="N345">IF(341&gt;$S$1204,"",INDEX($T$5:$AJ$1204,MATCH(341,$S$5:$S$1204,0),14))</f>
        <v/>
      </c>
      <c r="O345" s="15" t="str">
        <f t="array" ref="O345">IF(341&gt;$S$1204,"",INDEX($T$5:$AJ$1204,MATCH(341,$S$5:$S$1204,0),15))</f>
        <v/>
      </c>
      <c r="P345" s="8" t="str">
        <f t="array" ref="P345">IF(341&gt;$S$1204,"",INDEX($T$5:$AJ$1204,MATCH(341,$S$5:$S$1204,0),16))</f>
        <v/>
      </c>
      <c r="Q345" s="8" t="str">
        <f t="array" ref="Q345">IF(341&gt;$S$1204,"",INDEX($T$5:$AJ$1204,MATCH(341,$S$5:$S$1204,0),17))</f>
        <v/>
      </c>
      <c r="R345" s="17"/>
      <c r="S345" s="17">
        <f>S344+IF(M2_Accesos!A149="",0,1)</f>
        <v>0</v>
      </c>
      <c r="T345" s="17" t="str">
        <f>IF(M2_Accesos!A149="","",IF(M2_Accesos!A149="","",M2_Accesos!A149))</f>
        <v/>
      </c>
      <c r="U345" s="17" t="str">
        <f>IF(M2_Accesos!A149="","",IF(M2_Accesos!R149="","",M2_Accesos!R149))</f>
        <v/>
      </c>
      <c r="V345" s="17" t="str">
        <f>IF(M2_Accesos!A149="","",IF(M2_Accesos!D149="","",M2_Accesos!D149))</f>
        <v/>
      </c>
      <c r="W345" s="17" t="str">
        <f>IF(M2_Accesos!A149="","",IF(M2_Accesos!B149="","",M2_Accesos!B149))</f>
        <v/>
      </c>
      <c r="X345" s="17" t="str">
        <f>IF(M2_Accesos!A149="","",IF(M2_Accesos!C149="","",M2_Accesos!C149))</f>
        <v/>
      </c>
      <c r="Y345" s="17" t="str">
        <f>IF(M2_Accesos!A149="","",IF(M2_Accesos!E149="","",M2_Accesos!E149))</f>
        <v/>
      </c>
      <c r="Z345" s="17" t="str">
        <f>IF(M2_Accesos!A149="","",IF(M2_Accesos!F149="","",M2_Accesos!F149))</f>
        <v/>
      </c>
      <c r="AA345" s="17" t="str">
        <f>IF(M2_Accesos!A149="","","M2 Accesos")</f>
        <v/>
      </c>
      <c r="AB345" s="17" t="str">
        <f>IF(M2_Accesos!A149="","",IF(M2_Accesos!G149="","",M2_Accesos!G149))</f>
        <v/>
      </c>
      <c r="AC345" s="17" t="str">
        <f>IF(M2_Accesos!A149="","",IF(M2_Accesos!M149="","",M2_Accesos!M149))</f>
        <v/>
      </c>
      <c r="AD345" s="17" t="str">
        <f>IF(M2_Accesos!A149="","","RD")</f>
        <v/>
      </c>
      <c r="AE345" s="17" t="str">
        <f>IF(M2_Accesos!A149="","",IF(M2_Accesos!O149="","",M2_Accesos!O149))</f>
        <v/>
      </c>
      <c r="AF345" s="17" t="str">
        <f>IF(M2_Accesos!A149="","",IF(M2_Accesos!P149="","",M2_Accesos!P149))</f>
        <v/>
      </c>
      <c r="AG345" s="17" t="str">
        <f>IF(M2_Accesos!A149="","",IF(M2_Accesos!Q149="","",M2_Accesos!Q149))</f>
        <v/>
      </c>
      <c r="AH345" s="17" t="str">
        <f>IF(M2_Accesos!A149="","",IF(M2_Accesos!J149="","",M2_Accesos!J149))</f>
        <v/>
      </c>
      <c r="AI345" s="17" t="str">
        <f>IF(M2_Accesos!A149="","","M2_Accesos!149")</f>
        <v/>
      </c>
      <c r="AJ345" s="17" t="str">
        <f>IF(M2_Accesos!A149="","",IF(M2_Accesos!M149="","Pendiente de resultado","Disponible"))</f>
        <v/>
      </c>
    </row>
    <row r="346" spans="1:36" ht="55.5" customHeight="1">
      <c r="A346" s="6" t="str">
        <f t="array" ref="A346">IF(342&gt;$S$1204,"",INDEX($T$5:$AJ$1204,MATCH(342,$S$5:$S$1204,0),1))</f>
        <v/>
      </c>
      <c r="B346" s="8" t="str">
        <f t="array" ref="B346">IF(342&gt;$S$1204,"",INDEX($T$5:$AJ$1204,MATCH(342,$S$5:$S$1204,0),2))</f>
        <v/>
      </c>
      <c r="C346" s="10" t="str">
        <f t="array" ref="C346">IF(342&gt;$S$1204,"",INDEX($T$5:$AJ$1204,MATCH(342,$S$5:$S$1204,0),3))</f>
        <v/>
      </c>
      <c r="D346" s="8" t="str">
        <f t="array" ref="D346">IF(342&gt;$S$1204,"",INDEX($T$5:$AJ$1204,MATCH(342,$S$5:$S$1204,0),4))</f>
        <v/>
      </c>
      <c r="E346" s="8" t="str">
        <f t="array" ref="E346">IF(342&gt;$S$1204,"",INDEX($T$5:$AJ$1204,MATCH(342,$S$5:$S$1204,0),5))</f>
        <v/>
      </c>
      <c r="F346" s="8" t="str">
        <f t="array" ref="F346">IF(342&gt;$S$1204,"",INDEX($T$5:$AJ$1204,MATCH(342,$S$5:$S$1204,0),6))</f>
        <v/>
      </c>
      <c r="G346" s="8" t="str">
        <f t="array" ref="G346">IF(342&gt;$S$1204,"",INDEX($T$5:$AJ$1204,MATCH(342,$S$5:$S$1204,0),7))</f>
        <v/>
      </c>
      <c r="H346" s="8" t="str">
        <f t="array" ref="H346">IF(342&gt;$S$1204,"",INDEX($T$5:$AJ$1204,MATCH(342,$S$5:$S$1204,0),8))</f>
        <v/>
      </c>
      <c r="I346" s="8" t="str">
        <f t="array" ref="I346">IF(342&gt;$S$1204,"",INDEX($T$5:$AJ$1204,MATCH(342,$S$5:$S$1204,0),9))</f>
        <v/>
      </c>
      <c r="J346" s="14" t="str">
        <f t="array" ref="J346">IF(342&gt;$S$1204,"",INDEX($T$5:$AJ$1204,MATCH(342,$S$5:$S$1204,0),10))</f>
        <v/>
      </c>
      <c r="K346" s="8" t="str">
        <f t="array" ref="K346">IF(342&gt;$S$1204,"",INDEX($T$5:$AJ$1204,MATCH(342,$S$5:$S$1204,0),11))</f>
        <v/>
      </c>
      <c r="L346" s="8" t="str">
        <f t="array" ref="L346">IF(342&gt;$S$1204,"",INDEX($T$5:$AJ$1204,MATCH(342,$S$5:$S$1204,0),12))</f>
        <v/>
      </c>
      <c r="M346" s="8" t="str">
        <f t="array" ref="M346">IF(342&gt;$S$1204,"",INDEX($T$5:$AJ$1204,MATCH(342,$S$5:$S$1204,0),13))</f>
        <v/>
      </c>
      <c r="N346" s="8" t="str">
        <f t="array" ref="N346">IF(342&gt;$S$1204,"",INDEX($T$5:$AJ$1204,MATCH(342,$S$5:$S$1204,0),14))</f>
        <v/>
      </c>
      <c r="O346" s="15" t="str">
        <f t="array" ref="O346">IF(342&gt;$S$1204,"",INDEX($T$5:$AJ$1204,MATCH(342,$S$5:$S$1204,0),15))</f>
        <v/>
      </c>
      <c r="P346" s="8" t="str">
        <f t="array" ref="P346">IF(342&gt;$S$1204,"",INDEX($T$5:$AJ$1204,MATCH(342,$S$5:$S$1204,0),16))</f>
        <v/>
      </c>
      <c r="Q346" s="8" t="str">
        <f t="array" ref="Q346">IF(342&gt;$S$1204,"",INDEX($T$5:$AJ$1204,MATCH(342,$S$5:$S$1204,0),17))</f>
        <v/>
      </c>
      <c r="R346" s="17"/>
      <c r="S346" s="17">
        <f>S345+IF(M2_Accesos!A150="",0,1)</f>
        <v>0</v>
      </c>
      <c r="T346" s="17" t="str">
        <f>IF(M2_Accesos!A150="","",IF(M2_Accesos!A150="","",M2_Accesos!A150))</f>
        <v/>
      </c>
      <c r="U346" s="17" t="str">
        <f>IF(M2_Accesos!A150="","",IF(M2_Accesos!R150="","",M2_Accesos!R150))</f>
        <v/>
      </c>
      <c r="V346" s="17" t="str">
        <f>IF(M2_Accesos!A150="","",IF(M2_Accesos!D150="","",M2_Accesos!D150))</f>
        <v/>
      </c>
      <c r="W346" s="17" t="str">
        <f>IF(M2_Accesos!A150="","",IF(M2_Accesos!B150="","",M2_Accesos!B150))</f>
        <v/>
      </c>
      <c r="X346" s="17" t="str">
        <f>IF(M2_Accesos!A150="","",IF(M2_Accesos!C150="","",M2_Accesos!C150))</f>
        <v/>
      </c>
      <c r="Y346" s="17" t="str">
        <f>IF(M2_Accesos!A150="","",IF(M2_Accesos!E150="","",M2_Accesos!E150))</f>
        <v/>
      </c>
      <c r="Z346" s="17" t="str">
        <f>IF(M2_Accesos!A150="","",IF(M2_Accesos!F150="","",M2_Accesos!F150))</f>
        <v/>
      </c>
      <c r="AA346" s="17" t="str">
        <f>IF(M2_Accesos!A150="","","M2 Accesos")</f>
        <v/>
      </c>
      <c r="AB346" s="17" t="str">
        <f>IF(M2_Accesos!A150="","",IF(M2_Accesos!G150="","",M2_Accesos!G150))</f>
        <v/>
      </c>
      <c r="AC346" s="17" t="str">
        <f>IF(M2_Accesos!A150="","",IF(M2_Accesos!M150="","",M2_Accesos!M150))</f>
        <v/>
      </c>
      <c r="AD346" s="17" t="str">
        <f>IF(M2_Accesos!A150="","","RD")</f>
        <v/>
      </c>
      <c r="AE346" s="17" t="str">
        <f>IF(M2_Accesos!A150="","",IF(M2_Accesos!O150="","",M2_Accesos!O150))</f>
        <v/>
      </c>
      <c r="AF346" s="17" t="str">
        <f>IF(M2_Accesos!A150="","",IF(M2_Accesos!P150="","",M2_Accesos!P150))</f>
        <v/>
      </c>
      <c r="AG346" s="17" t="str">
        <f>IF(M2_Accesos!A150="","",IF(M2_Accesos!Q150="","",M2_Accesos!Q150))</f>
        <v/>
      </c>
      <c r="AH346" s="17" t="str">
        <f>IF(M2_Accesos!A150="","",IF(M2_Accesos!J150="","",M2_Accesos!J150))</f>
        <v/>
      </c>
      <c r="AI346" s="17" t="str">
        <f>IF(M2_Accesos!A150="","","M2_Accesos!150")</f>
        <v/>
      </c>
      <c r="AJ346" s="17" t="str">
        <f>IF(M2_Accesos!A150="","",IF(M2_Accesos!M150="","Pendiente de resultado","Disponible"))</f>
        <v/>
      </c>
    </row>
    <row r="347" spans="1:36" ht="55.5" customHeight="1">
      <c r="A347" s="6" t="str">
        <f t="array" ref="A347">IF(343&gt;$S$1204,"",INDEX($T$5:$AJ$1204,MATCH(343,$S$5:$S$1204,0),1))</f>
        <v/>
      </c>
      <c r="B347" s="8" t="str">
        <f t="array" ref="B347">IF(343&gt;$S$1204,"",INDEX($T$5:$AJ$1204,MATCH(343,$S$5:$S$1204,0),2))</f>
        <v/>
      </c>
      <c r="C347" s="10" t="str">
        <f t="array" ref="C347">IF(343&gt;$S$1204,"",INDEX($T$5:$AJ$1204,MATCH(343,$S$5:$S$1204,0),3))</f>
        <v/>
      </c>
      <c r="D347" s="8" t="str">
        <f t="array" ref="D347">IF(343&gt;$S$1204,"",INDEX($T$5:$AJ$1204,MATCH(343,$S$5:$S$1204,0),4))</f>
        <v/>
      </c>
      <c r="E347" s="8" t="str">
        <f t="array" ref="E347">IF(343&gt;$S$1204,"",INDEX($T$5:$AJ$1204,MATCH(343,$S$5:$S$1204,0),5))</f>
        <v/>
      </c>
      <c r="F347" s="8" t="str">
        <f t="array" ref="F347">IF(343&gt;$S$1204,"",INDEX($T$5:$AJ$1204,MATCH(343,$S$5:$S$1204,0),6))</f>
        <v/>
      </c>
      <c r="G347" s="8" t="str">
        <f t="array" ref="G347">IF(343&gt;$S$1204,"",INDEX($T$5:$AJ$1204,MATCH(343,$S$5:$S$1204,0),7))</f>
        <v/>
      </c>
      <c r="H347" s="8" t="str">
        <f t="array" ref="H347">IF(343&gt;$S$1204,"",INDEX($T$5:$AJ$1204,MATCH(343,$S$5:$S$1204,0),8))</f>
        <v/>
      </c>
      <c r="I347" s="8" t="str">
        <f t="array" ref="I347">IF(343&gt;$S$1204,"",INDEX($T$5:$AJ$1204,MATCH(343,$S$5:$S$1204,0),9))</f>
        <v/>
      </c>
      <c r="J347" s="14" t="str">
        <f t="array" ref="J347">IF(343&gt;$S$1204,"",INDEX($T$5:$AJ$1204,MATCH(343,$S$5:$S$1204,0),10))</f>
        <v/>
      </c>
      <c r="K347" s="8" t="str">
        <f t="array" ref="K347">IF(343&gt;$S$1204,"",INDEX($T$5:$AJ$1204,MATCH(343,$S$5:$S$1204,0),11))</f>
        <v/>
      </c>
      <c r="L347" s="8" t="str">
        <f t="array" ref="L347">IF(343&gt;$S$1204,"",INDEX($T$5:$AJ$1204,MATCH(343,$S$5:$S$1204,0),12))</f>
        <v/>
      </c>
      <c r="M347" s="8" t="str">
        <f t="array" ref="M347">IF(343&gt;$S$1204,"",INDEX($T$5:$AJ$1204,MATCH(343,$S$5:$S$1204,0),13))</f>
        <v/>
      </c>
      <c r="N347" s="8" t="str">
        <f t="array" ref="N347">IF(343&gt;$S$1204,"",INDEX($T$5:$AJ$1204,MATCH(343,$S$5:$S$1204,0),14))</f>
        <v/>
      </c>
      <c r="O347" s="15" t="str">
        <f t="array" ref="O347">IF(343&gt;$S$1204,"",INDEX($T$5:$AJ$1204,MATCH(343,$S$5:$S$1204,0),15))</f>
        <v/>
      </c>
      <c r="P347" s="8" t="str">
        <f t="array" ref="P347">IF(343&gt;$S$1204,"",INDEX($T$5:$AJ$1204,MATCH(343,$S$5:$S$1204,0),16))</f>
        <v/>
      </c>
      <c r="Q347" s="8" t="str">
        <f t="array" ref="Q347">IF(343&gt;$S$1204,"",INDEX($T$5:$AJ$1204,MATCH(343,$S$5:$S$1204,0),17))</f>
        <v/>
      </c>
      <c r="R347" s="17"/>
      <c r="S347" s="17">
        <f>S346+IF(M2_Accesos!A151="",0,1)</f>
        <v>0</v>
      </c>
      <c r="T347" s="17" t="str">
        <f>IF(M2_Accesos!A151="","",IF(M2_Accesos!A151="","",M2_Accesos!A151))</f>
        <v/>
      </c>
      <c r="U347" s="17" t="str">
        <f>IF(M2_Accesos!A151="","",IF(M2_Accesos!R151="","",M2_Accesos!R151))</f>
        <v/>
      </c>
      <c r="V347" s="17" t="str">
        <f>IF(M2_Accesos!A151="","",IF(M2_Accesos!D151="","",M2_Accesos!D151))</f>
        <v/>
      </c>
      <c r="W347" s="17" t="str">
        <f>IF(M2_Accesos!A151="","",IF(M2_Accesos!B151="","",M2_Accesos!B151))</f>
        <v/>
      </c>
      <c r="X347" s="17" t="str">
        <f>IF(M2_Accesos!A151="","",IF(M2_Accesos!C151="","",M2_Accesos!C151))</f>
        <v/>
      </c>
      <c r="Y347" s="17" t="str">
        <f>IF(M2_Accesos!A151="","",IF(M2_Accesos!E151="","",M2_Accesos!E151))</f>
        <v/>
      </c>
      <c r="Z347" s="17" t="str">
        <f>IF(M2_Accesos!A151="","",IF(M2_Accesos!F151="","",M2_Accesos!F151))</f>
        <v/>
      </c>
      <c r="AA347" s="17" t="str">
        <f>IF(M2_Accesos!A151="","","M2 Accesos")</f>
        <v/>
      </c>
      <c r="AB347" s="17" t="str">
        <f>IF(M2_Accesos!A151="","",IF(M2_Accesos!G151="","",M2_Accesos!G151))</f>
        <v/>
      </c>
      <c r="AC347" s="17" t="str">
        <f>IF(M2_Accesos!A151="","",IF(M2_Accesos!M151="","",M2_Accesos!M151))</f>
        <v/>
      </c>
      <c r="AD347" s="17" t="str">
        <f>IF(M2_Accesos!A151="","","RD")</f>
        <v/>
      </c>
      <c r="AE347" s="17" t="str">
        <f>IF(M2_Accesos!A151="","",IF(M2_Accesos!O151="","",M2_Accesos!O151))</f>
        <v/>
      </c>
      <c r="AF347" s="17" t="str">
        <f>IF(M2_Accesos!A151="","",IF(M2_Accesos!P151="","",M2_Accesos!P151))</f>
        <v/>
      </c>
      <c r="AG347" s="17" t="str">
        <f>IF(M2_Accesos!A151="","",IF(M2_Accesos!Q151="","",M2_Accesos!Q151))</f>
        <v/>
      </c>
      <c r="AH347" s="17" t="str">
        <f>IF(M2_Accesos!A151="","",IF(M2_Accesos!J151="","",M2_Accesos!J151))</f>
        <v/>
      </c>
      <c r="AI347" s="17" t="str">
        <f>IF(M2_Accesos!A151="","","M2_Accesos!151")</f>
        <v/>
      </c>
      <c r="AJ347" s="17" t="str">
        <f>IF(M2_Accesos!A151="","",IF(M2_Accesos!M151="","Pendiente de resultado","Disponible"))</f>
        <v/>
      </c>
    </row>
    <row r="348" spans="1:36" ht="55.5" customHeight="1">
      <c r="A348" s="6" t="str">
        <f t="array" ref="A348">IF(344&gt;$S$1204,"",INDEX($T$5:$AJ$1204,MATCH(344,$S$5:$S$1204,0),1))</f>
        <v/>
      </c>
      <c r="B348" s="8" t="str">
        <f t="array" ref="B348">IF(344&gt;$S$1204,"",INDEX($T$5:$AJ$1204,MATCH(344,$S$5:$S$1204,0),2))</f>
        <v/>
      </c>
      <c r="C348" s="10" t="str">
        <f t="array" ref="C348">IF(344&gt;$S$1204,"",INDEX($T$5:$AJ$1204,MATCH(344,$S$5:$S$1204,0),3))</f>
        <v/>
      </c>
      <c r="D348" s="8" t="str">
        <f t="array" ref="D348">IF(344&gt;$S$1204,"",INDEX($T$5:$AJ$1204,MATCH(344,$S$5:$S$1204,0),4))</f>
        <v/>
      </c>
      <c r="E348" s="8" t="str">
        <f t="array" ref="E348">IF(344&gt;$S$1204,"",INDEX($T$5:$AJ$1204,MATCH(344,$S$5:$S$1204,0),5))</f>
        <v/>
      </c>
      <c r="F348" s="8" t="str">
        <f t="array" ref="F348">IF(344&gt;$S$1204,"",INDEX($T$5:$AJ$1204,MATCH(344,$S$5:$S$1204,0),6))</f>
        <v/>
      </c>
      <c r="G348" s="8" t="str">
        <f t="array" ref="G348">IF(344&gt;$S$1204,"",INDEX($T$5:$AJ$1204,MATCH(344,$S$5:$S$1204,0),7))</f>
        <v/>
      </c>
      <c r="H348" s="8" t="str">
        <f t="array" ref="H348">IF(344&gt;$S$1204,"",INDEX($T$5:$AJ$1204,MATCH(344,$S$5:$S$1204,0),8))</f>
        <v/>
      </c>
      <c r="I348" s="8" t="str">
        <f t="array" ref="I348">IF(344&gt;$S$1204,"",INDEX($T$5:$AJ$1204,MATCH(344,$S$5:$S$1204,0),9))</f>
        <v/>
      </c>
      <c r="J348" s="14" t="str">
        <f t="array" ref="J348">IF(344&gt;$S$1204,"",INDEX($T$5:$AJ$1204,MATCH(344,$S$5:$S$1204,0),10))</f>
        <v/>
      </c>
      <c r="K348" s="8" t="str">
        <f t="array" ref="K348">IF(344&gt;$S$1204,"",INDEX($T$5:$AJ$1204,MATCH(344,$S$5:$S$1204,0),11))</f>
        <v/>
      </c>
      <c r="L348" s="8" t="str">
        <f t="array" ref="L348">IF(344&gt;$S$1204,"",INDEX($T$5:$AJ$1204,MATCH(344,$S$5:$S$1204,0),12))</f>
        <v/>
      </c>
      <c r="M348" s="8" t="str">
        <f t="array" ref="M348">IF(344&gt;$S$1204,"",INDEX($T$5:$AJ$1204,MATCH(344,$S$5:$S$1204,0),13))</f>
        <v/>
      </c>
      <c r="N348" s="8" t="str">
        <f t="array" ref="N348">IF(344&gt;$S$1204,"",INDEX($T$5:$AJ$1204,MATCH(344,$S$5:$S$1204,0),14))</f>
        <v/>
      </c>
      <c r="O348" s="15" t="str">
        <f t="array" ref="O348">IF(344&gt;$S$1204,"",INDEX($T$5:$AJ$1204,MATCH(344,$S$5:$S$1204,0),15))</f>
        <v/>
      </c>
      <c r="P348" s="8" t="str">
        <f t="array" ref="P348">IF(344&gt;$S$1204,"",INDEX($T$5:$AJ$1204,MATCH(344,$S$5:$S$1204,0),16))</f>
        <v/>
      </c>
      <c r="Q348" s="8" t="str">
        <f t="array" ref="Q348">IF(344&gt;$S$1204,"",INDEX($T$5:$AJ$1204,MATCH(344,$S$5:$S$1204,0),17))</f>
        <v/>
      </c>
      <c r="R348" s="17"/>
      <c r="S348" s="17">
        <f>S347+IF(M2_Accesos!A152="",0,1)</f>
        <v>0</v>
      </c>
      <c r="T348" s="17" t="str">
        <f>IF(M2_Accesos!A152="","",IF(M2_Accesos!A152="","",M2_Accesos!A152))</f>
        <v/>
      </c>
      <c r="U348" s="17" t="str">
        <f>IF(M2_Accesos!A152="","",IF(M2_Accesos!R152="","",M2_Accesos!R152))</f>
        <v/>
      </c>
      <c r="V348" s="17" t="str">
        <f>IF(M2_Accesos!A152="","",IF(M2_Accesos!D152="","",M2_Accesos!D152))</f>
        <v/>
      </c>
      <c r="W348" s="17" t="str">
        <f>IF(M2_Accesos!A152="","",IF(M2_Accesos!B152="","",M2_Accesos!B152))</f>
        <v/>
      </c>
      <c r="X348" s="17" t="str">
        <f>IF(M2_Accesos!A152="","",IF(M2_Accesos!C152="","",M2_Accesos!C152))</f>
        <v/>
      </c>
      <c r="Y348" s="17" t="str">
        <f>IF(M2_Accesos!A152="","",IF(M2_Accesos!E152="","",M2_Accesos!E152))</f>
        <v/>
      </c>
      <c r="Z348" s="17" t="str">
        <f>IF(M2_Accesos!A152="","",IF(M2_Accesos!F152="","",M2_Accesos!F152))</f>
        <v/>
      </c>
      <c r="AA348" s="17" t="str">
        <f>IF(M2_Accesos!A152="","","M2 Accesos")</f>
        <v/>
      </c>
      <c r="AB348" s="17" t="str">
        <f>IF(M2_Accesos!A152="","",IF(M2_Accesos!G152="","",M2_Accesos!G152))</f>
        <v/>
      </c>
      <c r="AC348" s="17" t="str">
        <f>IF(M2_Accesos!A152="","",IF(M2_Accesos!M152="","",M2_Accesos!M152))</f>
        <v/>
      </c>
      <c r="AD348" s="17" t="str">
        <f>IF(M2_Accesos!A152="","","RD")</f>
        <v/>
      </c>
      <c r="AE348" s="17" t="str">
        <f>IF(M2_Accesos!A152="","",IF(M2_Accesos!O152="","",M2_Accesos!O152))</f>
        <v/>
      </c>
      <c r="AF348" s="17" t="str">
        <f>IF(M2_Accesos!A152="","",IF(M2_Accesos!P152="","",M2_Accesos!P152))</f>
        <v/>
      </c>
      <c r="AG348" s="17" t="str">
        <f>IF(M2_Accesos!A152="","",IF(M2_Accesos!Q152="","",M2_Accesos!Q152))</f>
        <v/>
      </c>
      <c r="AH348" s="17" t="str">
        <f>IF(M2_Accesos!A152="","",IF(M2_Accesos!J152="","",M2_Accesos!J152))</f>
        <v/>
      </c>
      <c r="AI348" s="17" t="str">
        <f>IF(M2_Accesos!A152="","","M2_Accesos!152")</f>
        <v/>
      </c>
      <c r="AJ348" s="17" t="str">
        <f>IF(M2_Accesos!A152="","",IF(M2_Accesos!M152="","Pendiente de resultado","Disponible"))</f>
        <v/>
      </c>
    </row>
    <row r="349" spans="1:36" ht="55.5" customHeight="1">
      <c r="A349" s="6" t="str">
        <f t="array" ref="A349">IF(345&gt;$S$1204,"",INDEX($T$5:$AJ$1204,MATCH(345,$S$5:$S$1204,0),1))</f>
        <v/>
      </c>
      <c r="B349" s="8" t="str">
        <f t="array" ref="B349">IF(345&gt;$S$1204,"",INDEX($T$5:$AJ$1204,MATCH(345,$S$5:$S$1204,0),2))</f>
        <v/>
      </c>
      <c r="C349" s="10" t="str">
        <f t="array" ref="C349">IF(345&gt;$S$1204,"",INDEX($T$5:$AJ$1204,MATCH(345,$S$5:$S$1204,0),3))</f>
        <v/>
      </c>
      <c r="D349" s="8" t="str">
        <f t="array" ref="D349">IF(345&gt;$S$1204,"",INDEX($T$5:$AJ$1204,MATCH(345,$S$5:$S$1204,0),4))</f>
        <v/>
      </c>
      <c r="E349" s="8" t="str">
        <f t="array" ref="E349">IF(345&gt;$S$1204,"",INDEX($T$5:$AJ$1204,MATCH(345,$S$5:$S$1204,0),5))</f>
        <v/>
      </c>
      <c r="F349" s="8" t="str">
        <f t="array" ref="F349">IF(345&gt;$S$1204,"",INDEX($T$5:$AJ$1204,MATCH(345,$S$5:$S$1204,0),6))</f>
        <v/>
      </c>
      <c r="G349" s="8" t="str">
        <f t="array" ref="G349">IF(345&gt;$S$1204,"",INDEX($T$5:$AJ$1204,MATCH(345,$S$5:$S$1204,0),7))</f>
        <v/>
      </c>
      <c r="H349" s="8" t="str">
        <f t="array" ref="H349">IF(345&gt;$S$1204,"",INDEX($T$5:$AJ$1204,MATCH(345,$S$5:$S$1204,0),8))</f>
        <v/>
      </c>
      <c r="I349" s="8" t="str">
        <f t="array" ref="I349">IF(345&gt;$S$1204,"",INDEX($T$5:$AJ$1204,MATCH(345,$S$5:$S$1204,0),9))</f>
        <v/>
      </c>
      <c r="J349" s="14" t="str">
        <f t="array" ref="J349">IF(345&gt;$S$1204,"",INDEX($T$5:$AJ$1204,MATCH(345,$S$5:$S$1204,0),10))</f>
        <v/>
      </c>
      <c r="K349" s="8" t="str">
        <f t="array" ref="K349">IF(345&gt;$S$1204,"",INDEX($T$5:$AJ$1204,MATCH(345,$S$5:$S$1204,0),11))</f>
        <v/>
      </c>
      <c r="L349" s="8" t="str">
        <f t="array" ref="L349">IF(345&gt;$S$1204,"",INDEX($T$5:$AJ$1204,MATCH(345,$S$5:$S$1204,0),12))</f>
        <v/>
      </c>
      <c r="M349" s="8" t="str">
        <f t="array" ref="M349">IF(345&gt;$S$1204,"",INDEX($T$5:$AJ$1204,MATCH(345,$S$5:$S$1204,0),13))</f>
        <v/>
      </c>
      <c r="N349" s="8" t="str">
        <f t="array" ref="N349">IF(345&gt;$S$1204,"",INDEX($T$5:$AJ$1204,MATCH(345,$S$5:$S$1204,0),14))</f>
        <v/>
      </c>
      <c r="O349" s="15" t="str">
        <f t="array" ref="O349">IF(345&gt;$S$1204,"",INDEX($T$5:$AJ$1204,MATCH(345,$S$5:$S$1204,0),15))</f>
        <v/>
      </c>
      <c r="P349" s="8" t="str">
        <f t="array" ref="P349">IF(345&gt;$S$1204,"",INDEX($T$5:$AJ$1204,MATCH(345,$S$5:$S$1204,0),16))</f>
        <v/>
      </c>
      <c r="Q349" s="8" t="str">
        <f t="array" ref="Q349">IF(345&gt;$S$1204,"",INDEX($T$5:$AJ$1204,MATCH(345,$S$5:$S$1204,0),17))</f>
        <v/>
      </c>
      <c r="R349" s="17"/>
      <c r="S349" s="17">
        <f>S348+IF(M2_Accesos!A153="",0,1)</f>
        <v>0</v>
      </c>
      <c r="T349" s="17" t="str">
        <f>IF(M2_Accesos!A153="","",IF(M2_Accesos!A153="","",M2_Accesos!A153))</f>
        <v/>
      </c>
      <c r="U349" s="17" t="str">
        <f>IF(M2_Accesos!A153="","",IF(M2_Accesos!R153="","",M2_Accesos!R153))</f>
        <v/>
      </c>
      <c r="V349" s="17" t="str">
        <f>IF(M2_Accesos!A153="","",IF(M2_Accesos!D153="","",M2_Accesos!D153))</f>
        <v/>
      </c>
      <c r="W349" s="17" t="str">
        <f>IF(M2_Accesos!A153="","",IF(M2_Accesos!B153="","",M2_Accesos!B153))</f>
        <v/>
      </c>
      <c r="X349" s="17" t="str">
        <f>IF(M2_Accesos!A153="","",IF(M2_Accesos!C153="","",M2_Accesos!C153))</f>
        <v/>
      </c>
      <c r="Y349" s="17" t="str">
        <f>IF(M2_Accesos!A153="","",IF(M2_Accesos!E153="","",M2_Accesos!E153))</f>
        <v/>
      </c>
      <c r="Z349" s="17" t="str">
        <f>IF(M2_Accesos!A153="","",IF(M2_Accesos!F153="","",M2_Accesos!F153))</f>
        <v/>
      </c>
      <c r="AA349" s="17" t="str">
        <f>IF(M2_Accesos!A153="","","M2 Accesos")</f>
        <v/>
      </c>
      <c r="AB349" s="17" t="str">
        <f>IF(M2_Accesos!A153="","",IF(M2_Accesos!G153="","",M2_Accesos!G153))</f>
        <v/>
      </c>
      <c r="AC349" s="17" t="str">
        <f>IF(M2_Accesos!A153="","",IF(M2_Accesos!M153="","",M2_Accesos!M153))</f>
        <v/>
      </c>
      <c r="AD349" s="17" t="str">
        <f>IF(M2_Accesos!A153="","","RD")</f>
        <v/>
      </c>
      <c r="AE349" s="17" t="str">
        <f>IF(M2_Accesos!A153="","",IF(M2_Accesos!O153="","",M2_Accesos!O153))</f>
        <v/>
      </c>
      <c r="AF349" s="17" t="str">
        <f>IF(M2_Accesos!A153="","",IF(M2_Accesos!P153="","",M2_Accesos!P153))</f>
        <v/>
      </c>
      <c r="AG349" s="17" t="str">
        <f>IF(M2_Accesos!A153="","",IF(M2_Accesos!Q153="","",M2_Accesos!Q153))</f>
        <v/>
      </c>
      <c r="AH349" s="17" t="str">
        <f>IF(M2_Accesos!A153="","",IF(M2_Accesos!J153="","",M2_Accesos!J153))</f>
        <v/>
      </c>
      <c r="AI349" s="17" t="str">
        <f>IF(M2_Accesos!A153="","","M2_Accesos!153")</f>
        <v/>
      </c>
      <c r="AJ349" s="17" t="str">
        <f>IF(M2_Accesos!A153="","",IF(M2_Accesos!M153="","Pendiente de resultado","Disponible"))</f>
        <v/>
      </c>
    </row>
    <row r="350" spans="1:36" ht="55.5" customHeight="1">
      <c r="A350" s="6" t="str">
        <f t="array" ref="A350">IF(346&gt;$S$1204,"",INDEX($T$5:$AJ$1204,MATCH(346,$S$5:$S$1204,0),1))</f>
        <v/>
      </c>
      <c r="B350" s="8" t="str">
        <f t="array" ref="B350">IF(346&gt;$S$1204,"",INDEX($T$5:$AJ$1204,MATCH(346,$S$5:$S$1204,0),2))</f>
        <v/>
      </c>
      <c r="C350" s="10" t="str">
        <f t="array" ref="C350">IF(346&gt;$S$1204,"",INDEX($T$5:$AJ$1204,MATCH(346,$S$5:$S$1204,0),3))</f>
        <v/>
      </c>
      <c r="D350" s="8" t="str">
        <f t="array" ref="D350">IF(346&gt;$S$1204,"",INDEX($T$5:$AJ$1204,MATCH(346,$S$5:$S$1204,0),4))</f>
        <v/>
      </c>
      <c r="E350" s="8" t="str">
        <f t="array" ref="E350">IF(346&gt;$S$1204,"",INDEX($T$5:$AJ$1204,MATCH(346,$S$5:$S$1204,0),5))</f>
        <v/>
      </c>
      <c r="F350" s="8" t="str">
        <f t="array" ref="F350">IF(346&gt;$S$1204,"",INDEX($T$5:$AJ$1204,MATCH(346,$S$5:$S$1204,0),6))</f>
        <v/>
      </c>
      <c r="G350" s="8" t="str">
        <f t="array" ref="G350">IF(346&gt;$S$1204,"",INDEX($T$5:$AJ$1204,MATCH(346,$S$5:$S$1204,0),7))</f>
        <v/>
      </c>
      <c r="H350" s="8" t="str">
        <f t="array" ref="H350">IF(346&gt;$S$1204,"",INDEX($T$5:$AJ$1204,MATCH(346,$S$5:$S$1204,0),8))</f>
        <v/>
      </c>
      <c r="I350" s="8" t="str">
        <f t="array" ref="I350">IF(346&gt;$S$1204,"",INDEX($T$5:$AJ$1204,MATCH(346,$S$5:$S$1204,0),9))</f>
        <v/>
      </c>
      <c r="J350" s="14" t="str">
        <f t="array" ref="J350">IF(346&gt;$S$1204,"",INDEX($T$5:$AJ$1204,MATCH(346,$S$5:$S$1204,0),10))</f>
        <v/>
      </c>
      <c r="K350" s="8" t="str">
        <f t="array" ref="K350">IF(346&gt;$S$1204,"",INDEX($T$5:$AJ$1204,MATCH(346,$S$5:$S$1204,0),11))</f>
        <v/>
      </c>
      <c r="L350" s="8" t="str">
        <f t="array" ref="L350">IF(346&gt;$S$1204,"",INDEX($T$5:$AJ$1204,MATCH(346,$S$5:$S$1204,0),12))</f>
        <v/>
      </c>
      <c r="M350" s="8" t="str">
        <f t="array" ref="M350">IF(346&gt;$S$1204,"",INDEX($T$5:$AJ$1204,MATCH(346,$S$5:$S$1204,0),13))</f>
        <v/>
      </c>
      <c r="N350" s="8" t="str">
        <f t="array" ref="N350">IF(346&gt;$S$1204,"",INDEX($T$5:$AJ$1204,MATCH(346,$S$5:$S$1204,0),14))</f>
        <v/>
      </c>
      <c r="O350" s="15" t="str">
        <f t="array" ref="O350">IF(346&gt;$S$1204,"",INDEX($T$5:$AJ$1204,MATCH(346,$S$5:$S$1204,0),15))</f>
        <v/>
      </c>
      <c r="P350" s="8" t="str">
        <f t="array" ref="P350">IF(346&gt;$S$1204,"",INDEX($T$5:$AJ$1204,MATCH(346,$S$5:$S$1204,0),16))</f>
        <v/>
      </c>
      <c r="Q350" s="8" t="str">
        <f t="array" ref="Q350">IF(346&gt;$S$1204,"",INDEX($T$5:$AJ$1204,MATCH(346,$S$5:$S$1204,0),17))</f>
        <v/>
      </c>
      <c r="R350" s="17"/>
      <c r="S350" s="17">
        <f>S349+IF(M2_Accesos!A154="",0,1)</f>
        <v>0</v>
      </c>
      <c r="T350" s="17" t="str">
        <f>IF(M2_Accesos!A154="","",IF(M2_Accesos!A154="","",M2_Accesos!A154))</f>
        <v/>
      </c>
      <c r="U350" s="17" t="str">
        <f>IF(M2_Accesos!A154="","",IF(M2_Accesos!R154="","",M2_Accesos!R154))</f>
        <v/>
      </c>
      <c r="V350" s="17" t="str">
        <f>IF(M2_Accesos!A154="","",IF(M2_Accesos!D154="","",M2_Accesos!D154))</f>
        <v/>
      </c>
      <c r="W350" s="17" t="str">
        <f>IF(M2_Accesos!A154="","",IF(M2_Accesos!B154="","",M2_Accesos!B154))</f>
        <v/>
      </c>
      <c r="X350" s="17" t="str">
        <f>IF(M2_Accesos!A154="","",IF(M2_Accesos!C154="","",M2_Accesos!C154))</f>
        <v/>
      </c>
      <c r="Y350" s="17" t="str">
        <f>IF(M2_Accesos!A154="","",IF(M2_Accesos!E154="","",M2_Accesos!E154))</f>
        <v/>
      </c>
      <c r="Z350" s="17" t="str">
        <f>IF(M2_Accesos!A154="","",IF(M2_Accesos!F154="","",M2_Accesos!F154))</f>
        <v/>
      </c>
      <c r="AA350" s="17" t="str">
        <f>IF(M2_Accesos!A154="","","M2 Accesos")</f>
        <v/>
      </c>
      <c r="AB350" s="17" t="str">
        <f>IF(M2_Accesos!A154="","",IF(M2_Accesos!G154="","",M2_Accesos!G154))</f>
        <v/>
      </c>
      <c r="AC350" s="17" t="str">
        <f>IF(M2_Accesos!A154="","",IF(M2_Accesos!M154="","",M2_Accesos!M154))</f>
        <v/>
      </c>
      <c r="AD350" s="17" t="str">
        <f>IF(M2_Accesos!A154="","","RD")</f>
        <v/>
      </c>
      <c r="AE350" s="17" t="str">
        <f>IF(M2_Accesos!A154="","",IF(M2_Accesos!O154="","",M2_Accesos!O154))</f>
        <v/>
      </c>
      <c r="AF350" s="17" t="str">
        <f>IF(M2_Accesos!A154="","",IF(M2_Accesos!P154="","",M2_Accesos!P154))</f>
        <v/>
      </c>
      <c r="AG350" s="17" t="str">
        <f>IF(M2_Accesos!A154="","",IF(M2_Accesos!Q154="","",M2_Accesos!Q154))</f>
        <v/>
      </c>
      <c r="AH350" s="17" t="str">
        <f>IF(M2_Accesos!A154="","",IF(M2_Accesos!J154="","",M2_Accesos!J154))</f>
        <v/>
      </c>
      <c r="AI350" s="17" t="str">
        <f>IF(M2_Accesos!A154="","","M2_Accesos!154")</f>
        <v/>
      </c>
      <c r="AJ350" s="17" t="str">
        <f>IF(M2_Accesos!A154="","",IF(M2_Accesos!M154="","Pendiente de resultado","Disponible"))</f>
        <v/>
      </c>
    </row>
    <row r="351" spans="1:36" ht="55.5" customHeight="1">
      <c r="A351" s="6" t="str">
        <f t="array" ref="A351">IF(347&gt;$S$1204,"",INDEX($T$5:$AJ$1204,MATCH(347,$S$5:$S$1204,0),1))</f>
        <v/>
      </c>
      <c r="B351" s="8" t="str">
        <f t="array" ref="B351">IF(347&gt;$S$1204,"",INDEX($T$5:$AJ$1204,MATCH(347,$S$5:$S$1204,0),2))</f>
        <v/>
      </c>
      <c r="C351" s="10" t="str">
        <f t="array" ref="C351">IF(347&gt;$S$1204,"",INDEX($T$5:$AJ$1204,MATCH(347,$S$5:$S$1204,0),3))</f>
        <v/>
      </c>
      <c r="D351" s="8" t="str">
        <f t="array" ref="D351">IF(347&gt;$S$1204,"",INDEX($T$5:$AJ$1204,MATCH(347,$S$5:$S$1204,0),4))</f>
        <v/>
      </c>
      <c r="E351" s="8" t="str">
        <f t="array" ref="E351">IF(347&gt;$S$1204,"",INDEX($T$5:$AJ$1204,MATCH(347,$S$5:$S$1204,0),5))</f>
        <v/>
      </c>
      <c r="F351" s="8" t="str">
        <f t="array" ref="F351">IF(347&gt;$S$1204,"",INDEX($T$5:$AJ$1204,MATCH(347,$S$5:$S$1204,0),6))</f>
        <v/>
      </c>
      <c r="G351" s="8" t="str">
        <f t="array" ref="G351">IF(347&gt;$S$1204,"",INDEX($T$5:$AJ$1204,MATCH(347,$S$5:$S$1204,0),7))</f>
        <v/>
      </c>
      <c r="H351" s="8" t="str">
        <f t="array" ref="H351">IF(347&gt;$S$1204,"",INDEX($T$5:$AJ$1204,MATCH(347,$S$5:$S$1204,0),8))</f>
        <v/>
      </c>
      <c r="I351" s="8" t="str">
        <f t="array" ref="I351">IF(347&gt;$S$1204,"",INDEX($T$5:$AJ$1204,MATCH(347,$S$5:$S$1204,0),9))</f>
        <v/>
      </c>
      <c r="J351" s="14" t="str">
        <f t="array" ref="J351">IF(347&gt;$S$1204,"",INDEX($T$5:$AJ$1204,MATCH(347,$S$5:$S$1204,0),10))</f>
        <v/>
      </c>
      <c r="K351" s="8" t="str">
        <f t="array" ref="K351">IF(347&gt;$S$1204,"",INDEX($T$5:$AJ$1204,MATCH(347,$S$5:$S$1204,0),11))</f>
        <v/>
      </c>
      <c r="L351" s="8" t="str">
        <f t="array" ref="L351">IF(347&gt;$S$1204,"",INDEX($T$5:$AJ$1204,MATCH(347,$S$5:$S$1204,0),12))</f>
        <v/>
      </c>
      <c r="M351" s="8" t="str">
        <f t="array" ref="M351">IF(347&gt;$S$1204,"",INDEX($T$5:$AJ$1204,MATCH(347,$S$5:$S$1204,0),13))</f>
        <v/>
      </c>
      <c r="N351" s="8" t="str">
        <f t="array" ref="N351">IF(347&gt;$S$1204,"",INDEX($T$5:$AJ$1204,MATCH(347,$S$5:$S$1204,0),14))</f>
        <v/>
      </c>
      <c r="O351" s="15" t="str">
        <f t="array" ref="O351">IF(347&gt;$S$1204,"",INDEX($T$5:$AJ$1204,MATCH(347,$S$5:$S$1204,0),15))</f>
        <v/>
      </c>
      <c r="P351" s="8" t="str">
        <f t="array" ref="P351">IF(347&gt;$S$1204,"",INDEX($T$5:$AJ$1204,MATCH(347,$S$5:$S$1204,0),16))</f>
        <v/>
      </c>
      <c r="Q351" s="8" t="str">
        <f t="array" ref="Q351">IF(347&gt;$S$1204,"",INDEX($T$5:$AJ$1204,MATCH(347,$S$5:$S$1204,0),17))</f>
        <v/>
      </c>
      <c r="R351" s="17"/>
      <c r="S351" s="17">
        <f>S350+IF(M2_Accesos!A155="",0,1)</f>
        <v>0</v>
      </c>
      <c r="T351" s="17" t="str">
        <f>IF(M2_Accesos!A155="","",IF(M2_Accesos!A155="","",M2_Accesos!A155))</f>
        <v/>
      </c>
      <c r="U351" s="17" t="str">
        <f>IF(M2_Accesos!A155="","",IF(M2_Accesos!R155="","",M2_Accesos!R155))</f>
        <v/>
      </c>
      <c r="V351" s="17" t="str">
        <f>IF(M2_Accesos!A155="","",IF(M2_Accesos!D155="","",M2_Accesos!D155))</f>
        <v/>
      </c>
      <c r="W351" s="17" t="str">
        <f>IF(M2_Accesos!A155="","",IF(M2_Accesos!B155="","",M2_Accesos!B155))</f>
        <v/>
      </c>
      <c r="X351" s="17" t="str">
        <f>IF(M2_Accesos!A155="","",IF(M2_Accesos!C155="","",M2_Accesos!C155))</f>
        <v/>
      </c>
      <c r="Y351" s="17" t="str">
        <f>IF(M2_Accesos!A155="","",IF(M2_Accesos!E155="","",M2_Accesos!E155))</f>
        <v/>
      </c>
      <c r="Z351" s="17" t="str">
        <f>IF(M2_Accesos!A155="","",IF(M2_Accesos!F155="","",M2_Accesos!F155))</f>
        <v/>
      </c>
      <c r="AA351" s="17" t="str">
        <f>IF(M2_Accesos!A155="","","M2 Accesos")</f>
        <v/>
      </c>
      <c r="AB351" s="17" t="str">
        <f>IF(M2_Accesos!A155="","",IF(M2_Accesos!G155="","",M2_Accesos!G155))</f>
        <v/>
      </c>
      <c r="AC351" s="17" t="str">
        <f>IF(M2_Accesos!A155="","",IF(M2_Accesos!M155="","",M2_Accesos!M155))</f>
        <v/>
      </c>
      <c r="AD351" s="17" t="str">
        <f>IF(M2_Accesos!A155="","","RD")</f>
        <v/>
      </c>
      <c r="AE351" s="17" t="str">
        <f>IF(M2_Accesos!A155="","",IF(M2_Accesos!O155="","",M2_Accesos!O155))</f>
        <v/>
      </c>
      <c r="AF351" s="17" t="str">
        <f>IF(M2_Accesos!A155="","",IF(M2_Accesos!P155="","",M2_Accesos!P155))</f>
        <v/>
      </c>
      <c r="AG351" s="17" t="str">
        <f>IF(M2_Accesos!A155="","",IF(M2_Accesos!Q155="","",M2_Accesos!Q155))</f>
        <v/>
      </c>
      <c r="AH351" s="17" t="str">
        <f>IF(M2_Accesos!A155="","",IF(M2_Accesos!J155="","",M2_Accesos!J155))</f>
        <v/>
      </c>
      <c r="AI351" s="17" t="str">
        <f>IF(M2_Accesos!A155="","","M2_Accesos!155")</f>
        <v/>
      </c>
      <c r="AJ351" s="17" t="str">
        <f>IF(M2_Accesos!A155="","",IF(M2_Accesos!M155="","Pendiente de resultado","Disponible"))</f>
        <v/>
      </c>
    </row>
    <row r="352" spans="1:36" ht="55.5" customHeight="1">
      <c r="A352" s="6" t="str">
        <f t="array" ref="A352">IF(348&gt;$S$1204,"",INDEX($T$5:$AJ$1204,MATCH(348,$S$5:$S$1204,0),1))</f>
        <v/>
      </c>
      <c r="B352" s="8" t="str">
        <f t="array" ref="B352">IF(348&gt;$S$1204,"",INDEX($T$5:$AJ$1204,MATCH(348,$S$5:$S$1204,0),2))</f>
        <v/>
      </c>
      <c r="C352" s="10" t="str">
        <f t="array" ref="C352">IF(348&gt;$S$1204,"",INDEX($T$5:$AJ$1204,MATCH(348,$S$5:$S$1204,0),3))</f>
        <v/>
      </c>
      <c r="D352" s="8" t="str">
        <f t="array" ref="D352">IF(348&gt;$S$1204,"",INDEX($T$5:$AJ$1204,MATCH(348,$S$5:$S$1204,0),4))</f>
        <v/>
      </c>
      <c r="E352" s="8" t="str">
        <f t="array" ref="E352">IF(348&gt;$S$1204,"",INDEX($T$5:$AJ$1204,MATCH(348,$S$5:$S$1204,0),5))</f>
        <v/>
      </c>
      <c r="F352" s="8" t="str">
        <f t="array" ref="F352">IF(348&gt;$S$1204,"",INDEX($T$5:$AJ$1204,MATCH(348,$S$5:$S$1204,0),6))</f>
        <v/>
      </c>
      <c r="G352" s="8" t="str">
        <f t="array" ref="G352">IF(348&gt;$S$1204,"",INDEX($T$5:$AJ$1204,MATCH(348,$S$5:$S$1204,0),7))</f>
        <v/>
      </c>
      <c r="H352" s="8" t="str">
        <f t="array" ref="H352">IF(348&gt;$S$1204,"",INDEX($T$5:$AJ$1204,MATCH(348,$S$5:$S$1204,0),8))</f>
        <v/>
      </c>
      <c r="I352" s="8" t="str">
        <f t="array" ref="I352">IF(348&gt;$S$1204,"",INDEX($T$5:$AJ$1204,MATCH(348,$S$5:$S$1204,0),9))</f>
        <v/>
      </c>
      <c r="J352" s="14" t="str">
        <f t="array" ref="J352">IF(348&gt;$S$1204,"",INDEX($T$5:$AJ$1204,MATCH(348,$S$5:$S$1204,0),10))</f>
        <v/>
      </c>
      <c r="K352" s="8" t="str">
        <f t="array" ref="K352">IF(348&gt;$S$1204,"",INDEX($T$5:$AJ$1204,MATCH(348,$S$5:$S$1204,0),11))</f>
        <v/>
      </c>
      <c r="L352" s="8" t="str">
        <f t="array" ref="L352">IF(348&gt;$S$1204,"",INDEX($T$5:$AJ$1204,MATCH(348,$S$5:$S$1204,0),12))</f>
        <v/>
      </c>
      <c r="M352" s="8" t="str">
        <f t="array" ref="M352">IF(348&gt;$S$1204,"",INDEX($T$5:$AJ$1204,MATCH(348,$S$5:$S$1204,0),13))</f>
        <v/>
      </c>
      <c r="N352" s="8" t="str">
        <f t="array" ref="N352">IF(348&gt;$S$1204,"",INDEX($T$5:$AJ$1204,MATCH(348,$S$5:$S$1204,0),14))</f>
        <v/>
      </c>
      <c r="O352" s="15" t="str">
        <f t="array" ref="O352">IF(348&gt;$S$1204,"",INDEX($T$5:$AJ$1204,MATCH(348,$S$5:$S$1204,0),15))</f>
        <v/>
      </c>
      <c r="P352" s="8" t="str">
        <f t="array" ref="P352">IF(348&gt;$S$1204,"",INDEX($T$5:$AJ$1204,MATCH(348,$S$5:$S$1204,0),16))</f>
        <v/>
      </c>
      <c r="Q352" s="8" t="str">
        <f t="array" ref="Q352">IF(348&gt;$S$1204,"",INDEX($T$5:$AJ$1204,MATCH(348,$S$5:$S$1204,0),17))</f>
        <v/>
      </c>
      <c r="R352" s="17"/>
      <c r="S352" s="17">
        <f>S351+IF(M2_Accesos!A156="",0,1)</f>
        <v>0</v>
      </c>
      <c r="T352" s="17" t="str">
        <f>IF(M2_Accesos!A156="","",IF(M2_Accesos!A156="","",M2_Accesos!A156))</f>
        <v/>
      </c>
      <c r="U352" s="17" t="str">
        <f>IF(M2_Accesos!A156="","",IF(M2_Accesos!R156="","",M2_Accesos!R156))</f>
        <v/>
      </c>
      <c r="V352" s="17" t="str">
        <f>IF(M2_Accesos!A156="","",IF(M2_Accesos!D156="","",M2_Accesos!D156))</f>
        <v/>
      </c>
      <c r="W352" s="17" t="str">
        <f>IF(M2_Accesos!A156="","",IF(M2_Accesos!B156="","",M2_Accesos!B156))</f>
        <v/>
      </c>
      <c r="X352" s="17" t="str">
        <f>IF(M2_Accesos!A156="","",IF(M2_Accesos!C156="","",M2_Accesos!C156))</f>
        <v/>
      </c>
      <c r="Y352" s="17" t="str">
        <f>IF(M2_Accesos!A156="","",IF(M2_Accesos!E156="","",M2_Accesos!E156))</f>
        <v/>
      </c>
      <c r="Z352" s="17" t="str">
        <f>IF(M2_Accesos!A156="","",IF(M2_Accesos!F156="","",M2_Accesos!F156))</f>
        <v/>
      </c>
      <c r="AA352" s="17" t="str">
        <f>IF(M2_Accesos!A156="","","M2 Accesos")</f>
        <v/>
      </c>
      <c r="AB352" s="17" t="str">
        <f>IF(M2_Accesos!A156="","",IF(M2_Accesos!G156="","",M2_Accesos!G156))</f>
        <v/>
      </c>
      <c r="AC352" s="17" t="str">
        <f>IF(M2_Accesos!A156="","",IF(M2_Accesos!M156="","",M2_Accesos!M156))</f>
        <v/>
      </c>
      <c r="AD352" s="17" t="str">
        <f>IF(M2_Accesos!A156="","","RD")</f>
        <v/>
      </c>
      <c r="AE352" s="17" t="str">
        <f>IF(M2_Accesos!A156="","",IF(M2_Accesos!O156="","",M2_Accesos!O156))</f>
        <v/>
      </c>
      <c r="AF352" s="17" t="str">
        <f>IF(M2_Accesos!A156="","",IF(M2_Accesos!P156="","",M2_Accesos!P156))</f>
        <v/>
      </c>
      <c r="AG352" s="17" t="str">
        <f>IF(M2_Accesos!A156="","",IF(M2_Accesos!Q156="","",M2_Accesos!Q156))</f>
        <v/>
      </c>
      <c r="AH352" s="17" t="str">
        <f>IF(M2_Accesos!A156="","",IF(M2_Accesos!J156="","",M2_Accesos!J156))</f>
        <v/>
      </c>
      <c r="AI352" s="17" t="str">
        <f>IF(M2_Accesos!A156="","","M2_Accesos!156")</f>
        <v/>
      </c>
      <c r="AJ352" s="17" t="str">
        <f>IF(M2_Accesos!A156="","",IF(M2_Accesos!M156="","Pendiente de resultado","Disponible"))</f>
        <v/>
      </c>
    </row>
    <row r="353" spans="1:36" ht="55.5" customHeight="1">
      <c r="A353" s="6" t="str">
        <f t="array" ref="A353">IF(349&gt;$S$1204,"",INDEX($T$5:$AJ$1204,MATCH(349,$S$5:$S$1204,0),1))</f>
        <v/>
      </c>
      <c r="B353" s="8" t="str">
        <f t="array" ref="B353">IF(349&gt;$S$1204,"",INDEX($T$5:$AJ$1204,MATCH(349,$S$5:$S$1204,0),2))</f>
        <v/>
      </c>
      <c r="C353" s="10" t="str">
        <f t="array" ref="C353">IF(349&gt;$S$1204,"",INDEX($T$5:$AJ$1204,MATCH(349,$S$5:$S$1204,0),3))</f>
        <v/>
      </c>
      <c r="D353" s="8" t="str">
        <f t="array" ref="D353">IF(349&gt;$S$1204,"",INDEX($T$5:$AJ$1204,MATCH(349,$S$5:$S$1204,0),4))</f>
        <v/>
      </c>
      <c r="E353" s="8" t="str">
        <f t="array" ref="E353">IF(349&gt;$S$1204,"",INDEX($T$5:$AJ$1204,MATCH(349,$S$5:$S$1204,0),5))</f>
        <v/>
      </c>
      <c r="F353" s="8" t="str">
        <f t="array" ref="F353">IF(349&gt;$S$1204,"",INDEX($T$5:$AJ$1204,MATCH(349,$S$5:$S$1204,0),6))</f>
        <v/>
      </c>
      <c r="G353" s="8" t="str">
        <f t="array" ref="G353">IF(349&gt;$S$1204,"",INDEX($T$5:$AJ$1204,MATCH(349,$S$5:$S$1204,0),7))</f>
        <v/>
      </c>
      <c r="H353" s="8" t="str">
        <f t="array" ref="H353">IF(349&gt;$S$1204,"",INDEX($T$5:$AJ$1204,MATCH(349,$S$5:$S$1204,0),8))</f>
        <v/>
      </c>
      <c r="I353" s="8" t="str">
        <f t="array" ref="I353">IF(349&gt;$S$1204,"",INDEX($T$5:$AJ$1204,MATCH(349,$S$5:$S$1204,0),9))</f>
        <v/>
      </c>
      <c r="J353" s="14" t="str">
        <f t="array" ref="J353">IF(349&gt;$S$1204,"",INDEX($T$5:$AJ$1204,MATCH(349,$S$5:$S$1204,0),10))</f>
        <v/>
      </c>
      <c r="K353" s="8" t="str">
        <f t="array" ref="K353">IF(349&gt;$S$1204,"",INDEX($T$5:$AJ$1204,MATCH(349,$S$5:$S$1204,0),11))</f>
        <v/>
      </c>
      <c r="L353" s="8" t="str">
        <f t="array" ref="L353">IF(349&gt;$S$1204,"",INDEX($T$5:$AJ$1204,MATCH(349,$S$5:$S$1204,0),12))</f>
        <v/>
      </c>
      <c r="M353" s="8" t="str">
        <f t="array" ref="M353">IF(349&gt;$S$1204,"",INDEX($T$5:$AJ$1204,MATCH(349,$S$5:$S$1204,0),13))</f>
        <v/>
      </c>
      <c r="N353" s="8" t="str">
        <f t="array" ref="N353">IF(349&gt;$S$1204,"",INDEX($T$5:$AJ$1204,MATCH(349,$S$5:$S$1204,0),14))</f>
        <v/>
      </c>
      <c r="O353" s="15" t="str">
        <f t="array" ref="O353">IF(349&gt;$S$1204,"",INDEX($T$5:$AJ$1204,MATCH(349,$S$5:$S$1204,0),15))</f>
        <v/>
      </c>
      <c r="P353" s="8" t="str">
        <f t="array" ref="P353">IF(349&gt;$S$1204,"",INDEX($T$5:$AJ$1204,MATCH(349,$S$5:$S$1204,0),16))</f>
        <v/>
      </c>
      <c r="Q353" s="8" t="str">
        <f t="array" ref="Q353">IF(349&gt;$S$1204,"",INDEX($T$5:$AJ$1204,MATCH(349,$S$5:$S$1204,0),17))</f>
        <v/>
      </c>
      <c r="R353" s="17"/>
      <c r="S353" s="17">
        <f>S352+IF(M2_Accesos!A157="",0,1)</f>
        <v>0</v>
      </c>
      <c r="T353" s="17" t="str">
        <f>IF(M2_Accesos!A157="","",IF(M2_Accesos!A157="","",M2_Accesos!A157))</f>
        <v/>
      </c>
      <c r="U353" s="17" t="str">
        <f>IF(M2_Accesos!A157="","",IF(M2_Accesos!R157="","",M2_Accesos!R157))</f>
        <v/>
      </c>
      <c r="V353" s="17" t="str">
        <f>IF(M2_Accesos!A157="","",IF(M2_Accesos!D157="","",M2_Accesos!D157))</f>
        <v/>
      </c>
      <c r="W353" s="17" t="str">
        <f>IF(M2_Accesos!A157="","",IF(M2_Accesos!B157="","",M2_Accesos!B157))</f>
        <v/>
      </c>
      <c r="X353" s="17" t="str">
        <f>IF(M2_Accesos!A157="","",IF(M2_Accesos!C157="","",M2_Accesos!C157))</f>
        <v/>
      </c>
      <c r="Y353" s="17" t="str">
        <f>IF(M2_Accesos!A157="","",IF(M2_Accesos!E157="","",M2_Accesos!E157))</f>
        <v/>
      </c>
      <c r="Z353" s="17" t="str">
        <f>IF(M2_Accesos!A157="","",IF(M2_Accesos!F157="","",M2_Accesos!F157))</f>
        <v/>
      </c>
      <c r="AA353" s="17" t="str">
        <f>IF(M2_Accesos!A157="","","M2 Accesos")</f>
        <v/>
      </c>
      <c r="AB353" s="17" t="str">
        <f>IF(M2_Accesos!A157="","",IF(M2_Accesos!G157="","",M2_Accesos!G157))</f>
        <v/>
      </c>
      <c r="AC353" s="17" t="str">
        <f>IF(M2_Accesos!A157="","",IF(M2_Accesos!M157="","",M2_Accesos!M157))</f>
        <v/>
      </c>
      <c r="AD353" s="17" t="str">
        <f>IF(M2_Accesos!A157="","","RD")</f>
        <v/>
      </c>
      <c r="AE353" s="17" t="str">
        <f>IF(M2_Accesos!A157="","",IF(M2_Accesos!O157="","",M2_Accesos!O157))</f>
        <v/>
      </c>
      <c r="AF353" s="17" t="str">
        <f>IF(M2_Accesos!A157="","",IF(M2_Accesos!P157="","",M2_Accesos!P157))</f>
        <v/>
      </c>
      <c r="AG353" s="17" t="str">
        <f>IF(M2_Accesos!A157="","",IF(M2_Accesos!Q157="","",M2_Accesos!Q157))</f>
        <v/>
      </c>
      <c r="AH353" s="17" t="str">
        <f>IF(M2_Accesos!A157="","",IF(M2_Accesos!J157="","",M2_Accesos!J157))</f>
        <v/>
      </c>
      <c r="AI353" s="17" t="str">
        <f>IF(M2_Accesos!A157="","","M2_Accesos!157")</f>
        <v/>
      </c>
      <c r="AJ353" s="17" t="str">
        <f>IF(M2_Accesos!A157="","",IF(M2_Accesos!M157="","Pendiente de resultado","Disponible"))</f>
        <v/>
      </c>
    </row>
    <row r="354" spans="1:36" ht="55.5" customHeight="1">
      <c r="A354" s="6" t="str">
        <f t="array" ref="A354">IF(350&gt;$S$1204,"",INDEX($T$5:$AJ$1204,MATCH(350,$S$5:$S$1204,0),1))</f>
        <v/>
      </c>
      <c r="B354" s="8" t="str">
        <f t="array" ref="B354">IF(350&gt;$S$1204,"",INDEX($T$5:$AJ$1204,MATCH(350,$S$5:$S$1204,0),2))</f>
        <v/>
      </c>
      <c r="C354" s="10" t="str">
        <f t="array" ref="C354">IF(350&gt;$S$1204,"",INDEX($T$5:$AJ$1204,MATCH(350,$S$5:$S$1204,0),3))</f>
        <v/>
      </c>
      <c r="D354" s="8" t="str">
        <f t="array" ref="D354">IF(350&gt;$S$1204,"",INDEX($T$5:$AJ$1204,MATCH(350,$S$5:$S$1204,0),4))</f>
        <v/>
      </c>
      <c r="E354" s="8" t="str">
        <f t="array" ref="E354">IF(350&gt;$S$1204,"",INDEX($T$5:$AJ$1204,MATCH(350,$S$5:$S$1204,0),5))</f>
        <v/>
      </c>
      <c r="F354" s="8" t="str">
        <f t="array" ref="F354">IF(350&gt;$S$1204,"",INDEX($T$5:$AJ$1204,MATCH(350,$S$5:$S$1204,0),6))</f>
        <v/>
      </c>
      <c r="G354" s="8" t="str">
        <f t="array" ref="G354">IF(350&gt;$S$1204,"",INDEX($T$5:$AJ$1204,MATCH(350,$S$5:$S$1204,0),7))</f>
        <v/>
      </c>
      <c r="H354" s="8" t="str">
        <f t="array" ref="H354">IF(350&gt;$S$1204,"",INDEX($T$5:$AJ$1204,MATCH(350,$S$5:$S$1204,0),8))</f>
        <v/>
      </c>
      <c r="I354" s="8" t="str">
        <f t="array" ref="I354">IF(350&gt;$S$1204,"",INDEX($T$5:$AJ$1204,MATCH(350,$S$5:$S$1204,0),9))</f>
        <v/>
      </c>
      <c r="J354" s="14" t="str">
        <f t="array" ref="J354">IF(350&gt;$S$1204,"",INDEX($T$5:$AJ$1204,MATCH(350,$S$5:$S$1204,0),10))</f>
        <v/>
      </c>
      <c r="K354" s="8" t="str">
        <f t="array" ref="K354">IF(350&gt;$S$1204,"",INDEX($T$5:$AJ$1204,MATCH(350,$S$5:$S$1204,0),11))</f>
        <v/>
      </c>
      <c r="L354" s="8" t="str">
        <f t="array" ref="L354">IF(350&gt;$S$1204,"",INDEX($T$5:$AJ$1204,MATCH(350,$S$5:$S$1204,0),12))</f>
        <v/>
      </c>
      <c r="M354" s="8" t="str">
        <f t="array" ref="M354">IF(350&gt;$S$1204,"",INDEX($T$5:$AJ$1204,MATCH(350,$S$5:$S$1204,0),13))</f>
        <v/>
      </c>
      <c r="N354" s="8" t="str">
        <f t="array" ref="N354">IF(350&gt;$S$1204,"",INDEX($T$5:$AJ$1204,MATCH(350,$S$5:$S$1204,0),14))</f>
        <v/>
      </c>
      <c r="O354" s="15" t="str">
        <f t="array" ref="O354">IF(350&gt;$S$1204,"",INDEX($T$5:$AJ$1204,MATCH(350,$S$5:$S$1204,0),15))</f>
        <v/>
      </c>
      <c r="P354" s="8" t="str">
        <f t="array" ref="P354">IF(350&gt;$S$1204,"",INDEX($T$5:$AJ$1204,MATCH(350,$S$5:$S$1204,0),16))</f>
        <v/>
      </c>
      <c r="Q354" s="8" t="str">
        <f t="array" ref="Q354">IF(350&gt;$S$1204,"",INDEX($T$5:$AJ$1204,MATCH(350,$S$5:$S$1204,0),17))</f>
        <v/>
      </c>
      <c r="R354" s="17"/>
      <c r="S354" s="17">
        <f>S353+IF(M2_Accesos!A158="",0,1)</f>
        <v>0</v>
      </c>
      <c r="T354" s="17" t="str">
        <f>IF(M2_Accesos!A158="","",IF(M2_Accesos!A158="","",M2_Accesos!A158))</f>
        <v/>
      </c>
      <c r="U354" s="17" t="str">
        <f>IF(M2_Accesos!A158="","",IF(M2_Accesos!R158="","",M2_Accesos!R158))</f>
        <v/>
      </c>
      <c r="V354" s="17" t="str">
        <f>IF(M2_Accesos!A158="","",IF(M2_Accesos!D158="","",M2_Accesos!D158))</f>
        <v/>
      </c>
      <c r="W354" s="17" t="str">
        <f>IF(M2_Accesos!A158="","",IF(M2_Accesos!B158="","",M2_Accesos!B158))</f>
        <v/>
      </c>
      <c r="X354" s="17" t="str">
        <f>IF(M2_Accesos!A158="","",IF(M2_Accesos!C158="","",M2_Accesos!C158))</f>
        <v/>
      </c>
      <c r="Y354" s="17" t="str">
        <f>IF(M2_Accesos!A158="","",IF(M2_Accesos!E158="","",M2_Accesos!E158))</f>
        <v/>
      </c>
      <c r="Z354" s="17" t="str">
        <f>IF(M2_Accesos!A158="","",IF(M2_Accesos!F158="","",M2_Accesos!F158))</f>
        <v/>
      </c>
      <c r="AA354" s="17" t="str">
        <f>IF(M2_Accesos!A158="","","M2 Accesos")</f>
        <v/>
      </c>
      <c r="AB354" s="17" t="str">
        <f>IF(M2_Accesos!A158="","",IF(M2_Accesos!G158="","",M2_Accesos!G158))</f>
        <v/>
      </c>
      <c r="AC354" s="17" t="str">
        <f>IF(M2_Accesos!A158="","",IF(M2_Accesos!M158="","",M2_Accesos!M158))</f>
        <v/>
      </c>
      <c r="AD354" s="17" t="str">
        <f>IF(M2_Accesos!A158="","","RD")</f>
        <v/>
      </c>
      <c r="AE354" s="17" t="str">
        <f>IF(M2_Accesos!A158="","",IF(M2_Accesos!O158="","",M2_Accesos!O158))</f>
        <v/>
      </c>
      <c r="AF354" s="17" t="str">
        <f>IF(M2_Accesos!A158="","",IF(M2_Accesos!P158="","",M2_Accesos!P158))</f>
        <v/>
      </c>
      <c r="AG354" s="17" t="str">
        <f>IF(M2_Accesos!A158="","",IF(M2_Accesos!Q158="","",M2_Accesos!Q158))</f>
        <v/>
      </c>
      <c r="AH354" s="17" t="str">
        <f>IF(M2_Accesos!A158="","",IF(M2_Accesos!J158="","",M2_Accesos!J158))</f>
        <v/>
      </c>
      <c r="AI354" s="17" t="str">
        <f>IF(M2_Accesos!A158="","","M2_Accesos!158")</f>
        <v/>
      </c>
      <c r="AJ354" s="17" t="str">
        <f>IF(M2_Accesos!A158="","",IF(M2_Accesos!M158="","Pendiente de resultado","Disponible"))</f>
        <v/>
      </c>
    </row>
    <row r="355" spans="1:36" ht="55.5" customHeight="1">
      <c r="A355" s="6" t="str">
        <f t="array" ref="A355">IF(351&gt;$S$1204,"",INDEX($T$5:$AJ$1204,MATCH(351,$S$5:$S$1204,0),1))</f>
        <v/>
      </c>
      <c r="B355" s="8" t="str">
        <f t="array" ref="B355">IF(351&gt;$S$1204,"",INDEX($T$5:$AJ$1204,MATCH(351,$S$5:$S$1204,0),2))</f>
        <v/>
      </c>
      <c r="C355" s="10" t="str">
        <f t="array" ref="C355">IF(351&gt;$S$1204,"",INDEX($T$5:$AJ$1204,MATCH(351,$S$5:$S$1204,0),3))</f>
        <v/>
      </c>
      <c r="D355" s="8" t="str">
        <f t="array" ref="D355">IF(351&gt;$S$1204,"",INDEX($T$5:$AJ$1204,MATCH(351,$S$5:$S$1204,0),4))</f>
        <v/>
      </c>
      <c r="E355" s="8" t="str">
        <f t="array" ref="E355">IF(351&gt;$S$1204,"",INDEX($T$5:$AJ$1204,MATCH(351,$S$5:$S$1204,0),5))</f>
        <v/>
      </c>
      <c r="F355" s="8" t="str">
        <f t="array" ref="F355">IF(351&gt;$S$1204,"",INDEX($T$5:$AJ$1204,MATCH(351,$S$5:$S$1204,0),6))</f>
        <v/>
      </c>
      <c r="G355" s="8" t="str">
        <f t="array" ref="G355">IF(351&gt;$S$1204,"",INDEX($T$5:$AJ$1204,MATCH(351,$S$5:$S$1204,0),7))</f>
        <v/>
      </c>
      <c r="H355" s="8" t="str">
        <f t="array" ref="H355">IF(351&gt;$S$1204,"",INDEX($T$5:$AJ$1204,MATCH(351,$S$5:$S$1204,0),8))</f>
        <v/>
      </c>
      <c r="I355" s="8" t="str">
        <f t="array" ref="I355">IF(351&gt;$S$1204,"",INDEX($T$5:$AJ$1204,MATCH(351,$S$5:$S$1204,0),9))</f>
        <v/>
      </c>
      <c r="J355" s="14" t="str">
        <f t="array" ref="J355">IF(351&gt;$S$1204,"",INDEX($T$5:$AJ$1204,MATCH(351,$S$5:$S$1204,0),10))</f>
        <v/>
      </c>
      <c r="K355" s="8" t="str">
        <f t="array" ref="K355">IF(351&gt;$S$1204,"",INDEX($T$5:$AJ$1204,MATCH(351,$S$5:$S$1204,0),11))</f>
        <v/>
      </c>
      <c r="L355" s="8" t="str">
        <f t="array" ref="L355">IF(351&gt;$S$1204,"",INDEX($T$5:$AJ$1204,MATCH(351,$S$5:$S$1204,0),12))</f>
        <v/>
      </c>
      <c r="M355" s="8" t="str">
        <f t="array" ref="M355">IF(351&gt;$S$1204,"",INDEX($T$5:$AJ$1204,MATCH(351,$S$5:$S$1204,0),13))</f>
        <v/>
      </c>
      <c r="N355" s="8" t="str">
        <f t="array" ref="N355">IF(351&gt;$S$1204,"",INDEX($T$5:$AJ$1204,MATCH(351,$S$5:$S$1204,0),14))</f>
        <v/>
      </c>
      <c r="O355" s="15" t="str">
        <f t="array" ref="O355">IF(351&gt;$S$1204,"",INDEX($T$5:$AJ$1204,MATCH(351,$S$5:$S$1204,0),15))</f>
        <v/>
      </c>
      <c r="P355" s="8" t="str">
        <f t="array" ref="P355">IF(351&gt;$S$1204,"",INDEX($T$5:$AJ$1204,MATCH(351,$S$5:$S$1204,0),16))</f>
        <v/>
      </c>
      <c r="Q355" s="8" t="str">
        <f t="array" ref="Q355">IF(351&gt;$S$1204,"",INDEX($T$5:$AJ$1204,MATCH(351,$S$5:$S$1204,0),17))</f>
        <v/>
      </c>
      <c r="R355" s="17"/>
      <c r="S355" s="17">
        <f>S354+IF(M2_Accesos!A159="",0,1)</f>
        <v>0</v>
      </c>
      <c r="T355" s="17" t="str">
        <f>IF(M2_Accesos!A159="","",IF(M2_Accesos!A159="","",M2_Accesos!A159))</f>
        <v/>
      </c>
      <c r="U355" s="17" t="str">
        <f>IF(M2_Accesos!A159="","",IF(M2_Accesos!R159="","",M2_Accesos!R159))</f>
        <v/>
      </c>
      <c r="V355" s="17" t="str">
        <f>IF(M2_Accesos!A159="","",IF(M2_Accesos!D159="","",M2_Accesos!D159))</f>
        <v/>
      </c>
      <c r="W355" s="17" t="str">
        <f>IF(M2_Accesos!A159="","",IF(M2_Accesos!B159="","",M2_Accesos!B159))</f>
        <v/>
      </c>
      <c r="X355" s="17" t="str">
        <f>IF(M2_Accesos!A159="","",IF(M2_Accesos!C159="","",M2_Accesos!C159))</f>
        <v/>
      </c>
      <c r="Y355" s="17" t="str">
        <f>IF(M2_Accesos!A159="","",IF(M2_Accesos!E159="","",M2_Accesos!E159))</f>
        <v/>
      </c>
      <c r="Z355" s="17" t="str">
        <f>IF(M2_Accesos!A159="","",IF(M2_Accesos!F159="","",M2_Accesos!F159))</f>
        <v/>
      </c>
      <c r="AA355" s="17" t="str">
        <f>IF(M2_Accesos!A159="","","M2 Accesos")</f>
        <v/>
      </c>
      <c r="AB355" s="17" t="str">
        <f>IF(M2_Accesos!A159="","",IF(M2_Accesos!G159="","",M2_Accesos!G159))</f>
        <v/>
      </c>
      <c r="AC355" s="17" t="str">
        <f>IF(M2_Accesos!A159="","",IF(M2_Accesos!M159="","",M2_Accesos!M159))</f>
        <v/>
      </c>
      <c r="AD355" s="17" t="str">
        <f>IF(M2_Accesos!A159="","","RD")</f>
        <v/>
      </c>
      <c r="AE355" s="17" t="str">
        <f>IF(M2_Accesos!A159="","",IF(M2_Accesos!O159="","",M2_Accesos!O159))</f>
        <v/>
      </c>
      <c r="AF355" s="17" t="str">
        <f>IF(M2_Accesos!A159="","",IF(M2_Accesos!P159="","",M2_Accesos!P159))</f>
        <v/>
      </c>
      <c r="AG355" s="17" t="str">
        <f>IF(M2_Accesos!A159="","",IF(M2_Accesos!Q159="","",M2_Accesos!Q159))</f>
        <v/>
      </c>
      <c r="AH355" s="17" t="str">
        <f>IF(M2_Accesos!A159="","",IF(M2_Accesos!J159="","",M2_Accesos!J159))</f>
        <v/>
      </c>
      <c r="AI355" s="17" t="str">
        <f>IF(M2_Accesos!A159="","","M2_Accesos!159")</f>
        <v/>
      </c>
      <c r="AJ355" s="17" t="str">
        <f>IF(M2_Accesos!A159="","",IF(M2_Accesos!M159="","Pendiente de resultado","Disponible"))</f>
        <v/>
      </c>
    </row>
    <row r="356" spans="1:36" ht="55.5" customHeight="1">
      <c r="A356" s="6" t="str">
        <f t="array" ref="A356">IF(352&gt;$S$1204,"",INDEX($T$5:$AJ$1204,MATCH(352,$S$5:$S$1204,0),1))</f>
        <v/>
      </c>
      <c r="B356" s="8" t="str">
        <f t="array" ref="B356">IF(352&gt;$S$1204,"",INDEX($T$5:$AJ$1204,MATCH(352,$S$5:$S$1204,0),2))</f>
        <v/>
      </c>
      <c r="C356" s="10" t="str">
        <f t="array" ref="C356">IF(352&gt;$S$1204,"",INDEX($T$5:$AJ$1204,MATCH(352,$S$5:$S$1204,0),3))</f>
        <v/>
      </c>
      <c r="D356" s="8" t="str">
        <f t="array" ref="D356">IF(352&gt;$S$1204,"",INDEX($T$5:$AJ$1204,MATCH(352,$S$5:$S$1204,0),4))</f>
        <v/>
      </c>
      <c r="E356" s="8" t="str">
        <f t="array" ref="E356">IF(352&gt;$S$1204,"",INDEX($T$5:$AJ$1204,MATCH(352,$S$5:$S$1204,0),5))</f>
        <v/>
      </c>
      <c r="F356" s="8" t="str">
        <f t="array" ref="F356">IF(352&gt;$S$1204,"",INDEX($T$5:$AJ$1204,MATCH(352,$S$5:$S$1204,0),6))</f>
        <v/>
      </c>
      <c r="G356" s="8" t="str">
        <f t="array" ref="G356">IF(352&gt;$S$1204,"",INDEX($T$5:$AJ$1204,MATCH(352,$S$5:$S$1204,0),7))</f>
        <v/>
      </c>
      <c r="H356" s="8" t="str">
        <f t="array" ref="H356">IF(352&gt;$S$1204,"",INDEX($T$5:$AJ$1204,MATCH(352,$S$5:$S$1204,0),8))</f>
        <v/>
      </c>
      <c r="I356" s="8" t="str">
        <f t="array" ref="I356">IF(352&gt;$S$1204,"",INDEX($T$5:$AJ$1204,MATCH(352,$S$5:$S$1204,0),9))</f>
        <v/>
      </c>
      <c r="J356" s="14" t="str">
        <f t="array" ref="J356">IF(352&gt;$S$1204,"",INDEX($T$5:$AJ$1204,MATCH(352,$S$5:$S$1204,0),10))</f>
        <v/>
      </c>
      <c r="K356" s="8" t="str">
        <f t="array" ref="K356">IF(352&gt;$S$1204,"",INDEX($T$5:$AJ$1204,MATCH(352,$S$5:$S$1204,0),11))</f>
        <v/>
      </c>
      <c r="L356" s="8" t="str">
        <f t="array" ref="L356">IF(352&gt;$S$1204,"",INDEX($T$5:$AJ$1204,MATCH(352,$S$5:$S$1204,0),12))</f>
        <v/>
      </c>
      <c r="M356" s="8" t="str">
        <f t="array" ref="M356">IF(352&gt;$S$1204,"",INDEX($T$5:$AJ$1204,MATCH(352,$S$5:$S$1204,0),13))</f>
        <v/>
      </c>
      <c r="N356" s="8" t="str">
        <f t="array" ref="N356">IF(352&gt;$S$1204,"",INDEX($T$5:$AJ$1204,MATCH(352,$S$5:$S$1204,0),14))</f>
        <v/>
      </c>
      <c r="O356" s="15" t="str">
        <f t="array" ref="O356">IF(352&gt;$S$1204,"",INDEX($T$5:$AJ$1204,MATCH(352,$S$5:$S$1204,0),15))</f>
        <v/>
      </c>
      <c r="P356" s="8" t="str">
        <f t="array" ref="P356">IF(352&gt;$S$1204,"",INDEX($T$5:$AJ$1204,MATCH(352,$S$5:$S$1204,0),16))</f>
        <v/>
      </c>
      <c r="Q356" s="8" t="str">
        <f t="array" ref="Q356">IF(352&gt;$S$1204,"",INDEX($T$5:$AJ$1204,MATCH(352,$S$5:$S$1204,0),17))</f>
        <v/>
      </c>
      <c r="R356" s="17"/>
      <c r="S356" s="17">
        <f>S355+IF(M2_Accesos!A160="",0,1)</f>
        <v>0</v>
      </c>
      <c r="T356" s="17" t="str">
        <f>IF(M2_Accesos!A160="","",IF(M2_Accesos!A160="","",M2_Accesos!A160))</f>
        <v/>
      </c>
      <c r="U356" s="17" t="str">
        <f>IF(M2_Accesos!A160="","",IF(M2_Accesos!R160="","",M2_Accesos!R160))</f>
        <v/>
      </c>
      <c r="V356" s="17" t="str">
        <f>IF(M2_Accesos!A160="","",IF(M2_Accesos!D160="","",M2_Accesos!D160))</f>
        <v/>
      </c>
      <c r="W356" s="17" t="str">
        <f>IF(M2_Accesos!A160="","",IF(M2_Accesos!B160="","",M2_Accesos!B160))</f>
        <v/>
      </c>
      <c r="X356" s="17" t="str">
        <f>IF(M2_Accesos!A160="","",IF(M2_Accesos!C160="","",M2_Accesos!C160))</f>
        <v/>
      </c>
      <c r="Y356" s="17" t="str">
        <f>IF(M2_Accesos!A160="","",IF(M2_Accesos!E160="","",M2_Accesos!E160))</f>
        <v/>
      </c>
      <c r="Z356" s="17" t="str">
        <f>IF(M2_Accesos!A160="","",IF(M2_Accesos!F160="","",M2_Accesos!F160))</f>
        <v/>
      </c>
      <c r="AA356" s="17" t="str">
        <f>IF(M2_Accesos!A160="","","M2 Accesos")</f>
        <v/>
      </c>
      <c r="AB356" s="17" t="str">
        <f>IF(M2_Accesos!A160="","",IF(M2_Accesos!G160="","",M2_Accesos!G160))</f>
        <v/>
      </c>
      <c r="AC356" s="17" t="str">
        <f>IF(M2_Accesos!A160="","",IF(M2_Accesos!M160="","",M2_Accesos!M160))</f>
        <v/>
      </c>
      <c r="AD356" s="17" t="str">
        <f>IF(M2_Accesos!A160="","","RD")</f>
        <v/>
      </c>
      <c r="AE356" s="17" t="str">
        <f>IF(M2_Accesos!A160="","",IF(M2_Accesos!O160="","",M2_Accesos!O160))</f>
        <v/>
      </c>
      <c r="AF356" s="17" t="str">
        <f>IF(M2_Accesos!A160="","",IF(M2_Accesos!P160="","",M2_Accesos!P160))</f>
        <v/>
      </c>
      <c r="AG356" s="17" t="str">
        <f>IF(M2_Accesos!A160="","",IF(M2_Accesos!Q160="","",M2_Accesos!Q160))</f>
        <v/>
      </c>
      <c r="AH356" s="17" t="str">
        <f>IF(M2_Accesos!A160="","",IF(M2_Accesos!J160="","",M2_Accesos!J160))</f>
        <v/>
      </c>
      <c r="AI356" s="17" t="str">
        <f>IF(M2_Accesos!A160="","","M2_Accesos!160")</f>
        <v/>
      </c>
      <c r="AJ356" s="17" t="str">
        <f>IF(M2_Accesos!A160="","",IF(M2_Accesos!M160="","Pendiente de resultado","Disponible"))</f>
        <v/>
      </c>
    </row>
    <row r="357" spans="1:36" ht="55.5" customHeight="1">
      <c r="A357" s="6" t="str">
        <f t="array" ref="A357">IF(353&gt;$S$1204,"",INDEX($T$5:$AJ$1204,MATCH(353,$S$5:$S$1204,0),1))</f>
        <v/>
      </c>
      <c r="B357" s="8" t="str">
        <f t="array" ref="B357">IF(353&gt;$S$1204,"",INDEX($T$5:$AJ$1204,MATCH(353,$S$5:$S$1204,0),2))</f>
        <v/>
      </c>
      <c r="C357" s="10" t="str">
        <f t="array" ref="C357">IF(353&gt;$S$1204,"",INDEX($T$5:$AJ$1204,MATCH(353,$S$5:$S$1204,0),3))</f>
        <v/>
      </c>
      <c r="D357" s="8" t="str">
        <f t="array" ref="D357">IF(353&gt;$S$1204,"",INDEX($T$5:$AJ$1204,MATCH(353,$S$5:$S$1204,0),4))</f>
        <v/>
      </c>
      <c r="E357" s="8" t="str">
        <f t="array" ref="E357">IF(353&gt;$S$1204,"",INDEX($T$5:$AJ$1204,MATCH(353,$S$5:$S$1204,0),5))</f>
        <v/>
      </c>
      <c r="F357" s="8" t="str">
        <f t="array" ref="F357">IF(353&gt;$S$1204,"",INDEX($T$5:$AJ$1204,MATCH(353,$S$5:$S$1204,0),6))</f>
        <v/>
      </c>
      <c r="G357" s="8" t="str">
        <f t="array" ref="G357">IF(353&gt;$S$1204,"",INDEX($T$5:$AJ$1204,MATCH(353,$S$5:$S$1204,0),7))</f>
        <v/>
      </c>
      <c r="H357" s="8" t="str">
        <f t="array" ref="H357">IF(353&gt;$S$1204,"",INDEX($T$5:$AJ$1204,MATCH(353,$S$5:$S$1204,0),8))</f>
        <v/>
      </c>
      <c r="I357" s="8" t="str">
        <f t="array" ref="I357">IF(353&gt;$S$1204,"",INDEX($T$5:$AJ$1204,MATCH(353,$S$5:$S$1204,0),9))</f>
        <v/>
      </c>
      <c r="J357" s="14" t="str">
        <f t="array" ref="J357">IF(353&gt;$S$1204,"",INDEX($T$5:$AJ$1204,MATCH(353,$S$5:$S$1204,0),10))</f>
        <v/>
      </c>
      <c r="K357" s="8" t="str">
        <f t="array" ref="K357">IF(353&gt;$S$1204,"",INDEX($T$5:$AJ$1204,MATCH(353,$S$5:$S$1204,0),11))</f>
        <v/>
      </c>
      <c r="L357" s="8" t="str">
        <f t="array" ref="L357">IF(353&gt;$S$1204,"",INDEX($T$5:$AJ$1204,MATCH(353,$S$5:$S$1204,0),12))</f>
        <v/>
      </c>
      <c r="M357" s="8" t="str">
        <f t="array" ref="M357">IF(353&gt;$S$1204,"",INDEX($T$5:$AJ$1204,MATCH(353,$S$5:$S$1204,0),13))</f>
        <v/>
      </c>
      <c r="N357" s="8" t="str">
        <f t="array" ref="N357">IF(353&gt;$S$1204,"",INDEX($T$5:$AJ$1204,MATCH(353,$S$5:$S$1204,0),14))</f>
        <v/>
      </c>
      <c r="O357" s="15" t="str">
        <f t="array" ref="O357">IF(353&gt;$S$1204,"",INDEX($T$5:$AJ$1204,MATCH(353,$S$5:$S$1204,0),15))</f>
        <v/>
      </c>
      <c r="P357" s="8" t="str">
        <f t="array" ref="P357">IF(353&gt;$S$1204,"",INDEX($T$5:$AJ$1204,MATCH(353,$S$5:$S$1204,0),16))</f>
        <v/>
      </c>
      <c r="Q357" s="8" t="str">
        <f t="array" ref="Q357">IF(353&gt;$S$1204,"",INDEX($T$5:$AJ$1204,MATCH(353,$S$5:$S$1204,0),17))</f>
        <v/>
      </c>
      <c r="R357" s="17"/>
      <c r="S357" s="17">
        <f>S356+IF(M2_Accesos!A161="",0,1)</f>
        <v>0</v>
      </c>
      <c r="T357" s="17" t="str">
        <f>IF(M2_Accesos!A161="","",IF(M2_Accesos!A161="","",M2_Accesos!A161))</f>
        <v/>
      </c>
      <c r="U357" s="17" t="str">
        <f>IF(M2_Accesos!A161="","",IF(M2_Accesos!R161="","",M2_Accesos!R161))</f>
        <v/>
      </c>
      <c r="V357" s="17" t="str">
        <f>IF(M2_Accesos!A161="","",IF(M2_Accesos!D161="","",M2_Accesos!D161))</f>
        <v/>
      </c>
      <c r="W357" s="17" t="str">
        <f>IF(M2_Accesos!A161="","",IF(M2_Accesos!B161="","",M2_Accesos!B161))</f>
        <v/>
      </c>
      <c r="X357" s="17" t="str">
        <f>IF(M2_Accesos!A161="","",IF(M2_Accesos!C161="","",M2_Accesos!C161))</f>
        <v/>
      </c>
      <c r="Y357" s="17" t="str">
        <f>IF(M2_Accesos!A161="","",IF(M2_Accesos!E161="","",M2_Accesos!E161))</f>
        <v/>
      </c>
      <c r="Z357" s="17" t="str">
        <f>IF(M2_Accesos!A161="","",IF(M2_Accesos!F161="","",M2_Accesos!F161))</f>
        <v/>
      </c>
      <c r="AA357" s="17" t="str">
        <f>IF(M2_Accesos!A161="","","M2 Accesos")</f>
        <v/>
      </c>
      <c r="AB357" s="17" t="str">
        <f>IF(M2_Accesos!A161="","",IF(M2_Accesos!G161="","",M2_Accesos!G161))</f>
        <v/>
      </c>
      <c r="AC357" s="17" t="str">
        <f>IF(M2_Accesos!A161="","",IF(M2_Accesos!M161="","",M2_Accesos!M161))</f>
        <v/>
      </c>
      <c r="AD357" s="17" t="str">
        <f>IF(M2_Accesos!A161="","","RD")</f>
        <v/>
      </c>
      <c r="AE357" s="17" t="str">
        <f>IF(M2_Accesos!A161="","",IF(M2_Accesos!O161="","",M2_Accesos!O161))</f>
        <v/>
      </c>
      <c r="AF357" s="17" t="str">
        <f>IF(M2_Accesos!A161="","",IF(M2_Accesos!P161="","",M2_Accesos!P161))</f>
        <v/>
      </c>
      <c r="AG357" s="17" t="str">
        <f>IF(M2_Accesos!A161="","",IF(M2_Accesos!Q161="","",M2_Accesos!Q161))</f>
        <v/>
      </c>
      <c r="AH357" s="17" t="str">
        <f>IF(M2_Accesos!A161="","",IF(M2_Accesos!J161="","",M2_Accesos!J161))</f>
        <v/>
      </c>
      <c r="AI357" s="17" t="str">
        <f>IF(M2_Accesos!A161="","","M2_Accesos!161")</f>
        <v/>
      </c>
      <c r="AJ357" s="17" t="str">
        <f>IF(M2_Accesos!A161="","",IF(M2_Accesos!M161="","Pendiente de resultado","Disponible"))</f>
        <v/>
      </c>
    </row>
    <row r="358" spans="1:36" ht="55.5" customHeight="1">
      <c r="A358" s="6" t="str">
        <f t="array" ref="A358">IF(354&gt;$S$1204,"",INDEX($T$5:$AJ$1204,MATCH(354,$S$5:$S$1204,0),1))</f>
        <v/>
      </c>
      <c r="B358" s="8" t="str">
        <f t="array" ref="B358">IF(354&gt;$S$1204,"",INDEX($T$5:$AJ$1204,MATCH(354,$S$5:$S$1204,0),2))</f>
        <v/>
      </c>
      <c r="C358" s="10" t="str">
        <f t="array" ref="C358">IF(354&gt;$S$1204,"",INDEX($T$5:$AJ$1204,MATCH(354,$S$5:$S$1204,0),3))</f>
        <v/>
      </c>
      <c r="D358" s="8" t="str">
        <f t="array" ref="D358">IF(354&gt;$S$1204,"",INDEX($T$5:$AJ$1204,MATCH(354,$S$5:$S$1204,0),4))</f>
        <v/>
      </c>
      <c r="E358" s="8" t="str">
        <f t="array" ref="E358">IF(354&gt;$S$1204,"",INDEX($T$5:$AJ$1204,MATCH(354,$S$5:$S$1204,0),5))</f>
        <v/>
      </c>
      <c r="F358" s="8" t="str">
        <f t="array" ref="F358">IF(354&gt;$S$1204,"",INDEX($T$5:$AJ$1204,MATCH(354,$S$5:$S$1204,0),6))</f>
        <v/>
      </c>
      <c r="G358" s="8" t="str">
        <f t="array" ref="G358">IF(354&gt;$S$1204,"",INDEX($T$5:$AJ$1204,MATCH(354,$S$5:$S$1204,0),7))</f>
        <v/>
      </c>
      <c r="H358" s="8" t="str">
        <f t="array" ref="H358">IF(354&gt;$S$1204,"",INDEX($T$5:$AJ$1204,MATCH(354,$S$5:$S$1204,0),8))</f>
        <v/>
      </c>
      <c r="I358" s="8" t="str">
        <f t="array" ref="I358">IF(354&gt;$S$1204,"",INDEX($T$5:$AJ$1204,MATCH(354,$S$5:$S$1204,0),9))</f>
        <v/>
      </c>
      <c r="J358" s="14" t="str">
        <f t="array" ref="J358">IF(354&gt;$S$1204,"",INDEX($T$5:$AJ$1204,MATCH(354,$S$5:$S$1204,0),10))</f>
        <v/>
      </c>
      <c r="K358" s="8" t="str">
        <f t="array" ref="K358">IF(354&gt;$S$1204,"",INDEX($T$5:$AJ$1204,MATCH(354,$S$5:$S$1204,0),11))</f>
        <v/>
      </c>
      <c r="L358" s="8" t="str">
        <f t="array" ref="L358">IF(354&gt;$S$1204,"",INDEX($T$5:$AJ$1204,MATCH(354,$S$5:$S$1204,0),12))</f>
        <v/>
      </c>
      <c r="M358" s="8" t="str">
        <f t="array" ref="M358">IF(354&gt;$S$1204,"",INDEX($T$5:$AJ$1204,MATCH(354,$S$5:$S$1204,0),13))</f>
        <v/>
      </c>
      <c r="N358" s="8" t="str">
        <f t="array" ref="N358">IF(354&gt;$S$1204,"",INDEX($T$5:$AJ$1204,MATCH(354,$S$5:$S$1204,0),14))</f>
        <v/>
      </c>
      <c r="O358" s="15" t="str">
        <f t="array" ref="O358">IF(354&gt;$S$1204,"",INDEX($T$5:$AJ$1204,MATCH(354,$S$5:$S$1204,0),15))</f>
        <v/>
      </c>
      <c r="P358" s="8" t="str">
        <f t="array" ref="P358">IF(354&gt;$S$1204,"",INDEX($T$5:$AJ$1204,MATCH(354,$S$5:$S$1204,0),16))</f>
        <v/>
      </c>
      <c r="Q358" s="8" t="str">
        <f t="array" ref="Q358">IF(354&gt;$S$1204,"",INDEX($T$5:$AJ$1204,MATCH(354,$S$5:$S$1204,0),17))</f>
        <v/>
      </c>
      <c r="R358" s="17"/>
      <c r="S358" s="17">
        <f>S357+IF(M2_Accesos!A162="",0,1)</f>
        <v>0</v>
      </c>
      <c r="T358" s="17" t="str">
        <f>IF(M2_Accesos!A162="","",IF(M2_Accesos!A162="","",M2_Accesos!A162))</f>
        <v/>
      </c>
      <c r="U358" s="17" t="str">
        <f>IF(M2_Accesos!A162="","",IF(M2_Accesos!R162="","",M2_Accesos!R162))</f>
        <v/>
      </c>
      <c r="V358" s="17" t="str">
        <f>IF(M2_Accesos!A162="","",IF(M2_Accesos!D162="","",M2_Accesos!D162))</f>
        <v/>
      </c>
      <c r="W358" s="17" t="str">
        <f>IF(M2_Accesos!A162="","",IF(M2_Accesos!B162="","",M2_Accesos!B162))</f>
        <v/>
      </c>
      <c r="X358" s="17" t="str">
        <f>IF(M2_Accesos!A162="","",IF(M2_Accesos!C162="","",M2_Accesos!C162))</f>
        <v/>
      </c>
      <c r="Y358" s="17" t="str">
        <f>IF(M2_Accesos!A162="","",IF(M2_Accesos!E162="","",M2_Accesos!E162))</f>
        <v/>
      </c>
      <c r="Z358" s="17" t="str">
        <f>IF(M2_Accesos!A162="","",IF(M2_Accesos!F162="","",M2_Accesos!F162))</f>
        <v/>
      </c>
      <c r="AA358" s="17" t="str">
        <f>IF(M2_Accesos!A162="","","M2 Accesos")</f>
        <v/>
      </c>
      <c r="AB358" s="17" t="str">
        <f>IF(M2_Accesos!A162="","",IF(M2_Accesos!G162="","",M2_Accesos!G162))</f>
        <v/>
      </c>
      <c r="AC358" s="17" t="str">
        <f>IF(M2_Accesos!A162="","",IF(M2_Accesos!M162="","",M2_Accesos!M162))</f>
        <v/>
      </c>
      <c r="AD358" s="17" t="str">
        <f>IF(M2_Accesos!A162="","","RD")</f>
        <v/>
      </c>
      <c r="AE358" s="17" t="str">
        <f>IF(M2_Accesos!A162="","",IF(M2_Accesos!O162="","",M2_Accesos!O162))</f>
        <v/>
      </c>
      <c r="AF358" s="17" t="str">
        <f>IF(M2_Accesos!A162="","",IF(M2_Accesos!P162="","",M2_Accesos!P162))</f>
        <v/>
      </c>
      <c r="AG358" s="17" t="str">
        <f>IF(M2_Accesos!A162="","",IF(M2_Accesos!Q162="","",M2_Accesos!Q162))</f>
        <v/>
      </c>
      <c r="AH358" s="17" t="str">
        <f>IF(M2_Accesos!A162="","",IF(M2_Accesos!J162="","",M2_Accesos!J162))</f>
        <v/>
      </c>
      <c r="AI358" s="17" t="str">
        <f>IF(M2_Accesos!A162="","","M2_Accesos!162")</f>
        <v/>
      </c>
      <c r="AJ358" s="17" t="str">
        <f>IF(M2_Accesos!A162="","",IF(M2_Accesos!M162="","Pendiente de resultado","Disponible"))</f>
        <v/>
      </c>
    </row>
    <row r="359" spans="1:36" ht="55.5" customHeight="1">
      <c r="A359" s="6" t="str">
        <f t="array" ref="A359">IF(355&gt;$S$1204,"",INDEX($T$5:$AJ$1204,MATCH(355,$S$5:$S$1204,0),1))</f>
        <v/>
      </c>
      <c r="B359" s="8" t="str">
        <f t="array" ref="B359">IF(355&gt;$S$1204,"",INDEX($T$5:$AJ$1204,MATCH(355,$S$5:$S$1204,0),2))</f>
        <v/>
      </c>
      <c r="C359" s="10" t="str">
        <f t="array" ref="C359">IF(355&gt;$S$1204,"",INDEX($T$5:$AJ$1204,MATCH(355,$S$5:$S$1204,0),3))</f>
        <v/>
      </c>
      <c r="D359" s="8" t="str">
        <f t="array" ref="D359">IF(355&gt;$S$1204,"",INDEX($T$5:$AJ$1204,MATCH(355,$S$5:$S$1204,0),4))</f>
        <v/>
      </c>
      <c r="E359" s="8" t="str">
        <f t="array" ref="E359">IF(355&gt;$S$1204,"",INDEX($T$5:$AJ$1204,MATCH(355,$S$5:$S$1204,0),5))</f>
        <v/>
      </c>
      <c r="F359" s="8" t="str">
        <f t="array" ref="F359">IF(355&gt;$S$1204,"",INDEX($T$5:$AJ$1204,MATCH(355,$S$5:$S$1204,0),6))</f>
        <v/>
      </c>
      <c r="G359" s="8" t="str">
        <f t="array" ref="G359">IF(355&gt;$S$1204,"",INDEX($T$5:$AJ$1204,MATCH(355,$S$5:$S$1204,0),7))</f>
        <v/>
      </c>
      <c r="H359" s="8" t="str">
        <f t="array" ref="H359">IF(355&gt;$S$1204,"",INDEX($T$5:$AJ$1204,MATCH(355,$S$5:$S$1204,0),8))</f>
        <v/>
      </c>
      <c r="I359" s="8" t="str">
        <f t="array" ref="I359">IF(355&gt;$S$1204,"",INDEX($T$5:$AJ$1204,MATCH(355,$S$5:$S$1204,0),9))</f>
        <v/>
      </c>
      <c r="J359" s="14" t="str">
        <f t="array" ref="J359">IF(355&gt;$S$1204,"",INDEX($T$5:$AJ$1204,MATCH(355,$S$5:$S$1204,0),10))</f>
        <v/>
      </c>
      <c r="K359" s="8" t="str">
        <f t="array" ref="K359">IF(355&gt;$S$1204,"",INDEX($T$5:$AJ$1204,MATCH(355,$S$5:$S$1204,0),11))</f>
        <v/>
      </c>
      <c r="L359" s="8" t="str">
        <f t="array" ref="L359">IF(355&gt;$S$1204,"",INDEX($T$5:$AJ$1204,MATCH(355,$S$5:$S$1204,0),12))</f>
        <v/>
      </c>
      <c r="M359" s="8" t="str">
        <f t="array" ref="M359">IF(355&gt;$S$1204,"",INDEX($T$5:$AJ$1204,MATCH(355,$S$5:$S$1204,0),13))</f>
        <v/>
      </c>
      <c r="N359" s="8" t="str">
        <f t="array" ref="N359">IF(355&gt;$S$1204,"",INDEX($T$5:$AJ$1204,MATCH(355,$S$5:$S$1204,0),14))</f>
        <v/>
      </c>
      <c r="O359" s="15" t="str">
        <f t="array" ref="O359">IF(355&gt;$S$1204,"",INDEX($T$5:$AJ$1204,MATCH(355,$S$5:$S$1204,0),15))</f>
        <v/>
      </c>
      <c r="P359" s="8" t="str">
        <f t="array" ref="P359">IF(355&gt;$S$1204,"",INDEX($T$5:$AJ$1204,MATCH(355,$S$5:$S$1204,0),16))</f>
        <v/>
      </c>
      <c r="Q359" s="8" t="str">
        <f t="array" ref="Q359">IF(355&gt;$S$1204,"",INDEX($T$5:$AJ$1204,MATCH(355,$S$5:$S$1204,0),17))</f>
        <v/>
      </c>
      <c r="R359" s="17"/>
      <c r="S359" s="17">
        <f>S358+IF(M2_Accesos!A163="",0,1)</f>
        <v>0</v>
      </c>
      <c r="T359" s="17" t="str">
        <f>IF(M2_Accesos!A163="","",IF(M2_Accesos!A163="","",M2_Accesos!A163))</f>
        <v/>
      </c>
      <c r="U359" s="17" t="str">
        <f>IF(M2_Accesos!A163="","",IF(M2_Accesos!R163="","",M2_Accesos!R163))</f>
        <v/>
      </c>
      <c r="V359" s="17" t="str">
        <f>IF(M2_Accesos!A163="","",IF(M2_Accesos!D163="","",M2_Accesos!D163))</f>
        <v/>
      </c>
      <c r="W359" s="17" t="str">
        <f>IF(M2_Accesos!A163="","",IF(M2_Accesos!B163="","",M2_Accesos!B163))</f>
        <v/>
      </c>
      <c r="X359" s="17" t="str">
        <f>IF(M2_Accesos!A163="","",IF(M2_Accesos!C163="","",M2_Accesos!C163))</f>
        <v/>
      </c>
      <c r="Y359" s="17" t="str">
        <f>IF(M2_Accesos!A163="","",IF(M2_Accesos!E163="","",M2_Accesos!E163))</f>
        <v/>
      </c>
      <c r="Z359" s="17" t="str">
        <f>IF(M2_Accesos!A163="","",IF(M2_Accesos!F163="","",M2_Accesos!F163))</f>
        <v/>
      </c>
      <c r="AA359" s="17" t="str">
        <f>IF(M2_Accesos!A163="","","M2 Accesos")</f>
        <v/>
      </c>
      <c r="AB359" s="17" t="str">
        <f>IF(M2_Accesos!A163="","",IF(M2_Accesos!G163="","",M2_Accesos!G163))</f>
        <v/>
      </c>
      <c r="AC359" s="17" t="str">
        <f>IF(M2_Accesos!A163="","",IF(M2_Accesos!M163="","",M2_Accesos!M163))</f>
        <v/>
      </c>
      <c r="AD359" s="17" t="str">
        <f>IF(M2_Accesos!A163="","","RD")</f>
        <v/>
      </c>
      <c r="AE359" s="17" t="str">
        <f>IF(M2_Accesos!A163="","",IF(M2_Accesos!O163="","",M2_Accesos!O163))</f>
        <v/>
      </c>
      <c r="AF359" s="17" t="str">
        <f>IF(M2_Accesos!A163="","",IF(M2_Accesos!P163="","",M2_Accesos!P163))</f>
        <v/>
      </c>
      <c r="AG359" s="17" t="str">
        <f>IF(M2_Accesos!A163="","",IF(M2_Accesos!Q163="","",M2_Accesos!Q163))</f>
        <v/>
      </c>
      <c r="AH359" s="17" t="str">
        <f>IF(M2_Accesos!A163="","",IF(M2_Accesos!J163="","",M2_Accesos!J163))</f>
        <v/>
      </c>
      <c r="AI359" s="17" t="str">
        <f>IF(M2_Accesos!A163="","","M2_Accesos!163")</f>
        <v/>
      </c>
      <c r="AJ359" s="17" t="str">
        <f>IF(M2_Accesos!A163="","",IF(M2_Accesos!M163="","Pendiente de resultado","Disponible"))</f>
        <v/>
      </c>
    </row>
    <row r="360" spans="1:36" ht="55.5" customHeight="1">
      <c r="A360" s="6" t="str">
        <f t="array" ref="A360">IF(356&gt;$S$1204,"",INDEX($T$5:$AJ$1204,MATCH(356,$S$5:$S$1204,0),1))</f>
        <v/>
      </c>
      <c r="B360" s="8" t="str">
        <f t="array" ref="B360">IF(356&gt;$S$1204,"",INDEX($T$5:$AJ$1204,MATCH(356,$S$5:$S$1204,0),2))</f>
        <v/>
      </c>
      <c r="C360" s="10" t="str">
        <f t="array" ref="C360">IF(356&gt;$S$1204,"",INDEX($T$5:$AJ$1204,MATCH(356,$S$5:$S$1204,0),3))</f>
        <v/>
      </c>
      <c r="D360" s="8" t="str">
        <f t="array" ref="D360">IF(356&gt;$S$1204,"",INDEX($T$5:$AJ$1204,MATCH(356,$S$5:$S$1204,0),4))</f>
        <v/>
      </c>
      <c r="E360" s="8" t="str">
        <f t="array" ref="E360">IF(356&gt;$S$1204,"",INDEX($T$5:$AJ$1204,MATCH(356,$S$5:$S$1204,0),5))</f>
        <v/>
      </c>
      <c r="F360" s="8" t="str">
        <f t="array" ref="F360">IF(356&gt;$S$1204,"",INDEX($T$5:$AJ$1204,MATCH(356,$S$5:$S$1204,0),6))</f>
        <v/>
      </c>
      <c r="G360" s="8" t="str">
        <f t="array" ref="G360">IF(356&gt;$S$1204,"",INDEX($T$5:$AJ$1204,MATCH(356,$S$5:$S$1204,0),7))</f>
        <v/>
      </c>
      <c r="H360" s="8" t="str">
        <f t="array" ref="H360">IF(356&gt;$S$1204,"",INDEX($T$5:$AJ$1204,MATCH(356,$S$5:$S$1204,0),8))</f>
        <v/>
      </c>
      <c r="I360" s="8" t="str">
        <f t="array" ref="I360">IF(356&gt;$S$1204,"",INDEX($T$5:$AJ$1204,MATCH(356,$S$5:$S$1204,0),9))</f>
        <v/>
      </c>
      <c r="J360" s="14" t="str">
        <f t="array" ref="J360">IF(356&gt;$S$1204,"",INDEX($T$5:$AJ$1204,MATCH(356,$S$5:$S$1204,0),10))</f>
        <v/>
      </c>
      <c r="K360" s="8" t="str">
        <f t="array" ref="K360">IF(356&gt;$S$1204,"",INDEX($T$5:$AJ$1204,MATCH(356,$S$5:$S$1204,0),11))</f>
        <v/>
      </c>
      <c r="L360" s="8" t="str">
        <f t="array" ref="L360">IF(356&gt;$S$1204,"",INDEX($T$5:$AJ$1204,MATCH(356,$S$5:$S$1204,0),12))</f>
        <v/>
      </c>
      <c r="M360" s="8" t="str">
        <f t="array" ref="M360">IF(356&gt;$S$1204,"",INDEX($T$5:$AJ$1204,MATCH(356,$S$5:$S$1204,0),13))</f>
        <v/>
      </c>
      <c r="N360" s="8" t="str">
        <f t="array" ref="N360">IF(356&gt;$S$1204,"",INDEX($T$5:$AJ$1204,MATCH(356,$S$5:$S$1204,0),14))</f>
        <v/>
      </c>
      <c r="O360" s="15" t="str">
        <f t="array" ref="O360">IF(356&gt;$S$1204,"",INDEX($T$5:$AJ$1204,MATCH(356,$S$5:$S$1204,0),15))</f>
        <v/>
      </c>
      <c r="P360" s="8" t="str">
        <f t="array" ref="P360">IF(356&gt;$S$1204,"",INDEX($T$5:$AJ$1204,MATCH(356,$S$5:$S$1204,0),16))</f>
        <v/>
      </c>
      <c r="Q360" s="8" t="str">
        <f t="array" ref="Q360">IF(356&gt;$S$1204,"",INDEX($T$5:$AJ$1204,MATCH(356,$S$5:$S$1204,0),17))</f>
        <v/>
      </c>
      <c r="R360" s="17"/>
      <c r="S360" s="17">
        <f>S359+IF(M2_Accesos!A164="",0,1)</f>
        <v>0</v>
      </c>
      <c r="T360" s="17" t="str">
        <f>IF(M2_Accesos!A164="","",IF(M2_Accesos!A164="","",M2_Accesos!A164))</f>
        <v/>
      </c>
      <c r="U360" s="17" t="str">
        <f>IF(M2_Accesos!A164="","",IF(M2_Accesos!R164="","",M2_Accesos!R164))</f>
        <v/>
      </c>
      <c r="V360" s="17" t="str">
        <f>IF(M2_Accesos!A164="","",IF(M2_Accesos!D164="","",M2_Accesos!D164))</f>
        <v/>
      </c>
      <c r="W360" s="17" t="str">
        <f>IF(M2_Accesos!A164="","",IF(M2_Accesos!B164="","",M2_Accesos!B164))</f>
        <v/>
      </c>
      <c r="X360" s="17" t="str">
        <f>IF(M2_Accesos!A164="","",IF(M2_Accesos!C164="","",M2_Accesos!C164))</f>
        <v/>
      </c>
      <c r="Y360" s="17" t="str">
        <f>IF(M2_Accesos!A164="","",IF(M2_Accesos!E164="","",M2_Accesos!E164))</f>
        <v/>
      </c>
      <c r="Z360" s="17" t="str">
        <f>IF(M2_Accesos!A164="","",IF(M2_Accesos!F164="","",M2_Accesos!F164))</f>
        <v/>
      </c>
      <c r="AA360" s="17" t="str">
        <f>IF(M2_Accesos!A164="","","M2 Accesos")</f>
        <v/>
      </c>
      <c r="AB360" s="17" t="str">
        <f>IF(M2_Accesos!A164="","",IF(M2_Accesos!G164="","",M2_Accesos!G164))</f>
        <v/>
      </c>
      <c r="AC360" s="17" t="str">
        <f>IF(M2_Accesos!A164="","",IF(M2_Accesos!M164="","",M2_Accesos!M164))</f>
        <v/>
      </c>
      <c r="AD360" s="17" t="str">
        <f>IF(M2_Accesos!A164="","","RD")</f>
        <v/>
      </c>
      <c r="AE360" s="17" t="str">
        <f>IF(M2_Accesos!A164="","",IF(M2_Accesos!O164="","",M2_Accesos!O164))</f>
        <v/>
      </c>
      <c r="AF360" s="17" t="str">
        <f>IF(M2_Accesos!A164="","",IF(M2_Accesos!P164="","",M2_Accesos!P164))</f>
        <v/>
      </c>
      <c r="AG360" s="17" t="str">
        <f>IF(M2_Accesos!A164="","",IF(M2_Accesos!Q164="","",M2_Accesos!Q164))</f>
        <v/>
      </c>
      <c r="AH360" s="17" t="str">
        <f>IF(M2_Accesos!A164="","",IF(M2_Accesos!J164="","",M2_Accesos!J164))</f>
        <v/>
      </c>
      <c r="AI360" s="17" t="str">
        <f>IF(M2_Accesos!A164="","","M2_Accesos!164")</f>
        <v/>
      </c>
      <c r="AJ360" s="17" t="str">
        <f>IF(M2_Accesos!A164="","",IF(M2_Accesos!M164="","Pendiente de resultado","Disponible"))</f>
        <v/>
      </c>
    </row>
    <row r="361" spans="1:36" ht="55.5" customHeight="1">
      <c r="A361" s="6" t="str">
        <f t="array" ref="A361">IF(357&gt;$S$1204,"",INDEX($T$5:$AJ$1204,MATCH(357,$S$5:$S$1204,0),1))</f>
        <v/>
      </c>
      <c r="B361" s="8" t="str">
        <f t="array" ref="B361">IF(357&gt;$S$1204,"",INDEX($T$5:$AJ$1204,MATCH(357,$S$5:$S$1204,0),2))</f>
        <v/>
      </c>
      <c r="C361" s="10" t="str">
        <f t="array" ref="C361">IF(357&gt;$S$1204,"",INDEX($T$5:$AJ$1204,MATCH(357,$S$5:$S$1204,0),3))</f>
        <v/>
      </c>
      <c r="D361" s="8" t="str">
        <f t="array" ref="D361">IF(357&gt;$S$1204,"",INDEX($T$5:$AJ$1204,MATCH(357,$S$5:$S$1204,0),4))</f>
        <v/>
      </c>
      <c r="E361" s="8" t="str">
        <f t="array" ref="E361">IF(357&gt;$S$1204,"",INDEX($T$5:$AJ$1204,MATCH(357,$S$5:$S$1204,0),5))</f>
        <v/>
      </c>
      <c r="F361" s="8" t="str">
        <f t="array" ref="F361">IF(357&gt;$S$1204,"",INDEX($T$5:$AJ$1204,MATCH(357,$S$5:$S$1204,0),6))</f>
        <v/>
      </c>
      <c r="G361" s="8" t="str">
        <f t="array" ref="G361">IF(357&gt;$S$1204,"",INDEX($T$5:$AJ$1204,MATCH(357,$S$5:$S$1204,0),7))</f>
        <v/>
      </c>
      <c r="H361" s="8" t="str">
        <f t="array" ref="H361">IF(357&gt;$S$1204,"",INDEX($T$5:$AJ$1204,MATCH(357,$S$5:$S$1204,0),8))</f>
        <v/>
      </c>
      <c r="I361" s="8" t="str">
        <f t="array" ref="I361">IF(357&gt;$S$1204,"",INDEX($T$5:$AJ$1204,MATCH(357,$S$5:$S$1204,0),9))</f>
        <v/>
      </c>
      <c r="J361" s="14" t="str">
        <f t="array" ref="J361">IF(357&gt;$S$1204,"",INDEX($T$5:$AJ$1204,MATCH(357,$S$5:$S$1204,0),10))</f>
        <v/>
      </c>
      <c r="K361" s="8" t="str">
        <f t="array" ref="K361">IF(357&gt;$S$1204,"",INDEX($T$5:$AJ$1204,MATCH(357,$S$5:$S$1204,0),11))</f>
        <v/>
      </c>
      <c r="L361" s="8" t="str">
        <f t="array" ref="L361">IF(357&gt;$S$1204,"",INDEX($T$5:$AJ$1204,MATCH(357,$S$5:$S$1204,0),12))</f>
        <v/>
      </c>
      <c r="M361" s="8" t="str">
        <f t="array" ref="M361">IF(357&gt;$S$1204,"",INDEX($T$5:$AJ$1204,MATCH(357,$S$5:$S$1204,0),13))</f>
        <v/>
      </c>
      <c r="N361" s="8" t="str">
        <f t="array" ref="N361">IF(357&gt;$S$1204,"",INDEX($T$5:$AJ$1204,MATCH(357,$S$5:$S$1204,0),14))</f>
        <v/>
      </c>
      <c r="O361" s="15" t="str">
        <f t="array" ref="O361">IF(357&gt;$S$1204,"",INDEX($T$5:$AJ$1204,MATCH(357,$S$5:$S$1204,0),15))</f>
        <v/>
      </c>
      <c r="P361" s="8" t="str">
        <f t="array" ref="P361">IF(357&gt;$S$1204,"",INDEX($T$5:$AJ$1204,MATCH(357,$S$5:$S$1204,0),16))</f>
        <v/>
      </c>
      <c r="Q361" s="8" t="str">
        <f t="array" ref="Q361">IF(357&gt;$S$1204,"",INDEX($T$5:$AJ$1204,MATCH(357,$S$5:$S$1204,0),17))</f>
        <v/>
      </c>
      <c r="R361" s="17"/>
      <c r="S361" s="17">
        <f>S360+IF(M2_Accesos!A165="",0,1)</f>
        <v>0</v>
      </c>
      <c r="T361" s="17" t="str">
        <f>IF(M2_Accesos!A165="","",IF(M2_Accesos!A165="","",M2_Accesos!A165))</f>
        <v/>
      </c>
      <c r="U361" s="17" t="str">
        <f>IF(M2_Accesos!A165="","",IF(M2_Accesos!R165="","",M2_Accesos!R165))</f>
        <v/>
      </c>
      <c r="V361" s="17" t="str">
        <f>IF(M2_Accesos!A165="","",IF(M2_Accesos!D165="","",M2_Accesos!D165))</f>
        <v/>
      </c>
      <c r="W361" s="17" t="str">
        <f>IF(M2_Accesos!A165="","",IF(M2_Accesos!B165="","",M2_Accesos!B165))</f>
        <v/>
      </c>
      <c r="X361" s="17" t="str">
        <f>IF(M2_Accesos!A165="","",IF(M2_Accesos!C165="","",M2_Accesos!C165))</f>
        <v/>
      </c>
      <c r="Y361" s="17" t="str">
        <f>IF(M2_Accesos!A165="","",IF(M2_Accesos!E165="","",M2_Accesos!E165))</f>
        <v/>
      </c>
      <c r="Z361" s="17" t="str">
        <f>IF(M2_Accesos!A165="","",IF(M2_Accesos!F165="","",M2_Accesos!F165))</f>
        <v/>
      </c>
      <c r="AA361" s="17" t="str">
        <f>IF(M2_Accesos!A165="","","M2 Accesos")</f>
        <v/>
      </c>
      <c r="AB361" s="17" t="str">
        <f>IF(M2_Accesos!A165="","",IF(M2_Accesos!G165="","",M2_Accesos!G165))</f>
        <v/>
      </c>
      <c r="AC361" s="17" t="str">
        <f>IF(M2_Accesos!A165="","",IF(M2_Accesos!M165="","",M2_Accesos!M165))</f>
        <v/>
      </c>
      <c r="AD361" s="17" t="str">
        <f>IF(M2_Accesos!A165="","","RD")</f>
        <v/>
      </c>
      <c r="AE361" s="17" t="str">
        <f>IF(M2_Accesos!A165="","",IF(M2_Accesos!O165="","",M2_Accesos!O165))</f>
        <v/>
      </c>
      <c r="AF361" s="17" t="str">
        <f>IF(M2_Accesos!A165="","",IF(M2_Accesos!P165="","",M2_Accesos!P165))</f>
        <v/>
      </c>
      <c r="AG361" s="17" t="str">
        <f>IF(M2_Accesos!A165="","",IF(M2_Accesos!Q165="","",M2_Accesos!Q165))</f>
        <v/>
      </c>
      <c r="AH361" s="17" t="str">
        <f>IF(M2_Accesos!A165="","",IF(M2_Accesos!J165="","",M2_Accesos!J165))</f>
        <v/>
      </c>
      <c r="AI361" s="17" t="str">
        <f>IF(M2_Accesos!A165="","","M2_Accesos!165")</f>
        <v/>
      </c>
      <c r="AJ361" s="17" t="str">
        <f>IF(M2_Accesos!A165="","",IF(M2_Accesos!M165="","Pendiente de resultado","Disponible"))</f>
        <v/>
      </c>
    </row>
    <row r="362" spans="1:36" ht="55.5" customHeight="1">
      <c r="A362" s="6" t="str">
        <f t="array" ref="A362">IF(358&gt;$S$1204,"",INDEX($T$5:$AJ$1204,MATCH(358,$S$5:$S$1204,0),1))</f>
        <v/>
      </c>
      <c r="B362" s="8" t="str">
        <f t="array" ref="B362">IF(358&gt;$S$1204,"",INDEX($T$5:$AJ$1204,MATCH(358,$S$5:$S$1204,0),2))</f>
        <v/>
      </c>
      <c r="C362" s="10" t="str">
        <f t="array" ref="C362">IF(358&gt;$S$1204,"",INDEX($T$5:$AJ$1204,MATCH(358,$S$5:$S$1204,0),3))</f>
        <v/>
      </c>
      <c r="D362" s="8" t="str">
        <f t="array" ref="D362">IF(358&gt;$S$1204,"",INDEX($T$5:$AJ$1204,MATCH(358,$S$5:$S$1204,0),4))</f>
        <v/>
      </c>
      <c r="E362" s="8" t="str">
        <f t="array" ref="E362">IF(358&gt;$S$1204,"",INDEX($T$5:$AJ$1204,MATCH(358,$S$5:$S$1204,0),5))</f>
        <v/>
      </c>
      <c r="F362" s="8" t="str">
        <f t="array" ref="F362">IF(358&gt;$S$1204,"",INDEX($T$5:$AJ$1204,MATCH(358,$S$5:$S$1204,0),6))</f>
        <v/>
      </c>
      <c r="G362" s="8" t="str">
        <f t="array" ref="G362">IF(358&gt;$S$1204,"",INDEX($T$5:$AJ$1204,MATCH(358,$S$5:$S$1204,0),7))</f>
        <v/>
      </c>
      <c r="H362" s="8" t="str">
        <f t="array" ref="H362">IF(358&gt;$S$1204,"",INDEX($T$5:$AJ$1204,MATCH(358,$S$5:$S$1204,0),8))</f>
        <v/>
      </c>
      <c r="I362" s="8" t="str">
        <f t="array" ref="I362">IF(358&gt;$S$1204,"",INDEX($T$5:$AJ$1204,MATCH(358,$S$5:$S$1204,0),9))</f>
        <v/>
      </c>
      <c r="J362" s="14" t="str">
        <f t="array" ref="J362">IF(358&gt;$S$1204,"",INDEX($T$5:$AJ$1204,MATCH(358,$S$5:$S$1204,0),10))</f>
        <v/>
      </c>
      <c r="K362" s="8" t="str">
        <f t="array" ref="K362">IF(358&gt;$S$1204,"",INDEX($T$5:$AJ$1204,MATCH(358,$S$5:$S$1204,0),11))</f>
        <v/>
      </c>
      <c r="L362" s="8" t="str">
        <f t="array" ref="L362">IF(358&gt;$S$1204,"",INDEX($T$5:$AJ$1204,MATCH(358,$S$5:$S$1204,0),12))</f>
        <v/>
      </c>
      <c r="M362" s="8" t="str">
        <f t="array" ref="M362">IF(358&gt;$S$1204,"",INDEX($T$5:$AJ$1204,MATCH(358,$S$5:$S$1204,0),13))</f>
        <v/>
      </c>
      <c r="N362" s="8" t="str">
        <f t="array" ref="N362">IF(358&gt;$S$1204,"",INDEX($T$5:$AJ$1204,MATCH(358,$S$5:$S$1204,0),14))</f>
        <v/>
      </c>
      <c r="O362" s="15" t="str">
        <f t="array" ref="O362">IF(358&gt;$S$1204,"",INDEX($T$5:$AJ$1204,MATCH(358,$S$5:$S$1204,0),15))</f>
        <v/>
      </c>
      <c r="P362" s="8" t="str">
        <f t="array" ref="P362">IF(358&gt;$S$1204,"",INDEX($T$5:$AJ$1204,MATCH(358,$S$5:$S$1204,0),16))</f>
        <v/>
      </c>
      <c r="Q362" s="8" t="str">
        <f t="array" ref="Q362">IF(358&gt;$S$1204,"",INDEX($T$5:$AJ$1204,MATCH(358,$S$5:$S$1204,0),17))</f>
        <v/>
      </c>
      <c r="R362" s="17"/>
      <c r="S362" s="17">
        <f>S361+IF(M2_Accesos!A166="",0,1)</f>
        <v>0</v>
      </c>
      <c r="T362" s="17" t="str">
        <f>IF(M2_Accesos!A166="","",IF(M2_Accesos!A166="","",M2_Accesos!A166))</f>
        <v/>
      </c>
      <c r="U362" s="17" t="str">
        <f>IF(M2_Accesos!A166="","",IF(M2_Accesos!R166="","",M2_Accesos!R166))</f>
        <v/>
      </c>
      <c r="V362" s="17" t="str">
        <f>IF(M2_Accesos!A166="","",IF(M2_Accesos!D166="","",M2_Accesos!D166))</f>
        <v/>
      </c>
      <c r="W362" s="17" t="str">
        <f>IF(M2_Accesos!A166="","",IF(M2_Accesos!B166="","",M2_Accesos!B166))</f>
        <v/>
      </c>
      <c r="X362" s="17" t="str">
        <f>IF(M2_Accesos!A166="","",IF(M2_Accesos!C166="","",M2_Accesos!C166))</f>
        <v/>
      </c>
      <c r="Y362" s="17" t="str">
        <f>IF(M2_Accesos!A166="","",IF(M2_Accesos!E166="","",M2_Accesos!E166))</f>
        <v/>
      </c>
      <c r="Z362" s="17" t="str">
        <f>IF(M2_Accesos!A166="","",IF(M2_Accesos!F166="","",M2_Accesos!F166))</f>
        <v/>
      </c>
      <c r="AA362" s="17" t="str">
        <f>IF(M2_Accesos!A166="","","M2 Accesos")</f>
        <v/>
      </c>
      <c r="AB362" s="17" t="str">
        <f>IF(M2_Accesos!A166="","",IF(M2_Accesos!G166="","",M2_Accesos!G166))</f>
        <v/>
      </c>
      <c r="AC362" s="17" t="str">
        <f>IF(M2_Accesos!A166="","",IF(M2_Accesos!M166="","",M2_Accesos!M166))</f>
        <v/>
      </c>
      <c r="AD362" s="17" t="str">
        <f>IF(M2_Accesos!A166="","","RD")</f>
        <v/>
      </c>
      <c r="AE362" s="17" t="str">
        <f>IF(M2_Accesos!A166="","",IF(M2_Accesos!O166="","",M2_Accesos!O166))</f>
        <v/>
      </c>
      <c r="AF362" s="17" t="str">
        <f>IF(M2_Accesos!A166="","",IF(M2_Accesos!P166="","",M2_Accesos!P166))</f>
        <v/>
      </c>
      <c r="AG362" s="17" t="str">
        <f>IF(M2_Accesos!A166="","",IF(M2_Accesos!Q166="","",M2_Accesos!Q166))</f>
        <v/>
      </c>
      <c r="AH362" s="17" t="str">
        <f>IF(M2_Accesos!A166="","",IF(M2_Accesos!J166="","",M2_Accesos!J166))</f>
        <v/>
      </c>
      <c r="AI362" s="17" t="str">
        <f>IF(M2_Accesos!A166="","","M2_Accesos!166")</f>
        <v/>
      </c>
      <c r="AJ362" s="17" t="str">
        <f>IF(M2_Accesos!A166="","",IF(M2_Accesos!M166="","Pendiente de resultado","Disponible"))</f>
        <v/>
      </c>
    </row>
    <row r="363" spans="1:36" ht="55.5" customHeight="1">
      <c r="A363" s="6" t="str">
        <f t="array" ref="A363">IF(359&gt;$S$1204,"",INDEX($T$5:$AJ$1204,MATCH(359,$S$5:$S$1204,0),1))</f>
        <v/>
      </c>
      <c r="B363" s="8" t="str">
        <f t="array" ref="B363">IF(359&gt;$S$1204,"",INDEX($T$5:$AJ$1204,MATCH(359,$S$5:$S$1204,0),2))</f>
        <v/>
      </c>
      <c r="C363" s="10" t="str">
        <f t="array" ref="C363">IF(359&gt;$S$1204,"",INDEX($T$5:$AJ$1204,MATCH(359,$S$5:$S$1204,0),3))</f>
        <v/>
      </c>
      <c r="D363" s="8" t="str">
        <f t="array" ref="D363">IF(359&gt;$S$1204,"",INDEX($T$5:$AJ$1204,MATCH(359,$S$5:$S$1204,0),4))</f>
        <v/>
      </c>
      <c r="E363" s="8" t="str">
        <f t="array" ref="E363">IF(359&gt;$S$1204,"",INDEX($T$5:$AJ$1204,MATCH(359,$S$5:$S$1204,0),5))</f>
        <v/>
      </c>
      <c r="F363" s="8" t="str">
        <f t="array" ref="F363">IF(359&gt;$S$1204,"",INDEX($T$5:$AJ$1204,MATCH(359,$S$5:$S$1204,0),6))</f>
        <v/>
      </c>
      <c r="G363" s="8" t="str">
        <f t="array" ref="G363">IF(359&gt;$S$1204,"",INDEX($T$5:$AJ$1204,MATCH(359,$S$5:$S$1204,0),7))</f>
        <v/>
      </c>
      <c r="H363" s="8" t="str">
        <f t="array" ref="H363">IF(359&gt;$S$1204,"",INDEX($T$5:$AJ$1204,MATCH(359,$S$5:$S$1204,0),8))</f>
        <v/>
      </c>
      <c r="I363" s="8" t="str">
        <f t="array" ref="I363">IF(359&gt;$S$1204,"",INDEX($T$5:$AJ$1204,MATCH(359,$S$5:$S$1204,0),9))</f>
        <v/>
      </c>
      <c r="J363" s="14" t="str">
        <f t="array" ref="J363">IF(359&gt;$S$1204,"",INDEX($T$5:$AJ$1204,MATCH(359,$S$5:$S$1204,0),10))</f>
        <v/>
      </c>
      <c r="K363" s="8" t="str">
        <f t="array" ref="K363">IF(359&gt;$S$1204,"",INDEX($T$5:$AJ$1204,MATCH(359,$S$5:$S$1204,0),11))</f>
        <v/>
      </c>
      <c r="L363" s="8" t="str">
        <f t="array" ref="L363">IF(359&gt;$S$1204,"",INDEX($T$5:$AJ$1204,MATCH(359,$S$5:$S$1204,0),12))</f>
        <v/>
      </c>
      <c r="M363" s="8" t="str">
        <f t="array" ref="M363">IF(359&gt;$S$1204,"",INDEX($T$5:$AJ$1204,MATCH(359,$S$5:$S$1204,0),13))</f>
        <v/>
      </c>
      <c r="N363" s="8" t="str">
        <f t="array" ref="N363">IF(359&gt;$S$1204,"",INDEX($T$5:$AJ$1204,MATCH(359,$S$5:$S$1204,0),14))</f>
        <v/>
      </c>
      <c r="O363" s="15" t="str">
        <f t="array" ref="O363">IF(359&gt;$S$1204,"",INDEX($T$5:$AJ$1204,MATCH(359,$S$5:$S$1204,0),15))</f>
        <v/>
      </c>
      <c r="P363" s="8" t="str">
        <f t="array" ref="P363">IF(359&gt;$S$1204,"",INDEX($T$5:$AJ$1204,MATCH(359,$S$5:$S$1204,0),16))</f>
        <v/>
      </c>
      <c r="Q363" s="8" t="str">
        <f t="array" ref="Q363">IF(359&gt;$S$1204,"",INDEX($T$5:$AJ$1204,MATCH(359,$S$5:$S$1204,0),17))</f>
        <v/>
      </c>
      <c r="R363" s="17"/>
      <c r="S363" s="17">
        <f>S362+IF(M2_Accesos!A167="",0,1)</f>
        <v>0</v>
      </c>
      <c r="T363" s="17" t="str">
        <f>IF(M2_Accesos!A167="","",IF(M2_Accesos!A167="","",M2_Accesos!A167))</f>
        <v/>
      </c>
      <c r="U363" s="17" t="str">
        <f>IF(M2_Accesos!A167="","",IF(M2_Accesos!R167="","",M2_Accesos!R167))</f>
        <v/>
      </c>
      <c r="V363" s="17" t="str">
        <f>IF(M2_Accesos!A167="","",IF(M2_Accesos!D167="","",M2_Accesos!D167))</f>
        <v/>
      </c>
      <c r="W363" s="17" t="str">
        <f>IF(M2_Accesos!A167="","",IF(M2_Accesos!B167="","",M2_Accesos!B167))</f>
        <v/>
      </c>
      <c r="X363" s="17" t="str">
        <f>IF(M2_Accesos!A167="","",IF(M2_Accesos!C167="","",M2_Accesos!C167))</f>
        <v/>
      </c>
      <c r="Y363" s="17" t="str">
        <f>IF(M2_Accesos!A167="","",IF(M2_Accesos!E167="","",M2_Accesos!E167))</f>
        <v/>
      </c>
      <c r="Z363" s="17" t="str">
        <f>IF(M2_Accesos!A167="","",IF(M2_Accesos!F167="","",M2_Accesos!F167))</f>
        <v/>
      </c>
      <c r="AA363" s="17" t="str">
        <f>IF(M2_Accesos!A167="","","M2 Accesos")</f>
        <v/>
      </c>
      <c r="AB363" s="17" t="str">
        <f>IF(M2_Accesos!A167="","",IF(M2_Accesos!G167="","",M2_Accesos!G167))</f>
        <v/>
      </c>
      <c r="AC363" s="17" t="str">
        <f>IF(M2_Accesos!A167="","",IF(M2_Accesos!M167="","",M2_Accesos!M167))</f>
        <v/>
      </c>
      <c r="AD363" s="17" t="str">
        <f>IF(M2_Accesos!A167="","","RD")</f>
        <v/>
      </c>
      <c r="AE363" s="17" t="str">
        <f>IF(M2_Accesos!A167="","",IF(M2_Accesos!O167="","",M2_Accesos!O167))</f>
        <v/>
      </c>
      <c r="AF363" s="17" t="str">
        <f>IF(M2_Accesos!A167="","",IF(M2_Accesos!P167="","",M2_Accesos!P167))</f>
        <v/>
      </c>
      <c r="AG363" s="17" t="str">
        <f>IF(M2_Accesos!A167="","",IF(M2_Accesos!Q167="","",M2_Accesos!Q167))</f>
        <v/>
      </c>
      <c r="AH363" s="17" t="str">
        <f>IF(M2_Accesos!A167="","",IF(M2_Accesos!J167="","",M2_Accesos!J167))</f>
        <v/>
      </c>
      <c r="AI363" s="17" t="str">
        <f>IF(M2_Accesos!A167="","","M2_Accesos!167")</f>
        <v/>
      </c>
      <c r="AJ363" s="17" t="str">
        <f>IF(M2_Accesos!A167="","",IF(M2_Accesos!M167="","Pendiente de resultado","Disponible"))</f>
        <v/>
      </c>
    </row>
    <row r="364" spans="1:36" ht="55.5" customHeight="1">
      <c r="A364" s="6" t="str">
        <f t="array" ref="A364">IF(360&gt;$S$1204,"",INDEX($T$5:$AJ$1204,MATCH(360,$S$5:$S$1204,0),1))</f>
        <v/>
      </c>
      <c r="B364" s="8" t="str">
        <f t="array" ref="B364">IF(360&gt;$S$1204,"",INDEX($T$5:$AJ$1204,MATCH(360,$S$5:$S$1204,0),2))</f>
        <v/>
      </c>
      <c r="C364" s="10" t="str">
        <f t="array" ref="C364">IF(360&gt;$S$1204,"",INDEX($T$5:$AJ$1204,MATCH(360,$S$5:$S$1204,0),3))</f>
        <v/>
      </c>
      <c r="D364" s="8" t="str">
        <f t="array" ref="D364">IF(360&gt;$S$1204,"",INDEX($T$5:$AJ$1204,MATCH(360,$S$5:$S$1204,0),4))</f>
        <v/>
      </c>
      <c r="E364" s="8" t="str">
        <f t="array" ref="E364">IF(360&gt;$S$1204,"",INDEX($T$5:$AJ$1204,MATCH(360,$S$5:$S$1204,0),5))</f>
        <v/>
      </c>
      <c r="F364" s="8" t="str">
        <f t="array" ref="F364">IF(360&gt;$S$1204,"",INDEX($T$5:$AJ$1204,MATCH(360,$S$5:$S$1204,0),6))</f>
        <v/>
      </c>
      <c r="G364" s="8" t="str">
        <f t="array" ref="G364">IF(360&gt;$S$1204,"",INDEX($T$5:$AJ$1204,MATCH(360,$S$5:$S$1204,0),7))</f>
        <v/>
      </c>
      <c r="H364" s="8" t="str">
        <f t="array" ref="H364">IF(360&gt;$S$1204,"",INDEX($T$5:$AJ$1204,MATCH(360,$S$5:$S$1204,0),8))</f>
        <v/>
      </c>
      <c r="I364" s="8" t="str">
        <f t="array" ref="I364">IF(360&gt;$S$1204,"",INDEX($T$5:$AJ$1204,MATCH(360,$S$5:$S$1204,0),9))</f>
        <v/>
      </c>
      <c r="J364" s="14" t="str">
        <f t="array" ref="J364">IF(360&gt;$S$1204,"",INDEX($T$5:$AJ$1204,MATCH(360,$S$5:$S$1204,0),10))</f>
        <v/>
      </c>
      <c r="K364" s="8" t="str">
        <f t="array" ref="K364">IF(360&gt;$S$1204,"",INDEX($T$5:$AJ$1204,MATCH(360,$S$5:$S$1204,0),11))</f>
        <v/>
      </c>
      <c r="L364" s="8" t="str">
        <f t="array" ref="L364">IF(360&gt;$S$1204,"",INDEX($T$5:$AJ$1204,MATCH(360,$S$5:$S$1204,0),12))</f>
        <v/>
      </c>
      <c r="M364" s="8" t="str">
        <f t="array" ref="M364">IF(360&gt;$S$1204,"",INDEX($T$5:$AJ$1204,MATCH(360,$S$5:$S$1204,0),13))</f>
        <v/>
      </c>
      <c r="N364" s="8" t="str">
        <f t="array" ref="N364">IF(360&gt;$S$1204,"",INDEX($T$5:$AJ$1204,MATCH(360,$S$5:$S$1204,0),14))</f>
        <v/>
      </c>
      <c r="O364" s="15" t="str">
        <f t="array" ref="O364">IF(360&gt;$S$1204,"",INDEX($T$5:$AJ$1204,MATCH(360,$S$5:$S$1204,0),15))</f>
        <v/>
      </c>
      <c r="P364" s="8" t="str">
        <f t="array" ref="P364">IF(360&gt;$S$1204,"",INDEX($T$5:$AJ$1204,MATCH(360,$S$5:$S$1204,0),16))</f>
        <v/>
      </c>
      <c r="Q364" s="8" t="str">
        <f t="array" ref="Q364">IF(360&gt;$S$1204,"",INDEX($T$5:$AJ$1204,MATCH(360,$S$5:$S$1204,0),17))</f>
        <v/>
      </c>
      <c r="R364" s="17"/>
      <c r="S364" s="17">
        <f>S363+IF(M2_Accesos!A168="",0,1)</f>
        <v>0</v>
      </c>
      <c r="T364" s="17" t="str">
        <f>IF(M2_Accesos!A168="","",IF(M2_Accesos!A168="","",M2_Accesos!A168))</f>
        <v/>
      </c>
      <c r="U364" s="17" t="str">
        <f>IF(M2_Accesos!A168="","",IF(M2_Accesos!R168="","",M2_Accesos!R168))</f>
        <v/>
      </c>
      <c r="V364" s="17" t="str">
        <f>IF(M2_Accesos!A168="","",IF(M2_Accesos!D168="","",M2_Accesos!D168))</f>
        <v/>
      </c>
      <c r="W364" s="17" t="str">
        <f>IF(M2_Accesos!A168="","",IF(M2_Accesos!B168="","",M2_Accesos!B168))</f>
        <v/>
      </c>
      <c r="X364" s="17" t="str">
        <f>IF(M2_Accesos!A168="","",IF(M2_Accesos!C168="","",M2_Accesos!C168))</f>
        <v/>
      </c>
      <c r="Y364" s="17" t="str">
        <f>IF(M2_Accesos!A168="","",IF(M2_Accesos!E168="","",M2_Accesos!E168))</f>
        <v/>
      </c>
      <c r="Z364" s="17" t="str">
        <f>IF(M2_Accesos!A168="","",IF(M2_Accesos!F168="","",M2_Accesos!F168))</f>
        <v/>
      </c>
      <c r="AA364" s="17" t="str">
        <f>IF(M2_Accesos!A168="","","M2 Accesos")</f>
        <v/>
      </c>
      <c r="AB364" s="17" t="str">
        <f>IF(M2_Accesos!A168="","",IF(M2_Accesos!G168="","",M2_Accesos!G168))</f>
        <v/>
      </c>
      <c r="AC364" s="17" t="str">
        <f>IF(M2_Accesos!A168="","",IF(M2_Accesos!M168="","",M2_Accesos!M168))</f>
        <v/>
      </c>
      <c r="AD364" s="17" t="str">
        <f>IF(M2_Accesos!A168="","","RD")</f>
        <v/>
      </c>
      <c r="AE364" s="17" t="str">
        <f>IF(M2_Accesos!A168="","",IF(M2_Accesos!O168="","",M2_Accesos!O168))</f>
        <v/>
      </c>
      <c r="AF364" s="17" t="str">
        <f>IF(M2_Accesos!A168="","",IF(M2_Accesos!P168="","",M2_Accesos!P168))</f>
        <v/>
      </c>
      <c r="AG364" s="17" t="str">
        <f>IF(M2_Accesos!A168="","",IF(M2_Accesos!Q168="","",M2_Accesos!Q168))</f>
        <v/>
      </c>
      <c r="AH364" s="17" t="str">
        <f>IF(M2_Accesos!A168="","",IF(M2_Accesos!J168="","",M2_Accesos!J168))</f>
        <v/>
      </c>
      <c r="AI364" s="17" t="str">
        <f>IF(M2_Accesos!A168="","","M2_Accesos!168")</f>
        <v/>
      </c>
      <c r="AJ364" s="17" t="str">
        <f>IF(M2_Accesos!A168="","",IF(M2_Accesos!M168="","Pendiente de resultado","Disponible"))</f>
        <v/>
      </c>
    </row>
    <row r="365" spans="1:36" ht="55.5" customHeight="1">
      <c r="A365" s="6" t="str">
        <f t="array" ref="A365">IF(361&gt;$S$1204,"",INDEX($T$5:$AJ$1204,MATCH(361,$S$5:$S$1204,0),1))</f>
        <v/>
      </c>
      <c r="B365" s="8" t="str">
        <f t="array" ref="B365">IF(361&gt;$S$1204,"",INDEX($T$5:$AJ$1204,MATCH(361,$S$5:$S$1204,0),2))</f>
        <v/>
      </c>
      <c r="C365" s="10" t="str">
        <f t="array" ref="C365">IF(361&gt;$S$1204,"",INDEX($T$5:$AJ$1204,MATCH(361,$S$5:$S$1204,0),3))</f>
        <v/>
      </c>
      <c r="D365" s="8" t="str">
        <f t="array" ref="D365">IF(361&gt;$S$1204,"",INDEX($T$5:$AJ$1204,MATCH(361,$S$5:$S$1204,0),4))</f>
        <v/>
      </c>
      <c r="E365" s="8" t="str">
        <f t="array" ref="E365">IF(361&gt;$S$1204,"",INDEX($T$5:$AJ$1204,MATCH(361,$S$5:$S$1204,0),5))</f>
        <v/>
      </c>
      <c r="F365" s="8" t="str">
        <f t="array" ref="F365">IF(361&gt;$S$1204,"",INDEX($T$5:$AJ$1204,MATCH(361,$S$5:$S$1204,0),6))</f>
        <v/>
      </c>
      <c r="G365" s="8" t="str">
        <f t="array" ref="G365">IF(361&gt;$S$1204,"",INDEX($T$5:$AJ$1204,MATCH(361,$S$5:$S$1204,0),7))</f>
        <v/>
      </c>
      <c r="H365" s="8" t="str">
        <f t="array" ref="H365">IF(361&gt;$S$1204,"",INDEX($T$5:$AJ$1204,MATCH(361,$S$5:$S$1204,0),8))</f>
        <v/>
      </c>
      <c r="I365" s="8" t="str">
        <f t="array" ref="I365">IF(361&gt;$S$1204,"",INDEX($T$5:$AJ$1204,MATCH(361,$S$5:$S$1204,0),9))</f>
        <v/>
      </c>
      <c r="J365" s="14" t="str">
        <f t="array" ref="J365">IF(361&gt;$S$1204,"",INDEX($T$5:$AJ$1204,MATCH(361,$S$5:$S$1204,0),10))</f>
        <v/>
      </c>
      <c r="K365" s="8" t="str">
        <f t="array" ref="K365">IF(361&gt;$S$1204,"",INDEX($T$5:$AJ$1204,MATCH(361,$S$5:$S$1204,0),11))</f>
        <v/>
      </c>
      <c r="L365" s="8" t="str">
        <f t="array" ref="L365">IF(361&gt;$S$1204,"",INDEX($T$5:$AJ$1204,MATCH(361,$S$5:$S$1204,0),12))</f>
        <v/>
      </c>
      <c r="M365" s="8" t="str">
        <f t="array" ref="M365">IF(361&gt;$S$1204,"",INDEX($T$5:$AJ$1204,MATCH(361,$S$5:$S$1204,0),13))</f>
        <v/>
      </c>
      <c r="N365" s="8" t="str">
        <f t="array" ref="N365">IF(361&gt;$S$1204,"",INDEX($T$5:$AJ$1204,MATCH(361,$S$5:$S$1204,0),14))</f>
        <v/>
      </c>
      <c r="O365" s="15" t="str">
        <f t="array" ref="O365">IF(361&gt;$S$1204,"",INDEX($T$5:$AJ$1204,MATCH(361,$S$5:$S$1204,0),15))</f>
        <v/>
      </c>
      <c r="P365" s="8" t="str">
        <f t="array" ref="P365">IF(361&gt;$S$1204,"",INDEX($T$5:$AJ$1204,MATCH(361,$S$5:$S$1204,0),16))</f>
        <v/>
      </c>
      <c r="Q365" s="8" t="str">
        <f t="array" ref="Q365">IF(361&gt;$S$1204,"",INDEX($T$5:$AJ$1204,MATCH(361,$S$5:$S$1204,0),17))</f>
        <v/>
      </c>
      <c r="R365" s="17"/>
      <c r="S365" s="17">
        <f>S364+IF(M2_Accesos!A169="",0,1)</f>
        <v>0</v>
      </c>
      <c r="T365" s="17" t="str">
        <f>IF(M2_Accesos!A169="","",IF(M2_Accesos!A169="","",M2_Accesos!A169))</f>
        <v/>
      </c>
      <c r="U365" s="17" t="str">
        <f>IF(M2_Accesos!A169="","",IF(M2_Accesos!R169="","",M2_Accesos!R169))</f>
        <v/>
      </c>
      <c r="V365" s="17" t="str">
        <f>IF(M2_Accesos!A169="","",IF(M2_Accesos!D169="","",M2_Accesos!D169))</f>
        <v/>
      </c>
      <c r="W365" s="17" t="str">
        <f>IF(M2_Accesos!A169="","",IF(M2_Accesos!B169="","",M2_Accesos!B169))</f>
        <v/>
      </c>
      <c r="X365" s="17" t="str">
        <f>IF(M2_Accesos!A169="","",IF(M2_Accesos!C169="","",M2_Accesos!C169))</f>
        <v/>
      </c>
      <c r="Y365" s="17" t="str">
        <f>IF(M2_Accesos!A169="","",IF(M2_Accesos!E169="","",M2_Accesos!E169))</f>
        <v/>
      </c>
      <c r="Z365" s="17" t="str">
        <f>IF(M2_Accesos!A169="","",IF(M2_Accesos!F169="","",M2_Accesos!F169))</f>
        <v/>
      </c>
      <c r="AA365" s="17" t="str">
        <f>IF(M2_Accesos!A169="","","M2 Accesos")</f>
        <v/>
      </c>
      <c r="AB365" s="17" t="str">
        <f>IF(M2_Accesos!A169="","",IF(M2_Accesos!G169="","",M2_Accesos!G169))</f>
        <v/>
      </c>
      <c r="AC365" s="17" t="str">
        <f>IF(M2_Accesos!A169="","",IF(M2_Accesos!M169="","",M2_Accesos!M169))</f>
        <v/>
      </c>
      <c r="AD365" s="17" t="str">
        <f>IF(M2_Accesos!A169="","","RD")</f>
        <v/>
      </c>
      <c r="AE365" s="17" t="str">
        <f>IF(M2_Accesos!A169="","",IF(M2_Accesos!O169="","",M2_Accesos!O169))</f>
        <v/>
      </c>
      <c r="AF365" s="17" t="str">
        <f>IF(M2_Accesos!A169="","",IF(M2_Accesos!P169="","",M2_Accesos!P169))</f>
        <v/>
      </c>
      <c r="AG365" s="17" t="str">
        <f>IF(M2_Accesos!A169="","",IF(M2_Accesos!Q169="","",M2_Accesos!Q169))</f>
        <v/>
      </c>
      <c r="AH365" s="17" t="str">
        <f>IF(M2_Accesos!A169="","",IF(M2_Accesos!J169="","",M2_Accesos!J169))</f>
        <v/>
      </c>
      <c r="AI365" s="17" t="str">
        <f>IF(M2_Accesos!A169="","","M2_Accesos!169")</f>
        <v/>
      </c>
      <c r="AJ365" s="17" t="str">
        <f>IF(M2_Accesos!A169="","",IF(M2_Accesos!M169="","Pendiente de resultado","Disponible"))</f>
        <v/>
      </c>
    </row>
    <row r="366" spans="1:36" ht="55.5" customHeight="1">
      <c r="A366" s="6" t="str">
        <f t="array" ref="A366">IF(362&gt;$S$1204,"",INDEX($T$5:$AJ$1204,MATCH(362,$S$5:$S$1204,0),1))</f>
        <v/>
      </c>
      <c r="B366" s="8" t="str">
        <f t="array" ref="B366">IF(362&gt;$S$1204,"",INDEX($T$5:$AJ$1204,MATCH(362,$S$5:$S$1204,0),2))</f>
        <v/>
      </c>
      <c r="C366" s="10" t="str">
        <f t="array" ref="C366">IF(362&gt;$S$1204,"",INDEX($T$5:$AJ$1204,MATCH(362,$S$5:$S$1204,0),3))</f>
        <v/>
      </c>
      <c r="D366" s="8" t="str">
        <f t="array" ref="D366">IF(362&gt;$S$1204,"",INDEX($T$5:$AJ$1204,MATCH(362,$S$5:$S$1204,0),4))</f>
        <v/>
      </c>
      <c r="E366" s="8" t="str">
        <f t="array" ref="E366">IF(362&gt;$S$1204,"",INDEX($T$5:$AJ$1204,MATCH(362,$S$5:$S$1204,0),5))</f>
        <v/>
      </c>
      <c r="F366" s="8" t="str">
        <f t="array" ref="F366">IF(362&gt;$S$1204,"",INDEX($T$5:$AJ$1204,MATCH(362,$S$5:$S$1204,0),6))</f>
        <v/>
      </c>
      <c r="G366" s="8" t="str">
        <f t="array" ref="G366">IF(362&gt;$S$1204,"",INDEX($T$5:$AJ$1204,MATCH(362,$S$5:$S$1204,0),7))</f>
        <v/>
      </c>
      <c r="H366" s="8" t="str">
        <f t="array" ref="H366">IF(362&gt;$S$1204,"",INDEX($T$5:$AJ$1204,MATCH(362,$S$5:$S$1204,0),8))</f>
        <v/>
      </c>
      <c r="I366" s="8" t="str">
        <f t="array" ref="I366">IF(362&gt;$S$1204,"",INDEX($T$5:$AJ$1204,MATCH(362,$S$5:$S$1204,0),9))</f>
        <v/>
      </c>
      <c r="J366" s="14" t="str">
        <f t="array" ref="J366">IF(362&gt;$S$1204,"",INDEX($T$5:$AJ$1204,MATCH(362,$S$5:$S$1204,0),10))</f>
        <v/>
      </c>
      <c r="K366" s="8" t="str">
        <f t="array" ref="K366">IF(362&gt;$S$1204,"",INDEX($T$5:$AJ$1204,MATCH(362,$S$5:$S$1204,0),11))</f>
        <v/>
      </c>
      <c r="L366" s="8" t="str">
        <f t="array" ref="L366">IF(362&gt;$S$1204,"",INDEX($T$5:$AJ$1204,MATCH(362,$S$5:$S$1204,0),12))</f>
        <v/>
      </c>
      <c r="M366" s="8" t="str">
        <f t="array" ref="M366">IF(362&gt;$S$1204,"",INDEX($T$5:$AJ$1204,MATCH(362,$S$5:$S$1204,0),13))</f>
        <v/>
      </c>
      <c r="N366" s="8" t="str">
        <f t="array" ref="N366">IF(362&gt;$S$1204,"",INDEX($T$5:$AJ$1204,MATCH(362,$S$5:$S$1204,0),14))</f>
        <v/>
      </c>
      <c r="O366" s="15" t="str">
        <f t="array" ref="O366">IF(362&gt;$S$1204,"",INDEX($T$5:$AJ$1204,MATCH(362,$S$5:$S$1204,0),15))</f>
        <v/>
      </c>
      <c r="P366" s="8" t="str">
        <f t="array" ref="P366">IF(362&gt;$S$1204,"",INDEX($T$5:$AJ$1204,MATCH(362,$S$5:$S$1204,0),16))</f>
        <v/>
      </c>
      <c r="Q366" s="8" t="str">
        <f t="array" ref="Q366">IF(362&gt;$S$1204,"",INDEX($T$5:$AJ$1204,MATCH(362,$S$5:$S$1204,0),17))</f>
        <v/>
      </c>
      <c r="R366" s="17"/>
      <c r="S366" s="17">
        <f>S365+IF(M2_Accesos!A170="",0,1)</f>
        <v>0</v>
      </c>
      <c r="T366" s="17" t="str">
        <f>IF(M2_Accesos!A170="","",IF(M2_Accesos!A170="","",M2_Accesos!A170))</f>
        <v/>
      </c>
      <c r="U366" s="17" t="str">
        <f>IF(M2_Accesos!A170="","",IF(M2_Accesos!R170="","",M2_Accesos!R170))</f>
        <v/>
      </c>
      <c r="V366" s="17" t="str">
        <f>IF(M2_Accesos!A170="","",IF(M2_Accesos!D170="","",M2_Accesos!D170))</f>
        <v/>
      </c>
      <c r="W366" s="17" t="str">
        <f>IF(M2_Accesos!A170="","",IF(M2_Accesos!B170="","",M2_Accesos!B170))</f>
        <v/>
      </c>
      <c r="X366" s="17" t="str">
        <f>IF(M2_Accesos!A170="","",IF(M2_Accesos!C170="","",M2_Accesos!C170))</f>
        <v/>
      </c>
      <c r="Y366" s="17" t="str">
        <f>IF(M2_Accesos!A170="","",IF(M2_Accesos!E170="","",M2_Accesos!E170))</f>
        <v/>
      </c>
      <c r="Z366" s="17" t="str">
        <f>IF(M2_Accesos!A170="","",IF(M2_Accesos!F170="","",M2_Accesos!F170))</f>
        <v/>
      </c>
      <c r="AA366" s="17" t="str">
        <f>IF(M2_Accesos!A170="","","M2 Accesos")</f>
        <v/>
      </c>
      <c r="AB366" s="17" t="str">
        <f>IF(M2_Accesos!A170="","",IF(M2_Accesos!G170="","",M2_Accesos!G170))</f>
        <v/>
      </c>
      <c r="AC366" s="17" t="str">
        <f>IF(M2_Accesos!A170="","",IF(M2_Accesos!M170="","",M2_Accesos!M170))</f>
        <v/>
      </c>
      <c r="AD366" s="17" t="str">
        <f>IF(M2_Accesos!A170="","","RD")</f>
        <v/>
      </c>
      <c r="AE366" s="17" t="str">
        <f>IF(M2_Accesos!A170="","",IF(M2_Accesos!O170="","",M2_Accesos!O170))</f>
        <v/>
      </c>
      <c r="AF366" s="17" t="str">
        <f>IF(M2_Accesos!A170="","",IF(M2_Accesos!P170="","",M2_Accesos!P170))</f>
        <v/>
      </c>
      <c r="AG366" s="17" t="str">
        <f>IF(M2_Accesos!A170="","",IF(M2_Accesos!Q170="","",M2_Accesos!Q170))</f>
        <v/>
      </c>
      <c r="AH366" s="17" t="str">
        <f>IF(M2_Accesos!A170="","",IF(M2_Accesos!J170="","",M2_Accesos!J170))</f>
        <v/>
      </c>
      <c r="AI366" s="17" t="str">
        <f>IF(M2_Accesos!A170="","","M2_Accesos!170")</f>
        <v/>
      </c>
      <c r="AJ366" s="17" t="str">
        <f>IF(M2_Accesos!A170="","",IF(M2_Accesos!M170="","Pendiente de resultado","Disponible"))</f>
        <v/>
      </c>
    </row>
    <row r="367" spans="1:36" ht="55.5" customHeight="1">
      <c r="A367" s="6" t="str">
        <f t="array" ref="A367">IF(363&gt;$S$1204,"",INDEX($T$5:$AJ$1204,MATCH(363,$S$5:$S$1204,0),1))</f>
        <v/>
      </c>
      <c r="B367" s="8" t="str">
        <f t="array" ref="B367">IF(363&gt;$S$1204,"",INDEX($T$5:$AJ$1204,MATCH(363,$S$5:$S$1204,0),2))</f>
        <v/>
      </c>
      <c r="C367" s="10" t="str">
        <f t="array" ref="C367">IF(363&gt;$S$1204,"",INDEX($T$5:$AJ$1204,MATCH(363,$S$5:$S$1204,0),3))</f>
        <v/>
      </c>
      <c r="D367" s="8" t="str">
        <f t="array" ref="D367">IF(363&gt;$S$1204,"",INDEX($T$5:$AJ$1204,MATCH(363,$S$5:$S$1204,0),4))</f>
        <v/>
      </c>
      <c r="E367" s="8" t="str">
        <f t="array" ref="E367">IF(363&gt;$S$1204,"",INDEX($T$5:$AJ$1204,MATCH(363,$S$5:$S$1204,0),5))</f>
        <v/>
      </c>
      <c r="F367" s="8" t="str">
        <f t="array" ref="F367">IF(363&gt;$S$1204,"",INDEX($T$5:$AJ$1204,MATCH(363,$S$5:$S$1204,0),6))</f>
        <v/>
      </c>
      <c r="G367" s="8" t="str">
        <f t="array" ref="G367">IF(363&gt;$S$1204,"",INDEX($T$5:$AJ$1204,MATCH(363,$S$5:$S$1204,0),7))</f>
        <v/>
      </c>
      <c r="H367" s="8" t="str">
        <f t="array" ref="H367">IF(363&gt;$S$1204,"",INDEX($T$5:$AJ$1204,MATCH(363,$S$5:$S$1204,0),8))</f>
        <v/>
      </c>
      <c r="I367" s="8" t="str">
        <f t="array" ref="I367">IF(363&gt;$S$1204,"",INDEX($T$5:$AJ$1204,MATCH(363,$S$5:$S$1204,0),9))</f>
        <v/>
      </c>
      <c r="J367" s="14" t="str">
        <f t="array" ref="J367">IF(363&gt;$S$1204,"",INDEX($T$5:$AJ$1204,MATCH(363,$S$5:$S$1204,0),10))</f>
        <v/>
      </c>
      <c r="K367" s="8" t="str">
        <f t="array" ref="K367">IF(363&gt;$S$1204,"",INDEX($T$5:$AJ$1204,MATCH(363,$S$5:$S$1204,0),11))</f>
        <v/>
      </c>
      <c r="L367" s="8" t="str">
        <f t="array" ref="L367">IF(363&gt;$S$1204,"",INDEX($T$5:$AJ$1204,MATCH(363,$S$5:$S$1204,0),12))</f>
        <v/>
      </c>
      <c r="M367" s="8" t="str">
        <f t="array" ref="M367">IF(363&gt;$S$1204,"",INDEX($T$5:$AJ$1204,MATCH(363,$S$5:$S$1204,0),13))</f>
        <v/>
      </c>
      <c r="N367" s="8" t="str">
        <f t="array" ref="N367">IF(363&gt;$S$1204,"",INDEX($T$5:$AJ$1204,MATCH(363,$S$5:$S$1204,0),14))</f>
        <v/>
      </c>
      <c r="O367" s="15" t="str">
        <f t="array" ref="O367">IF(363&gt;$S$1204,"",INDEX($T$5:$AJ$1204,MATCH(363,$S$5:$S$1204,0),15))</f>
        <v/>
      </c>
      <c r="P367" s="8" t="str">
        <f t="array" ref="P367">IF(363&gt;$S$1204,"",INDEX($T$5:$AJ$1204,MATCH(363,$S$5:$S$1204,0),16))</f>
        <v/>
      </c>
      <c r="Q367" s="8" t="str">
        <f t="array" ref="Q367">IF(363&gt;$S$1204,"",INDEX($T$5:$AJ$1204,MATCH(363,$S$5:$S$1204,0),17))</f>
        <v/>
      </c>
      <c r="R367" s="17"/>
      <c r="S367" s="17">
        <f>S366+IF(M2_Accesos!A171="",0,1)</f>
        <v>0</v>
      </c>
      <c r="T367" s="17" t="str">
        <f>IF(M2_Accesos!A171="","",IF(M2_Accesos!A171="","",M2_Accesos!A171))</f>
        <v/>
      </c>
      <c r="U367" s="17" t="str">
        <f>IF(M2_Accesos!A171="","",IF(M2_Accesos!R171="","",M2_Accesos!R171))</f>
        <v/>
      </c>
      <c r="V367" s="17" t="str">
        <f>IF(M2_Accesos!A171="","",IF(M2_Accesos!D171="","",M2_Accesos!D171))</f>
        <v/>
      </c>
      <c r="W367" s="17" t="str">
        <f>IF(M2_Accesos!A171="","",IF(M2_Accesos!B171="","",M2_Accesos!B171))</f>
        <v/>
      </c>
      <c r="X367" s="17" t="str">
        <f>IF(M2_Accesos!A171="","",IF(M2_Accesos!C171="","",M2_Accesos!C171))</f>
        <v/>
      </c>
      <c r="Y367" s="17" t="str">
        <f>IF(M2_Accesos!A171="","",IF(M2_Accesos!E171="","",M2_Accesos!E171))</f>
        <v/>
      </c>
      <c r="Z367" s="17" t="str">
        <f>IF(M2_Accesos!A171="","",IF(M2_Accesos!F171="","",M2_Accesos!F171))</f>
        <v/>
      </c>
      <c r="AA367" s="17" t="str">
        <f>IF(M2_Accesos!A171="","","M2 Accesos")</f>
        <v/>
      </c>
      <c r="AB367" s="17" t="str">
        <f>IF(M2_Accesos!A171="","",IF(M2_Accesos!G171="","",M2_Accesos!G171))</f>
        <v/>
      </c>
      <c r="AC367" s="17" t="str">
        <f>IF(M2_Accesos!A171="","",IF(M2_Accesos!M171="","",M2_Accesos!M171))</f>
        <v/>
      </c>
      <c r="AD367" s="17" t="str">
        <f>IF(M2_Accesos!A171="","","RD")</f>
        <v/>
      </c>
      <c r="AE367" s="17" t="str">
        <f>IF(M2_Accesos!A171="","",IF(M2_Accesos!O171="","",M2_Accesos!O171))</f>
        <v/>
      </c>
      <c r="AF367" s="17" t="str">
        <f>IF(M2_Accesos!A171="","",IF(M2_Accesos!P171="","",M2_Accesos!P171))</f>
        <v/>
      </c>
      <c r="AG367" s="17" t="str">
        <f>IF(M2_Accesos!A171="","",IF(M2_Accesos!Q171="","",M2_Accesos!Q171))</f>
        <v/>
      </c>
      <c r="AH367" s="17" t="str">
        <f>IF(M2_Accesos!A171="","",IF(M2_Accesos!J171="","",M2_Accesos!J171))</f>
        <v/>
      </c>
      <c r="AI367" s="17" t="str">
        <f>IF(M2_Accesos!A171="","","M2_Accesos!171")</f>
        <v/>
      </c>
      <c r="AJ367" s="17" t="str">
        <f>IF(M2_Accesos!A171="","",IF(M2_Accesos!M171="","Pendiente de resultado","Disponible"))</f>
        <v/>
      </c>
    </row>
    <row r="368" spans="1:36" ht="55.5" customHeight="1">
      <c r="A368" s="6" t="str">
        <f t="array" ref="A368">IF(364&gt;$S$1204,"",INDEX($T$5:$AJ$1204,MATCH(364,$S$5:$S$1204,0),1))</f>
        <v/>
      </c>
      <c r="B368" s="8" t="str">
        <f t="array" ref="B368">IF(364&gt;$S$1204,"",INDEX($T$5:$AJ$1204,MATCH(364,$S$5:$S$1204,0),2))</f>
        <v/>
      </c>
      <c r="C368" s="10" t="str">
        <f t="array" ref="C368">IF(364&gt;$S$1204,"",INDEX($T$5:$AJ$1204,MATCH(364,$S$5:$S$1204,0),3))</f>
        <v/>
      </c>
      <c r="D368" s="8" t="str">
        <f t="array" ref="D368">IF(364&gt;$S$1204,"",INDEX($T$5:$AJ$1204,MATCH(364,$S$5:$S$1204,0),4))</f>
        <v/>
      </c>
      <c r="E368" s="8" t="str">
        <f t="array" ref="E368">IF(364&gt;$S$1204,"",INDEX($T$5:$AJ$1204,MATCH(364,$S$5:$S$1204,0),5))</f>
        <v/>
      </c>
      <c r="F368" s="8" t="str">
        <f t="array" ref="F368">IF(364&gt;$S$1204,"",INDEX($T$5:$AJ$1204,MATCH(364,$S$5:$S$1204,0),6))</f>
        <v/>
      </c>
      <c r="G368" s="8" t="str">
        <f t="array" ref="G368">IF(364&gt;$S$1204,"",INDEX($T$5:$AJ$1204,MATCH(364,$S$5:$S$1204,0),7))</f>
        <v/>
      </c>
      <c r="H368" s="8" t="str">
        <f t="array" ref="H368">IF(364&gt;$S$1204,"",INDEX($T$5:$AJ$1204,MATCH(364,$S$5:$S$1204,0),8))</f>
        <v/>
      </c>
      <c r="I368" s="8" t="str">
        <f t="array" ref="I368">IF(364&gt;$S$1204,"",INDEX($T$5:$AJ$1204,MATCH(364,$S$5:$S$1204,0),9))</f>
        <v/>
      </c>
      <c r="J368" s="14" t="str">
        <f t="array" ref="J368">IF(364&gt;$S$1204,"",INDEX($T$5:$AJ$1204,MATCH(364,$S$5:$S$1204,0),10))</f>
        <v/>
      </c>
      <c r="K368" s="8" t="str">
        <f t="array" ref="K368">IF(364&gt;$S$1204,"",INDEX($T$5:$AJ$1204,MATCH(364,$S$5:$S$1204,0),11))</f>
        <v/>
      </c>
      <c r="L368" s="8" t="str">
        <f t="array" ref="L368">IF(364&gt;$S$1204,"",INDEX($T$5:$AJ$1204,MATCH(364,$S$5:$S$1204,0),12))</f>
        <v/>
      </c>
      <c r="M368" s="8" t="str">
        <f t="array" ref="M368">IF(364&gt;$S$1204,"",INDEX($T$5:$AJ$1204,MATCH(364,$S$5:$S$1204,0),13))</f>
        <v/>
      </c>
      <c r="N368" s="8" t="str">
        <f t="array" ref="N368">IF(364&gt;$S$1204,"",INDEX($T$5:$AJ$1204,MATCH(364,$S$5:$S$1204,0),14))</f>
        <v/>
      </c>
      <c r="O368" s="15" t="str">
        <f t="array" ref="O368">IF(364&gt;$S$1204,"",INDEX($T$5:$AJ$1204,MATCH(364,$S$5:$S$1204,0),15))</f>
        <v/>
      </c>
      <c r="P368" s="8" t="str">
        <f t="array" ref="P368">IF(364&gt;$S$1204,"",INDEX($T$5:$AJ$1204,MATCH(364,$S$5:$S$1204,0),16))</f>
        <v/>
      </c>
      <c r="Q368" s="8" t="str">
        <f t="array" ref="Q368">IF(364&gt;$S$1204,"",INDEX($T$5:$AJ$1204,MATCH(364,$S$5:$S$1204,0),17))</f>
        <v/>
      </c>
      <c r="R368" s="17"/>
      <c r="S368" s="17">
        <f>S367+IF(M2_Accesos!A172="",0,1)</f>
        <v>0</v>
      </c>
      <c r="T368" s="17" t="str">
        <f>IF(M2_Accesos!A172="","",IF(M2_Accesos!A172="","",M2_Accesos!A172))</f>
        <v/>
      </c>
      <c r="U368" s="17" t="str">
        <f>IF(M2_Accesos!A172="","",IF(M2_Accesos!R172="","",M2_Accesos!R172))</f>
        <v/>
      </c>
      <c r="V368" s="17" t="str">
        <f>IF(M2_Accesos!A172="","",IF(M2_Accesos!D172="","",M2_Accesos!D172))</f>
        <v/>
      </c>
      <c r="W368" s="17" t="str">
        <f>IF(M2_Accesos!A172="","",IF(M2_Accesos!B172="","",M2_Accesos!B172))</f>
        <v/>
      </c>
      <c r="X368" s="17" t="str">
        <f>IF(M2_Accesos!A172="","",IF(M2_Accesos!C172="","",M2_Accesos!C172))</f>
        <v/>
      </c>
      <c r="Y368" s="17" t="str">
        <f>IF(M2_Accesos!A172="","",IF(M2_Accesos!E172="","",M2_Accesos!E172))</f>
        <v/>
      </c>
      <c r="Z368" s="17" t="str">
        <f>IF(M2_Accesos!A172="","",IF(M2_Accesos!F172="","",M2_Accesos!F172))</f>
        <v/>
      </c>
      <c r="AA368" s="17" t="str">
        <f>IF(M2_Accesos!A172="","","M2 Accesos")</f>
        <v/>
      </c>
      <c r="AB368" s="17" t="str">
        <f>IF(M2_Accesos!A172="","",IF(M2_Accesos!G172="","",M2_Accesos!G172))</f>
        <v/>
      </c>
      <c r="AC368" s="17" t="str">
        <f>IF(M2_Accesos!A172="","",IF(M2_Accesos!M172="","",M2_Accesos!M172))</f>
        <v/>
      </c>
      <c r="AD368" s="17" t="str">
        <f>IF(M2_Accesos!A172="","","RD")</f>
        <v/>
      </c>
      <c r="AE368" s="17" t="str">
        <f>IF(M2_Accesos!A172="","",IF(M2_Accesos!O172="","",M2_Accesos!O172))</f>
        <v/>
      </c>
      <c r="AF368" s="17" t="str">
        <f>IF(M2_Accesos!A172="","",IF(M2_Accesos!P172="","",M2_Accesos!P172))</f>
        <v/>
      </c>
      <c r="AG368" s="17" t="str">
        <f>IF(M2_Accesos!A172="","",IF(M2_Accesos!Q172="","",M2_Accesos!Q172))</f>
        <v/>
      </c>
      <c r="AH368" s="17" t="str">
        <f>IF(M2_Accesos!A172="","",IF(M2_Accesos!J172="","",M2_Accesos!J172))</f>
        <v/>
      </c>
      <c r="AI368" s="17" t="str">
        <f>IF(M2_Accesos!A172="","","M2_Accesos!172")</f>
        <v/>
      </c>
      <c r="AJ368" s="17" t="str">
        <f>IF(M2_Accesos!A172="","",IF(M2_Accesos!M172="","Pendiente de resultado","Disponible"))</f>
        <v/>
      </c>
    </row>
    <row r="369" spans="1:36" ht="55.5" customHeight="1">
      <c r="A369" s="6" t="str">
        <f t="array" ref="A369">IF(365&gt;$S$1204,"",INDEX($T$5:$AJ$1204,MATCH(365,$S$5:$S$1204,0),1))</f>
        <v/>
      </c>
      <c r="B369" s="8" t="str">
        <f t="array" ref="B369">IF(365&gt;$S$1204,"",INDEX($T$5:$AJ$1204,MATCH(365,$S$5:$S$1204,0),2))</f>
        <v/>
      </c>
      <c r="C369" s="10" t="str">
        <f t="array" ref="C369">IF(365&gt;$S$1204,"",INDEX($T$5:$AJ$1204,MATCH(365,$S$5:$S$1204,0),3))</f>
        <v/>
      </c>
      <c r="D369" s="8" t="str">
        <f t="array" ref="D369">IF(365&gt;$S$1204,"",INDEX($T$5:$AJ$1204,MATCH(365,$S$5:$S$1204,0),4))</f>
        <v/>
      </c>
      <c r="E369" s="8" t="str">
        <f t="array" ref="E369">IF(365&gt;$S$1204,"",INDEX($T$5:$AJ$1204,MATCH(365,$S$5:$S$1204,0),5))</f>
        <v/>
      </c>
      <c r="F369" s="8" t="str">
        <f t="array" ref="F369">IF(365&gt;$S$1204,"",INDEX($T$5:$AJ$1204,MATCH(365,$S$5:$S$1204,0),6))</f>
        <v/>
      </c>
      <c r="G369" s="8" t="str">
        <f t="array" ref="G369">IF(365&gt;$S$1204,"",INDEX($T$5:$AJ$1204,MATCH(365,$S$5:$S$1204,0),7))</f>
        <v/>
      </c>
      <c r="H369" s="8" t="str">
        <f t="array" ref="H369">IF(365&gt;$S$1204,"",INDEX($T$5:$AJ$1204,MATCH(365,$S$5:$S$1204,0),8))</f>
        <v/>
      </c>
      <c r="I369" s="8" t="str">
        <f t="array" ref="I369">IF(365&gt;$S$1204,"",INDEX($T$5:$AJ$1204,MATCH(365,$S$5:$S$1204,0),9))</f>
        <v/>
      </c>
      <c r="J369" s="14" t="str">
        <f t="array" ref="J369">IF(365&gt;$S$1204,"",INDEX($T$5:$AJ$1204,MATCH(365,$S$5:$S$1204,0),10))</f>
        <v/>
      </c>
      <c r="K369" s="8" t="str">
        <f t="array" ref="K369">IF(365&gt;$S$1204,"",INDEX($T$5:$AJ$1204,MATCH(365,$S$5:$S$1204,0),11))</f>
        <v/>
      </c>
      <c r="L369" s="8" t="str">
        <f t="array" ref="L369">IF(365&gt;$S$1204,"",INDEX($T$5:$AJ$1204,MATCH(365,$S$5:$S$1204,0),12))</f>
        <v/>
      </c>
      <c r="M369" s="8" t="str">
        <f t="array" ref="M369">IF(365&gt;$S$1204,"",INDEX($T$5:$AJ$1204,MATCH(365,$S$5:$S$1204,0),13))</f>
        <v/>
      </c>
      <c r="N369" s="8" t="str">
        <f t="array" ref="N369">IF(365&gt;$S$1204,"",INDEX($T$5:$AJ$1204,MATCH(365,$S$5:$S$1204,0),14))</f>
        <v/>
      </c>
      <c r="O369" s="15" t="str">
        <f t="array" ref="O369">IF(365&gt;$S$1204,"",INDEX($T$5:$AJ$1204,MATCH(365,$S$5:$S$1204,0),15))</f>
        <v/>
      </c>
      <c r="P369" s="8" t="str">
        <f t="array" ref="P369">IF(365&gt;$S$1204,"",INDEX($T$5:$AJ$1204,MATCH(365,$S$5:$S$1204,0),16))</f>
        <v/>
      </c>
      <c r="Q369" s="8" t="str">
        <f t="array" ref="Q369">IF(365&gt;$S$1204,"",INDEX($T$5:$AJ$1204,MATCH(365,$S$5:$S$1204,0),17))</f>
        <v/>
      </c>
      <c r="R369" s="17"/>
      <c r="S369" s="17">
        <f>S368+IF(M2_Accesos!A173="",0,1)</f>
        <v>0</v>
      </c>
      <c r="T369" s="17" t="str">
        <f>IF(M2_Accesos!A173="","",IF(M2_Accesos!A173="","",M2_Accesos!A173))</f>
        <v/>
      </c>
      <c r="U369" s="17" t="str">
        <f>IF(M2_Accesos!A173="","",IF(M2_Accesos!R173="","",M2_Accesos!R173))</f>
        <v/>
      </c>
      <c r="V369" s="17" t="str">
        <f>IF(M2_Accesos!A173="","",IF(M2_Accesos!D173="","",M2_Accesos!D173))</f>
        <v/>
      </c>
      <c r="W369" s="17" t="str">
        <f>IF(M2_Accesos!A173="","",IF(M2_Accesos!B173="","",M2_Accesos!B173))</f>
        <v/>
      </c>
      <c r="X369" s="17" t="str">
        <f>IF(M2_Accesos!A173="","",IF(M2_Accesos!C173="","",M2_Accesos!C173))</f>
        <v/>
      </c>
      <c r="Y369" s="17" t="str">
        <f>IF(M2_Accesos!A173="","",IF(M2_Accesos!E173="","",M2_Accesos!E173))</f>
        <v/>
      </c>
      <c r="Z369" s="17" t="str">
        <f>IF(M2_Accesos!A173="","",IF(M2_Accesos!F173="","",M2_Accesos!F173))</f>
        <v/>
      </c>
      <c r="AA369" s="17" t="str">
        <f>IF(M2_Accesos!A173="","","M2 Accesos")</f>
        <v/>
      </c>
      <c r="AB369" s="17" t="str">
        <f>IF(M2_Accesos!A173="","",IF(M2_Accesos!G173="","",M2_Accesos!G173))</f>
        <v/>
      </c>
      <c r="AC369" s="17" t="str">
        <f>IF(M2_Accesos!A173="","",IF(M2_Accesos!M173="","",M2_Accesos!M173))</f>
        <v/>
      </c>
      <c r="AD369" s="17" t="str">
        <f>IF(M2_Accesos!A173="","","RD")</f>
        <v/>
      </c>
      <c r="AE369" s="17" t="str">
        <f>IF(M2_Accesos!A173="","",IF(M2_Accesos!O173="","",M2_Accesos!O173))</f>
        <v/>
      </c>
      <c r="AF369" s="17" t="str">
        <f>IF(M2_Accesos!A173="","",IF(M2_Accesos!P173="","",M2_Accesos!P173))</f>
        <v/>
      </c>
      <c r="AG369" s="17" t="str">
        <f>IF(M2_Accesos!A173="","",IF(M2_Accesos!Q173="","",M2_Accesos!Q173))</f>
        <v/>
      </c>
      <c r="AH369" s="17" t="str">
        <f>IF(M2_Accesos!A173="","",IF(M2_Accesos!J173="","",M2_Accesos!J173))</f>
        <v/>
      </c>
      <c r="AI369" s="17" t="str">
        <f>IF(M2_Accesos!A173="","","M2_Accesos!173")</f>
        <v/>
      </c>
      <c r="AJ369" s="17" t="str">
        <f>IF(M2_Accesos!A173="","",IF(M2_Accesos!M173="","Pendiente de resultado","Disponible"))</f>
        <v/>
      </c>
    </row>
    <row r="370" spans="1:36" ht="55.5" customHeight="1">
      <c r="A370" s="6" t="str">
        <f t="array" ref="A370">IF(366&gt;$S$1204,"",INDEX($T$5:$AJ$1204,MATCH(366,$S$5:$S$1204,0),1))</f>
        <v/>
      </c>
      <c r="B370" s="8" t="str">
        <f t="array" ref="B370">IF(366&gt;$S$1204,"",INDEX($T$5:$AJ$1204,MATCH(366,$S$5:$S$1204,0),2))</f>
        <v/>
      </c>
      <c r="C370" s="10" t="str">
        <f t="array" ref="C370">IF(366&gt;$S$1204,"",INDEX($T$5:$AJ$1204,MATCH(366,$S$5:$S$1204,0),3))</f>
        <v/>
      </c>
      <c r="D370" s="8" t="str">
        <f t="array" ref="D370">IF(366&gt;$S$1204,"",INDEX($T$5:$AJ$1204,MATCH(366,$S$5:$S$1204,0),4))</f>
        <v/>
      </c>
      <c r="E370" s="8" t="str">
        <f t="array" ref="E370">IF(366&gt;$S$1204,"",INDEX($T$5:$AJ$1204,MATCH(366,$S$5:$S$1204,0),5))</f>
        <v/>
      </c>
      <c r="F370" s="8" t="str">
        <f t="array" ref="F370">IF(366&gt;$S$1204,"",INDEX($T$5:$AJ$1204,MATCH(366,$S$5:$S$1204,0),6))</f>
        <v/>
      </c>
      <c r="G370" s="8" t="str">
        <f t="array" ref="G370">IF(366&gt;$S$1204,"",INDEX($T$5:$AJ$1204,MATCH(366,$S$5:$S$1204,0),7))</f>
        <v/>
      </c>
      <c r="H370" s="8" t="str">
        <f t="array" ref="H370">IF(366&gt;$S$1204,"",INDEX($T$5:$AJ$1204,MATCH(366,$S$5:$S$1204,0),8))</f>
        <v/>
      </c>
      <c r="I370" s="8" t="str">
        <f t="array" ref="I370">IF(366&gt;$S$1204,"",INDEX($T$5:$AJ$1204,MATCH(366,$S$5:$S$1204,0),9))</f>
        <v/>
      </c>
      <c r="J370" s="14" t="str">
        <f t="array" ref="J370">IF(366&gt;$S$1204,"",INDEX($T$5:$AJ$1204,MATCH(366,$S$5:$S$1204,0),10))</f>
        <v/>
      </c>
      <c r="K370" s="8" t="str">
        <f t="array" ref="K370">IF(366&gt;$S$1204,"",INDEX($T$5:$AJ$1204,MATCH(366,$S$5:$S$1204,0),11))</f>
        <v/>
      </c>
      <c r="L370" s="8" t="str">
        <f t="array" ref="L370">IF(366&gt;$S$1204,"",INDEX($T$5:$AJ$1204,MATCH(366,$S$5:$S$1204,0),12))</f>
        <v/>
      </c>
      <c r="M370" s="8" t="str">
        <f t="array" ref="M370">IF(366&gt;$S$1204,"",INDEX($T$5:$AJ$1204,MATCH(366,$S$5:$S$1204,0),13))</f>
        <v/>
      </c>
      <c r="N370" s="8" t="str">
        <f t="array" ref="N370">IF(366&gt;$S$1204,"",INDEX($T$5:$AJ$1204,MATCH(366,$S$5:$S$1204,0),14))</f>
        <v/>
      </c>
      <c r="O370" s="15" t="str">
        <f t="array" ref="O370">IF(366&gt;$S$1204,"",INDEX($T$5:$AJ$1204,MATCH(366,$S$5:$S$1204,0),15))</f>
        <v/>
      </c>
      <c r="P370" s="8" t="str">
        <f t="array" ref="P370">IF(366&gt;$S$1204,"",INDEX($T$5:$AJ$1204,MATCH(366,$S$5:$S$1204,0),16))</f>
        <v/>
      </c>
      <c r="Q370" s="8" t="str">
        <f t="array" ref="Q370">IF(366&gt;$S$1204,"",INDEX($T$5:$AJ$1204,MATCH(366,$S$5:$S$1204,0),17))</f>
        <v/>
      </c>
      <c r="R370" s="17"/>
      <c r="S370" s="17">
        <f>S369+IF(M2_Accesos!A174="",0,1)</f>
        <v>0</v>
      </c>
      <c r="T370" s="17" t="str">
        <f>IF(M2_Accesos!A174="","",IF(M2_Accesos!A174="","",M2_Accesos!A174))</f>
        <v/>
      </c>
      <c r="U370" s="17" t="str">
        <f>IF(M2_Accesos!A174="","",IF(M2_Accesos!R174="","",M2_Accesos!R174))</f>
        <v/>
      </c>
      <c r="V370" s="17" t="str">
        <f>IF(M2_Accesos!A174="","",IF(M2_Accesos!D174="","",M2_Accesos!D174))</f>
        <v/>
      </c>
      <c r="W370" s="17" t="str">
        <f>IF(M2_Accesos!A174="","",IF(M2_Accesos!B174="","",M2_Accesos!B174))</f>
        <v/>
      </c>
      <c r="X370" s="17" t="str">
        <f>IF(M2_Accesos!A174="","",IF(M2_Accesos!C174="","",M2_Accesos!C174))</f>
        <v/>
      </c>
      <c r="Y370" s="17" t="str">
        <f>IF(M2_Accesos!A174="","",IF(M2_Accesos!E174="","",M2_Accesos!E174))</f>
        <v/>
      </c>
      <c r="Z370" s="17" t="str">
        <f>IF(M2_Accesos!A174="","",IF(M2_Accesos!F174="","",M2_Accesos!F174))</f>
        <v/>
      </c>
      <c r="AA370" s="17" t="str">
        <f>IF(M2_Accesos!A174="","","M2 Accesos")</f>
        <v/>
      </c>
      <c r="AB370" s="17" t="str">
        <f>IF(M2_Accesos!A174="","",IF(M2_Accesos!G174="","",M2_Accesos!G174))</f>
        <v/>
      </c>
      <c r="AC370" s="17" t="str">
        <f>IF(M2_Accesos!A174="","",IF(M2_Accesos!M174="","",M2_Accesos!M174))</f>
        <v/>
      </c>
      <c r="AD370" s="17" t="str">
        <f>IF(M2_Accesos!A174="","","RD")</f>
        <v/>
      </c>
      <c r="AE370" s="17" t="str">
        <f>IF(M2_Accesos!A174="","",IF(M2_Accesos!O174="","",M2_Accesos!O174))</f>
        <v/>
      </c>
      <c r="AF370" s="17" t="str">
        <f>IF(M2_Accesos!A174="","",IF(M2_Accesos!P174="","",M2_Accesos!P174))</f>
        <v/>
      </c>
      <c r="AG370" s="17" t="str">
        <f>IF(M2_Accesos!A174="","",IF(M2_Accesos!Q174="","",M2_Accesos!Q174))</f>
        <v/>
      </c>
      <c r="AH370" s="17" t="str">
        <f>IF(M2_Accesos!A174="","",IF(M2_Accesos!J174="","",M2_Accesos!J174))</f>
        <v/>
      </c>
      <c r="AI370" s="17" t="str">
        <f>IF(M2_Accesos!A174="","","M2_Accesos!174")</f>
        <v/>
      </c>
      <c r="AJ370" s="17" t="str">
        <f>IF(M2_Accesos!A174="","",IF(M2_Accesos!M174="","Pendiente de resultado","Disponible"))</f>
        <v/>
      </c>
    </row>
    <row r="371" spans="1:36" ht="55.5" customHeight="1">
      <c r="A371" s="6" t="str">
        <f t="array" ref="A371">IF(367&gt;$S$1204,"",INDEX($T$5:$AJ$1204,MATCH(367,$S$5:$S$1204,0),1))</f>
        <v/>
      </c>
      <c r="B371" s="8" t="str">
        <f t="array" ref="B371">IF(367&gt;$S$1204,"",INDEX($T$5:$AJ$1204,MATCH(367,$S$5:$S$1204,0),2))</f>
        <v/>
      </c>
      <c r="C371" s="10" t="str">
        <f t="array" ref="C371">IF(367&gt;$S$1204,"",INDEX($T$5:$AJ$1204,MATCH(367,$S$5:$S$1204,0),3))</f>
        <v/>
      </c>
      <c r="D371" s="8" t="str">
        <f t="array" ref="D371">IF(367&gt;$S$1204,"",INDEX($T$5:$AJ$1204,MATCH(367,$S$5:$S$1204,0),4))</f>
        <v/>
      </c>
      <c r="E371" s="8" t="str">
        <f t="array" ref="E371">IF(367&gt;$S$1204,"",INDEX($T$5:$AJ$1204,MATCH(367,$S$5:$S$1204,0),5))</f>
        <v/>
      </c>
      <c r="F371" s="8" t="str">
        <f t="array" ref="F371">IF(367&gt;$S$1204,"",INDEX($T$5:$AJ$1204,MATCH(367,$S$5:$S$1204,0),6))</f>
        <v/>
      </c>
      <c r="G371" s="8" t="str">
        <f t="array" ref="G371">IF(367&gt;$S$1204,"",INDEX($T$5:$AJ$1204,MATCH(367,$S$5:$S$1204,0),7))</f>
        <v/>
      </c>
      <c r="H371" s="8" t="str">
        <f t="array" ref="H371">IF(367&gt;$S$1204,"",INDEX($T$5:$AJ$1204,MATCH(367,$S$5:$S$1204,0),8))</f>
        <v/>
      </c>
      <c r="I371" s="8" t="str">
        <f t="array" ref="I371">IF(367&gt;$S$1204,"",INDEX($T$5:$AJ$1204,MATCH(367,$S$5:$S$1204,0),9))</f>
        <v/>
      </c>
      <c r="J371" s="14" t="str">
        <f t="array" ref="J371">IF(367&gt;$S$1204,"",INDEX($T$5:$AJ$1204,MATCH(367,$S$5:$S$1204,0),10))</f>
        <v/>
      </c>
      <c r="K371" s="8" t="str">
        <f t="array" ref="K371">IF(367&gt;$S$1204,"",INDEX($T$5:$AJ$1204,MATCH(367,$S$5:$S$1204,0),11))</f>
        <v/>
      </c>
      <c r="L371" s="8" t="str">
        <f t="array" ref="L371">IF(367&gt;$S$1204,"",INDEX($T$5:$AJ$1204,MATCH(367,$S$5:$S$1204,0),12))</f>
        <v/>
      </c>
      <c r="M371" s="8" t="str">
        <f t="array" ref="M371">IF(367&gt;$S$1204,"",INDEX($T$5:$AJ$1204,MATCH(367,$S$5:$S$1204,0),13))</f>
        <v/>
      </c>
      <c r="N371" s="8" t="str">
        <f t="array" ref="N371">IF(367&gt;$S$1204,"",INDEX($T$5:$AJ$1204,MATCH(367,$S$5:$S$1204,0),14))</f>
        <v/>
      </c>
      <c r="O371" s="15" t="str">
        <f t="array" ref="O371">IF(367&gt;$S$1204,"",INDEX($T$5:$AJ$1204,MATCH(367,$S$5:$S$1204,0),15))</f>
        <v/>
      </c>
      <c r="P371" s="8" t="str">
        <f t="array" ref="P371">IF(367&gt;$S$1204,"",INDEX($T$5:$AJ$1204,MATCH(367,$S$5:$S$1204,0),16))</f>
        <v/>
      </c>
      <c r="Q371" s="8" t="str">
        <f t="array" ref="Q371">IF(367&gt;$S$1204,"",INDEX($T$5:$AJ$1204,MATCH(367,$S$5:$S$1204,0),17))</f>
        <v/>
      </c>
      <c r="R371" s="17"/>
      <c r="S371" s="17">
        <f>S370+IF(M2_Accesos!A175="",0,1)</f>
        <v>0</v>
      </c>
      <c r="T371" s="17" t="str">
        <f>IF(M2_Accesos!A175="","",IF(M2_Accesos!A175="","",M2_Accesos!A175))</f>
        <v/>
      </c>
      <c r="U371" s="17" t="str">
        <f>IF(M2_Accesos!A175="","",IF(M2_Accesos!R175="","",M2_Accesos!R175))</f>
        <v/>
      </c>
      <c r="V371" s="17" t="str">
        <f>IF(M2_Accesos!A175="","",IF(M2_Accesos!D175="","",M2_Accesos!D175))</f>
        <v/>
      </c>
      <c r="W371" s="17" t="str">
        <f>IF(M2_Accesos!A175="","",IF(M2_Accesos!B175="","",M2_Accesos!B175))</f>
        <v/>
      </c>
      <c r="X371" s="17" t="str">
        <f>IF(M2_Accesos!A175="","",IF(M2_Accesos!C175="","",M2_Accesos!C175))</f>
        <v/>
      </c>
      <c r="Y371" s="17" t="str">
        <f>IF(M2_Accesos!A175="","",IF(M2_Accesos!E175="","",M2_Accesos!E175))</f>
        <v/>
      </c>
      <c r="Z371" s="17" t="str">
        <f>IF(M2_Accesos!A175="","",IF(M2_Accesos!F175="","",M2_Accesos!F175))</f>
        <v/>
      </c>
      <c r="AA371" s="17" t="str">
        <f>IF(M2_Accesos!A175="","","M2 Accesos")</f>
        <v/>
      </c>
      <c r="AB371" s="17" t="str">
        <f>IF(M2_Accesos!A175="","",IF(M2_Accesos!G175="","",M2_Accesos!G175))</f>
        <v/>
      </c>
      <c r="AC371" s="17" t="str">
        <f>IF(M2_Accesos!A175="","",IF(M2_Accesos!M175="","",M2_Accesos!M175))</f>
        <v/>
      </c>
      <c r="AD371" s="17" t="str">
        <f>IF(M2_Accesos!A175="","","RD")</f>
        <v/>
      </c>
      <c r="AE371" s="17" t="str">
        <f>IF(M2_Accesos!A175="","",IF(M2_Accesos!O175="","",M2_Accesos!O175))</f>
        <v/>
      </c>
      <c r="AF371" s="17" t="str">
        <f>IF(M2_Accesos!A175="","",IF(M2_Accesos!P175="","",M2_Accesos!P175))</f>
        <v/>
      </c>
      <c r="AG371" s="17" t="str">
        <f>IF(M2_Accesos!A175="","",IF(M2_Accesos!Q175="","",M2_Accesos!Q175))</f>
        <v/>
      </c>
      <c r="AH371" s="17" t="str">
        <f>IF(M2_Accesos!A175="","",IF(M2_Accesos!J175="","",M2_Accesos!J175))</f>
        <v/>
      </c>
      <c r="AI371" s="17" t="str">
        <f>IF(M2_Accesos!A175="","","M2_Accesos!175")</f>
        <v/>
      </c>
      <c r="AJ371" s="17" t="str">
        <f>IF(M2_Accesos!A175="","",IF(M2_Accesos!M175="","Pendiente de resultado","Disponible"))</f>
        <v/>
      </c>
    </row>
    <row r="372" spans="1:36" ht="55.5" customHeight="1">
      <c r="A372" s="6" t="str">
        <f t="array" ref="A372">IF(368&gt;$S$1204,"",INDEX($T$5:$AJ$1204,MATCH(368,$S$5:$S$1204,0),1))</f>
        <v/>
      </c>
      <c r="B372" s="8" t="str">
        <f t="array" ref="B372">IF(368&gt;$S$1204,"",INDEX($T$5:$AJ$1204,MATCH(368,$S$5:$S$1204,0),2))</f>
        <v/>
      </c>
      <c r="C372" s="10" t="str">
        <f t="array" ref="C372">IF(368&gt;$S$1204,"",INDEX($T$5:$AJ$1204,MATCH(368,$S$5:$S$1204,0),3))</f>
        <v/>
      </c>
      <c r="D372" s="8" t="str">
        <f t="array" ref="D372">IF(368&gt;$S$1204,"",INDEX($T$5:$AJ$1204,MATCH(368,$S$5:$S$1204,0),4))</f>
        <v/>
      </c>
      <c r="E372" s="8" t="str">
        <f t="array" ref="E372">IF(368&gt;$S$1204,"",INDEX($T$5:$AJ$1204,MATCH(368,$S$5:$S$1204,0),5))</f>
        <v/>
      </c>
      <c r="F372" s="8" t="str">
        <f t="array" ref="F372">IF(368&gt;$S$1204,"",INDEX($T$5:$AJ$1204,MATCH(368,$S$5:$S$1204,0),6))</f>
        <v/>
      </c>
      <c r="G372" s="8" t="str">
        <f t="array" ref="G372">IF(368&gt;$S$1204,"",INDEX($T$5:$AJ$1204,MATCH(368,$S$5:$S$1204,0),7))</f>
        <v/>
      </c>
      <c r="H372" s="8" t="str">
        <f t="array" ref="H372">IF(368&gt;$S$1204,"",INDEX($T$5:$AJ$1204,MATCH(368,$S$5:$S$1204,0),8))</f>
        <v/>
      </c>
      <c r="I372" s="8" t="str">
        <f t="array" ref="I372">IF(368&gt;$S$1204,"",INDEX($T$5:$AJ$1204,MATCH(368,$S$5:$S$1204,0),9))</f>
        <v/>
      </c>
      <c r="J372" s="14" t="str">
        <f t="array" ref="J372">IF(368&gt;$S$1204,"",INDEX($T$5:$AJ$1204,MATCH(368,$S$5:$S$1204,0),10))</f>
        <v/>
      </c>
      <c r="K372" s="8" t="str">
        <f t="array" ref="K372">IF(368&gt;$S$1204,"",INDEX($T$5:$AJ$1204,MATCH(368,$S$5:$S$1204,0),11))</f>
        <v/>
      </c>
      <c r="L372" s="8" t="str">
        <f t="array" ref="L372">IF(368&gt;$S$1204,"",INDEX($T$5:$AJ$1204,MATCH(368,$S$5:$S$1204,0),12))</f>
        <v/>
      </c>
      <c r="M372" s="8" t="str">
        <f t="array" ref="M372">IF(368&gt;$S$1204,"",INDEX($T$5:$AJ$1204,MATCH(368,$S$5:$S$1204,0),13))</f>
        <v/>
      </c>
      <c r="N372" s="8" t="str">
        <f t="array" ref="N372">IF(368&gt;$S$1204,"",INDEX($T$5:$AJ$1204,MATCH(368,$S$5:$S$1204,0),14))</f>
        <v/>
      </c>
      <c r="O372" s="15" t="str">
        <f t="array" ref="O372">IF(368&gt;$S$1204,"",INDEX($T$5:$AJ$1204,MATCH(368,$S$5:$S$1204,0),15))</f>
        <v/>
      </c>
      <c r="P372" s="8" t="str">
        <f t="array" ref="P372">IF(368&gt;$S$1204,"",INDEX($T$5:$AJ$1204,MATCH(368,$S$5:$S$1204,0),16))</f>
        <v/>
      </c>
      <c r="Q372" s="8" t="str">
        <f t="array" ref="Q372">IF(368&gt;$S$1204,"",INDEX($T$5:$AJ$1204,MATCH(368,$S$5:$S$1204,0),17))</f>
        <v/>
      </c>
      <c r="R372" s="17"/>
      <c r="S372" s="17">
        <f>S371+IF(M2_Accesos!A176="",0,1)</f>
        <v>0</v>
      </c>
      <c r="T372" s="17" t="str">
        <f>IF(M2_Accesos!A176="","",IF(M2_Accesos!A176="","",M2_Accesos!A176))</f>
        <v/>
      </c>
      <c r="U372" s="17" t="str">
        <f>IF(M2_Accesos!A176="","",IF(M2_Accesos!R176="","",M2_Accesos!R176))</f>
        <v/>
      </c>
      <c r="V372" s="17" t="str">
        <f>IF(M2_Accesos!A176="","",IF(M2_Accesos!D176="","",M2_Accesos!D176))</f>
        <v/>
      </c>
      <c r="W372" s="17" t="str">
        <f>IF(M2_Accesos!A176="","",IF(M2_Accesos!B176="","",M2_Accesos!B176))</f>
        <v/>
      </c>
      <c r="X372" s="17" t="str">
        <f>IF(M2_Accesos!A176="","",IF(M2_Accesos!C176="","",M2_Accesos!C176))</f>
        <v/>
      </c>
      <c r="Y372" s="17" t="str">
        <f>IF(M2_Accesos!A176="","",IF(M2_Accesos!E176="","",M2_Accesos!E176))</f>
        <v/>
      </c>
      <c r="Z372" s="17" t="str">
        <f>IF(M2_Accesos!A176="","",IF(M2_Accesos!F176="","",M2_Accesos!F176))</f>
        <v/>
      </c>
      <c r="AA372" s="17" t="str">
        <f>IF(M2_Accesos!A176="","","M2 Accesos")</f>
        <v/>
      </c>
      <c r="AB372" s="17" t="str">
        <f>IF(M2_Accesos!A176="","",IF(M2_Accesos!G176="","",M2_Accesos!G176))</f>
        <v/>
      </c>
      <c r="AC372" s="17" t="str">
        <f>IF(M2_Accesos!A176="","",IF(M2_Accesos!M176="","",M2_Accesos!M176))</f>
        <v/>
      </c>
      <c r="AD372" s="17" t="str">
        <f>IF(M2_Accesos!A176="","","RD")</f>
        <v/>
      </c>
      <c r="AE372" s="17" t="str">
        <f>IF(M2_Accesos!A176="","",IF(M2_Accesos!O176="","",M2_Accesos!O176))</f>
        <v/>
      </c>
      <c r="AF372" s="17" t="str">
        <f>IF(M2_Accesos!A176="","",IF(M2_Accesos!P176="","",M2_Accesos!P176))</f>
        <v/>
      </c>
      <c r="AG372" s="17" t="str">
        <f>IF(M2_Accesos!A176="","",IF(M2_Accesos!Q176="","",M2_Accesos!Q176))</f>
        <v/>
      </c>
      <c r="AH372" s="17" t="str">
        <f>IF(M2_Accesos!A176="","",IF(M2_Accesos!J176="","",M2_Accesos!J176))</f>
        <v/>
      </c>
      <c r="AI372" s="17" t="str">
        <f>IF(M2_Accesos!A176="","","M2_Accesos!176")</f>
        <v/>
      </c>
      <c r="AJ372" s="17" t="str">
        <f>IF(M2_Accesos!A176="","",IF(M2_Accesos!M176="","Pendiente de resultado","Disponible"))</f>
        <v/>
      </c>
    </row>
    <row r="373" spans="1:36" ht="55.5" customHeight="1">
      <c r="A373" s="6" t="str">
        <f t="array" ref="A373">IF(369&gt;$S$1204,"",INDEX($T$5:$AJ$1204,MATCH(369,$S$5:$S$1204,0),1))</f>
        <v/>
      </c>
      <c r="B373" s="8" t="str">
        <f t="array" ref="B373">IF(369&gt;$S$1204,"",INDEX($T$5:$AJ$1204,MATCH(369,$S$5:$S$1204,0),2))</f>
        <v/>
      </c>
      <c r="C373" s="10" t="str">
        <f t="array" ref="C373">IF(369&gt;$S$1204,"",INDEX($T$5:$AJ$1204,MATCH(369,$S$5:$S$1204,0),3))</f>
        <v/>
      </c>
      <c r="D373" s="8" t="str">
        <f t="array" ref="D373">IF(369&gt;$S$1204,"",INDEX($T$5:$AJ$1204,MATCH(369,$S$5:$S$1204,0),4))</f>
        <v/>
      </c>
      <c r="E373" s="8" t="str">
        <f t="array" ref="E373">IF(369&gt;$S$1204,"",INDEX($T$5:$AJ$1204,MATCH(369,$S$5:$S$1204,0),5))</f>
        <v/>
      </c>
      <c r="F373" s="8" t="str">
        <f t="array" ref="F373">IF(369&gt;$S$1204,"",INDEX($T$5:$AJ$1204,MATCH(369,$S$5:$S$1204,0),6))</f>
        <v/>
      </c>
      <c r="G373" s="8" t="str">
        <f t="array" ref="G373">IF(369&gt;$S$1204,"",INDEX($T$5:$AJ$1204,MATCH(369,$S$5:$S$1204,0),7))</f>
        <v/>
      </c>
      <c r="H373" s="8" t="str">
        <f t="array" ref="H373">IF(369&gt;$S$1204,"",INDEX($T$5:$AJ$1204,MATCH(369,$S$5:$S$1204,0),8))</f>
        <v/>
      </c>
      <c r="I373" s="8" t="str">
        <f t="array" ref="I373">IF(369&gt;$S$1204,"",INDEX($T$5:$AJ$1204,MATCH(369,$S$5:$S$1204,0),9))</f>
        <v/>
      </c>
      <c r="J373" s="14" t="str">
        <f t="array" ref="J373">IF(369&gt;$S$1204,"",INDEX($T$5:$AJ$1204,MATCH(369,$S$5:$S$1204,0),10))</f>
        <v/>
      </c>
      <c r="K373" s="8" t="str">
        <f t="array" ref="K373">IF(369&gt;$S$1204,"",INDEX($T$5:$AJ$1204,MATCH(369,$S$5:$S$1204,0),11))</f>
        <v/>
      </c>
      <c r="L373" s="8" t="str">
        <f t="array" ref="L373">IF(369&gt;$S$1204,"",INDEX($T$5:$AJ$1204,MATCH(369,$S$5:$S$1204,0),12))</f>
        <v/>
      </c>
      <c r="M373" s="8" t="str">
        <f t="array" ref="M373">IF(369&gt;$S$1204,"",INDEX($T$5:$AJ$1204,MATCH(369,$S$5:$S$1204,0),13))</f>
        <v/>
      </c>
      <c r="N373" s="8" t="str">
        <f t="array" ref="N373">IF(369&gt;$S$1204,"",INDEX($T$5:$AJ$1204,MATCH(369,$S$5:$S$1204,0),14))</f>
        <v/>
      </c>
      <c r="O373" s="15" t="str">
        <f t="array" ref="O373">IF(369&gt;$S$1204,"",INDEX($T$5:$AJ$1204,MATCH(369,$S$5:$S$1204,0),15))</f>
        <v/>
      </c>
      <c r="P373" s="8" t="str">
        <f t="array" ref="P373">IF(369&gt;$S$1204,"",INDEX($T$5:$AJ$1204,MATCH(369,$S$5:$S$1204,0),16))</f>
        <v/>
      </c>
      <c r="Q373" s="8" t="str">
        <f t="array" ref="Q373">IF(369&gt;$S$1204,"",INDEX($T$5:$AJ$1204,MATCH(369,$S$5:$S$1204,0),17))</f>
        <v/>
      </c>
      <c r="R373" s="17"/>
      <c r="S373" s="17">
        <f>S372+IF(M2_Accesos!A177="",0,1)</f>
        <v>0</v>
      </c>
      <c r="T373" s="17" t="str">
        <f>IF(M2_Accesos!A177="","",IF(M2_Accesos!A177="","",M2_Accesos!A177))</f>
        <v/>
      </c>
      <c r="U373" s="17" t="str">
        <f>IF(M2_Accesos!A177="","",IF(M2_Accesos!R177="","",M2_Accesos!R177))</f>
        <v/>
      </c>
      <c r="V373" s="17" t="str">
        <f>IF(M2_Accesos!A177="","",IF(M2_Accesos!D177="","",M2_Accesos!D177))</f>
        <v/>
      </c>
      <c r="W373" s="17" t="str">
        <f>IF(M2_Accesos!A177="","",IF(M2_Accesos!B177="","",M2_Accesos!B177))</f>
        <v/>
      </c>
      <c r="X373" s="17" t="str">
        <f>IF(M2_Accesos!A177="","",IF(M2_Accesos!C177="","",M2_Accesos!C177))</f>
        <v/>
      </c>
      <c r="Y373" s="17" t="str">
        <f>IF(M2_Accesos!A177="","",IF(M2_Accesos!E177="","",M2_Accesos!E177))</f>
        <v/>
      </c>
      <c r="Z373" s="17" t="str">
        <f>IF(M2_Accesos!A177="","",IF(M2_Accesos!F177="","",M2_Accesos!F177))</f>
        <v/>
      </c>
      <c r="AA373" s="17" t="str">
        <f>IF(M2_Accesos!A177="","","M2 Accesos")</f>
        <v/>
      </c>
      <c r="AB373" s="17" t="str">
        <f>IF(M2_Accesos!A177="","",IF(M2_Accesos!G177="","",M2_Accesos!G177))</f>
        <v/>
      </c>
      <c r="AC373" s="17" t="str">
        <f>IF(M2_Accesos!A177="","",IF(M2_Accesos!M177="","",M2_Accesos!M177))</f>
        <v/>
      </c>
      <c r="AD373" s="17" t="str">
        <f>IF(M2_Accesos!A177="","","RD")</f>
        <v/>
      </c>
      <c r="AE373" s="17" t="str">
        <f>IF(M2_Accesos!A177="","",IF(M2_Accesos!O177="","",M2_Accesos!O177))</f>
        <v/>
      </c>
      <c r="AF373" s="17" t="str">
        <f>IF(M2_Accesos!A177="","",IF(M2_Accesos!P177="","",M2_Accesos!P177))</f>
        <v/>
      </c>
      <c r="AG373" s="17" t="str">
        <f>IF(M2_Accesos!A177="","",IF(M2_Accesos!Q177="","",M2_Accesos!Q177))</f>
        <v/>
      </c>
      <c r="AH373" s="17" t="str">
        <f>IF(M2_Accesos!A177="","",IF(M2_Accesos!J177="","",M2_Accesos!J177))</f>
        <v/>
      </c>
      <c r="AI373" s="17" t="str">
        <f>IF(M2_Accesos!A177="","","M2_Accesos!177")</f>
        <v/>
      </c>
      <c r="AJ373" s="17" t="str">
        <f>IF(M2_Accesos!A177="","",IF(M2_Accesos!M177="","Pendiente de resultado","Disponible"))</f>
        <v/>
      </c>
    </row>
    <row r="374" spans="1:36" ht="55.5" customHeight="1">
      <c r="A374" s="6" t="str">
        <f t="array" ref="A374">IF(370&gt;$S$1204,"",INDEX($T$5:$AJ$1204,MATCH(370,$S$5:$S$1204,0),1))</f>
        <v/>
      </c>
      <c r="B374" s="8" t="str">
        <f t="array" ref="B374">IF(370&gt;$S$1204,"",INDEX($T$5:$AJ$1204,MATCH(370,$S$5:$S$1204,0),2))</f>
        <v/>
      </c>
      <c r="C374" s="10" t="str">
        <f t="array" ref="C374">IF(370&gt;$S$1204,"",INDEX($T$5:$AJ$1204,MATCH(370,$S$5:$S$1204,0),3))</f>
        <v/>
      </c>
      <c r="D374" s="8" t="str">
        <f t="array" ref="D374">IF(370&gt;$S$1204,"",INDEX($T$5:$AJ$1204,MATCH(370,$S$5:$S$1204,0),4))</f>
        <v/>
      </c>
      <c r="E374" s="8" t="str">
        <f t="array" ref="E374">IF(370&gt;$S$1204,"",INDEX($T$5:$AJ$1204,MATCH(370,$S$5:$S$1204,0),5))</f>
        <v/>
      </c>
      <c r="F374" s="8" t="str">
        <f t="array" ref="F374">IF(370&gt;$S$1204,"",INDEX($T$5:$AJ$1204,MATCH(370,$S$5:$S$1204,0),6))</f>
        <v/>
      </c>
      <c r="G374" s="8" t="str">
        <f t="array" ref="G374">IF(370&gt;$S$1204,"",INDEX($T$5:$AJ$1204,MATCH(370,$S$5:$S$1204,0),7))</f>
        <v/>
      </c>
      <c r="H374" s="8" t="str">
        <f t="array" ref="H374">IF(370&gt;$S$1204,"",INDEX($T$5:$AJ$1204,MATCH(370,$S$5:$S$1204,0),8))</f>
        <v/>
      </c>
      <c r="I374" s="8" t="str">
        <f t="array" ref="I374">IF(370&gt;$S$1204,"",INDEX($T$5:$AJ$1204,MATCH(370,$S$5:$S$1204,0),9))</f>
        <v/>
      </c>
      <c r="J374" s="14" t="str">
        <f t="array" ref="J374">IF(370&gt;$S$1204,"",INDEX($T$5:$AJ$1204,MATCH(370,$S$5:$S$1204,0),10))</f>
        <v/>
      </c>
      <c r="K374" s="8" t="str">
        <f t="array" ref="K374">IF(370&gt;$S$1204,"",INDEX($T$5:$AJ$1204,MATCH(370,$S$5:$S$1204,0),11))</f>
        <v/>
      </c>
      <c r="L374" s="8" t="str">
        <f t="array" ref="L374">IF(370&gt;$S$1204,"",INDEX($T$5:$AJ$1204,MATCH(370,$S$5:$S$1204,0),12))</f>
        <v/>
      </c>
      <c r="M374" s="8" t="str">
        <f t="array" ref="M374">IF(370&gt;$S$1204,"",INDEX($T$5:$AJ$1204,MATCH(370,$S$5:$S$1204,0),13))</f>
        <v/>
      </c>
      <c r="N374" s="8" t="str">
        <f t="array" ref="N374">IF(370&gt;$S$1204,"",INDEX($T$5:$AJ$1204,MATCH(370,$S$5:$S$1204,0),14))</f>
        <v/>
      </c>
      <c r="O374" s="15" t="str">
        <f t="array" ref="O374">IF(370&gt;$S$1204,"",INDEX($T$5:$AJ$1204,MATCH(370,$S$5:$S$1204,0),15))</f>
        <v/>
      </c>
      <c r="P374" s="8" t="str">
        <f t="array" ref="P374">IF(370&gt;$S$1204,"",INDEX($T$5:$AJ$1204,MATCH(370,$S$5:$S$1204,0),16))</f>
        <v/>
      </c>
      <c r="Q374" s="8" t="str">
        <f t="array" ref="Q374">IF(370&gt;$S$1204,"",INDEX($T$5:$AJ$1204,MATCH(370,$S$5:$S$1204,0),17))</f>
        <v/>
      </c>
      <c r="R374" s="17"/>
      <c r="S374" s="17">
        <f>S373+IF(M2_Accesos!A178="",0,1)</f>
        <v>0</v>
      </c>
      <c r="T374" s="17" t="str">
        <f>IF(M2_Accesos!A178="","",IF(M2_Accesos!A178="","",M2_Accesos!A178))</f>
        <v/>
      </c>
      <c r="U374" s="17" t="str">
        <f>IF(M2_Accesos!A178="","",IF(M2_Accesos!R178="","",M2_Accesos!R178))</f>
        <v/>
      </c>
      <c r="V374" s="17" t="str">
        <f>IF(M2_Accesos!A178="","",IF(M2_Accesos!D178="","",M2_Accesos!D178))</f>
        <v/>
      </c>
      <c r="W374" s="17" t="str">
        <f>IF(M2_Accesos!A178="","",IF(M2_Accesos!B178="","",M2_Accesos!B178))</f>
        <v/>
      </c>
      <c r="X374" s="17" t="str">
        <f>IF(M2_Accesos!A178="","",IF(M2_Accesos!C178="","",M2_Accesos!C178))</f>
        <v/>
      </c>
      <c r="Y374" s="17" t="str">
        <f>IF(M2_Accesos!A178="","",IF(M2_Accesos!E178="","",M2_Accesos!E178))</f>
        <v/>
      </c>
      <c r="Z374" s="17" t="str">
        <f>IF(M2_Accesos!A178="","",IF(M2_Accesos!F178="","",M2_Accesos!F178))</f>
        <v/>
      </c>
      <c r="AA374" s="17" t="str">
        <f>IF(M2_Accesos!A178="","","M2 Accesos")</f>
        <v/>
      </c>
      <c r="AB374" s="17" t="str">
        <f>IF(M2_Accesos!A178="","",IF(M2_Accesos!G178="","",M2_Accesos!G178))</f>
        <v/>
      </c>
      <c r="AC374" s="17" t="str">
        <f>IF(M2_Accesos!A178="","",IF(M2_Accesos!M178="","",M2_Accesos!M178))</f>
        <v/>
      </c>
      <c r="AD374" s="17" t="str">
        <f>IF(M2_Accesos!A178="","","RD")</f>
        <v/>
      </c>
      <c r="AE374" s="17" t="str">
        <f>IF(M2_Accesos!A178="","",IF(M2_Accesos!O178="","",M2_Accesos!O178))</f>
        <v/>
      </c>
      <c r="AF374" s="17" t="str">
        <f>IF(M2_Accesos!A178="","",IF(M2_Accesos!P178="","",M2_Accesos!P178))</f>
        <v/>
      </c>
      <c r="AG374" s="17" t="str">
        <f>IF(M2_Accesos!A178="","",IF(M2_Accesos!Q178="","",M2_Accesos!Q178))</f>
        <v/>
      </c>
      <c r="AH374" s="17" t="str">
        <f>IF(M2_Accesos!A178="","",IF(M2_Accesos!J178="","",M2_Accesos!J178))</f>
        <v/>
      </c>
      <c r="AI374" s="17" t="str">
        <f>IF(M2_Accesos!A178="","","M2_Accesos!178")</f>
        <v/>
      </c>
      <c r="AJ374" s="17" t="str">
        <f>IF(M2_Accesos!A178="","",IF(M2_Accesos!M178="","Pendiente de resultado","Disponible"))</f>
        <v/>
      </c>
    </row>
    <row r="375" spans="1:36" ht="55.5" customHeight="1">
      <c r="A375" s="6" t="str">
        <f t="array" ref="A375">IF(371&gt;$S$1204,"",INDEX($T$5:$AJ$1204,MATCH(371,$S$5:$S$1204,0),1))</f>
        <v/>
      </c>
      <c r="B375" s="8" t="str">
        <f t="array" ref="B375">IF(371&gt;$S$1204,"",INDEX($T$5:$AJ$1204,MATCH(371,$S$5:$S$1204,0),2))</f>
        <v/>
      </c>
      <c r="C375" s="10" t="str">
        <f t="array" ref="C375">IF(371&gt;$S$1204,"",INDEX($T$5:$AJ$1204,MATCH(371,$S$5:$S$1204,0),3))</f>
        <v/>
      </c>
      <c r="D375" s="8" t="str">
        <f t="array" ref="D375">IF(371&gt;$S$1204,"",INDEX($T$5:$AJ$1204,MATCH(371,$S$5:$S$1204,0),4))</f>
        <v/>
      </c>
      <c r="E375" s="8" t="str">
        <f t="array" ref="E375">IF(371&gt;$S$1204,"",INDEX($T$5:$AJ$1204,MATCH(371,$S$5:$S$1204,0),5))</f>
        <v/>
      </c>
      <c r="F375" s="8" t="str">
        <f t="array" ref="F375">IF(371&gt;$S$1204,"",INDEX($T$5:$AJ$1204,MATCH(371,$S$5:$S$1204,0),6))</f>
        <v/>
      </c>
      <c r="G375" s="8" t="str">
        <f t="array" ref="G375">IF(371&gt;$S$1204,"",INDEX($T$5:$AJ$1204,MATCH(371,$S$5:$S$1204,0),7))</f>
        <v/>
      </c>
      <c r="H375" s="8" t="str">
        <f t="array" ref="H375">IF(371&gt;$S$1204,"",INDEX($T$5:$AJ$1204,MATCH(371,$S$5:$S$1204,0),8))</f>
        <v/>
      </c>
      <c r="I375" s="8" t="str">
        <f t="array" ref="I375">IF(371&gt;$S$1204,"",INDEX($T$5:$AJ$1204,MATCH(371,$S$5:$S$1204,0),9))</f>
        <v/>
      </c>
      <c r="J375" s="14" t="str">
        <f t="array" ref="J375">IF(371&gt;$S$1204,"",INDEX($T$5:$AJ$1204,MATCH(371,$S$5:$S$1204,0),10))</f>
        <v/>
      </c>
      <c r="K375" s="8" t="str">
        <f t="array" ref="K375">IF(371&gt;$S$1204,"",INDEX($T$5:$AJ$1204,MATCH(371,$S$5:$S$1204,0),11))</f>
        <v/>
      </c>
      <c r="L375" s="8" t="str">
        <f t="array" ref="L375">IF(371&gt;$S$1204,"",INDEX($T$5:$AJ$1204,MATCH(371,$S$5:$S$1204,0),12))</f>
        <v/>
      </c>
      <c r="M375" s="8" t="str">
        <f t="array" ref="M375">IF(371&gt;$S$1204,"",INDEX($T$5:$AJ$1204,MATCH(371,$S$5:$S$1204,0),13))</f>
        <v/>
      </c>
      <c r="N375" s="8" t="str">
        <f t="array" ref="N375">IF(371&gt;$S$1204,"",INDEX($T$5:$AJ$1204,MATCH(371,$S$5:$S$1204,0),14))</f>
        <v/>
      </c>
      <c r="O375" s="15" t="str">
        <f t="array" ref="O375">IF(371&gt;$S$1204,"",INDEX($T$5:$AJ$1204,MATCH(371,$S$5:$S$1204,0),15))</f>
        <v/>
      </c>
      <c r="P375" s="8" t="str">
        <f t="array" ref="P375">IF(371&gt;$S$1204,"",INDEX($T$5:$AJ$1204,MATCH(371,$S$5:$S$1204,0),16))</f>
        <v/>
      </c>
      <c r="Q375" s="8" t="str">
        <f t="array" ref="Q375">IF(371&gt;$S$1204,"",INDEX($T$5:$AJ$1204,MATCH(371,$S$5:$S$1204,0),17))</f>
        <v/>
      </c>
      <c r="R375" s="17"/>
      <c r="S375" s="17">
        <f>S374+IF(M2_Accesos!A179="",0,1)</f>
        <v>0</v>
      </c>
      <c r="T375" s="17" t="str">
        <f>IF(M2_Accesos!A179="","",IF(M2_Accesos!A179="","",M2_Accesos!A179))</f>
        <v/>
      </c>
      <c r="U375" s="17" t="str">
        <f>IF(M2_Accesos!A179="","",IF(M2_Accesos!R179="","",M2_Accesos!R179))</f>
        <v/>
      </c>
      <c r="V375" s="17" t="str">
        <f>IF(M2_Accesos!A179="","",IF(M2_Accesos!D179="","",M2_Accesos!D179))</f>
        <v/>
      </c>
      <c r="W375" s="17" t="str">
        <f>IF(M2_Accesos!A179="","",IF(M2_Accesos!B179="","",M2_Accesos!B179))</f>
        <v/>
      </c>
      <c r="X375" s="17" t="str">
        <f>IF(M2_Accesos!A179="","",IF(M2_Accesos!C179="","",M2_Accesos!C179))</f>
        <v/>
      </c>
      <c r="Y375" s="17" t="str">
        <f>IF(M2_Accesos!A179="","",IF(M2_Accesos!E179="","",M2_Accesos!E179))</f>
        <v/>
      </c>
      <c r="Z375" s="17" t="str">
        <f>IF(M2_Accesos!A179="","",IF(M2_Accesos!F179="","",M2_Accesos!F179))</f>
        <v/>
      </c>
      <c r="AA375" s="17" t="str">
        <f>IF(M2_Accesos!A179="","","M2 Accesos")</f>
        <v/>
      </c>
      <c r="AB375" s="17" t="str">
        <f>IF(M2_Accesos!A179="","",IF(M2_Accesos!G179="","",M2_Accesos!G179))</f>
        <v/>
      </c>
      <c r="AC375" s="17" t="str">
        <f>IF(M2_Accesos!A179="","",IF(M2_Accesos!M179="","",M2_Accesos!M179))</f>
        <v/>
      </c>
      <c r="AD375" s="17" t="str">
        <f>IF(M2_Accesos!A179="","","RD")</f>
        <v/>
      </c>
      <c r="AE375" s="17" t="str">
        <f>IF(M2_Accesos!A179="","",IF(M2_Accesos!O179="","",M2_Accesos!O179))</f>
        <v/>
      </c>
      <c r="AF375" s="17" t="str">
        <f>IF(M2_Accesos!A179="","",IF(M2_Accesos!P179="","",M2_Accesos!P179))</f>
        <v/>
      </c>
      <c r="AG375" s="17" t="str">
        <f>IF(M2_Accesos!A179="","",IF(M2_Accesos!Q179="","",M2_Accesos!Q179))</f>
        <v/>
      </c>
      <c r="AH375" s="17" t="str">
        <f>IF(M2_Accesos!A179="","",IF(M2_Accesos!J179="","",M2_Accesos!J179))</f>
        <v/>
      </c>
      <c r="AI375" s="17" t="str">
        <f>IF(M2_Accesos!A179="","","M2_Accesos!179")</f>
        <v/>
      </c>
      <c r="AJ375" s="17" t="str">
        <f>IF(M2_Accesos!A179="","",IF(M2_Accesos!M179="","Pendiente de resultado","Disponible"))</f>
        <v/>
      </c>
    </row>
    <row r="376" spans="1:36" ht="55.5" customHeight="1">
      <c r="A376" s="6" t="str">
        <f t="array" ref="A376">IF(372&gt;$S$1204,"",INDEX($T$5:$AJ$1204,MATCH(372,$S$5:$S$1204,0),1))</f>
        <v/>
      </c>
      <c r="B376" s="8" t="str">
        <f t="array" ref="B376">IF(372&gt;$S$1204,"",INDEX($T$5:$AJ$1204,MATCH(372,$S$5:$S$1204,0),2))</f>
        <v/>
      </c>
      <c r="C376" s="10" t="str">
        <f t="array" ref="C376">IF(372&gt;$S$1204,"",INDEX($T$5:$AJ$1204,MATCH(372,$S$5:$S$1204,0),3))</f>
        <v/>
      </c>
      <c r="D376" s="8" t="str">
        <f t="array" ref="D376">IF(372&gt;$S$1204,"",INDEX($T$5:$AJ$1204,MATCH(372,$S$5:$S$1204,0),4))</f>
        <v/>
      </c>
      <c r="E376" s="8" t="str">
        <f t="array" ref="E376">IF(372&gt;$S$1204,"",INDEX($T$5:$AJ$1204,MATCH(372,$S$5:$S$1204,0),5))</f>
        <v/>
      </c>
      <c r="F376" s="8" t="str">
        <f t="array" ref="F376">IF(372&gt;$S$1204,"",INDEX($T$5:$AJ$1204,MATCH(372,$S$5:$S$1204,0),6))</f>
        <v/>
      </c>
      <c r="G376" s="8" t="str">
        <f t="array" ref="G376">IF(372&gt;$S$1204,"",INDEX($T$5:$AJ$1204,MATCH(372,$S$5:$S$1204,0),7))</f>
        <v/>
      </c>
      <c r="H376" s="8" t="str">
        <f t="array" ref="H376">IF(372&gt;$S$1204,"",INDEX($T$5:$AJ$1204,MATCH(372,$S$5:$S$1204,0),8))</f>
        <v/>
      </c>
      <c r="I376" s="8" t="str">
        <f t="array" ref="I376">IF(372&gt;$S$1204,"",INDEX($T$5:$AJ$1204,MATCH(372,$S$5:$S$1204,0),9))</f>
        <v/>
      </c>
      <c r="J376" s="14" t="str">
        <f t="array" ref="J376">IF(372&gt;$S$1204,"",INDEX($T$5:$AJ$1204,MATCH(372,$S$5:$S$1204,0),10))</f>
        <v/>
      </c>
      <c r="K376" s="8" t="str">
        <f t="array" ref="K376">IF(372&gt;$S$1204,"",INDEX($T$5:$AJ$1204,MATCH(372,$S$5:$S$1204,0),11))</f>
        <v/>
      </c>
      <c r="L376" s="8" t="str">
        <f t="array" ref="L376">IF(372&gt;$S$1204,"",INDEX($T$5:$AJ$1204,MATCH(372,$S$5:$S$1204,0),12))</f>
        <v/>
      </c>
      <c r="M376" s="8" t="str">
        <f t="array" ref="M376">IF(372&gt;$S$1204,"",INDEX($T$5:$AJ$1204,MATCH(372,$S$5:$S$1204,0),13))</f>
        <v/>
      </c>
      <c r="N376" s="8" t="str">
        <f t="array" ref="N376">IF(372&gt;$S$1204,"",INDEX($T$5:$AJ$1204,MATCH(372,$S$5:$S$1204,0),14))</f>
        <v/>
      </c>
      <c r="O376" s="15" t="str">
        <f t="array" ref="O376">IF(372&gt;$S$1204,"",INDEX($T$5:$AJ$1204,MATCH(372,$S$5:$S$1204,0),15))</f>
        <v/>
      </c>
      <c r="P376" s="8" t="str">
        <f t="array" ref="P376">IF(372&gt;$S$1204,"",INDEX($T$5:$AJ$1204,MATCH(372,$S$5:$S$1204,0),16))</f>
        <v/>
      </c>
      <c r="Q376" s="8" t="str">
        <f t="array" ref="Q376">IF(372&gt;$S$1204,"",INDEX($T$5:$AJ$1204,MATCH(372,$S$5:$S$1204,0),17))</f>
        <v/>
      </c>
      <c r="R376" s="17"/>
      <c r="S376" s="17">
        <f>S375+IF(M2_Accesos!A180="",0,1)</f>
        <v>0</v>
      </c>
      <c r="T376" s="17" t="str">
        <f>IF(M2_Accesos!A180="","",IF(M2_Accesos!A180="","",M2_Accesos!A180))</f>
        <v/>
      </c>
      <c r="U376" s="17" t="str">
        <f>IF(M2_Accesos!A180="","",IF(M2_Accesos!R180="","",M2_Accesos!R180))</f>
        <v/>
      </c>
      <c r="V376" s="17" t="str">
        <f>IF(M2_Accesos!A180="","",IF(M2_Accesos!D180="","",M2_Accesos!D180))</f>
        <v/>
      </c>
      <c r="W376" s="17" t="str">
        <f>IF(M2_Accesos!A180="","",IF(M2_Accesos!B180="","",M2_Accesos!B180))</f>
        <v/>
      </c>
      <c r="X376" s="17" t="str">
        <f>IF(M2_Accesos!A180="","",IF(M2_Accesos!C180="","",M2_Accesos!C180))</f>
        <v/>
      </c>
      <c r="Y376" s="17" t="str">
        <f>IF(M2_Accesos!A180="","",IF(M2_Accesos!E180="","",M2_Accesos!E180))</f>
        <v/>
      </c>
      <c r="Z376" s="17" t="str">
        <f>IF(M2_Accesos!A180="","",IF(M2_Accesos!F180="","",M2_Accesos!F180))</f>
        <v/>
      </c>
      <c r="AA376" s="17" t="str">
        <f>IF(M2_Accesos!A180="","","M2 Accesos")</f>
        <v/>
      </c>
      <c r="AB376" s="17" t="str">
        <f>IF(M2_Accesos!A180="","",IF(M2_Accesos!G180="","",M2_Accesos!G180))</f>
        <v/>
      </c>
      <c r="AC376" s="17" t="str">
        <f>IF(M2_Accesos!A180="","",IF(M2_Accesos!M180="","",M2_Accesos!M180))</f>
        <v/>
      </c>
      <c r="AD376" s="17" t="str">
        <f>IF(M2_Accesos!A180="","","RD")</f>
        <v/>
      </c>
      <c r="AE376" s="17" t="str">
        <f>IF(M2_Accesos!A180="","",IF(M2_Accesos!O180="","",M2_Accesos!O180))</f>
        <v/>
      </c>
      <c r="AF376" s="17" t="str">
        <f>IF(M2_Accesos!A180="","",IF(M2_Accesos!P180="","",M2_Accesos!P180))</f>
        <v/>
      </c>
      <c r="AG376" s="17" t="str">
        <f>IF(M2_Accesos!A180="","",IF(M2_Accesos!Q180="","",M2_Accesos!Q180))</f>
        <v/>
      </c>
      <c r="AH376" s="17" t="str">
        <f>IF(M2_Accesos!A180="","",IF(M2_Accesos!J180="","",M2_Accesos!J180))</f>
        <v/>
      </c>
      <c r="AI376" s="17" t="str">
        <f>IF(M2_Accesos!A180="","","M2_Accesos!180")</f>
        <v/>
      </c>
      <c r="AJ376" s="17" t="str">
        <f>IF(M2_Accesos!A180="","",IF(M2_Accesos!M180="","Pendiente de resultado","Disponible"))</f>
        <v/>
      </c>
    </row>
    <row r="377" spans="1:36" ht="55.5" customHeight="1">
      <c r="A377" s="6" t="str">
        <f t="array" ref="A377">IF(373&gt;$S$1204,"",INDEX($T$5:$AJ$1204,MATCH(373,$S$5:$S$1204,0),1))</f>
        <v/>
      </c>
      <c r="B377" s="8" t="str">
        <f t="array" ref="B377">IF(373&gt;$S$1204,"",INDEX($T$5:$AJ$1204,MATCH(373,$S$5:$S$1204,0),2))</f>
        <v/>
      </c>
      <c r="C377" s="10" t="str">
        <f t="array" ref="C377">IF(373&gt;$S$1204,"",INDEX($T$5:$AJ$1204,MATCH(373,$S$5:$S$1204,0),3))</f>
        <v/>
      </c>
      <c r="D377" s="8" t="str">
        <f t="array" ref="D377">IF(373&gt;$S$1204,"",INDEX($T$5:$AJ$1204,MATCH(373,$S$5:$S$1204,0),4))</f>
        <v/>
      </c>
      <c r="E377" s="8" t="str">
        <f t="array" ref="E377">IF(373&gt;$S$1204,"",INDEX($T$5:$AJ$1204,MATCH(373,$S$5:$S$1204,0),5))</f>
        <v/>
      </c>
      <c r="F377" s="8" t="str">
        <f t="array" ref="F377">IF(373&gt;$S$1204,"",INDEX($T$5:$AJ$1204,MATCH(373,$S$5:$S$1204,0),6))</f>
        <v/>
      </c>
      <c r="G377" s="8" t="str">
        <f t="array" ref="G377">IF(373&gt;$S$1204,"",INDEX($T$5:$AJ$1204,MATCH(373,$S$5:$S$1204,0),7))</f>
        <v/>
      </c>
      <c r="H377" s="8" t="str">
        <f t="array" ref="H377">IF(373&gt;$S$1204,"",INDEX($T$5:$AJ$1204,MATCH(373,$S$5:$S$1204,0),8))</f>
        <v/>
      </c>
      <c r="I377" s="8" t="str">
        <f t="array" ref="I377">IF(373&gt;$S$1204,"",INDEX($T$5:$AJ$1204,MATCH(373,$S$5:$S$1204,0),9))</f>
        <v/>
      </c>
      <c r="J377" s="14" t="str">
        <f t="array" ref="J377">IF(373&gt;$S$1204,"",INDEX($T$5:$AJ$1204,MATCH(373,$S$5:$S$1204,0),10))</f>
        <v/>
      </c>
      <c r="K377" s="8" t="str">
        <f t="array" ref="K377">IF(373&gt;$S$1204,"",INDEX($T$5:$AJ$1204,MATCH(373,$S$5:$S$1204,0),11))</f>
        <v/>
      </c>
      <c r="L377" s="8" t="str">
        <f t="array" ref="L377">IF(373&gt;$S$1204,"",INDEX($T$5:$AJ$1204,MATCH(373,$S$5:$S$1204,0),12))</f>
        <v/>
      </c>
      <c r="M377" s="8" t="str">
        <f t="array" ref="M377">IF(373&gt;$S$1204,"",INDEX($T$5:$AJ$1204,MATCH(373,$S$5:$S$1204,0),13))</f>
        <v/>
      </c>
      <c r="N377" s="8" t="str">
        <f t="array" ref="N377">IF(373&gt;$S$1204,"",INDEX($T$5:$AJ$1204,MATCH(373,$S$5:$S$1204,0),14))</f>
        <v/>
      </c>
      <c r="O377" s="15" t="str">
        <f t="array" ref="O377">IF(373&gt;$S$1204,"",INDEX($T$5:$AJ$1204,MATCH(373,$S$5:$S$1204,0),15))</f>
        <v/>
      </c>
      <c r="P377" s="8" t="str">
        <f t="array" ref="P377">IF(373&gt;$S$1204,"",INDEX($T$5:$AJ$1204,MATCH(373,$S$5:$S$1204,0),16))</f>
        <v/>
      </c>
      <c r="Q377" s="8" t="str">
        <f t="array" ref="Q377">IF(373&gt;$S$1204,"",INDEX($T$5:$AJ$1204,MATCH(373,$S$5:$S$1204,0),17))</f>
        <v/>
      </c>
      <c r="R377" s="17"/>
      <c r="S377" s="17">
        <f>S376+IF(M2_Accesos!A181="",0,1)</f>
        <v>0</v>
      </c>
      <c r="T377" s="17" t="str">
        <f>IF(M2_Accesos!A181="","",IF(M2_Accesos!A181="","",M2_Accesos!A181))</f>
        <v/>
      </c>
      <c r="U377" s="17" t="str">
        <f>IF(M2_Accesos!A181="","",IF(M2_Accesos!R181="","",M2_Accesos!R181))</f>
        <v/>
      </c>
      <c r="V377" s="17" t="str">
        <f>IF(M2_Accesos!A181="","",IF(M2_Accesos!D181="","",M2_Accesos!D181))</f>
        <v/>
      </c>
      <c r="W377" s="17" t="str">
        <f>IF(M2_Accesos!A181="","",IF(M2_Accesos!B181="","",M2_Accesos!B181))</f>
        <v/>
      </c>
      <c r="X377" s="17" t="str">
        <f>IF(M2_Accesos!A181="","",IF(M2_Accesos!C181="","",M2_Accesos!C181))</f>
        <v/>
      </c>
      <c r="Y377" s="17" t="str">
        <f>IF(M2_Accesos!A181="","",IF(M2_Accesos!E181="","",M2_Accesos!E181))</f>
        <v/>
      </c>
      <c r="Z377" s="17" t="str">
        <f>IF(M2_Accesos!A181="","",IF(M2_Accesos!F181="","",M2_Accesos!F181))</f>
        <v/>
      </c>
      <c r="AA377" s="17" t="str">
        <f>IF(M2_Accesos!A181="","","M2 Accesos")</f>
        <v/>
      </c>
      <c r="AB377" s="17" t="str">
        <f>IF(M2_Accesos!A181="","",IF(M2_Accesos!G181="","",M2_Accesos!G181))</f>
        <v/>
      </c>
      <c r="AC377" s="17" t="str">
        <f>IF(M2_Accesos!A181="","",IF(M2_Accesos!M181="","",M2_Accesos!M181))</f>
        <v/>
      </c>
      <c r="AD377" s="17" t="str">
        <f>IF(M2_Accesos!A181="","","RD")</f>
        <v/>
      </c>
      <c r="AE377" s="17" t="str">
        <f>IF(M2_Accesos!A181="","",IF(M2_Accesos!O181="","",M2_Accesos!O181))</f>
        <v/>
      </c>
      <c r="AF377" s="17" t="str">
        <f>IF(M2_Accesos!A181="","",IF(M2_Accesos!P181="","",M2_Accesos!P181))</f>
        <v/>
      </c>
      <c r="AG377" s="17" t="str">
        <f>IF(M2_Accesos!A181="","",IF(M2_Accesos!Q181="","",M2_Accesos!Q181))</f>
        <v/>
      </c>
      <c r="AH377" s="17" t="str">
        <f>IF(M2_Accesos!A181="","",IF(M2_Accesos!J181="","",M2_Accesos!J181))</f>
        <v/>
      </c>
      <c r="AI377" s="17" t="str">
        <f>IF(M2_Accesos!A181="","","M2_Accesos!181")</f>
        <v/>
      </c>
      <c r="AJ377" s="17" t="str">
        <f>IF(M2_Accesos!A181="","",IF(M2_Accesos!M181="","Pendiente de resultado","Disponible"))</f>
        <v/>
      </c>
    </row>
    <row r="378" spans="1:36" ht="55.5" customHeight="1">
      <c r="A378" s="6" t="str">
        <f t="array" ref="A378">IF(374&gt;$S$1204,"",INDEX($T$5:$AJ$1204,MATCH(374,$S$5:$S$1204,0),1))</f>
        <v/>
      </c>
      <c r="B378" s="8" t="str">
        <f t="array" ref="B378">IF(374&gt;$S$1204,"",INDEX($T$5:$AJ$1204,MATCH(374,$S$5:$S$1204,0),2))</f>
        <v/>
      </c>
      <c r="C378" s="10" t="str">
        <f t="array" ref="C378">IF(374&gt;$S$1204,"",INDEX($T$5:$AJ$1204,MATCH(374,$S$5:$S$1204,0),3))</f>
        <v/>
      </c>
      <c r="D378" s="8" t="str">
        <f t="array" ref="D378">IF(374&gt;$S$1204,"",INDEX($T$5:$AJ$1204,MATCH(374,$S$5:$S$1204,0),4))</f>
        <v/>
      </c>
      <c r="E378" s="8" t="str">
        <f t="array" ref="E378">IF(374&gt;$S$1204,"",INDEX($T$5:$AJ$1204,MATCH(374,$S$5:$S$1204,0),5))</f>
        <v/>
      </c>
      <c r="F378" s="8" t="str">
        <f t="array" ref="F378">IF(374&gt;$S$1204,"",INDEX($T$5:$AJ$1204,MATCH(374,$S$5:$S$1204,0),6))</f>
        <v/>
      </c>
      <c r="G378" s="8" t="str">
        <f t="array" ref="G378">IF(374&gt;$S$1204,"",INDEX($T$5:$AJ$1204,MATCH(374,$S$5:$S$1204,0),7))</f>
        <v/>
      </c>
      <c r="H378" s="8" t="str">
        <f t="array" ref="H378">IF(374&gt;$S$1204,"",INDEX($T$5:$AJ$1204,MATCH(374,$S$5:$S$1204,0),8))</f>
        <v/>
      </c>
      <c r="I378" s="8" t="str">
        <f t="array" ref="I378">IF(374&gt;$S$1204,"",INDEX($T$5:$AJ$1204,MATCH(374,$S$5:$S$1204,0),9))</f>
        <v/>
      </c>
      <c r="J378" s="14" t="str">
        <f t="array" ref="J378">IF(374&gt;$S$1204,"",INDEX($T$5:$AJ$1204,MATCH(374,$S$5:$S$1204,0),10))</f>
        <v/>
      </c>
      <c r="K378" s="8" t="str">
        <f t="array" ref="K378">IF(374&gt;$S$1204,"",INDEX($T$5:$AJ$1204,MATCH(374,$S$5:$S$1204,0),11))</f>
        <v/>
      </c>
      <c r="L378" s="8" t="str">
        <f t="array" ref="L378">IF(374&gt;$S$1204,"",INDEX($T$5:$AJ$1204,MATCH(374,$S$5:$S$1204,0),12))</f>
        <v/>
      </c>
      <c r="M378" s="8" t="str">
        <f t="array" ref="M378">IF(374&gt;$S$1204,"",INDEX($T$5:$AJ$1204,MATCH(374,$S$5:$S$1204,0),13))</f>
        <v/>
      </c>
      <c r="N378" s="8" t="str">
        <f t="array" ref="N378">IF(374&gt;$S$1204,"",INDEX($T$5:$AJ$1204,MATCH(374,$S$5:$S$1204,0),14))</f>
        <v/>
      </c>
      <c r="O378" s="15" t="str">
        <f t="array" ref="O378">IF(374&gt;$S$1204,"",INDEX($T$5:$AJ$1204,MATCH(374,$S$5:$S$1204,0),15))</f>
        <v/>
      </c>
      <c r="P378" s="8" t="str">
        <f t="array" ref="P378">IF(374&gt;$S$1204,"",INDEX($T$5:$AJ$1204,MATCH(374,$S$5:$S$1204,0),16))</f>
        <v/>
      </c>
      <c r="Q378" s="8" t="str">
        <f t="array" ref="Q378">IF(374&gt;$S$1204,"",INDEX($T$5:$AJ$1204,MATCH(374,$S$5:$S$1204,0),17))</f>
        <v/>
      </c>
      <c r="R378" s="17"/>
      <c r="S378" s="17">
        <f>S377+IF(M2_Accesos!A182="",0,1)</f>
        <v>0</v>
      </c>
      <c r="T378" s="17" t="str">
        <f>IF(M2_Accesos!A182="","",IF(M2_Accesos!A182="","",M2_Accesos!A182))</f>
        <v/>
      </c>
      <c r="U378" s="17" t="str">
        <f>IF(M2_Accesos!A182="","",IF(M2_Accesos!R182="","",M2_Accesos!R182))</f>
        <v/>
      </c>
      <c r="V378" s="17" t="str">
        <f>IF(M2_Accesos!A182="","",IF(M2_Accesos!D182="","",M2_Accesos!D182))</f>
        <v/>
      </c>
      <c r="W378" s="17" t="str">
        <f>IF(M2_Accesos!A182="","",IF(M2_Accesos!B182="","",M2_Accesos!B182))</f>
        <v/>
      </c>
      <c r="X378" s="17" t="str">
        <f>IF(M2_Accesos!A182="","",IF(M2_Accesos!C182="","",M2_Accesos!C182))</f>
        <v/>
      </c>
      <c r="Y378" s="17" t="str">
        <f>IF(M2_Accesos!A182="","",IF(M2_Accesos!E182="","",M2_Accesos!E182))</f>
        <v/>
      </c>
      <c r="Z378" s="17" t="str">
        <f>IF(M2_Accesos!A182="","",IF(M2_Accesos!F182="","",M2_Accesos!F182))</f>
        <v/>
      </c>
      <c r="AA378" s="17" t="str">
        <f>IF(M2_Accesos!A182="","","M2 Accesos")</f>
        <v/>
      </c>
      <c r="AB378" s="17" t="str">
        <f>IF(M2_Accesos!A182="","",IF(M2_Accesos!G182="","",M2_Accesos!G182))</f>
        <v/>
      </c>
      <c r="AC378" s="17" t="str">
        <f>IF(M2_Accesos!A182="","",IF(M2_Accesos!M182="","",M2_Accesos!M182))</f>
        <v/>
      </c>
      <c r="AD378" s="17" t="str">
        <f>IF(M2_Accesos!A182="","","RD")</f>
        <v/>
      </c>
      <c r="AE378" s="17" t="str">
        <f>IF(M2_Accesos!A182="","",IF(M2_Accesos!O182="","",M2_Accesos!O182))</f>
        <v/>
      </c>
      <c r="AF378" s="17" t="str">
        <f>IF(M2_Accesos!A182="","",IF(M2_Accesos!P182="","",M2_Accesos!P182))</f>
        <v/>
      </c>
      <c r="AG378" s="17" t="str">
        <f>IF(M2_Accesos!A182="","",IF(M2_Accesos!Q182="","",M2_Accesos!Q182))</f>
        <v/>
      </c>
      <c r="AH378" s="17" t="str">
        <f>IF(M2_Accesos!A182="","",IF(M2_Accesos!J182="","",M2_Accesos!J182))</f>
        <v/>
      </c>
      <c r="AI378" s="17" t="str">
        <f>IF(M2_Accesos!A182="","","M2_Accesos!182")</f>
        <v/>
      </c>
      <c r="AJ378" s="17" t="str">
        <f>IF(M2_Accesos!A182="","",IF(M2_Accesos!M182="","Pendiente de resultado","Disponible"))</f>
        <v/>
      </c>
    </row>
    <row r="379" spans="1:36" ht="55.5" customHeight="1">
      <c r="A379" s="6" t="str">
        <f t="array" ref="A379">IF(375&gt;$S$1204,"",INDEX($T$5:$AJ$1204,MATCH(375,$S$5:$S$1204,0),1))</f>
        <v/>
      </c>
      <c r="B379" s="8" t="str">
        <f t="array" ref="B379">IF(375&gt;$S$1204,"",INDEX($T$5:$AJ$1204,MATCH(375,$S$5:$S$1204,0),2))</f>
        <v/>
      </c>
      <c r="C379" s="10" t="str">
        <f t="array" ref="C379">IF(375&gt;$S$1204,"",INDEX($T$5:$AJ$1204,MATCH(375,$S$5:$S$1204,0),3))</f>
        <v/>
      </c>
      <c r="D379" s="8" t="str">
        <f t="array" ref="D379">IF(375&gt;$S$1204,"",INDEX($T$5:$AJ$1204,MATCH(375,$S$5:$S$1204,0),4))</f>
        <v/>
      </c>
      <c r="E379" s="8" t="str">
        <f t="array" ref="E379">IF(375&gt;$S$1204,"",INDEX($T$5:$AJ$1204,MATCH(375,$S$5:$S$1204,0),5))</f>
        <v/>
      </c>
      <c r="F379" s="8" t="str">
        <f t="array" ref="F379">IF(375&gt;$S$1204,"",INDEX($T$5:$AJ$1204,MATCH(375,$S$5:$S$1204,0),6))</f>
        <v/>
      </c>
      <c r="G379" s="8" t="str">
        <f t="array" ref="G379">IF(375&gt;$S$1204,"",INDEX($T$5:$AJ$1204,MATCH(375,$S$5:$S$1204,0),7))</f>
        <v/>
      </c>
      <c r="H379" s="8" t="str">
        <f t="array" ref="H379">IF(375&gt;$S$1204,"",INDEX($T$5:$AJ$1204,MATCH(375,$S$5:$S$1204,0),8))</f>
        <v/>
      </c>
      <c r="I379" s="8" t="str">
        <f t="array" ref="I379">IF(375&gt;$S$1204,"",INDEX($T$5:$AJ$1204,MATCH(375,$S$5:$S$1204,0),9))</f>
        <v/>
      </c>
      <c r="J379" s="14" t="str">
        <f t="array" ref="J379">IF(375&gt;$S$1204,"",INDEX($T$5:$AJ$1204,MATCH(375,$S$5:$S$1204,0),10))</f>
        <v/>
      </c>
      <c r="K379" s="8" t="str">
        <f t="array" ref="K379">IF(375&gt;$S$1204,"",INDEX($T$5:$AJ$1204,MATCH(375,$S$5:$S$1204,0),11))</f>
        <v/>
      </c>
      <c r="L379" s="8" t="str">
        <f t="array" ref="L379">IF(375&gt;$S$1204,"",INDEX($T$5:$AJ$1204,MATCH(375,$S$5:$S$1204,0),12))</f>
        <v/>
      </c>
      <c r="M379" s="8" t="str">
        <f t="array" ref="M379">IF(375&gt;$S$1204,"",INDEX($T$5:$AJ$1204,MATCH(375,$S$5:$S$1204,0),13))</f>
        <v/>
      </c>
      <c r="N379" s="8" t="str">
        <f t="array" ref="N379">IF(375&gt;$S$1204,"",INDEX($T$5:$AJ$1204,MATCH(375,$S$5:$S$1204,0),14))</f>
        <v/>
      </c>
      <c r="O379" s="15" t="str">
        <f t="array" ref="O379">IF(375&gt;$S$1204,"",INDEX($T$5:$AJ$1204,MATCH(375,$S$5:$S$1204,0),15))</f>
        <v/>
      </c>
      <c r="P379" s="8" t="str">
        <f t="array" ref="P379">IF(375&gt;$S$1204,"",INDEX($T$5:$AJ$1204,MATCH(375,$S$5:$S$1204,0),16))</f>
        <v/>
      </c>
      <c r="Q379" s="8" t="str">
        <f t="array" ref="Q379">IF(375&gt;$S$1204,"",INDEX($T$5:$AJ$1204,MATCH(375,$S$5:$S$1204,0),17))</f>
        <v/>
      </c>
      <c r="R379" s="17"/>
      <c r="S379" s="17">
        <f>S378+IF(M2_Accesos!A183="",0,1)</f>
        <v>0</v>
      </c>
      <c r="T379" s="17" t="str">
        <f>IF(M2_Accesos!A183="","",IF(M2_Accesos!A183="","",M2_Accesos!A183))</f>
        <v/>
      </c>
      <c r="U379" s="17" t="str">
        <f>IF(M2_Accesos!A183="","",IF(M2_Accesos!R183="","",M2_Accesos!R183))</f>
        <v/>
      </c>
      <c r="V379" s="17" t="str">
        <f>IF(M2_Accesos!A183="","",IF(M2_Accesos!D183="","",M2_Accesos!D183))</f>
        <v/>
      </c>
      <c r="W379" s="17" t="str">
        <f>IF(M2_Accesos!A183="","",IF(M2_Accesos!B183="","",M2_Accesos!B183))</f>
        <v/>
      </c>
      <c r="X379" s="17" t="str">
        <f>IF(M2_Accesos!A183="","",IF(M2_Accesos!C183="","",M2_Accesos!C183))</f>
        <v/>
      </c>
      <c r="Y379" s="17" t="str">
        <f>IF(M2_Accesos!A183="","",IF(M2_Accesos!E183="","",M2_Accesos!E183))</f>
        <v/>
      </c>
      <c r="Z379" s="17" t="str">
        <f>IF(M2_Accesos!A183="","",IF(M2_Accesos!F183="","",M2_Accesos!F183))</f>
        <v/>
      </c>
      <c r="AA379" s="17" t="str">
        <f>IF(M2_Accesos!A183="","","M2 Accesos")</f>
        <v/>
      </c>
      <c r="AB379" s="17" t="str">
        <f>IF(M2_Accesos!A183="","",IF(M2_Accesos!G183="","",M2_Accesos!G183))</f>
        <v/>
      </c>
      <c r="AC379" s="17" t="str">
        <f>IF(M2_Accesos!A183="","",IF(M2_Accesos!M183="","",M2_Accesos!M183))</f>
        <v/>
      </c>
      <c r="AD379" s="17" t="str">
        <f>IF(M2_Accesos!A183="","","RD")</f>
        <v/>
      </c>
      <c r="AE379" s="17" t="str">
        <f>IF(M2_Accesos!A183="","",IF(M2_Accesos!O183="","",M2_Accesos!O183))</f>
        <v/>
      </c>
      <c r="AF379" s="17" t="str">
        <f>IF(M2_Accesos!A183="","",IF(M2_Accesos!P183="","",M2_Accesos!P183))</f>
        <v/>
      </c>
      <c r="AG379" s="17" t="str">
        <f>IF(M2_Accesos!A183="","",IF(M2_Accesos!Q183="","",M2_Accesos!Q183))</f>
        <v/>
      </c>
      <c r="AH379" s="17" t="str">
        <f>IF(M2_Accesos!A183="","",IF(M2_Accesos!J183="","",M2_Accesos!J183))</f>
        <v/>
      </c>
      <c r="AI379" s="17" t="str">
        <f>IF(M2_Accesos!A183="","","M2_Accesos!183")</f>
        <v/>
      </c>
      <c r="AJ379" s="17" t="str">
        <f>IF(M2_Accesos!A183="","",IF(M2_Accesos!M183="","Pendiente de resultado","Disponible"))</f>
        <v/>
      </c>
    </row>
    <row r="380" spans="1:36" ht="55.5" customHeight="1">
      <c r="A380" s="6" t="str">
        <f t="array" ref="A380">IF(376&gt;$S$1204,"",INDEX($T$5:$AJ$1204,MATCH(376,$S$5:$S$1204,0),1))</f>
        <v/>
      </c>
      <c r="B380" s="8" t="str">
        <f t="array" ref="B380">IF(376&gt;$S$1204,"",INDEX($T$5:$AJ$1204,MATCH(376,$S$5:$S$1204,0),2))</f>
        <v/>
      </c>
      <c r="C380" s="10" t="str">
        <f t="array" ref="C380">IF(376&gt;$S$1204,"",INDEX($T$5:$AJ$1204,MATCH(376,$S$5:$S$1204,0),3))</f>
        <v/>
      </c>
      <c r="D380" s="8" t="str">
        <f t="array" ref="D380">IF(376&gt;$S$1204,"",INDEX($T$5:$AJ$1204,MATCH(376,$S$5:$S$1204,0),4))</f>
        <v/>
      </c>
      <c r="E380" s="8" t="str">
        <f t="array" ref="E380">IF(376&gt;$S$1204,"",INDEX($T$5:$AJ$1204,MATCH(376,$S$5:$S$1204,0),5))</f>
        <v/>
      </c>
      <c r="F380" s="8" t="str">
        <f t="array" ref="F380">IF(376&gt;$S$1204,"",INDEX($T$5:$AJ$1204,MATCH(376,$S$5:$S$1204,0),6))</f>
        <v/>
      </c>
      <c r="G380" s="8" t="str">
        <f t="array" ref="G380">IF(376&gt;$S$1204,"",INDEX($T$5:$AJ$1204,MATCH(376,$S$5:$S$1204,0),7))</f>
        <v/>
      </c>
      <c r="H380" s="8" t="str">
        <f t="array" ref="H380">IF(376&gt;$S$1204,"",INDEX($T$5:$AJ$1204,MATCH(376,$S$5:$S$1204,0),8))</f>
        <v/>
      </c>
      <c r="I380" s="8" t="str">
        <f t="array" ref="I380">IF(376&gt;$S$1204,"",INDEX($T$5:$AJ$1204,MATCH(376,$S$5:$S$1204,0),9))</f>
        <v/>
      </c>
      <c r="J380" s="14" t="str">
        <f t="array" ref="J380">IF(376&gt;$S$1204,"",INDEX($T$5:$AJ$1204,MATCH(376,$S$5:$S$1204,0),10))</f>
        <v/>
      </c>
      <c r="K380" s="8" t="str">
        <f t="array" ref="K380">IF(376&gt;$S$1204,"",INDEX($T$5:$AJ$1204,MATCH(376,$S$5:$S$1204,0),11))</f>
        <v/>
      </c>
      <c r="L380" s="8" t="str">
        <f t="array" ref="L380">IF(376&gt;$S$1204,"",INDEX($T$5:$AJ$1204,MATCH(376,$S$5:$S$1204,0),12))</f>
        <v/>
      </c>
      <c r="M380" s="8" t="str">
        <f t="array" ref="M380">IF(376&gt;$S$1204,"",INDEX($T$5:$AJ$1204,MATCH(376,$S$5:$S$1204,0),13))</f>
        <v/>
      </c>
      <c r="N380" s="8" t="str">
        <f t="array" ref="N380">IF(376&gt;$S$1204,"",INDEX($T$5:$AJ$1204,MATCH(376,$S$5:$S$1204,0),14))</f>
        <v/>
      </c>
      <c r="O380" s="15" t="str">
        <f t="array" ref="O380">IF(376&gt;$S$1204,"",INDEX($T$5:$AJ$1204,MATCH(376,$S$5:$S$1204,0),15))</f>
        <v/>
      </c>
      <c r="P380" s="8" t="str">
        <f t="array" ref="P380">IF(376&gt;$S$1204,"",INDEX($T$5:$AJ$1204,MATCH(376,$S$5:$S$1204,0),16))</f>
        <v/>
      </c>
      <c r="Q380" s="8" t="str">
        <f t="array" ref="Q380">IF(376&gt;$S$1204,"",INDEX($T$5:$AJ$1204,MATCH(376,$S$5:$S$1204,0),17))</f>
        <v/>
      </c>
      <c r="R380" s="17"/>
      <c r="S380" s="17">
        <f>S379+IF(M2_Accesos!A184="",0,1)</f>
        <v>0</v>
      </c>
      <c r="T380" s="17" t="str">
        <f>IF(M2_Accesos!A184="","",IF(M2_Accesos!A184="","",M2_Accesos!A184))</f>
        <v/>
      </c>
      <c r="U380" s="17" t="str">
        <f>IF(M2_Accesos!A184="","",IF(M2_Accesos!R184="","",M2_Accesos!R184))</f>
        <v/>
      </c>
      <c r="V380" s="17" t="str">
        <f>IF(M2_Accesos!A184="","",IF(M2_Accesos!D184="","",M2_Accesos!D184))</f>
        <v/>
      </c>
      <c r="W380" s="17" t="str">
        <f>IF(M2_Accesos!A184="","",IF(M2_Accesos!B184="","",M2_Accesos!B184))</f>
        <v/>
      </c>
      <c r="X380" s="17" t="str">
        <f>IF(M2_Accesos!A184="","",IF(M2_Accesos!C184="","",M2_Accesos!C184))</f>
        <v/>
      </c>
      <c r="Y380" s="17" t="str">
        <f>IF(M2_Accesos!A184="","",IF(M2_Accesos!E184="","",M2_Accesos!E184))</f>
        <v/>
      </c>
      <c r="Z380" s="17" t="str">
        <f>IF(M2_Accesos!A184="","",IF(M2_Accesos!F184="","",M2_Accesos!F184))</f>
        <v/>
      </c>
      <c r="AA380" s="17" t="str">
        <f>IF(M2_Accesos!A184="","","M2 Accesos")</f>
        <v/>
      </c>
      <c r="AB380" s="17" t="str">
        <f>IF(M2_Accesos!A184="","",IF(M2_Accesos!G184="","",M2_Accesos!G184))</f>
        <v/>
      </c>
      <c r="AC380" s="17" t="str">
        <f>IF(M2_Accesos!A184="","",IF(M2_Accesos!M184="","",M2_Accesos!M184))</f>
        <v/>
      </c>
      <c r="AD380" s="17" t="str">
        <f>IF(M2_Accesos!A184="","","RD")</f>
        <v/>
      </c>
      <c r="AE380" s="17" t="str">
        <f>IF(M2_Accesos!A184="","",IF(M2_Accesos!O184="","",M2_Accesos!O184))</f>
        <v/>
      </c>
      <c r="AF380" s="17" t="str">
        <f>IF(M2_Accesos!A184="","",IF(M2_Accesos!P184="","",M2_Accesos!P184))</f>
        <v/>
      </c>
      <c r="AG380" s="17" t="str">
        <f>IF(M2_Accesos!A184="","",IF(M2_Accesos!Q184="","",M2_Accesos!Q184))</f>
        <v/>
      </c>
      <c r="AH380" s="17" t="str">
        <f>IF(M2_Accesos!A184="","",IF(M2_Accesos!J184="","",M2_Accesos!J184))</f>
        <v/>
      </c>
      <c r="AI380" s="17" t="str">
        <f>IF(M2_Accesos!A184="","","M2_Accesos!184")</f>
        <v/>
      </c>
      <c r="AJ380" s="17" t="str">
        <f>IF(M2_Accesos!A184="","",IF(M2_Accesos!M184="","Pendiente de resultado","Disponible"))</f>
        <v/>
      </c>
    </row>
    <row r="381" spans="1:36" ht="55.5" customHeight="1">
      <c r="A381" s="6" t="str">
        <f t="array" ref="A381">IF(377&gt;$S$1204,"",INDEX($T$5:$AJ$1204,MATCH(377,$S$5:$S$1204,0),1))</f>
        <v/>
      </c>
      <c r="B381" s="8" t="str">
        <f t="array" ref="B381">IF(377&gt;$S$1204,"",INDEX($T$5:$AJ$1204,MATCH(377,$S$5:$S$1204,0),2))</f>
        <v/>
      </c>
      <c r="C381" s="10" t="str">
        <f t="array" ref="C381">IF(377&gt;$S$1204,"",INDEX($T$5:$AJ$1204,MATCH(377,$S$5:$S$1204,0),3))</f>
        <v/>
      </c>
      <c r="D381" s="8" t="str">
        <f t="array" ref="D381">IF(377&gt;$S$1204,"",INDEX($T$5:$AJ$1204,MATCH(377,$S$5:$S$1204,0),4))</f>
        <v/>
      </c>
      <c r="E381" s="8" t="str">
        <f t="array" ref="E381">IF(377&gt;$S$1204,"",INDEX($T$5:$AJ$1204,MATCH(377,$S$5:$S$1204,0),5))</f>
        <v/>
      </c>
      <c r="F381" s="8" t="str">
        <f t="array" ref="F381">IF(377&gt;$S$1204,"",INDEX($T$5:$AJ$1204,MATCH(377,$S$5:$S$1204,0),6))</f>
        <v/>
      </c>
      <c r="G381" s="8" t="str">
        <f t="array" ref="G381">IF(377&gt;$S$1204,"",INDEX($T$5:$AJ$1204,MATCH(377,$S$5:$S$1204,0),7))</f>
        <v/>
      </c>
      <c r="H381" s="8" t="str">
        <f t="array" ref="H381">IF(377&gt;$S$1204,"",INDEX($T$5:$AJ$1204,MATCH(377,$S$5:$S$1204,0),8))</f>
        <v/>
      </c>
      <c r="I381" s="8" t="str">
        <f t="array" ref="I381">IF(377&gt;$S$1204,"",INDEX($T$5:$AJ$1204,MATCH(377,$S$5:$S$1204,0),9))</f>
        <v/>
      </c>
      <c r="J381" s="14" t="str">
        <f t="array" ref="J381">IF(377&gt;$S$1204,"",INDEX($T$5:$AJ$1204,MATCH(377,$S$5:$S$1204,0),10))</f>
        <v/>
      </c>
      <c r="K381" s="8" t="str">
        <f t="array" ref="K381">IF(377&gt;$S$1204,"",INDEX($T$5:$AJ$1204,MATCH(377,$S$5:$S$1204,0),11))</f>
        <v/>
      </c>
      <c r="L381" s="8" t="str">
        <f t="array" ref="L381">IF(377&gt;$S$1204,"",INDEX($T$5:$AJ$1204,MATCH(377,$S$5:$S$1204,0),12))</f>
        <v/>
      </c>
      <c r="M381" s="8" t="str">
        <f t="array" ref="M381">IF(377&gt;$S$1204,"",INDEX($T$5:$AJ$1204,MATCH(377,$S$5:$S$1204,0),13))</f>
        <v/>
      </c>
      <c r="N381" s="8" t="str">
        <f t="array" ref="N381">IF(377&gt;$S$1204,"",INDEX($T$5:$AJ$1204,MATCH(377,$S$5:$S$1204,0),14))</f>
        <v/>
      </c>
      <c r="O381" s="15" t="str">
        <f t="array" ref="O381">IF(377&gt;$S$1204,"",INDEX($T$5:$AJ$1204,MATCH(377,$S$5:$S$1204,0),15))</f>
        <v/>
      </c>
      <c r="P381" s="8" t="str">
        <f t="array" ref="P381">IF(377&gt;$S$1204,"",INDEX($T$5:$AJ$1204,MATCH(377,$S$5:$S$1204,0),16))</f>
        <v/>
      </c>
      <c r="Q381" s="8" t="str">
        <f t="array" ref="Q381">IF(377&gt;$S$1204,"",INDEX($T$5:$AJ$1204,MATCH(377,$S$5:$S$1204,0),17))</f>
        <v/>
      </c>
      <c r="R381" s="17"/>
      <c r="S381" s="17">
        <f>S380+IF(M2_Accesos!A185="",0,1)</f>
        <v>0</v>
      </c>
      <c r="T381" s="17" t="str">
        <f>IF(M2_Accesos!A185="","",IF(M2_Accesos!A185="","",M2_Accesos!A185))</f>
        <v/>
      </c>
      <c r="U381" s="17" t="str">
        <f>IF(M2_Accesos!A185="","",IF(M2_Accesos!R185="","",M2_Accesos!R185))</f>
        <v/>
      </c>
      <c r="V381" s="17" t="str">
        <f>IF(M2_Accesos!A185="","",IF(M2_Accesos!D185="","",M2_Accesos!D185))</f>
        <v/>
      </c>
      <c r="W381" s="17" t="str">
        <f>IF(M2_Accesos!A185="","",IF(M2_Accesos!B185="","",M2_Accesos!B185))</f>
        <v/>
      </c>
      <c r="X381" s="17" t="str">
        <f>IF(M2_Accesos!A185="","",IF(M2_Accesos!C185="","",M2_Accesos!C185))</f>
        <v/>
      </c>
      <c r="Y381" s="17" t="str">
        <f>IF(M2_Accesos!A185="","",IF(M2_Accesos!E185="","",M2_Accesos!E185))</f>
        <v/>
      </c>
      <c r="Z381" s="17" t="str">
        <f>IF(M2_Accesos!A185="","",IF(M2_Accesos!F185="","",M2_Accesos!F185))</f>
        <v/>
      </c>
      <c r="AA381" s="17" t="str">
        <f>IF(M2_Accesos!A185="","","M2 Accesos")</f>
        <v/>
      </c>
      <c r="AB381" s="17" t="str">
        <f>IF(M2_Accesos!A185="","",IF(M2_Accesos!G185="","",M2_Accesos!G185))</f>
        <v/>
      </c>
      <c r="AC381" s="17" t="str">
        <f>IF(M2_Accesos!A185="","",IF(M2_Accesos!M185="","",M2_Accesos!M185))</f>
        <v/>
      </c>
      <c r="AD381" s="17" t="str">
        <f>IF(M2_Accesos!A185="","","RD")</f>
        <v/>
      </c>
      <c r="AE381" s="17" t="str">
        <f>IF(M2_Accesos!A185="","",IF(M2_Accesos!O185="","",M2_Accesos!O185))</f>
        <v/>
      </c>
      <c r="AF381" s="17" t="str">
        <f>IF(M2_Accesos!A185="","",IF(M2_Accesos!P185="","",M2_Accesos!P185))</f>
        <v/>
      </c>
      <c r="AG381" s="17" t="str">
        <f>IF(M2_Accesos!A185="","",IF(M2_Accesos!Q185="","",M2_Accesos!Q185))</f>
        <v/>
      </c>
      <c r="AH381" s="17" t="str">
        <f>IF(M2_Accesos!A185="","",IF(M2_Accesos!J185="","",M2_Accesos!J185))</f>
        <v/>
      </c>
      <c r="AI381" s="17" t="str">
        <f>IF(M2_Accesos!A185="","","M2_Accesos!185")</f>
        <v/>
      </c>
      <c r="AJ381" s="17" t="str">
        <f>IF(M2_Accesos!A185="","",IF(M2_Accesos!M185="","Pendiente de resultado","Disponible"))</f>
        <v/>
      </c>
    </row>
    <row r="382" spans="1:36" ht="55.5" customHeight="1">
      <c r="A382" s="6" t="str">
        <f t="array" ref="A382">IF(378&gt;$S$1204,"",INDEX($T$5:$AJ$1204,MATCH(378,$S$5:$S$1204,0),1))</f>
        <v/>
      </c>
      <c r="B382" s="8" t="str">
        <f t="array" ref="B382">IF(378&gt;$S$1204,"",INDEX($T$5:$AJ$1204,MATCH(378,$S$5:$S$1204,0),2))</f>
        <v/>
      </c>
      <c r="C382" s="10" t="str">
        <f t="array" ref="C382">IF(378&gt;$S$1204,"",INDEX($T$5:$AJ$1204,MATCH(378,$S$5:$S$1204,0),3))</f>
        <v/>
      </c>
      <c r="D382" s="8" t="str">
        <f t="array" ref="D382">IF(378&gt;$S$1204,"",INDEX($T$5:$AJ$1204,MATCH(378,$S$5:$S$1204,0),4))</f>
        <v/>
      </c>
      <c r="E382" s="8" t="str">
        <f t="array" ref="E382">IF(378&gt;$S$1204,"",INDEX($T$5:$AJ$1204,MATCH(378,$S$5:$S$1204,0),5))</f>
        <v/>
      </c>
      <c r="F382" s="8" t="str">
        <f t="array" ref="F382">IF(378&gt;$S$1204,"",INDEX($T$5:$AJ$1204,MATCH(378,$S$5:$S$1204,0),6))</f>
        <v/>
      </c>
      <c r="G382" s="8" t="str">
        <f t="array" ref="G382">IF(378&gt;$S$1204,"",INDEX($T$5:$AJ$1204,MATCH(378,$S$5:$S$1204,0),7))</f>
        <v/>
      </c>
      <c r="H382" s="8" t="str">
        <f t="array" ref="H382">IF(378&gt;$S$1204,"",INDEX($T$5:$AJ$1204,MATCH(378,$S$5:$S$1204,0),8))</f>
        <v/>
      </c>
      <c r="I382" s="8" t="str">
        <f t="array" ref="I382">IF(378&gt;$S$1204,"",INDEX($T$5:$AJ$1204,MATCH(378,$S$5:$S$1204,0),9))</f>
        <v/>
      </c>
      <c r="J382" s="14" t="str">
        <f t="array" ref="J382">IF(378&gt;$S$1204,"",INDEX($T$5:$AJ$1204,MATCH(378,$S$5:$S$1204,0),10))</f>
        <v/>
      </c>
      <c r="K382" s="8" t="str">
        <f t="array" ref="K382">IF(378&gt;$S$1204,"",INDEX($T$5:$AJ$1204,MATCH(378,$S$5:$S$1204,0),11))</f>
        <v/>
      </c>
      <c r="L382" s="8" t="str">
        <f t="array" ref="L382">IF(378&gt;$S$1204,"",INDEX($T$5:$AJ$1204,MATCH(378,$S$5:$S$1204,0),12))</f>
        <v/>
      </c>
      <c r="M382" s="8" t="str">
        <f t="array" ref="M382">IF(378&gt;$S$1204,"",INDEX($T$5:$AJ$1204,MATCH(378,$S$5:$S$1204,0),13))</f>
        <v/>
      </c>
      <c r="N382" s="8" t="str">
        <f t="array" ref="N382">IF(378&gt;$S$1204,"",INDEX($T$5:$AJ$1204,MATCH(378,$S$5:$S$1204,0),14))</f>
        <v/>
      </c>
      <c r="O382" s="15" t="str">
        <f t="array" ref="O382">IF(378&gt;$S$1204,"",INDEX($T$5:$AJ$1204,MATCH(378,$S$5:$S$1204,0),15))</f>
        <v/>
      </c>
      <c r="P382" s="8" t="str">
        <f t="array" ref="P382">IF(378&gt;$S$1204,"",INDEX($T$5:$AJ$1204,MATCH(378,$S$5:$S$1204,0),16))</f>
        <v/>
      </c>
      <c r="Q382" s="8" t="str">
        <f t="array" ref="Q382">IF(378&gt;$S$1204,"",INDEX($T$5:$AJ$1204,MATCH(378,$S$5:$S$1204,0),17))</f>
        <v/>
      </c>
      <c r="R382" s="17"/>
      <c r="S382" s="17">
        <f>S381+IF(M2_Accesos!A186="",0,1)</f>
        <v>0</v>
      </c>
      <c r="T382" s="17" t="str">
        <f>IF(M2_Accesos!A186="","",IF(M2_Accesos!A186="","",M2_Accesos!A186))</f>
        <v/>
      </c>
      <c r="U382" s="17" t="str">
        <f>IF(M2_Accesos!A186="","",IF(M2_Accesos!R186="","",M2_Accesos!R186))</f>
        <v/>
      </c>
      <c r="V382" s="17" t="str">
        <f>IF(M2_Accesos!A186="","",IF(M2_Accesos!D186="","",M2_Accesos!D186))</f>
        <v/>
      </c>
      <c r="W382" s="17" t="str">
        <f>IF(M2_Accesos!A186="","",IF(M2_Accesos!B186="","",M2_Accesos!B186))</f>
        <v/>
      </c>
      <c r="X382" s="17" t="str">
        <f>IF(M2_Accesos!A186="","",IF(M2_Accesos!C186="","",M2_Accesos!C186))</f>
        <v/>
      </c>
      <c r="Y382" s="17" t="str">
        <f>IF(M2_Accesos!A186="","",IF(M2_Accesos!E186="","",M2_Accesos!E186))</f>
        <v/>
      </c>
      <c r="Z382" s="17" t="str">
        <f>IF(M2_Accesos!A186="","",IF(M2_Accesos!F186="","",M2_Accesos!F186))</f>
        <v/>
      </c>
      <c r="AA382" s="17" t="str">
        <f>IF(M2_Accesos!A186="","","M2 Accesos")</f>
        <v/>
      </c>
      <c r="AB382" s="17" t="str">
        <f>IF(M2_Accesos!A186="","",IF(M2_Accesos!G186="","",M2_Accesos!G186))</f>
        <v/>
      </c>
      <c r="AC382" s="17" t="str">
        <f>IF(M2_Accesos!A186="","",IF(M2_Accesos!M186="","",M2_Accesos!M186))</f>
        <v/>
      </c>
      <c r="AD382" s="17" t="str">
        <f>IF(M2_Accesos!A186="","","RD")</f>
        <v/>
      </c>
      <c r="AE382" s="17" t="str">
        <f>IF(M2_Accesos!A186="","",IF(M2_Accesos!O186="","",M2_Accesos!O186))</f>
        <v/>
      </c>
      <c r="AF382" s="17" t="str">
        <f>IF(M2_Accesos!A186="","",IF(M2_Accesos!P186="","",M2_Accesos!P186))</f>
        <v/>
      </c>
      <c r="AG382" s="17" t="str">
        <f>IF(M2_Accesos!A186="","",IF(M2_Accesos!Q186="","",M2_Accesos!Q186))</f>
        <v/>
      </c>
      <c r="AH382" s="17" t="str">
        <f>IF(M2_Accesos!A186="","",IF(M2_Accesos!J186="","",M2_Accesos!J186))</f>
        <v/>
      </c>
      <c r="AI382" s="17" t="str">
        <f>IF(M2_Accesos!A186="","","M2_Accesos!186")</f>
        <v/>
      </c>
      <c r="AJ382" s="17" t="str">
        <f>IF(M2_Accesos!A186="","",IF(M2_Accesos!M186="","Pendiente de resultado","Disponible"))</f>
        <v/>
      </c>
    </row>
    <row r="383" spans="1:36" ht="55.5" customHeight="1">
      <c r="A383" s="6" t="str">
        <f t="array" ref="A383">IF(379&gt;$S$1204,"",INDEX($T$5:$AJ$1204,MATCH(379,$S$5:$S$1204,0),1))</f>
        <v/>
      </c>
      <c r="B383" s="8" t="str">
        <f t="array" ref="B383">IF(379&gt;$S$1204,"",INDEX($T$5:$AJ$1204,MATCH(379,$S$5:$S$1204,0),2))</f>
        <v/>
      </c>
      <c r="C383" s="10" t="str">
        <f t="array" ref="C383">IF(379&gt;$S$1204,"",INDEX($T$5:$AJ$1204,MATCH(379,$S$5:$S$1204,0),3))</f>
        <v/>
      </c>
      <c r="D383" s="8" t="str">
        <f t="array" ref="D383">IF(379&gt;$S$1204,"",INDEX($T$5:$AJ$1204,MATCH(379,$S$5:$S$1204,0),4))</f>
        <v/>
      </c>
      <c r="E383" s="8" t="str">
        <f t="array" ref="E383">IF(379&gt;$S$1204,"",INDEX($T$5:$AJ$1204,MATCH(379,$S$5:$S$1204,0),5))</f>
        <v/>
      </c>
      <c r="F383" s="8" t="str">
        <f t="array" ref="F383">IF(379&gt;$S$1204,"",INDEX($T$5:$AJ$1204,MATCH(379,$S$5:$S$1204,0),6))</f>
        <v/>
      </c>
      <c r="G383" s="8" t="str">
        <f t="array" ref="G383">IF(379&gt;$S$1204,"",INDEX($T$5:$AJ$1204,MATCH(379,$S$5:$S$1204,0),7))</f>
        <v/>
      </c>
      <c r="H383" s="8" t="str">
        <f t="array" ref="H383">IF(379&gt;$S$1204,"",INDEX($T$5:$AJ$1204,MATCH(379,$S$5:$S$1204,0),8))</f>
        <v/>
      </c>
      <c r="I383" s="8" t="str">
        <f t="array" ref="I383">IF(379&gt;$S$1204,"",INDEX($T$5:$AJ$1204,MATCH(379,$S$5:$S$1204,0),9))</f>
        <v/>
      </c>
      <c r="J383" s="14" t="str">
        <f t="array" ref="J383">IF(379&gt;$S$1204,"",INDEX($T$5:$AJ$1204,MATCH(379,$S$5:$S$1204,0),10))</f>
        <v/>
      </c>
      <c r="K383" s="8" t="str">
        <f t="array" ref="K383">IF(379&gt;$S$1204,"",INDEX($T$5:$AJ$1204,MATCH(379,$S$5:$S$1204,0),11))</f>
        <v/>
      </c>
      <c r="L383" s="8" t="str">
        <f t="array" ref="L383">IF(379&gt;$S$1204,"",INDEX($T$5:$AJ$1204,MATCH(379,$S$5:$S$1204,0),12))</f>
        <v/>
      </c>
      <c r="M383" s="8" t="str">
        <f t="array" ref="M383">IF(379&gt;$S$1204,"",INDEX($T$5:$AJ$1204,MATCH(379,$S$5:$S$1204,0),13))</f>
        <v/>
      </c>
      <c r="N383" s="8" t="str">
        <f t="array" ref="N383">IF(379&gt;$S$1204,"",INDEX($T$5:$AJ$1204,MATCH(379,$S$5:$S$1204,0),14))</f>
        <v/>
      </c>
      <c r="O383" s="15" t="str">
        <f t="array" ref="O383">IF(379&gt;$S$1204,"",INDEX($T$5:$AJ$1204,MATCH(379,$S$5:$S$1204,0),15))</f>
        <v/>
      </c>
      <c r="P383" s="8" t="str">
        <f t="array" ref="P383">IF(379&gt;$S$1204,"",INDEX($T$5:$AJ$1204,MATCH(379,$S$5:$S$1204,0),16))</f>
        <v/>
      </c>
      <c r="Q383" s="8" t="str">
        <f t="array" ref="Q383">IF(379&gt;$S$1204,"",INDEX($T$5:$AJ$1204,MATCH(379,$S$5:$S$1204,0),17))</f>
        <v/>
      </c>
      <c r="R383" s="17"/>
      <c r="S383" s="17">
        <f>S382+IF(M2_Accesos!A187="",0,1)</f>
        <v>0</v>
      </c>
      <c r="T383" s="17" t="str">
        <f>IF(M2_Accesos!A187="","",IF(M2_Accesos!A187="","",M2_Accesos!A187))</f>
        <v/>
      </c>
      <c r="U383" s="17" t="str">
        <f>IF(M2_Accesos!A187="","",IF(M2_Accesos!R187="","",M2_Accesos!R187))</f>
        <v/>
      </c>
      <c r="V383" s="17" t="str">
        <f>IF(M2_Accesos!A187="","",IF(M2_Accesos!D187="","",M2_Accesos!D187))</f>
        <v/>
      </c>
      <c r="W383" s="17" t="str">
        <f>IF(M2_Accesos!A187="","",IF(M2_Accesos!B187="","",M2_Accesos!B187))</f>
        <v/>
      </c>
      <c r="X383" s="17" t="str">
        <f>IF(M2_Accesos!A187="","",IF(M2_Accesos!C187="","",M2_Accesos!C187))</f>
        <v/>
      </c>
      <c r="Y383" s="17" t="str">
        <f>IF(M2_Accesos!A187="","",IF(M2_Accesos!E187="","",M2_Accesos!E187))</f>
        <v/>
      </c>
      <c r="Z383" s="17" t="str">
        <f>IF(M2_Accesos!A187="","",IF(M2_Accesos!F187="","",M2_Accesos!F187))</f>
        <v/>
      </c>
      <c r="AA383" s="17" t="str">
        <f>IF(M2_Accesos!A187="","","M2 Accesos")</f>
        <v/>
      </c>
      <c r="AB383" s="17" t="str">
        <f>IF(M2_Accesos!A187="","",IF(M2_Accesos!G187="","",M2_Accesos!G187))</f>
        <v/>
      </c>
      <c r="AC383" s="17" t="str">
        <f>IF(M2_Accesos!A187="","",IF(M2_Accesos!M187="","",M2_Accesos!M187))</f>
        <v/>
      </c>
      <c r="AD383" s="17" t="str">
        <f>IF(M2_Accesos!A187="","","RD")</f>
        <v/>
      </c>
      <c r="AE383" s="17" t="str">
        <f>IF(M2_Accesos!A187="","",IF(M2_Accesos!O187="","",M2_Accesos!O187))</f>
        <v/>
      </c>
      <c r="AF383" s="17" t="str">
        <f>IF(M2_Accesos!A187="","",IF(M2_Accesos!P187="","",M2_Accesos!P187))</f>
        <v/>
      </c>
      <c r="AG383" s="17" t="str">
        <f>IF(M2_Accesos!A187="","",IF(M2_Accesos!Q187="","",M2_Accesos!Q187))</f>
        <v/>
      </c>
      <c r="AH383" s="17" t="str">
        <f>IF(M2_Accesos!A187="","",IF(M2_Accesos!J187="","",M2_Accesos!J187))</f>
        <v/>
      </c>
      <c r="AI383" s="17" t="str">
        <f>IF(M2_Accesos!A187="","","M2_Accesos!187")</f>
        <v/>
      </c>
      <c r="AJ383" s="17" t="str">
        <f>IF(M2_Accesos!A187="","",IF(M2_Accesos!M187="","Pendiente de resultado","Disponible"))</f>
        <v/>
      </c>
    </row>
    <row r="384" spans="1:36" ht="55.5" customHeight="1">
      <c r="A384" s="6" t="str">
        <f t="array" ref="A384">IF(380&gt;$S$1204,"",INDEX($T$5:$AJ$1204,MATCH(380,$S$5:$S$1204,0),1))</f>
        <v/>
      </c>
      <c r="B384" s="8" t="str">
        <f t="array" ref="B384">IF(380&gt;$S$1204,"",INDEX($T$5:$AJ$1204,MATCH(380,$S$5:$S$1204,0),2))</f>
        <v/>
      </c>
      <c r="C384" s="10" t="str">
        <f t="array" ref="C384">IF(380&gt;$S$1204,"",INDEX($T$5:$AJ$1204,MATCH(380,$S$5:$S$1204,0),3))</f>
        <v/>
      </c>
      <c r="D384" s="8" t="str">
        <f t="array" ref="D384">IF(380&gt;$S$1204,"",INDEX($T$5:$AJ$1204,MATCH(380,$S$5:$S$1204,0),4))</f>
        <v/>
      </c>
      <c r="E384" s="8" t="str">
        <f t="array" ref="E384">IF(380&gt;$S$1204,"",INDEX($T$5:$AJ$1204,MATCH(380,$S$5:$S$1204,0),5))</f>
        <v/>
      </c>
      <c r="F384" s="8" t="str">
        <f t="array" ref="F384">IF(380&gt;$S$1204,"",INDEX($T$5:$AJ$1204,MATCH(380,$S$5:$S$1204,0),6))</f>
        <v/>
      </c>
      <c r="G384" s="8" t="str">
        <f t="array" ref="G384">IF(380&gt;$S$1204,"",INDEX($T$5:$AJ$1204,MATCH(380,$S$5:$S$1204,0),7))</f>
        <v/>
      </c>
      <c r="H384" s="8" t="str">
        <f t="array" ref="H384">IF(380&gt;$S$1204,"",INDEX($T$5:$AJ$1204,MATCH(380,$S$5:$S$1204,0),8))</f>
        <v/>
      </c>
      <c r="I384" s="8" t="str">
        <f t="array" ref="I384">IF(380&gt;$S$1204,"",INDEX($T$5:$AJ$1204,MATCH(380,$S$5:$S$1204,0),9))</f>
        <v/>
      </c>
      <c r="J384" s="14" t="str">
        <f t="array" ref="J384">IF(380&gt;$S$1204,"",INDEX($T$5:$AJ$1204,MATCH(380,$S$5:$S$1204,0),10))</f>
        <v/>
      </c>
      <c r="K384" s="8" t="str">
        <f t="array" ref="K384">IF(380&gt;$S$1204,"",INDEX($T$5:$AJ$1204,MATCH(380,$S$5:$S$1204,0),11))</f>
        <v/>
      </c>
      <c r="L384" s="8" t="str">
        <f t="array" ref="L384">IF(380&gt;$S$1204,"",INDEX($T$5:$AJ$1204,MATCH(380,$S$5:$S$1204,0),12))</f>
        <v/>
      </c>
      <c r="M384" s="8" t="str">
        <f t="array" ref="M384">IF(380&gt;$S$1204,"",INDEX($T$5:$AJ$1204,MATCH(380,$S$5:$S$1204,0),13))</f>
        <v/>
      </c>
      <c r="N384" s="8" t="str">
        <f t="array" ref="N384">IF(380&gt;$S$1204,"",INDEX($T$5:$AJ$1204,MATCH(380,$S$5:$S$1204,0),14))</f>
        <v/>
      </c>
      <c r="O384" s="15" t="str">
        <f t="array" ref="O384">IF(380&gt;$S$1204,"",INDEX($T$5:$AJ$1204,MATCH(380,$S$5:$S$1204,0),15))</f>
        <v/>
      </c>
      <c r="P384" s="8" t="str">
        <f t="array" ref="P384">IF(380&gt;$S$1204,"",INDEX($T$5:$AJ$1204,MATCH(380,$S$5:$S$1204,0),16))</f>
        <v/>
      </c>
      <c r="Q384" s="8" t="str">
        <f t="array" ref="Q384">IF(380&gt;$S$1204,"",INDEX($T$5:$AJ$1204,MATCH(380,$S$5:$S$1204,0),17))</f>
        <v/>
      </c>
      <c r="R384" s="17"/>
      <c r="S384" s="17">
        <f>S383+IF(M2_Accesos!A188="",0,1)</f>
        <v>0</v>
      </c>
      <c r="T384" s="17" t="str">
        <f>IF(M2_Accesos!A188="","",IF(M2_Accesos!A188="","",M2_Accesos!A188))</f>
        <v/>
      </c>
      <c r="U384" s="17" t="str">
        <f>IF(M2_Accesos!A188="","",IF(M2_Accesos!R188="","",M2_Accesos!R188))</f>
        <v/>
      </c>
      <c r="V384" s="17" t="str">
        <f>IF(M2_Accesos!A188="","",IF(M2_Accesos!D188="","",M2_Accesos!D188))</f>
        <v/>
      </c>
      <c r="W384" s="17" t="str">
        <f>IF(M2_Accesos!A188="","",IF(M2_Accesos!B188="","",M2_Accesos!B188))</f>
        <v/>
      </c>
      <c r="X384" s="17" t="str">
        <f>IF(M2_Accesos!A188="","",IF(M2_Accesos!C188="","",M2_Accesos!C188))</f>
        <v/>
      </c>
      <c r="Y384" s="17" t="str">
        <f>IF(M2_Accesos!A188="","",IF(M2_Accesos!E188="","",M2_Accesos!E188))</f>
        <v/>
      </c>
      <c r="Z384" s="17" t="str">
        <f>IF(M2_Accesos!A188="","",IF(M2_Accesos!F188="","",M2_Accesos!F188))</f>
        <v/>
      </c>
      <c r="AA384" s="17" t="str">
        <f>IF(M2_Accesos!A188="","","M2 Accesos")</f>
        <v/>
      </c>
      <c r="AB384" s="17" t="str">
        <f>IF(M2_Accesos!A188="","",IF(M2_Accesos!G188="","",M2_Accesos!G188))</f>
        <v/>
      </c>
      <c r="AC384" s="17" t="str">
        <f>IF(M2_Accesos!A188="","",IF(M2_Accesos!M188="","",M2_Accesos!M188))</f>
        <v/>
      </c>
      <c r="AD384" s="17" t="str">
        <f>IF(M2_Accesos!A188="","","RD")</f>
        <v/>
      </c>
      <c r="AE384" s="17" t="str">
        <f>IF(M2_Accesos!A188="","",IF(M2_Accesos!O188="","",M2_Accesos!O188))</f>
        <v/>
      </c>
      <c r="AF384" s="17" t="str">
        <f>IF(M2_Accesos!A188="","",IF(M2_Accesos!P188="","",M2_Accesos!P188))</f>
        <v/>
      </c>
      <c r="AG384" s="17" t="str">
        <f>IF(M2_Accesos!A188="","",IF(M2_Accesos!Q188="","",M2_Accesos!Q188))</f>
        <v/>
      </c>
      <c r="AH384" s="17" t="str">
        <f>IF(M2_Accesos!A188="","",IF(M2_Accesos!J188="","",M2_Accesos!J188))</f>
        <v/>
      </c>
      <c r="AI384" s="17" t="str">
        <f>IF(M2_Accesos!A188="","","M2_Accesos!188")</f>
        <v/>
      </c>
      <c r="AJ384" s="17" t="str">
        <f>IF(M2_Accesos!A188="","",IF(M2_Accesos!M188="","Pendiente de resultado","Disponible"))</f>
        <v/>
      </c>
    </row>
    <row r="385" spans="1:36" ht="55.5" customHeight="1">
      <c r="A385" s="6" t="str">
        <f t="array" ref="A385">IF(381&gt;$S$1204,"",INDEX($T$5:$AJ$1204,MATCH(381,$S$5:$S$1204,0),1))</f>
        <v/>
      </c>
      <c r="B385" s="8" t="str">
        <f t="array" ref="B385">IF(381&gt;$S$1204,"",INDEX($T$5:$AJ$1204,MATCH(381,$S$5:$S$1204,0),2))</f>
        <v/>
      </c>
      <c r="C385" s="10" t="str">
        <f t="array" ref="C385">IF(381&gt;$S$1204,"",INDEX($T$5:$AJ$1204,MATCH(381,$S$5:$S$1204,0),3))</f>
        <v/>
      </c>
      <c r="D385" s="8" t="str">
        <f t="array" ref="D385">IF(381&gt;$S$1204,"",INDEX($T$5:$AJ$1204,MATCH(381,$S$5:$S$1204,0),4))</f>
        <v/>
      </c>
      <c r="E385" s="8" t="str">
        <f t="array" ref="E385">IF(381&gt;$S$1204,"",INDEX($T$5:$AJ$1204,MATCH(381,$S$5:$S$1204,0),5))</f>
        <v/>
      </c>
      <c r="F385" s="8" t="str">
        <f t="array" ref="F385">IF(381&gt;$S$1204,"",INDEX($T$5:$AJ$1204,MATCH(381,$S$5:$S$1204,0),6))</f>
        <v/>
      </c>
      <c r="G385" s="8" t="str">
        <f t="array" ref="G385">IF(381&gt;$S$1204,"",INDEX($T$5:$AJ$1204,MATCH(381,$S$5:$S$1204,0),7))</f>
        <v/>
      </c>
      <c r="H385" s="8" t="str">
        <f t="array" ref="H385">IF(381&gt;$S$1204,"",INDEX($T$5:$AJ$1204,MATCH(381,$S$5:$S$1204,0),8))</f>
        <v/>
      </c>
      <c r="I385" s="8" t="str">
        <f t="array" ref="I385">IF(381&gt;$S$1204,"",INDEX($T$5:$AJ$1204,MATCH(381,$S$5:$S$1204,0),9))</f>
        <v/>
      </c>
      <c r="J385" s="14" t="str">
        <f t="array" ref="J385">IF(381&gt;$S$1204,"",INDEX($T$5:$AJ$1204,MATCH(381,$S$5:$S$1204,0),10))</f>
        <v/>
      </c>
      <c r="K385" s="8" t="str">
        <f t="array" ref="K385">IF(381&gt;$S$1204,"",INDEX($T$5:$AJ$1204,MATCH(381,$S$5:$S$1204,0),11))</f>
        <v/>
      </c>
      <c r="L385" s="8" t="str">
        <f t="array" ref="L385">IF(381&gt;$S$1204,"",INDEX($T$5:$AJ$1204,MATCH(381,$S$5:$S$1204,0),12))</f>
        <v/>
      </c>
      <c r="M385" s="8" t="str">
        <f t="array" ref="M385">IF(381&gt;$S$1204,"",INDEX($T$5:$AJ$1204,MATCH(381,$S$5:$S$1204,0),13))</f>
        <v/>
      </c>
      <c r="N385" s="8" t="str">
        <f t="array" ref="N385">IF(381&gt;$S$1204,"",INDEX($T$5:$AJ$1204,MATCH(381,$S$5:$S$1204,0),14))</f>
        <v/>
      </c>
      <c r="O385" s="15" t="str">
        <f t="array" ref="O385">IF(381&gt;$S$1204,"",INDEX($T$5:$AJ$1204,MATCH(381,$S$5:$S$1204,0),15))</f>
        <v/>
      </c>
      <c r="P385" s="8" t="str">
        <f t="array" ref="P385">IF(381&gt;$S$1204,"",INDEX($T$5:$AJ$1204,MATCH(381,$S$5:$S$1204,0),16))</f>
        <v/>
      </c>
      <c r="Q385" s="8" t="str">
        <f t="array" ref="Q385">IF(381&gt;$S$1204,"",INDEX($T$5:$AJ$1204,MATCH(381,$S$5:$S$1204,0),17))</f>
        <v/>
      </c>
      <c r="R385" s="17"/>
      <c r="S385" s="17">
        <f>S384+IF(M2_Accesos!A189="",0,1)</f>
        <v>0</v>
      </c>
      <c r="T385" s="17" t="str">
        <f>IF(M2_Accesos!A189="","",IF(M2_Accesos!A189="","",M2_Accesos!A189))</f>
        <v/>
      </c>
      <c r="U385" s="17" t="str">
        <f>IF(M2_Accesos!A189="","",IF(M2_Accesos!R189="","",M2_Accesos!R189))</f>
        <v/>
      </c>
      <c r="V385" s="17" t="str">
        <f>IF(M2_Accesos!A189="","",IF(M2_Accesos!D189="","",M2_Accesos!D189))</f>
        <v/>
      </c>
      <c r="W385" s="17" t="str">
        <f>IF(M2_Accesos!A189="","",IF(M2_Accesos!B189="","",M2_Accesos!B189))</f>
        <v/>
      </c>
      <c r="X385" s="17" t="str">
        <f>IF(M2_Accesos!A189="","",IF(M2_Accesos!C189="","",M2_Accesos!C189))</f>
        <v/>
      </c>
      <c r="Y385" s="17" t="str">
        <f>IF(M2_Accesos!A189="","",IF(M2_Accesos!E189="","",M2_Accesos!E189))</f>
        <v/>
      </c>
      <c r="Z385" s="17" t="str">
        <f>IF(M2_Accesos!A189="","",IF(M2_Accesos!F189="","",M2_Accesos!F189))</f>
        <v/>
      </c>
      <c r="AA385" s="17" t="str">
        <f>IF(M2_Accesos!A189="","","M2 Accesos")</f>
        <v/>
      </c>
      <c r="AB385" s="17" t="str">
        <f>IF(M2_Accesos!A189="","",IF(M2_Accesos!G189="","",M2_Accesos!G189))</f>
        <v/>
      </c>
      <c r="AC385" s="17" t="str">
        <f>IF(M2_Accesos!A189="","",IF(M2_Accesos!M189="","",M2_Accesos!M189))</f>
        <v/>
      </c>
      <c r="AD385" s="17" t="str">
        <f>IF(M2_Accesos!A189="","","RD")</f>
        <v/>
      </c>
      <c r="AE385" s="17" t="str">
        <f>IF(M2_Accesos!A189="","",IF(M2_Accesos!O189="","",M2_Accesos!O189))</f>
        <v/>
      </c>
      <c r="AF385" s="17" t="str">
        <f>IF(M2_Accesos!A189="","",IF(M2_Accesos!P189="","",M2_Accesos!P189))</f>
        <v/>
      </c>
      <c r="AG385" s="17" t="str">
        <f>IF(M2_Accesos!A189="","",IF(M2_Accesos!Q189="","",M2_Accesos!Q189))</f>
        <v/>
      </c>
      <c r="AH385" s="17" t="str">
        <f>IF(M2_Accesos!A189="","",IF(M2_Accesos!J189="","",M2_Accesos!J189))</f>
        <v/>
      </c>
      <c r="AI385" s="17" t="str">
        <f>IF(M2_Accesos!A189="","","M2_Accesos!189")</f>
        <v/>
      </c>
      <c r="AJ385" s="17" t="str">
        <f>IF(M2_Accesos!A189="","",IF(M2_Accesos!M189="","Pendiente de resultado","Disponible"))</f>
        <v/>
      </c>
    </row>
    <row r="386" spans="1:36" ht="55.5" customHeight="1">
      <c r="A386" s="6" t="str">
        <f t="array" ref="A386">IF(382&gt;$S$1204,"",INDEX($T$5:$AJ$1204,MATCH(382,$S$5:$S$1204,0),1))</f>
        <v/>
      </c>
      <c r="B386" s="8" t="str">
        <f t="array" ref="B386">IF(382&gt;$S$1204,"",INDEX($T$5:$AJ$1204,MATCH(382,$S$5:$S$1204,0),2))</f>
        <v/>
      </c>
      <c r="C386" s="10" t="str">
        <f t="array" ref="C386">IF(382&gt;$S$1204,"",INDEX($T$5:$AJ$1204,MATCH(382,$S$5:$S$1204,0),3))</f>
        <v/>
      </c>
      <c r="D386" s="8" t="str">
        <f t="array" ref="D386">IF(382&gt;$S$1204,"",INDEX($T$5:$AJ$1204,MATCH(382,$S$5:$S$1204,0),4))</f>
        <v/>
      </c>
      <c r="E386" s="8" t="str">
        <f t="array" ref="E386">IF(382&gt;$S$1204,"",INDEX($T$5:$AJ$1204,MATCH(382,$S$5:$S$1204,0),5))</f>
        <v/>
      </c>
      <c r="F386" s="8" t="str">
        <f t="array" ref="F386">IF(382&gt;$S$1204,"",INDEX($T$5:$AJ$1204,MATCH(382,$S$5:$S$1204,0),6))</f>
        <v/>
      </c>
      <c r="G386" s="8" t="str">
        <f t="array" ref="G386">IF(382&gt;$S$1204,"",INDEX($T$5:$AJ$1204,MATCH(382,$S$5:$S$1204,0),7))</f>
        <v/>
      </c>
      <c r="H386" s="8" t="str">
        <f t="array" ref="H386">IF(382&gt;$S$1204,"",INDEX($T$5:$AJ$1204,MATCH(382,$S$5:$S$1204,0),8))</f>
        <v/>
      </c>
      <c r="I386" s="8" t="str">
        <f t="array" ref="I386">IF(382&gt;$S$1204,"",INDEX($T$5:$AJ$1204,MATCH(382,$S$5:$S$1204,0),9))</f>
        <v/>
      </c>
      <c r="J386" s="14" t="str">
        <f t="array" ref="J386">IF(382&gt;$S$1204,"",INDEX($T$5:$AJ$1204,MATCH(382,$S$5:$S$1204,0),10))</f>
        <v/>
      </c>
      <c r="K386" s="8" t="str">
        <f t="array" ref="K386">IF(382&gt;$S$1204,"",INDEX($T$5:$AJ$1204,MATCH(382,$S$5:$S$1204,0),11))</f>
        <v/>
      </c>
      <c r="L386" s="8" t="str">
        <f t="array" ref="L386">IF(382&gt;$S$1204,"",INDEX($T$5:$AJ$1204,MATCH(382,$S$5:$S$1204,0),12))</f>
        <v/>
      </c>
      <c r="M386" s="8" t="str">
        <f t="array" ref="M386">IF(382&gt;$S$1204,"",INDEX($T$5:$AJ$1204,MATCH(382,$S$5:$S$1204,0),13))</f>
        <v/>
      </c>
      <c r="N386" s="8" t="str">
        <f t="array" ref="N386">IF(382&gt;$S$1204,"",INDEX($T$5:$AJ$1204,MATCH(382,$S$5:$S$1204,0),14))</f>
        <v/>
      </c>
      <c r="O386" s="15" t="str">
        <f t="array" ref="O386">IF(382&gt;$S$1204,"",INDEX($T$5:$AJ$1204,MATCH(382,$S$5:$S$1204,0),15))</f>
        <v/>
      </c>
      <c r="P386" s="8" t="str">
        <f t="array" ref="P386">IF(382&gt;$S$1204,"",INDEX($T$5:$AJ$1204,MATCH(382,$S$5:$S$1204,0),16))</f>
        <v/>
      </c>
      <c r="Q386" s="8" t="str">
        <f t="array" ref="Q386">IF(382&gt;$S$1204,"",INDEX($T$5:$AJ$1204,MATCH(382,$S$5:$S$1204,0),17))</f>
        <v/>
      </c>
      <c r="R386" s="17"/>
      <c r="S386" s="17">
        <f>S385+IF(M2_Accesos!A190="",0,1)</f>
        <v>0</v>
      </c>
      <c r="T386" s="17" t="str">
        <f>IF(M2_Accesos!A190="","",IF(M2_Accesos!A190="","",M2_Accesos!A190))</f>
        <v/>
      </c>
      <c r="U386" s="17" t="str">
        <f>IF(M2_Accesos!A190="","",IF(M2_Accesos!R190="","",M2_Accesos!R190))</f>
        <v/>
      </c>
      <c r="V386" s="17" t="str">
        <f>IF(M2_Accesos!A190="","",IF(M2_Accesos!D190="","",M2_Accesos!D190))</f>
        <v/>
      </c>
      <c r="W386" s="17" t="str">
        <f>IF(M2_Accesos!A190="","",IF(M2_Accesos!B190="","",M2_Accesos!B190))</f>
        <v/>
      </c>
      <c r="X386" s="17" t="str">
        <f>IF(M2_Accesos!A190="","",IF(M2_Accesos!C190="","",M2_Accesos!C190))</f>
        <v/>
      </c>
      <c r="Y386" s="17" t="str">
        <f>IF(M2_Accesos!A190="","",IF(M2_Accesos!E190="","",M2_Accesos!E190))</f>
        <v/>
      </c>
      <c r="Z386" s="17" t="str">
        <f>IF(M2_Accesos!A190="","",IF(M2_Accesos!F190="","",M2_Accesos!F190))</f>
        <v/>
      </c>
      <c r="AA386" s="17" t="str">
        <f>IF(M2_Accesos!A190="","","M2 Accesos")</f>
        <v/>
      </c>
      <c r="AB386" s="17" t="str">
        <f>IF(M2_Accesos!A190="","",IF(M2_Accesos!G190="","",M2_Accesos!G190))</f>
        <v/>
      </c>
      <c r="AC386" s="17" t="str">
        <f>IF(M2_Accesos!A190="","",IF(M2_Accesos!M190="","",M2_Accesos!M190))</f>
        <v/>
      </c>
      <c r="AD386" s="17" t="str">
        <f>IF(M2_Accesos!A190="","","RD")</f>
        <v/>
      </c>
      <c r="AE386" s="17" t="str">
        <f>IF(M2_Accesos!A190="","",IF(M2_Accesos!O190="","",M2_Accesos!O190))</f>
        <v/>
      </c>
      <c r="AF386" s="17" t="str">
        <f>IF(M2_Accesos!A190="","",IF(M2_Accesos!P190="","",M2_Accesos!P190))</f>
        <v/>
      </c>
      <c r="AG386" s="17" t="str">
        <f>IF(M2_Accesos!A190="","",IF(M2_Accesos!Q190="","",M2_Accesos!Q190))</f>
        <v/>
      </c>
      <c r="AH386" s="17" t="str">
        <f>IF(M2_Accesos!A190="","",IF(M2_Accesos!J190="","",M2_Accesos!J190))</f>
        <v/>
      </c>
      <c r="AI386" s="17" t="str">
        <f>IF(M2_Accesos!A190="","","M2_Accesos!190")</f>
        <v/>
      </c>
      <c r="AJ386" s="17" t="str">
        <f>IF(M2_Accesos!A190="","",IF(M2_Accesos!M190="","Pendiente de resultado","Disponible"))</f>
        <v/>
      </c>
    </row>
    <row r="387" spans="1:36" ht="55.5" customHeight="1">
      <c r="A387" s="6" t="str">
        <f t="array" ref="A387">IF(383&gt;$S$1204,"",INDEX($T$5:$AJ$1204,MATCH(383,$S$5:$S$1204,0),1))</f>
        <v/>
      </c>
      <c r="B387" s="8" t="str">
        <f t="array" ref="B387">IF(383&gt;$S$1204,"",INDEX($T$5:$AJ$1204,MATCH(383,$S$5:$S$1204,0),2))</f>
        <v/>
      </c>
      <c r="C387" s="10" t="str">
        <f t="array" ref="C387">IF(383&gt;$S$1204,"",INDEX($T$5:$AJ$1204,MATCH(383,$S$5:$S$1204,0),3))</f>
        <v/>
      </c>
      <c r="D387" s="8" t="str">
        <f t="array" ref="D387">IF(383&gt;$S$1204,"",INDEX($T$5:$AJ$1204,MATCH(383,$S$5:$S$1204,0),4))</f>
        <v/>
      </c>
      <c r="E387" s="8" t="str">
        <f t="array" ref="E387">IF(383&gt;$S$1204,"",INDEX($T$5:$AJ$1204,MATCH(383,$S$5:$S$1204,0),5))</f>
        <v/>
      </c>
      <c r="F387" s="8" t="str">
        <f t="array" ref="F387">IF(383&gt;$S$1204,"",INDEX($T$5:$AJ$1204,MATCH(383,$S$5:$S$1204,0),6))</f>
        <v/>
      </c>
      <c r="G387" s="8" t="str">
        <f t="array" ref="G387">IF(383&gt;$S$1204,"",INDEX($T$5:$AJ$1204,MATCH(383,$S$5:$S$1204,0),7))</f>
        <v/>
      </c>
      <c r="H387" s="8" t="str">
        <f t="array" ref="H387">IF(383&gt;$S$1204,"",INDEX($T$5:$AJ$1204,MATCH(383,$S$5:$S$1204,0),8))</f>
        <v/>
      </c>
      <c r="I387" s="8" t="str">
        <f t="array" ref="I387">IF(383&gt;$S$1204,"",INDEX($T$5:$AJ$1204,MATCH(383,$S$5:$S$1204,0),9))</f>
        <v/>
      </c>
      <c r="J387" s="14" t="str">
        <f t="array" ref="J387">IF(383&gt;$S$1204,"",INDEX($T$5:$AJ$1204,MATCH(383,$S$5:$S$1204,0),10))</f>
        <v/>
      </c>
      <c r="K387" s="8" t="str">
        <f t="array" ref="K387">IF(383&gt;$S$1204,"",INDEX($T$5:$AJ$1204,MATCH(383,$S$5:$S$1204,0),11))</f>
        <v/>
      </c>
      <c r="L387" s="8" t="str">
        <f t="array" ref="L387">IF(383&gt;$S$1204,"",INDEX($T$5:$AJ$1204,MATCH(383,$S$5:$S$1204,0),12))</f>
        <v/>
      </c>
      <c r="M387" s="8" t="str">
        <f t="array" ref="M387">IF(383&gt;$S$1204,"",INDEX($T$5:$AJ$1204,MATCH(383,$S$5:$S$1204,0),13))</f>
        <v/>
      </c>
      <c r="N387" s="8" t="str">
        <f t="array" ref="N387">IF(383&gt;$S$1204,"",INDEX($T$5:$AJ$1204,MATCH(383,$S$5:$S$1204,0),14))</f>
        <v/>
      </c>
      <c r="O387" s="15" t="str">
        <f t="array" ref="O387">IF(383&gt;$S$1204,"",INDEX($T$5:$AJ$1204,MATCH(383,$S$5:$S$1204,0),15))</f>
        <v/>
      </c>
      <c r="P387" s="8" t="str">
        <f t="array" ref="P387">IF(383&gt;$S$1204,"",INDEX($T$5:$AJ$1204,MATCH(383,$S$5:$S$1204,0),16))</f>
        <v/>
      </c>
      <c r="Q387" s="8" t="str">
        <f t="array" ref="Q387">IF(383&gt;$S$1204,"",INDEX($T$5:$AJ$1204,MATCH(383,$S$5:$S$1204,0),17))</f>
        <v/>
      </c>
      <c r="R387" s="17"/>
      <c r="S387" s="17">
        <f>S386+IF(M2_Accesos!A191="",0,1)</f>
        <v>0</v>
      </c>
      <c r="T387" s="17" t="str">
        <f>IF(M2_Accesos!A191="","",IF(M2_Accesos!A191="","",M2_Accesos!A191))</f>
        <v/>
      </c>
      <c r="U387" s="17" t="str">
        <f>IF(M2_Accesos!A191="","",IF(M2_Accesos!R191="","",M2_Accesos!R191))</f>
        <v/>
      </c>
      <c r="V387" s="17" t="str">
        <f>IF(M2_Accesos!A191="","",IF(M2_Accesos!D191="","",M2_Accesos!D191))</f>
        <v/>
      </c>
      <c r="W387" s="17" t="str">
        <f>IF(M2_Accesos!A191="","",IF(M2_Accesos!B191="","",M2_Accesos!B191))</f>
        <v/>
      </c>
      <c r="X387" s="17" t="str">
        <f>IF(M2_Accesos!A191="","",IF(M2_Accesos!C191="","",M2_Accesos!C191))</f>
        <v/>
      </c>
      <c r="Y387" s="17" t="str">
        <f>IF(M2_Accesos!A191="","",IF(M2_Accesos!E191="","",M2_Accesos!E191))</f>
        <v/>
      </c>
      <c r="Z387" s="17" t="str">
        <f>IF(M2_Accesos!A191="","",IF(M2_Accesos!F191="","",M2_Accesos!F191))</f>
        <v/>
      </c>
      <c r="AA387" s="17" t="str">
        <f>IF(M2_Accesos!A191="","","M2 Accesos")</f>
        <v/>
      </c>
      <c r="AB387" s="17" t="str">
        <f>IF(M2_Accesos!A191="","",IF(M2_Accesos!G191="","",M2_Accesos!G191))</f>
        <v/>
      </c>
      <c r="AC387" s="17" t="str">
        <f>IF(M2_Accesos!A191="","",IF(M2_Accesos!M191="","",M2_Accesos!M191))</f>
        <v/>
      </c>
      <c r="AD387" s="17" t="str">
        <f>IF(M2_Accesos!A191="","","RD")</f>
        <v/>
      </c>
      <c r="AE387" s="17" t="str">
        <f>IF(M2_Accesos!A191="","",IF(M2_Accesos!O191="","",M2_Accesos!O191))</f>
        <v/>
      </c>
      <c r="AF387" s="17" t="str">
        <f>IF(M2_Accesos!A191="","",IF(M2_Accesos!P191="","",M2_Accesos!P191))</f>
        <v/>
      </c>
      <c r="AG387" s="17" t="str">
        <f>IF(M2_Accesos!A191="","",IF(M2_Accesos!Q191="","",M2_Accesos!Q191))</f>
        <v/>
      </c>
      <c r="AH387" s="17" t="str">
        <f>IF(M2_Accesos!A191="","",IF(M2_Accesos!J191="","",M2_Accesos!J191))</f>
        <v/>
      </c>
      <c r="AI387" s="17" t="str">
        <f>IF(M2_Accesos!A191="","","M2_Accesos!191")</f>
        <v/>
      </c>
      <c r="AJ387" s="17" t="str">
        <f>IF(M2_Accesos!A191="","",IF(M2_Accesos!M191="","Pendiente de resultado","Disponible"))</f>
        <v/>
      </c>
    </row>
    <row r="388" spans="1:36" ht="55.5" customHeight="1">
      <c r="A388" s="6" t="str">
        <f t="array" ref="A388">IF(384&gt;$S$1204,"",INDEX($T$5:$AJ$1204,MATCH(384,$S$5:$S$1204,0),1))</f>
        <v/>
      </c>
      <c r="B388" s="8" t="str">
        <f t="array" ref="B388">IF(384&gt;$S$1204,"",INDEX($T$5:$AJ$1204,MATCH(384,$S$5:$S$1204,0),2))</f>
        <v/>
      </c>
      <c r="C388" s="10" t="str">
        <f t="array" ref="C388">IF(384&gt;$S$1204,"",INDEX($T$5:$AJ$1204,MATCH(384,$S$5:$S$1204,0),3))</f>
        <v/>
      </c>
      <c r="D388" s="8" t="str">
        <f t="array" ref="D388">IF(384&gt;$S$1204,"",INDEX($T$5:$AJ$1204,MATCH(384,$S$5:$S$1204,0),4))</f>
        <v/>
      </c>
      <c r="E388" s="8" t="str">
        <f t="array" ref="E388">IF(384&gt;$S$1204,"",INDEX($T$5:$AJ$1204,MATCH(384,$S$5:$S$1204,0),5))</f>
        <v/>
      </c>
      <c r="F388" s="8" t="str">
        <f t="array" ref="F388">IF(384&gt;$S$1204,"",INDEX($T$5:$AJ$1204,MATCH(384,$S$5:$S$1204,0),6))</f>
        <v/>
      </c>
      <c r="G388" s="8" t="str">
        <f t="array" ref="G388">IF(384&gt;$S$1204,"",INDEX($T$5:$AJ$1204,MATCH(384,$S$5:$S$1204,0),7))</f>
        <v/>
      </c>
      <c r="H388" s="8" t="str">
        <f t="array" ref="H388">IF(384&gt;$S$1204,"",INDEX($T$5:$AJ$1204,MATCH(384,$S$5:$S$1204,0),8))</f>
        <v/>
      </c>
      <c r="I388" s="8" t="str">
        <f t="array" ref="I388">IF(384&gt;$S$1204,"",INDEX($T$5:$AJ$1204,MATCH(384,$S$5:$S$1204,0),9))</f>
        <v/>
      </c>
      <c r="J388" s="14" t="str">
        <f t="array" ref="J388">IF(384&gt;$S$1204,"",INDEX($T$5:$AJ$1204,MATCH(384,$S$5:$S$1204,0),10))</f>
        <v/>
      </c>
      <c r="K388" s="8" t="str">
        <f t="array" ref="K388">IF(384&gt;$S$1204,"",INDEX($T$5:$AJ$1204,MATCH(384,$S$5:$S$1204,0),11))</f>
        <v/>
      </c>
      <c r="L388" s="8" t="str">
        <f t="array" ref="L388">IF(384&gt;$S$1204,"",INDEX($T$5:$AJ$1204,MATCH(384,$S$5:$S$1204,0),12))</f>
        <v/>
      </c>
      <c r="M388" s="8" t="str">
        <f t="array" ref="M388">IF(384&gt;$S$1204,"",INDEX($T$5:$AJ$1204,MATCH(384,$S$5:$S$1204,0),13))</f>
        <v/>
      </c>
      <c r="N388" s="8" t="str">
        <f t="array" ref="N388">IF(384&gt;$S$1204,"",INDEX($T$5:$AJ$1204,MATCH(384,$S$5:$S$1204,0),14))</f>
        <v/>
      </c>
      <c r="O388" s="15" t="str">
        <f t="array" ref="O388">IF(384&gt;$S$1204,"",INDEX($T$5:$AJ$1204,MATCH(384,$S$5:$S$1204,0),15))</f>
        <v/>
      </c>
      <c r="P388" s="8" t="str">
        <f t="array" ref="P388">IF(384&gt;$S$1204,"",INDEX($T$5:$AJ$1204,MATCH(384,$S$5:$S$1204,0),16))</f>
        <v/>
      </c>
      <c r="Q388" s="8" t="str">
        <f t="array" ref="Q388">IF(384&gt;$S$1204,"",INDEX($T$5:$AJ$1204,MATCH(384,$S$5:$S$1204,0),17))</f>
        <v/>
      </c>
      <c r="R388" s="17"/>
      <c r="S388" s="17">
        <f>S387+IF(M2_Accesos!A192="",0,1)</f>
        <v>0</v>
      </c>
      <c r="T388" s="17" t="str">
        <f>IF(M2_Accesos!A192="","",IF(M2_Accesos!A192="","",M2_Accesos!A192))</f>
        <v/>
      </c>
      <c r="U388" s="17" t="str">
        <f>IF(M2_Accesos!A192="","",IF(M2_Accesos!R192="","",M2_Accesos!R192))</f>
        <v/>
      </c>
      <c r="V388" s="17" t="str">
        <f>IF(M2_Accesos!A192="","",IF(M2_Accesos!D192="","",M2_Accesos!D192))</f>
        <v/>
      </c>
      <c r="W388" s="17" t="str">
        <f>IF(M2_Accesos!A192="","",IF(M2_Accesos!B192="","",M2_Accesos!B192))</f>
        <v/>
      </c>
      <c r="X388" s="17" t="str">
        <f>IF(M2_Accesos!A192="","",IF(M2_Accesos!C192="","",M2_Accesos!C192))</f>
        <v/>
      </c>
      <c r="Y388" s="17" t="str">
        <f>IF(M2_Accesos!A192="","",IF(M2_Accesos!E192="","",M2_Accesos!E192))</f>
        <v/>
      </c>
      <c r="Z388" s="17" t="str">
        <f>IF(M2_Accesos!A192="","",IF(M2_Accesos!F192="","",M2_Accesos!F192))</f>
        <v/>
      </c>
      <c r="AA388" s="17" t="str">
        <f>IF(M2_Accesos!A192="","","M2 Accesos")</f>
        <v/>
      </c>
      <c r="AB388" s="17" t="str">
        <f>IF(M2_Accesos!A192="","",IF(M2_Accesos!G192="","",M2_Accesos!G192))</f>
        <v/>
      </c>
      <c r="AC388" s="17" t="str">
        <f>IF(M2_Accesos!A192="","",IF(M2_Accesos!M192="","",M2_Accesos!M192))</f>
        <v/>
      </c>
      <c r="AD388" s="17" t="str">
        <f>IF(M2_Accesos!A192="","","RD")</f>
        <v/>
      </c>
      <c r="AE388" s="17" t="str">
        <f>IF(M2_Accesos!A192="","",IF(M2_Accesos!O192="","",M2_Accesos!O192))</f>
        <v/>
      </c>
      <c r="AF388" s="17" t="str">
        <f>IF(M2_Accesos!A192="","",IF(M2_Accesos!P192="","",M2_Accesos!P192))</f>
        <v/>
      </c>
      <c r="AG388" s="17" t="str">
        <f>IF(M2_Accesos!A192="","",IF(M2_Accesos!Q192="","",M2_Accesos!Q192))</f>
        <v/>
      </c>
      <c r="AH388" s="17" t="str">
        <f>IF(M2_Accesos!A192="","",IF(M2_Accesos!J192="","",M2_Accesos!J192))</f>
        <v/>
      </c>
      <c r="AI388" s="17" t="str">
        <f>IF(M2_Accesos!A192="","","M2_Accesos!192")</f>
        <v/>
      </c>
      <c r="AJ388" s="17" t="str">
        <f>IF(M2_Accesos!A192="","",IF(M2_Accesos!M192="","Pendiente de resultado","Disponible"))</f>
        <v/>
      </c>
    </row>
    <row r="389" spans="1:36" ht="55.5" customHeight="1">
      <c r="A389" s="6" t="str">
        <f t="array" ref="A389">IF(385&gt;$S$1204,"",INDEX($T$5:$AJ$1204,MATCH(385,$S$5:$S$1204,0),1))</f>
        <v/>
      </c>
      <c r="B389" s="8" t="str">
        <f t="array" ref="B389">IF(385&gt;$S$1204,"",INDEX($T$5:$AJ$1204,MATCH(385,$S$5:$S$1204,0),2))</f>
        <v/>
      </c>
      <c r="C389" s="10" t="str">
        <f t="array" ref="C389">IF(385&gt;$S$1204,"",INDEX($T$5:$AJ$1204,MATCH(385,$S$5:$S$1204,0),3))</f>
        <v/>
      </c>
      <c r="D389" s="8" t="str">
        <f t="array" ref="D389">IF(385&gt;$S$1204,"",INDEX($T$5:$AJ$1204,MATCH(385,$S$5:$S$1204,0),4))</f>
        <v/>
      </c>
      <c r="E389" s="8" t="str">
        <f t="array" ref="E389">IF(385&gt;$S$1204,"",INDEX($T$5:$AJ$1204,MATCH(385,$S$5:$S$1204,0),5))</f>
        <v/>
      </c>
      <c r="F389" s="8" t="str">
        <f t="array" ref="F389">IF(385&gt;$S$1204,"",INDEX($T$5:$AJ$1204,MATCH(385,$S$5:$S$1204,0),6))</f>
        <v/>
      </c>
      <c r="G389" s="8" t="str">
        <f t="array" ref="G389">IF(385&gt;$S$1204,"",INDEX($T$5:$AJ$1204,MATCH(385,$S$5:$S$1204,0),7))</f>
        <v/>
      </c>
      <c r="H389" s="8" t="str">
        <f t="array" ref="H389">IF(385&gt;$S$1204,"",INDEX($T$5:$AJ$1204,MATCH(385,$S$5:$S$1204,0),8))</f>
        <v/>
      </c>
      <c r="I389" s="8" t="str">
        <f t="array" ref="I389">IF(385&gt;$S$1204,"",INDEX($T$5:$AJ$1204,MATCH(385,$S$5:$S$1204,0),9))</f>
        <v/>
      </c>
      <c r="J389" s="14" t="str">
        <f t="array" ref="J389">IF(385&gt;$S$1204,"",INDEX($T$5:$AJ$1204,MATCH(385,$S$5:$S$1204,0),10))</f>
        <v/>
      </c>
      <c r="K389" s="8" t="str">
        <f t="array" ref="K389">IF(385&gt;$S$1204,"",INDEX($T$5:$AJ$1204,MATCH(385,$S$5:$S$1204,0),11))</f>
        <v/>
      </c>
      <c r="L389" s="8" t="str">
        <f t="array" ref="L389">IF(385&gt;$S$1204,"",INDEX($T$5:$AJ$1204,MATCH(385,$S$5:$S$1204,0),12))</f>
        <v/>
      </c>
      <c r="M389" s="8" t="str">
        <f t="array" ref="M389">IF(385&gt;$S$1204,"",INDEX($T$5:$AJ$1204,MATCH(385,$S$5:$S$1204,0),13))</f>
        <v/>
      </c>
      <c r="N389" s="8" t="str">
        <f t="array" ref="N389">IF(385&gt;$S$1204,"",INDEX($T$5:$AJ$1204,MATCH(385,$S$5:$S$1204,0),14))</f>
        <v/>
      </c>
      <c r="O389" s="15" t="str">
        <f t="array" ref="O389">IF(385&gt;$S$1204,"",INDEX($T$5:$AJ$1204,MATCH(385,$S$5:$S$1204,0),15))</f>
        <v/>
      </c>
      <c r="P389" s="8" t="str">
        <f t="array" ref="P389">IF(385&gt;$S$1204,"",INDEX($T$5:$AJ$1204,MATCH(385,$S$5:$S$1204,0),16))</f>
        <v/>
      </c>
      <c r="Q389" s="8" t="str">
        <f t="array" ref="Q389">IF(385&gt;$S$1204,"",INDEX($T$5:$AJ$1204,MATCH(385,$S$5:$S$1204,0),17))</f>
        <v/>
      </c>
      <c r="R389" s="17"/>
      <c r="S389" s="17">
        <f>S388+IF(M2_Accesos!A193="",0,1)</f>
        <v>0</v>
      </c>
      <c r="T389" s="17" t="str">
        <f>IF(M2_Accesos!A193="","",IF(M2_Accesos!A193="","",M2_Accesos!A193))</f>
        <v/>
      </c>
      <c r="U389" s="17" t="str">
        <f>IF(M2_Accesos!A193="","",IF(M2_Accesos!R193="","",M2_Accesos!R193))</f>
        <v/>
      </c>
      <c r="V389" s="17" t="str">
        <f>IF(M2_Accesos!A193="","",IF(M2_Accesos!D193="","",M2_Accesos!D193))</f>
        <v/>
      </c>
      <c r="W389" s="17" t="str">
        <f>IF(M2_Accesos!A193="","",IF(M2_Accesos!B193="","",M2_Accesos!B193))</f>
        <v/>
      </c>
      <c r="X389" s="17" t="str">
        <f>IF(M2_Accesos!A193="","",IF(M2_Accesos!C193="","",M2_Accesos!C193))</f>
        <v/>
      </c>
      <c r="Y389" s="17" t="str">
        <f>IF(M2_Accesos!A193="","",IF(M2_Accesos!E193="","",M2_Accesos!E193))</f>
        <v/>
      </c>
      <c r="Z389" s="17" t="str">
        <f>IF(M2_Accesos!A193="","",IF(M2_Accesos!F193="","",M2_Accesos!F193))</f>
        <v/>
      </c>
      <c r="AA389" s="17" t="str">
        <f>IF(M2_Accesos!A193="","","M2 Accesos")</f>
        <v/>
      </c>
      <c r="AB389" s="17" t="str">
        <f>IF(M2_Accesos!A193="","",IF(M2_Accesos!G193="","",M2_Accesos!G193))</f>
        <v/>
      </c>
      <c r="AC389" s="17" t="str">
        <f>IF(M2_Accesos!A193="","",IF(M2_Accesos!M193="","",M2_Accesos!M193))</f>
        <v/>
      </c>
      <c r="AD389" s="17" t="str">
        <f>IF(M2_Accesos!A193="","","RD")</f>
        <v/>
      </c>
      <c r="AE389" s="17" t="str">
        <f>IF(M2_Accesos!A193="","",IF(M2_Accesos!O193="","",M2_Accesos!O193))</f>
        <v/>
      </c>
      <c r="AF389" s="17" t="str">
        <f>IF(M2_Accesos!A193="","",IF(M2_Accesos!P193="","",M2_Accesos!P193))</f>
        <v/>
      </c>
      <c r="AG389" s="17" t="str">
        <f>IF(M2_Accesos!A193="","",IF(M2_Accesos!Q193="","",M2_Accesos!Q193))</f>
        <v/>
      </c>
      <c r="AH389" s="17" t="str">
        <f>IF(M2_Accesos!A193="","",IF(M2_Accesos!J193="","",M2_Accesos!J193))</f>
        <v/>
      </c>
      <c r="AI389" s="17" t="str">
        <f>IF(M2_Accesos!A193="","","M2_Accesos!193")</f>
        <v/>
      </c>
      <c r="AJ389" s="17" t="str">
        <f>IF(M2_Accesos!A193="","",IF(M2_Accesos!M193="","Pendiente de resultado","Disponible"))</f>
        <v/>
      </c>
    </row>
    <row r="390" spans="1:36" ht="55.5" customHeight="1">
      <c r="A390" s="6" t="str">
        <f t="array" ref="A390">IF(386&gt;$S$1204,"",INDEX($T$5:$AJ$1204,MATCH(386,$S$5:$S$1204,0),1))</f>
        <v/>
      </c>
      <c r="B390" s="8" t="str">
        <f t="array" ref="B390">IF(386&gt;$S$1204,"",INDEX($T$5:$AJ$1204,MATCH(386,$S$5:$S$1204,0),2))</f>
        <v/>
      </c>
      <c r="C390" s="10" t="str">
        <f t="array" ref="C390">IF(386&gt;$S$1204,"",INDEX($T$5:$AJ$1204,MATCH(386,$S$5:$S$1204,0),3))</f>
        <v/>
      </c>
      <c r="D390" s="8" t="str">
        <f t="array" ref="D390">IF(386&gt;$S$1204,"",INDEX($T$5:$AJ$1204,MATCH(386,$S$5:$S$1204,0),4))</f>
        <v/>
      </c>
      <c r="E390" s="8" t="str">
        <f t="array" ref="E390">IF(386&gt;$S$1204,"",INDEX($T$5:$AJ$1204,MATCH(386,$S$5:$S$1204,0),5))</f>
        <v/>
      </c>
      <c r="F390" s="8" t="str">
        <f t="array" ref="F390">IF(386&gt;$S$1204,"",INDEX($T$5:$AJ$1204,MATCH(386,$S$5:$S$1204,0),6))</f>
        <v/>
      </c>
      <c r="G390" s="8" t="str">
        <f t="array" ref="G390">IF(386&gt;$S$1204,"",INDEX($T$5:$AJ$1204,MATCH(386,$S$5:$S$1204,0),7))</f>
        <v/>
      </c>
      <c r="H390" s="8" t="str">
        <f t="array" ref="H390">IF(386&gt;$S$1204,"",INDEX($T$5:$AJ$1204,MATCH(386,$S$5:$S$1204,0),8))</f>
        <v/>
      </c>
      <c r="I390" s="8" t="str">
        <f t="array" ref="I390">IF(386&gt;$S$1204,"",INDEX($T$5:$AJ$1204,MATCH(386,$S$5:$S$1204,0),9))</f>
        <v/>
      </c>
      <c r="J390" s="14" t="str">
        <f t="array" ref="J390">IF(386&gt;$S$1204,"",INDEX($T$5:$AJ$1204,MATCH(386,$S$5:$S$1204,0),10))</f>
        <v/>
      </c>
      <c r="K390" s="8" t="str">
        <f t="array" ref="K390">IF(386&gt;$S$1204,"",INDEX($T$5:$AJ$1204,MATCH(386,$S$5:$S$1204,0),11))</f>
        <v/>
      </c>
      <c r="L390" s="8" t="str">
        <f t="array" ref="L390">IF(386&gt;$S$1204,"",INDEX($T$5:$AJ$1204,MATCH(386,$S$5:$S$1204,0),12))</f>
        <v/>
      </c>
      <c r="M390" s="8" t="str">
        <f t="array" ref="M390">IF(386&gt;$S$1204,"",INDEX($T$5:$AJ$1204,MATCH(386,$S$5:$S$1204,0),13))</f>
        <v/>
      </c>
      <c r="N390" s="8" t="str">
        <f t="array" ref="N390">IF(386&gt;$S$1204,"",INDEX($T$5:$AJ$1204,MATCH(386,$S$5:$S$1204,0),14))</f>
        <v/>
      </c>
      <c r="O390" s="15" t="str">
        <f t="array" ref="O390">IF(386&gt;$S$1204,"",INDEX($T$5:$AJ$1204,MATCH(386,$S$5:$S$1204,0),15))</f>
        <v/>
      </c>
      <c r="P390" s="8" t="str">
        <f t="array" ref="P390">IF(386&gt;$S$1204,"",INDEX($T$5:$AJ$1204,MATCH(386,$S$5:$S$1204,0),16))</f>
        <v/>
      </c>
      <c r="Q390" s="8" t="str">
        <f t="array" ref="Q390">IF(386&gt;$S$1204,"",INDEX($T$5:$AJ$1204,MATCH(386,$S$5:$S$1204,0),17))</f>
        <v/>
      </c>
      <c r="R390" s="17"/>
      <c r="S390" s="17">
        <f>S389+IF(M2_Accesos!A194="",0,1)</f>
        <v>0</v>
      </c>
      <c r="T390" s="17" t="str">
        <f>IF(M2_Accesos!A194="","",IF(M2_Accesos!A194="","",M2_Accesos!A194))</f>
        <v/>
      </c>
      <c r="U390" s="17" t="str">
        <f>IF(M2_Accesos!A194="","",IF(M2_Accesos!R194="","",M2_Accesos!R194))</f>
        <v/>
      </c>
      <c r="V390" s="17" t="str">
        <f>IF(M2_Accesos!A194="","",IF(M2_Accesos!D194="","",M2_Accesos!D194))</f>
        <v/>
      </c>
      <c r="W390" s="17" t="str">
        <f>IF(M2_Accesos!A194="","",IF(M2_Accesos!B194="","",M2_Accesos!B194))</f>
        <v/>
      </c>
      <c r="X390" s="17" t="str">
        <f>IF(M2_Accesos!A194="","",IF(M2_Accesos!C194="","",M2_Accesos!C194))</f>
        <v/>
      </c>
      <c r="Y390" s="17" t="str">
        <f>IF(M2_Accesos!A194="","",IF(M2_Accesos!E194="","",M2_Accesos!E194))</f>
        <v/>
      </c>
      <c r="Z390" s="17" t="str">
        <f>IF(M2_Accesos!A194="","",IF(M2_Accesos!F194="","",M2_Accesos!F194))</f>
        <v/>
      </c>
      <c r="AA390" s="17" t="str">
        <f>IF(M2_Accesos!A194="","","M2 Accesos")</f>
        <v/>
      </c>
      <c r="AB390" s="17" t="str">
        <f>IF(M2_Accesos!A194="","",IF(M2_Accesos!G194="","",M2_Accesos!G194))</f>
        <v/>
      </c>
      <c r="AC390" s="17" t="str">
        <f>IF(M2_Accesos!A194="","",IF(M2_Accesos!M194="","",M2_Accesos!M194))</f>
        <v/>
      </c>
      <c r="AD390" s="17" t="str">
        <f>IF(M2_Accesos!A194="","","RD")</f>
        <v/>
      </c>
      <c r="AE390" s="17" t="str">
        <f>IF(M2_Accesos!A194="","",IF(M2_Accesos!O194="","",M2_Accesos!O194))</f>
        <v/>
      </c>
      <c r="AF390" s="17" t="str">
        <f>IF(M2_Accesos!A194="","",IF(M2_Accesos!P194="","",M2_Accesos!P194))</f>
        <v/>
      </c>
      <c r="AG390" s="17" t="str">
        <f>IF(M2_Accesos!A194="","",IF(M2_Accesos!Q194="","",M2_Accesos!Q194))</f>
        <v/>
      </c>
      <c r="AH390" s="17" t="str">
        <f>IF(M2_Accesos!A194="","",IF(M2_Accesos!J194="","",M2_Accesos!J194))</f>
        <v/>
      </c>
      <c r="AI390" s="17" t="str">
        <f>IF(M2_Accesos!A194="","","M2_Accesos!194")</f>
        <v/>
      </c>
      <c r="AJ390" s="17" t="str">
        <f>IF(M2_Accesos!A194="","",IF(M2_Accesos!M194="","Pendiente de resultado","Disponible"))</f>
        <v/>
      </c>
    </row>
    <row r="391" spans="1:36" ht="55.5" customHeight="1">
      <c r="A391" s="6" t="str">
        <f t="array" ref="A391">IF(387&gt;$S$1204,"",INDEX($T$5:$AJ$1204,MATCH(387,$S$5:$S$1204,0),1))</f>
        <v/>
      </c>
      <c r="B391" s="8" t="str">
        <f t="array" ref="B391">IF(387&gt;$S$1204,"",INDEX($T$5:$AJ$1204,MATCH(387,$S$5:$S$1204,0),2))</f>
        <v/>
      </c>
      <c r="C391" s="10" t="str">
        <f t="array" ref="C391">IF(387&gt;$S$1204,"",INDEX($T$5:$AJ$1204,MATCH(387,$S$5:$S$1204,0),3))</f>
        <v/>
      </c>
      <c r="D391" s="8" t="str">
        <f t="array" ref="D391">IF(387&gt;$S$1204,"",INDEX($T$5:$AJ$1204,MATCH(387,$S$5:$S$1204,0),4))</f>
        <v/>
      </c>
      <c r="E391" s="8" t="str">
        <f t="array" ref="E391">IF(387&gt;$S$1204,"",INDEX($T$5:$AJ$1204,MATCH(387,$S$5:$S$1204,0),5))</f>
        <v/>
      </c>
      <c r="F391" s="8" t="str">
        <f t="array" ref="F391">IF(387&gt;$S$1204,"",INDEX($T$5:$AJ$1204,MATCH(387,$S$5:$S$1204,0),6))</f>
        <v/>
      </c>
      <c r="G391" s="8" t="str">
        <f t="array" ref="G391">IF(387&gt;$S$1204,"",INDEX($T$5:$AJ$1204,MATCH(387,$S$5:$S$1204,0),7))</f>
        <v/>
      </c>
      <c r="H391" s="8" t="str">
        <f t="array" ref="H391">IF(387&gt;$S$1204,"",INDEX($T$5:$AJ$1204,MATCH(387,$S$5:$S$1204,0),8))</f>
        <v/>
      </c>
      <c r="I391" s="8" t="str">
        <f t="array" ref="I391">IF(387&gt;$S$1204,"",INDEX($T$5:$AJ$1204,MATCH(387,$S$5:$S$1204,0),9))</f>
        <v/>
      </c>
      <c r="J391" s="14" t="str">
        <f t="array" ref="J391">IF(387&gt;$S$1204,"",INDEX($T$5:$AJ$1204,MATCH(387,$S$5:$S$1204,0),10))</f>
        <v/>
      </c>
      <c r="K391" s="8" t="str">
        <f t="array" ref="K391">IF(387&gt;$S$1204,"",INDEX($T$5:$AJ$1204,MATCH(387,$S$5:$S$1204,0),11))</f>
        <v/>
      </c>
      <c r="L391" s="8" t="str">
        <f t="array" ref="L391">IF(387&gt;$S$1204,"",INDEX($T$5:$AJ$1204,MATCH(387,$S$5:$S$1204,0),12))</f>
        <v/>
      </c>
      <c r="M391" s="8" t="str">
        <f t="array" ref="M391">IF(387&gt;$S$1204,"",INDEX($T$5:$AJ$1204,MATCH(387,$S$5:$S$1204,0),13))</f>
        <v/>
      </c>
      <c r="N391" s="8" t="str">
        <f t="array" ref="N391">IF(387&gt;$S$1204,"",INDEX($T$5:$AJ$1204,MATCH(387,$S$5:$S$1204,0),14))</f>
        <v/>
      </c>
      <c r="O391" s="15" t="str">
        <f t="array" ref="O391">IF(387&gt;$S$1204,"",INDEX($T$5:$AJ$1204,MATCH(387,$S$5:$S$1204,0),15))</f>
        <v/>
      </c>
      <c r="P391" s="8" t="str">
        <f t="array" ref="P391">IF(387&gt;$S$1204,"",INDEX($T$5:$AJ$1204,MATCH(387,$S$5:$S$1204,0),16))</f>
        <v/>
      </c>
      <c r="Q391" s="8" t="str">
        <f t="array" ref="Q391">IF(387&gt;$S$1204,"",INDEX($T$5:$AJ$1204,MATCH(387,$S$5:$S$1204,0),17))</f>
        <v/>
      </c>
      <c r="R391" s="17"/>
      <c r="S391" s="17">
        <f>S390+IF(M2_Accesos!A195="",0,1)</f>
        <v>0</v>
      </c>
      <c r="T391" s="17" t="str">
        <f>IF(M2_Accesos!A195="","",IF(M2_Accesos!A195="","",M2_Accesos!A195))</f>
        <v/>
      </c>
      <c r="U391" s="17" t="str">
        <f>IF(M2_Accesos!A195="","",IF(M2_Accesos!R195="","",M2_Accesos!R195))</f>
        <v/>
      </c>
      <c r="V391" s="17" t="str">
        <f>IF(M2_Accesos!A195="","",IF(M2_Accesos!D195="","",M2_Accesos!D195))</f>
        <v/>
      </c>
      <c r="W391" s="17" t="str">
        <f>IF(M2_Accesos!A195="","",IF(M2_Accesos!B195="","",M2_Accesos!B195))</f>
        <v/>
      </c>
      <c r="X391" s="17" t="str">
        <f>IF(M2_Accesos!A195="","",IF(M2_Accesos!C195="","",M2_Accesos!C195))</f>
        <v/>
      </c>
      <c r="Y391" s="17" t="str">
        <f>IF(M2_Accesos!A195="","",IF(M2_Accesos!E195="","",M2_Accesos!E195))</f>
        <v/>
      </c>
      <c r="Z391" s="17" t="str">
        <f>IF(M2_Accesos!A195="","",IF(M2_Accesos!F195="","",M2_Accesos!F195))</f>
        <v/>
      </c>
      <c r="AA391" s="17" t="str">
        <f>IF(M2_Accesos!A195="","","M2 Accesos")</f>
        <v/>
      </c>
      <c r="AB391" s="17" t="str">
        <f>IF(M2_Accesos!A195="","",IF(M2_Accesos!G195="","",M2_Accesos!G195))</f>
        <v/>
      </c>
      <c r="AC391" s="17" t="str">
        <f>IF(M2_Accesos!A195="","",IF(M2_Accesos!M195="","",M2_Accesos!M195))</f>
        <v/>
      </c>
      <c r="AD391" s="17" t="str">
        <f>IF(M2_Accesos!A195="","","RD")</f>
        <v/>
      </c>
      <c r="AE391" s="17" t="str">
        <f>IF(M2_Accesos!A195="","",IF(M2_Accesos!O195="","",M2_Accesos!O195))</f>
        <v/>
      </c>
      <c r="AF391" s="17" t="str">
        <f>IF(M2_Accesos!A195="","",IF(M2_Accesos!P195="","",M2_Accesos!P195))</f>
        <v/>
      </c>
      <c r="AG391" s="17" t="str">
        <f>IF(M2_Accesos!A195="","",IF(M2_Accesos!Q195="","",M2_Accesos!Q195))</f>
        <v/>
      </c>
      <c r="AH391" s="17" t="str">
        <f>IF(M2_Accesos!A195="","",IF(M2_Accesos!J195="","",M2_Accesos!J195))</f>
        <v/>
      </c>
      <c r="AI391" s="17" t="str">
        <f>IF(M2_Accesos!A195="","","M2_Accesos!195")</f>
        <v/>
      </c>
      <c r="AJ391" s="17" t="str">
        <f>IF(M2_Accesos!A195="","",IF(M2_Accesos!M195="","Pendiente de resultado","Disponible"))</f>
        <v/>
      </c>
    </row>
    <row r="392" spans="1:36" ht="55.5" customHeight="1">
      <c r="A392" s="6" t="str">
        <f t="array" ref="A392">IF(388&gt;$S$1204,"",INDEX($T$5:$AJ$1204,MATCH(388,$S$5:$S$1204,0),1))</f>
        <v/>
      </c>
      <c r="B392" s="8" t="str">
        <f t="array" ref="B392">IF(388&gt;$S$1204,"",INDEX($T$5:$AJ$1204,MATCH(388,$S$5:$S$1204,0),2))</f>
        <v/>
      </c>
      <c r="C392" s="10" t="str">
        <f t="array" ref="C392">IF(388&gt;$S$1204,"",INDEX($T$5:$AJ$1204,MATCH(388,$S$5:$S$1204,0),3))</f>
        <v/>
      </c>
      <c r="D392" s="8" t="str">
        <f t="array" ref="D392">IF(388&gt;$S$1204,"",INDEX($T$5:$AJ$1204,MATCH(388,$S$5:$S$1204,0),4))</f>
        <v/>
      </c>
      <c r="E392" s="8" t="str">
        <f t="array" ref="E392">IF(388&gt;$S$1204,"",INDEX($T$5:$AJ$1204,MATCH(388,$S$5:$S$1204,0),5))</f>
        <v/>
      </c>
      <c r="F392" s="8" t="str">
        <f t="array" ref="F392">IF(388&gt;$S$1204,"",INDEX($T$5:$AJ$1204,MATCH(388,$S$5:$S$1204,0),6))</f>
        <v/>
      </c>
      <c r="G392" s="8" t="str">
        <f t="array" ref="G392">IF(388&gt;$S$1204,"",INDEX($T$5:$AJ$1204,MATCH(388,$S$5:$S$1204,0),7))</f>
        <v/>
      </c>
      <c r="H392" s="8" t="str">
        <f t="array" ref="H392">IF(388&gt;$S$1204,"",INDEX($T$5:$AJ$1204,MATCH(388,$S$5:$S$1204,0),8))</f>
        <v/>
      </c>
      <c r="I392" s="8" t="str">
        <f t="array" ref="I392">IF(388&gt;$S$1204,"",INDEX($T$5:$AJ$1204,MATCH(388,$S$5:$S$1204,0),9))</f>
        <v/>
      </c>
      <c r="J392" s="14" t="str">
        <f t="array" ref="J392">IF(388&gt;$S$1204,"",INDEX($T$5:$AJ$1204,MATCH(388,$S$5:$S$1204,0),10))</f>
        <v/>
      </c>
      <c r="K392" s="8" t="str">
        <f t="array" ref="K392">IF(388&gt;$S$1204,"",INDEX($T$5:$AJ$1204,MATCH(388,$S$5:$S$1204,0),11))</f>
        <v/>
      </c>
      <c r="L392" s="8" t="str">
        <f t="array" ref="L392">IF(388&gt;$S$1204,"",INDEX($T$5:$AJ$1204,MATCH(388,$S$5:$S$1204,0),12))</f>
        <v/>
      </c>
      <c r="M392" s="8" t="str">
        <f t="array" ref="M392">IF(388&gt;$S$1204,"",INDEX($T$5:$AJ$1204,MATCH(388,$S$5:$S$1204,0),13))</f>
        <v/>
      </c>
      <c r="N392" s="8" t="str">
        <f t="array" ref="N392">IF(388&gt;$S$1204,"",INDEX($T$5:$AJ$1204,MATCH(388,$S$5:$S$1204,0),14))</f>
        <v/>
      </c>
      <c r="O392" s="15" t="str">
        <f t="array" ref="O392">IF(388&gt;$S$1204,"",INDEX($T$5:$AJ$1204,MATCH(388,$S$5:$S$1204,0),15))</f>
        <v/>
      </c>
      <c r="P392" s="8" t="str">
        <f t="array" ref="P392">IF(388&gt;$S$1204,"",INDEX($T$5:$AJ$1204,MATCH(388,$S$5:$S$1204,0),16))</f>
        <v/>
      </c>
      <c r="Q392" s="8" t="str">
        <f t="array" ref="Q392">IF(388&gt;$S$1204,"",INDEX($T$5:$AJ$1204,MATCH(388,$S$5:$S$1204,0),17))</f>
        <v/>
      </c>
      <c r="R392" s="17"/>
      <c r="S392" s="17">
        <f>S391+IF(M2_Accesos!A196="",0,1)</f>
        <v>0</v>
      </c>
      <c r="T392" s="17" t="str">
        <f>IF(M2_Accesos!A196="","",IF(M2_Accesos!A196="","",M2_Accesos!A196))</f>
        <v/>
      </c>
      <c r="U392" s="17" t="str">
        <f>IF(M2_Accesos!A196="","",IF(M2_Accesos!R196="","",M2_Accesos!R196))</f>
        <v/>
      </c>
      <c r="V392" s="17" t="str">
        <f>IF(M2_Accesos!A196="","",IF(M2_Accesos!D196="","",M2_Accesos!D196))</f>
        <v/>
      </c>
      <c r="W392" s="17" t="str">
        <f>IF(M2_Accesos!A196="","",IF(M2_Accesos!B196="","",M2_Accesos!B196))</f>
        <v/>
      </c>
      <c r="X392" s="17" t="str">
        <f>IF(M2_Accesos!A196="","",IF(M2_Accesos!C196="","",M2_Accesos!C196))</f>
        <v/>
      </c>
      <c r="Y392" s="17" t="str">
        <f>IF(M2_Accesos!A196="","",IF(M2_Accesos!E196="","",M2_Accesos!E196))</f>
        <v/>
      </c>
      <c r="Z392" s="17" t="str">
        <f>IF(M2_Accesos!A196="","",IF(M2_Accesos!F196="","",M2_Accesos!F196))</f>
        <v/>
      </c>
      <c r="AA392" s="17" t="str">
        <f>IF(M2_Accesos!A196="","","M2 Accesos")</f>
        <v/>
      </c>
      <c r="AB392" s="17" t="str">
        <f>IF(M2_Accesos!A196="","",IF(M2_Accesos!G196="","",M2_Accesos!G196))</f>
        <v/>
      </c>
      <c r="AC392" s="17" t="str">
        <f>IF(M2_Accesos!A196="","",IF(M2_Accesos!M196="","",M2_Accesos!M196))</f>
        <v/>
      </c>
      <c r="AD392" s="17" t="str">
        <f>IF(M2_Accesos!A196="","","RD")</f>
        <v/>
      </c>
      <c r="AE392" s="17" t="str">
        <f>IF(M2_Accesos!A196="","",IF(M2_Accesos!O196="","",M2_Accesos!O196))</f>
        <v/>
      </c>
      <c r="AF392" s="17" t="str">
        <f>IF(M2_Accesos!A196="","",IF(M2_Accesos!P196="","",M2_Accesos!P196))</f>
        <v/>
      </c>
      <c r="AG392" s="17" t="str">
        <f>IF(M2_Accesos!A196="","",IF(M2_Accesos!Q196="","",M2_Accesos!Q196))</f>
        <v/>
      </c>
      <c r="AH392" s="17" t="str">
        <f>IF(M2_Accesos!A196="","",IF(M2_Accesos!J196="","",M2_Accesos!J196))</f>
        <v/>
      </c>
      <c r="AI392" s="17" t="str">
        <f>IF(M2_Accesos!A196="","","M2_Accesos!196")</f>
        <v/>
      </c>
      <c r="AJ392" s="17" t="str">
        <f>IF(M2_Accesos!A196="","",IF(M2_Accesos!M196="","Pendiente de resultado","Disponible"))</f>
        <v/>
      </c>
    </row>
    <row r="393" spans="1:36" ht="55.5" customHeight="1">
      <c r="A393" s="6" t="str">
        <f t="array" ref="A393">IF(389&gt;$S$1204,"",INDEX($T$5:$AJ$1204,MATCH(389,$S$5:$S$1204,0),1))</f>
        <v/>
      </c>
      <c r="B393" s="8" t="str">
        <f t="array" ref="B393">IF(389&gt;$S$1204,"",INDEX($T$5:$AJ$1204,MATCH(389,$S$5:$S$1204,0),2))</f>
        <v/>
      </c>
      <c r="C393" s="10" t="str">
        <f t="array" ref="C393">IF(389&gt;$S$1204,"",INDEX($T$5:$AJ$1204,MATCH(389,$S$5:$S$1204,0),3))</f>
        <v/>
      </c>
      <c r="D393" s="8" t="str">
        <f t="array" ref="D393">IF(389&gt;$S$1204,"",INDEX($T$5:$AJ$1204,MATCH(389,$S$5:$S$1204,0),4))</f>
        <v/>
      </c>
      <c r="E393" s="8" t="str">
        <f t="array" ref="E393">IF(389&gt;$S$1204,"",INDEX($T$5:$AJ$1204,MATCH(389,$S$5:$S$1204,0),5))</f>
        <v/>
      </c>
      <c r="F393" s="8" t="str">
        <f t="array" ref="F393">IF(389&gt;$S$1204,"",INDEX($T$5:$AJ$1204,MATCH(389,$S$5:$S$1204,0),6))</f>
        <v/>
      </c>
      <c r="G393" s="8" t="str">
        <f t="array" ref="G393">IF(389&gt;$S$1204,"",INDEX($T$5:$AJ$1204,MATCH(389,$S$5:$S$1204,0),7))</f>
        <v/>
      </c>
      <c r="H393" s="8" t="str">
        <f t="array" ref="H393">IF(389&gt;$S$1204,"",INDEX($T$5:$AJ$1204,MATCH(389,$S$5:$S$1204,0),8))</f>
        <v/>
      </c>
      <c r="I393" s="8" t="str">
        <f t="array" ref="I393">IF(389&gt;$S$1204,"",INDEX($T$5:$AJ$1204,MATCH(389,$S$5:$S$1204,0),9))</f>
        <v/>
      </c>
      <c r="J393" s="14" t="str">
        <f t="array" ref="J393">IF(389&gt;$S$1204,"",INDEX($T$5:$AJ$1204,MATCH(389,$S$5:$S$1204,0),10))</f>
        <v/>
      </c>
      <c r="K393" s="8" t="str">
        <f t="array" ref="K393">IF(389&gt;$S$1204,"",INDEX($T$5:$AJ$1204,MATCH(389,$S$5:$S$1204,0),11))</f>
        <v/>
      </c>
      <c r="L393" s="8" t="str">
        <f t="array" ref="L393">IF(389&gt;$S$1204,"",INDEX($T$5:$AJ$1204,MATCH(389,$S$5:$S$1204,0),12))</f>
        <v/>
      </c>
      <c r="M393" s="8" t="str">
        <f t="array" ref="M393">IF(389&gt;$S$1204,"",INDEX($T$5:$AJ$1204,MATCH(389,$S$5:$S$1204,0),13))</f>
        <v/>
      </c>
      <c r="N393" s="8" t="str">
        <f t="array" ref="N393">IF(389&gt;$S$1204,"",INDEX($T$5:$AJ$1204,MATCH(389,$S$5:$S$1204,0),14))</f>
        <v/>
      </c>
      <c r="O393" s="15" t="str">
        <f t="array" ref="O393">IF(389&gt;$S$1204,"",INDEX($T$5:$AJ$1204,MATCH(389,$S$5:$S$1204,0),15))</f>
        <v/>
      </c>
      <c r="P393" s="8" t="str">
        <f t="array" ref="P393">IF(389&gt;$S$1204,"",INDEX($T$5:$AJ$1204,MATCH(389,$S$5:$S$1204,0),16))</f>
        <v/>
      </c>
      <c r="Q393" s="8" t="str">
        <f t="array" ref="Q393">IF(389&gt;$S$1204,"",INDEX($T$5:$AJ$1204,MATCH(389,$S$5:$S$1204,0),17))</f>
        <v/>
      </c>
      <c r="R393" s="17"/>
      <c r="S393" s="17">
        <f>S392+IF(M2_Accesos!A197="",0,1)</f>
        <v>0</v>
      </c>
      <c r="T393" s="17" t="str">
        <f>IF(M2_Accesos!A197="","",IF(M2_Accesos!A197="","",M2_Accesos!A197))</f>
        <v/>
      </c>
      <c r="U393" s="17" t="str">
        <f>IF(M2_Accesos!A197="","",IF(M2_Accesos!R197="","",M2_Accesos!R197))</f>
        <v/>
      </c>
      <c r="V393" s="17" t="str">
        <f>IF(M2_Accesos!A197="","",IF(M2_Accesos!D197="","",M2_Accesos!D197))</f>
        <v/>
      </c>
      <c r="W393" s="17" t="str">
        <f>IF(M2_Accesos!A197="","",IF(M2_Accesos!B197="","",M2_Accesos!B197))</f>
        <v/>
      </c>
      <c r="X393" s="17" t="str">
        <f>IF(M2_Accesos!A197="","",IF(M2_Accesos!C197="","",M2_Accesos!C197))</f>
        <v/>
      </c>
      <c r="Y393" s="17" t="str">
        <f>IF(M2_Accesos!A197="","",IF(M2_Accesos!E197="","",M2_Accesos!E197))</f>
        <v/>
      </c>
      <c r="Z393" s="17" t="str">
        <f>IF(M2_Accesos!A197="","",IF(M2_Accesos!F197="","",M2_Accesos!F197))</f>
        <v/>
      </c>
      <c r="AA393" s="17" t="str">
        <f>IF(M2_Accesos!A197="","","M2 Accesos")</f>
        <v/>
      </c>
      <c r="AB393" s="17" t="str">
        <f>IF(M2_Accesos!A197="","",IF(M2_Accesos!G197="","",M2_Accesos!G197))</f>
        <v/>
      </c>
      <c r="AC393" s="17" t="str">
        <f>IF(M2_Accesos!A197="","",IF(M2_Accesos!M197="","",M2_Accesos!M197))</f>
        <v/>
      </c>
      <c r="AD393" s="17" t="str">
        <f>IF(M2_Accesos!A197="","","RD")</f>
        <v/>
      </c>
      <c r="AE393" s="17" t="str">
        <f>IF(M2_Accesos!A197="","",IF(M2_Accesos!O197="","",M2_Accesos!O197))</f>
        <v/>
      </c>
      <c r="AF393" s="17" t="str">
        <f>IF(M2_Accesos!A197="","",IF(M2_Accesos!P197="","",M2_Accesos!P197))</f>
        <v/>
      </c>
      <c r="AG393" s="17" t="str">
        <f>IF(M2_Accesos!A197="","",IF(M2_Accesos!Q197="","",M2_Accesos!Q197))</f>
        <v/>
      </c>
      <c r="AH393" s="17" t="str">
        <f>IF(M2_Accesos!A197="","",IF(M2_Accesos!J197="","",M2_Accesos!J197))</f>
        <v/>
      </c>
      <c r="AI393" s="17" t="str">
        <f>IF(M2_Accesos!A197="","","M2_Accesos!197")</f>
        <v/>
      </c>
      <c r="AJ393" s="17" t="str">
        <f>IF(M2_Accesos!A197="","",IF(M2_Accesos!M197="","Pendiente de resultado","Disponible"))</f>
        <v/>
      </c>
    </row>
    <row r="394" spans="1:36" ht="55.5" customHeight="1">
      <c r="A394" s="6" t="str">
        <f t="array" ref="A394">IF(390&gt;$S$1204,"",INDEX($T$5:$AJ$1204,MATCH(390,$S$5:$S$1204,0),1))</f>
        <v/>
      </c>
      <c r="B394" s="8" t="str">
        <f t="array" ref="B394">IF(390&gt;$S$1204,"",INDEX($T$5:$AJ$1204,MATCH(390,$S$5:$S$1204,0),2))</f>
        <v/>
      </c>
      <c r="C394" s="10" t="str">
        <f t="array" ref="C394">IF(390&gt;$S$1204,"",INDEX($T$5:$AJ$1204,MATCH(390,$S$5:$S$1204,0),3))</f>
        <v/>
      </c>
      <c r="D394" s="8" t="str">
        <f t="array" ref="D394">IF(390&gt;$S$1204,"",INDEX($T$5:$AJ$1204,MATCH(390,$S$5:$S$1204,0),4))</f>
        <v/>
      </c>
      <c r="E394" s="8" t="str">
        <f t="array" ref="E394">IF(390&gt;$S$1204,"",INDEX($T$5:$AJ$1204,MATCH(390,$S$5:$S$1204,0),5))</f>
        <v/>
      </c>
      <c r="F394" s="8" t="str">
        <f t="array" ref="F394">IF(390&gt;$S$1204,"",INDEX($T$5:$AJ$1204,MATCH(390,$S$5:$S$1204,0),6))</f>
        <v/>
      </c>
      <c r="G394" s="8" t="str">
        <f t="array" ref="G394">IF(390&gt;$S$1204,"",INDEX($T$5:$AJ$1204,MATCH(390,$S$5:$S$1204,0),7))</f>
        <v/>
      </c>
      <c r="H394" s="8" t="str">
        <f t="array" ref="H394">IF(390&gt;$S$1204,"",INDEX($T$5:$AJ$1204,MATCH(390,$S$5:$S$1204,0),8))</f>
        <v/>
      </c>
      <c r="I394" s="8" t="str">
        <f t="array" ref="I394">IF(390&gt;$S$1204,"",INDEX($T$5:$AJ$1204,MATCH(390,$S$5:$S$1204,0),9))</f>
        <v/>
      </c>
      <c r="J394" s="14" t="str">
        <f t="array" ref="J394">IF(390&gt;$S$1204,"",INDEX($T$5:$AJ$1204,MATCH(390,$S$5:$S$1204,0),10))</f>
        <v/>
      </c>
      <c r="K394" s="8" t="str">
        <f t="array" ref="K394">IF(390&gt;$S$1204,"",INDEX($T$5:$AJ$1204,MATCH(390,$S$5:$S$1204,0),11))</f>
        <v/>
      </c>
      <c r="L394" s="8" t="str">
        <f t="array" ref="L394">IF(390&gt;$S$1204,"",INDEX($T$5:$AJ$1204,MATCH(390,$S$5:$S$1204,0),12))</f>
        <v/>
      </c>
      <c r="M394" s="8" t="str">
        <f t="array" ref="M394">IF(390&gt;$S$1204,"",INDEX($T$5:$AJ$1204,MATCH(390,$S$5:$S$1204,0),13))</f>
        <v/>
      </c>
      <c r="N394" s="8" t="str">
        <f t="array" ref="N394">IF(390&gt;$S$1204,"",INDEX($T$5:$AJ$1204,MATCH(390,$S$5:$S$1204,0),14))</f>
        <v/>
      </c>
      <c r="O394" s="15" t="str">
        <f t="array" ref="O394">IF(390&gt;$S$1204,"",INDEX($T$5:$AJ$1204,MATCH(390,$S$5:$S$1204,0),15))</f>
        <v/>
      </c>
      <c r="P394" s="8" t="str">
        <f t="array" ref="P394">IF(390&gt;$S$1204,"",INDEX($T$5:$AJ$1204,MATCH(390,$S$5:$S$1204,0),16))</f>
        <v/>
      </c>
      <c r="Q394" s="8" t="str">
        <f t="array" ref="Q394">IF(390&gt;$S$1204,"",INDEX($T$5:$AJ$1204,MATCH(390,$S$5:$S$1204,0),17))</f>
        <v/>
      </c>
      <c r="R394" s="17"/>
      <c r="S394" s="17">
        <f>S393+IF(M2_Accesos!A198="",0,1)</f>
        <v>0</v>
      </c>
      <c r="T394" s="17" t="str">
        <f>IF(M2_Accesos!A198="","",IF(M2_Accesos!A198="","",M2_Accesos!A198))</f>
        <v/>
      </c>
      <c r="U394" s="17" t="str">
        <f>IF(M2_Accesos!A198="","",IF(M2_Accesos!R198="","",M2_Accesos!R198))</f>
        <v/>
      </c>
      <c r="V394" s="17" t="str">
        <f>IF(M2_Accesos!A198="","",IF(M2_Accesos!D198="","",M2_Accesos!D198))</f>
        <v/>
      </c>
      <c r="W394" s="17" t="str">
        <f>IF(M2_Accesos!A198="","",IF(M2_Accesos!B198="","",M2_Accesos!B198))</f>
        <v/>
      </c>
      <c r="X394" s="17" t="str">
        <f>IF(M2_Accesos!A198="","",IF(M2_Accesos!C198="","",M2_Accesos!C198))</f>
        <v/>
      </c>
      <c r="Y394" s="17" t="str">
        <f>IF(M2_Accesos!A198="","",IF(M2_Accesos!E198="","",M2_Accesos!E198))</f>
        <v/>
      </c>
      <c r="Z394" s="17" t="str">
        <f>IF(M2_Accesos!A198="","",IF(M2_Accesos!F198="","",M2_Accesos!F198))</f>
        <v/>
      </c>
      <c r="AA394" s="17" t="str">
        <f>IF(M2_Accesos!A198="","","M2 Accesos")</f>
        <v/>
      </c>
      <c r="AB394" s="17" t="str">
        <f>IF(M2_Accesos!A198="","",IF(M2_Accesos!G198="","",M2_Accesos!G198))</f>
        <v/>
      </c>
      <c r="AC394" s="17" t="str">
        <f>IF(M2_Accesos!A198="","",IF(M2_Accesos!M198="","",M2_Accesos!M198))</f>
        <v/>
      </c>
      <c r="AD394" s="17" t="str">
        <f>IF(M2_Accesos!A198="","","RD")</f>
        <v/>
      </c>
      <c r="AE394" s="17" t="str">
        <f>IF(M2_Accesos!A198="","",IF(M2_Accesos!O198="","",M2_Accesos!O198))</f>
        <v/>
      </c>
      <c r="AF394" s="17" t="str">
        <f>IF(M2_Accesos!A198="","",IF(M2_Accesos!P198="","",M2_Accesos!P198))</f>
        <v/>
      </c>
      <c r="AG394" s="17" t="str">
        <f>IF(M2_Accesos!A198="","",IF(M2_Accesos!Q198="","",M2_Accesos!Q198))</f>
        <v/>
      </c>
      <c r="AH394" s="17" t="str">
        <f>IF(M2_Accesos!A198="","",IF(M2_Accesos!J198="","",M2_Accesos!J198))</f>
        <v/>
      </c>
      <c r="AI394" s="17" t="str">
        <f>IF(M2_Accesos!A198="","","M2_Accesos!198")</f>
        <v/>
      </c>
      <c r="AJ394" s="17" t="str">
        <f>IF(M2_Accesos!A198="","",IF(M2_Accesos!M198="","Pendiente de resultado","Disponible"))</f>
        <v/>
      </c>
    </row>
    <row r="395" spans="1:36" ht="55.5" customHeight="1">
      <c r="A395" s="6" t="str">
        <f t="array" ref="A395">IF(391&gt;$S$1204,"",INDEX($T$5:$AJ$1204,MATCH(391,$S$5:$S$1204,0),1))</f>
        <v/>
      </c>
      <c r="B395" s="8" t="str">
        <f t="array" ref="B395">IF(391&gt;$S$1204,"",INDEX($T$5:$AJ$1204,MATCH(391,$S$5:$S$1204,0),2))</f>
        <v/>
      </c>
      <c r="C395" s="10" t="str">
        <f t="array" ref="C395">IF(391&gt;$S$1204,"",INDEX($T$5:$AJ$1204,MATCH(391,$S$5:$S$1204,0),3))</f>
        <v/>
      </c>
      <c r="D395" s="8" t="str">
        <f t="array" ref="D395">IF(391&gt;$S$1204,"",INDEX($T$5:$AJ$1204,MATCH(391,$S$5:$S$1204,0),4))</f>
        <v/>
      </c>
      <c r="E395" s="8" t="str">
        <f t="array" ref="E395">IF(391&gt;$S$1204,"",INDEX($T$5:$AJ$1204,MATCH(391,$S$5:$S$1204,0),5))</f>
        <v/>
      </c>
      <c r="F395" s="8" t="str">
        <f t="array" ref="F395">IF(391&gt;$S$1204,"",INDEX($T$5:$AJ$1204,MATCH(391,$S$5:$S$1204,0),6))</f>
        <v/>
      </c>
      <c r="G395" s="8" t="str">
        <f t="array" ref="G395">IF(391&gt;$S$1204,"",INDEX($T$5:$AJ$1204,MATCH(391,$S$5:$S$1204,0),7))</f>
        <v/>
      </c>
      <c r="H395" s="8" t="str">
        <f t="array" ref="H395">IF(391&gt;$S$1204,"",INDEX($T$5:$AJ$1204,MATCH(391,$S$5:$S$1204,0),8))</f>
        <v/>
      </c>
      <c r="I395" s="8" t="str">
        <f t="array" ref="I395">IF(391&gt;$S$1204,"",INDEX($T$5:$AJ$1204,MATCH(391,$S$5:$S$1204,0),9))</f>
        <v/>
      </c>
      <c r="J395" s="14" t="str">
        <f t="array" ref="J395">IF(391&gt;$S$1204,"",INDEX($T$5:$AJ$1204,MATCH(391,$S$5:$S$1204,0),10))</f>
        <v/>
      </c>
      <c r="K395" s="8" t="str">
        <f t="array" ref="K395">IF(391&gt;$S$1204,"",INDEX($T$5:$AJ$1204,MATCH(391,$S$5:$S$1204,0),11))</f>
        <v/>
      </c>
      <c r="L395" s="8" t="str">
        <f t="array" ref="L395">IF(391&gt;$S$1204,"",INDEX($T$5:$AJ$1204,MATCH(391,$S$5:$S$1204,0),12))</f>
        <v/>
      </c>
      <c r="M395" s="8" t="str">
        <f t="array" ref="M395">IF(391&gt;$S$1204,"",INDEX($T$5:$AJ$1204,MATCH(391,$S$5:$S$1204,0),13))</f>
        <v/>
      </c>
      <c r="N395" s="8" t="str">
        <f t="array" ref="N395">IF(391&gt;$S$1204,"",INDEX($T$5:$AJ$1204,MATCH(391,$S$5:$S$1204,0),14))</f>
        <v/>
      </c>
      <c r="O395" s="15" t="str">
        <f t="array" ref="O395">IF(391&gt;$S$1204,"",INDEX($T$5:$AJ$1204,MATCH(391,$S$5:$S$1204,0),15))</f>
        <v/>
      </c>
      <c r="P395" s="8" t="str">
        <f t="array" ref="P395">IF(391&gt;$S$1204,"",INDEX($T$5:$AJ$1204,MATCH(391,$S$5:$S$1204,0),16))</f>
        <v/>
      </c>
      <c r="Q395" s="8" t="str">
        <f t="array" ref="Q395">IF(391&gt;$S$1204,"",INDEX($T$5:$AJ$1204,MATCH(391,$S$5:$S$1204,0),17))</f>
        <v/>
      </c>
      <c r="R395" s="17"/>
      <c r="S395" s="17">
        <f>S394+IF(M2_Accesos!A199="",0,1)</f>
        <v>0</v>
      </c>
      <c r="T395" s="17" t="str">
        <f>IF(M2_Accesos!A199="","",IF(M2_Accesos!A199="","",M2_Accesos!A199))</f>
        <v/>
      </c>
      <c r="U395" s="17" t="str">
        <f>IF(M2_Accesos!A199="","",IF(M2_Accesos!R199="","",M2_Accesos!R199))</f>
        <v/>
      </c>
      <c r="V395" s="17" t="str">
        <f>IF(M2_Accesos!A199="","",IF(M2_Accesos!D199="","",M2_Accesos!D199))</f>
        <v/>
      </c>
      <c r="W395" s="17" t="str">
        <f>IF(M2_Accesos!A199="","",IF(M2_Accesos!B199="","",M2_Accesos!B199))</f>
        <v/>
      </c>
      <c r="X395" s="17" t="str">
        <f>IF(M2_Accesos!A199="","",IF(M2_Accesos!C199="","",M2_Accesos!C199))</f>
        <v/>
      </c>
      <c r="Y395" s="17" t="str">
        <f>IF(M2_Accesos!A199="","",IF(M2_Accesos!E199="","",M2_Accesos!E199))</f>
        <v/>
      </c>
      <c r="Z395" s="17" t="str">
        <f>IF(M2_Accesos!A199="","",IF(M2_Accesos!F199="","",M2_Accesos!F199))</f>
        <v/>
      </c>
      <c r="AA395" s="17" t="str">
        <f>IF(M2_Accesos!A199="","","M2 Accesos")</f>
        <v/>
      </c>
      <c r="AB395" s="17" t="str">
        <f>IF(M2_Accesos!A199="","",IF(M2_Accesos!G199="","",M2_Accesos!G199))</f>
        <v/>
      </c>
      <c r="AC395" s="17" t="str">
        <f>IF(M2_Accesos!A199="","",IF(M2_Accesos!M199="","",M2_Accesos!M199))</f>
        <v/>
      </c>
      <c r="AD395" s="17" t="str">
        <f>IF(M2_Accesos!A199="","","RD")</f>
        <v/>
      </c>
      <c r="AE395" s="17" t="str">
        <f>IF(M2_Accesos!A199="","",IF(M2_Accesos!O199="","",M2_Accesos!O199))</f>
        <v/>
      </c>
      <c r="AF395" s="17" t="str">
        <f>IF(M2_Accesos!A199="","",IF(M2_Accesos!P199="","",M2_Accesos!P199))</f>
        <v/>
      </c>
      <c r="AG395" s="17" t="str">
        <f>IF(M2_Accesos!A199="","",IF(M2_Accesos!Q199="","",M2_Accesos!Q199))</f>
        <v/>
      </c>
      <c r="AH395" s="17" t="str">
        <f>IF(M2_Accesos!A199="","",IF(M2_Accesos!J199="","",M2_Accesos!J199))</f>
        <v/>
      </c>
      <c r="AI395" s="17" t="str">
        <f>IF(M2_Accesos!A199="","","M2_Accesos!199")</f>
        <v/>
      </c>
      <c r="AJ395" s="17" t="str">
        <f>IF(M2_Accesos!A199="","",IF(M2_Accesos!M199="","Pendiente de resultado","Disponible"))</f>
        <v/>
      </c>
    </row>
    <row r="396" spans="1:36" ht="55.5" customHeight="1">
      <c r="A396" s="6" t="str">
        <f t="array" ref="A396">IF(392&gt;$S$1204,"",INDEX($T$5:$AJ$1204,MATCH(392,$S$5:$S$1204,0),1))</f>
        <v/>
      </c>
      <c r="B396" s="8" t="str">
        <f t="array" ref="B396">IF(392&gt;$S$1204,"",INDEX($T$5:$AJ$1204,MATCH(392,$S$5:$S$1204,0),2))</f>
        <v/>
      </c>
      <c r="C396" s="10" t="str">
        <f t="array" ref="C396">IF(392&gt;$S$1204,"",INDEX($T$5:$AJ$1204,MATCH(392,$S$5:$S$1204,0),3))</f>
        <v/>
      </c>
      <c r="D396" s="8" t="str">
        <f t="array" ref="D396">IF(392&gt;$S$1204,"",INDEX($T$5:$AJ$1204,MATCH(392,$S$5:$S$1204,0),4))</f>
        <v/>
      </c>
      <c r="E396" s="8" t="str">
        <f t="array" ref="E396">IF(392&gt;$S$1204,"",INDEX($T$5:$AJ$1204,MATCH(392,$S$5:$S$1204,0),5))</f>
        <v/>
      </c>
      <c r="F396" s="8" t="str">
        <f t="array" ref="F396">IF(392&gt;$S$1204,"",INDEX($T$5:$AJ$1204,MATCH(392,$S$5:$S$1204,0),6))</f>
        <v/>
      </c>
      <c r="G396" s="8" t="str">
        <f t="array" ref="G396">IF(392&gt;$S$1204,"",INDEX($T$5:$AJ$1204,MATCH(392,$S$5:$S$1204,0),7))</f>
        <v/>
      </c>
      <c r="H396" s="8" t="str">
        <f t="array" ref="H396">IF(392&gt;$S$1204,"",INDEX($T$5:$AJ$1204,MATCH(392,$S$5:$S$1204,0),8))</f>
        <v/>
      </c>
      <c r="I396" s="8" t="str">
        <f t="array" ref="I396">IF(392&gt;$S$1204,"",INDEX($T$5:$AJ$1204,MATCH(392,$S$5:$S$1204,0),9))</f>
        <v/>
      </c>
      <c r="J396" s="14" t="str">
        <f t="array" ref="J396">IF(392&gt;$S$1204,"",INDEX($T$5:$AJ$1204,MATCH(392,$S$5:$S$1204,0),10))</f>
        <v/>
      </c>
      <c r="K396" s="8" t="str">
        <f t="array" ref="K396">IF(392&gt;$S$1204,"",INDEX($T$5:$AJ$1204,MATCH(392,$S$5:$S$1204,0),11))</f>
        <v/>
      </c>
      <c r="L396" s="8" t="str">
        <f t="array" ref="L396">IF(392&gt;$S$1204,"",INDEX($T$5:$AJ$1204,MATCH(392,$S$5:$S$1204,0),12))</f>
        <v/>
      </c>
      <c r="M396" s="8" t="str">
        <f t="array" ref="M396">IF(392&gt;$S$1204,"",INDEX($T$5:$AJ$1204,MATCH(392,$S$5:$S$1204,0),13))</f>
        <v/>
      </c>
      <c r="N396" s="8" t="str">
        <f t="array" ref="N396">IF(392&gt;$S$1204,"",INDEX($T$5:$AJ$1204,MATCH(392,$S$5:$S$1204,0),14))</f>
        <v/>
      </c>
      <c r="O396" s="15" t="str">
        <f t="array" ref="O396">IF(392&gt;$S$1204,"",INDEX($T$5:$AJ$1204,MATCH(392,$S$5:$S$1204,0),15))</f>
        <v/>
      </c>
      <c r="P396" s="8" t="str">
        <f t="array" ref="P396">IF(392&gt;$S$1204,"",INDEX($T$5:$AJ$1204,MATCH(392,$S$5:$S$1204,0),16))</f>
        <v/>
      </c>
      <c r="Q396" s="8" t="str">
        <f t="array" ref="Q396">IF(392&gt;$S$1204,"",INDEX($T$5:$AJ$1204,MATCH(392,$S$5:$S$1204,0),17))</f>
        <v/>
      </c>
      <c r="R396" s="17"/>
      <c r="S396" s="17">
        <f>S395+IF(M2_Accesos!A200="",0,1)</f>
        <v>0</v>
      </c>
      <c r="T396" s="17" t="str">
        <f>IF(M2_Accesos!A200="","",IF(M2_Accesos!A200="","",M2_Accesos!A200))</f>
        <v/>
      </c>
      <c r="U396" s="17" t="str">
        <f>IF(M2_Accesos!A200="","",IF(M2_Accesos!R200="","",M2_Accesos!R200))</f>
        <v/>
      </c>
      <c r="V396" s="17" t="str">
        <f>IF(M2_Accesos!A200="","",IF(M2_Accesos!D200="","",M2_Accesos!D200))</f>
        <v/>
      </c>
      <c r="W396" s="17" t="str">
        <f>IF(M2_Accesos!A200="","",IF(M2_Accesos!B200="","",M2_Accesos!B200))</f>
        <v/>
      </c>
      <c r="X396" s="17" t="str">
        <f>IF(M2_Accesos!A200="","",IF(M2_Accesos!C200="","",M2_Accesos!C200))</f>
        <v/>
      </c>
      <c r="Y396" s="17" t="str">
        <f>IF(M2_Accesos!A200="","",IF(M2_Accesos!E200="","",M2_Accesos!E200))</f>
        <v/>
      </c>
      <c r="Z396" s="17" t="str">
        <f>IF(M2_Accesos!A200="","",IF(M2_Accesos!F200="","",M2_Accesos!F200))</f>
        <v/>
      </c>
      <c r="AA396" s="17" t="str">
        <f>IF(M2_Accesos!A200="","","M2 Accesos")</f>
        <v/>
      </c>
      <c r="AB396" s="17" t="str">
        <f>IF(M2_Accesos!A200="","",IF(M2_Accesos!G200="","",M2_Accesos!G200))</f>
        <v/>
      </c>
      <c r="AC396" s="17" t="str">
        <f>IF(M2_Accesos!A200="","",IF(M2_Accesos!M200="","",M2_Accesos!M200))</f>
        <v/>
      </c>
      <c r="AD396" s="17" t="str">
        <f>IF(M2_Accesos!A200="","","RD")</f>
        <v/>
      </c>
      <c r="AE396" s="17" t="str">
        <f>IF(M2_Accesos!A200="","",IF(M2_Accesos!O200="","",M2_Accesos!O200))</f>
        <v/>
      </c>
      <c r="AF396" s="17" t="str">
        <f>IF(M2_Accesos!A200="","",IF(M2_Accesos!P200="","",M2_Accesos!P200))</f>
        <v/>
      </c>
      <c r="AG396" s="17" t="str">
        <f>IF(M2_Accesos!A200="","",IF(M2_Accesos!Q200="","",M2_Accesos!Q200))</f>
        <v/>
      </c>
      <c r="AH396" s="17" t="str">
        <f>IF(M2_Accesos!A200="","",IF(M2_Accesos!J200="","",M2_Accesos!J200))</f>
        <v/>
      </c>
      <c r="AI396" s="17" t="str">
        <f>IF(M2_Accesos!A200="","","M2_Accesos!200")</f>
        <v/>
      </c>
      <c r="AJ396" s="17" t="str">
        <f>IF(M2_Accesos!A200="","",IF(M2_Accesos!M200="","Pendiente de resultado","Disponible"))</f>
        <v/>
      </c>
    </row>
    <row r="397" spans="1:36" ht="55.5" customHeight="1">
      <c r="A397" s="6" t="str">
        <f t="array" ref="A397">IF(393&gt;$S$1204,"",INDEX($T$5:$AJ$1204,MATCH(393,$S$5:$S$1204,0),1))</f>
        <v/>
      </c>
      <c r="B397" s="8" t="str">
        <f t="array" ref="B397">IF(393&gt;$S$1204,"",INDEX($T$5:$AJ$1204,MATCH(393,$S$5:$S$1204,0),2))</f>
        <v/>
      </c>
      <c r="C397" s="10" t="str">
        <f t="array" ref="C397">IF(393&gt;$S$1204,"",INDEX($T$5:$AJ$1204,MATCH(393,$S$5:$S$1204,0),3))</f>
        <v/>
      </c>
      <c r="D397" s="8" t="str">
        <f t="array" ref="D397">IF(393&gt;$S$1204,"",INDEX($T$5:$AJ$1204,MATCH(393,$S$5:$S$1204,0),4))</f>
        <v/>
      </c>
      <c r="E397" s="8" t="str">
        <f t="array" ref="E397">IF(393&gt;$S$1204,"",INDEX($T$5:$AJ$1204,MATCH(393,$S$5:$S$1204,0),5))</f>
        <v/>
      </c>
      <c r="F397" s="8" t="str">
        <f t="array" ref="F397">IF(393&gt;$S$1204,"",INDEX($T$5:$AJ$1204,MATCH(393,$S$5:$S$1204,0),6))</f>
        <v/>
      </c>
      <c r="G397" s="8" t="str">
        <f t="array" ref="G397">IF(393&gt;$S$1204,"",INDEX($T$5:$AJ$1204,MATCH(393,$S$5:$S$1204,0),7))</f>
        <v/>
      </c>
      <c r="H397" s="8" t="str">
        <f t="array" ref="H397">IF(393&gt;$S$1204,"",INDEX($T$5:$AJ$1204,MATCH(393,$S$5:$S$1204,0),8))</f>
        <v/>
      </c>
      <c r="I397" s="8" t="str">
        <f t="array" ref="I397">IF(393&gt;$S$1204,"",INDEX($T$5:$AJ$1204,MATCH(393,$S$5:$S$1204,0),9))</f>
        <v/>
      </c>
      <c r="J397" s="14" t="str">
        <f t="array" ref="J397">IF(393&gt;$S$1204,"",INDEX($T$5:$AJ$1204,MATCH(393,$S$5:$S$1204,0),10))</f>
        <v/>
      </c>
      <c r="K397" s="8" t="str">
        <f t="array" ref="K397">IF(393&gt;$S$1204,"",INDEX($T$5:$AJ$1204,MATCH(393,$S$5:$S$1204,0),11))</f>
        <v/>
      </c>
      <c r="L397" s="8" t="str">
        <f t="array" ref="L397">IF(393&gt;$S$1204,"",INDEX($T$5:$AJ$1204,MATCH(393,$S$5:$S$1204,0),12))</f>
        <v/>
      </c>
      <c r="M397" s="8" t="str">
        <f t="array" ref="M397">IF(393&gt;$S$1204,"",INDEX($T$5:$AJ$1204,MATCH(393,$S$5:$S$1204,0),13))</f>
        <v/>
      </c>
      <c r="N397" s="8" t="str">
        <f t="array" ref="N397">IF(393&gt;$S$1204,"",INDEX($T$5:$AJ$1204,MATCH(393,$S$5:$S$1204,0),14))</f>
        <v/>
      </c>
      <c r="O397" s="15" t="str">
        <f t="array" ref="O397">IF(393&gt;$S$1204,"",INDEX($T$5:$AJ$1204,MATCH(393,$S$5:$S$1204,0),15))</f>
        <v/>
      </c>
      <c r="P397" s="8" t="str">
        <f t="array" ref="P397">IF(393&gt;$S$1204,"",INDEX($T$5:$AJ$1204,MATCH(393,$S$5:$S$1204,0),16))</f>
        <v/>
      </c>
      <c r="Q397" s="8" t="str">
        <f t="array" ref="Q397">IF(393&gt;$S$1204,"",INDEX($T$5:$AJ$1204,MATCH(393,$S$5:$S$1204,0),17))</f>
        <v/>
      </c>
      <c r="R397" s="17"/>
      <c r="S397" s="17">
        <f>S396+IF(M2_Accesos!A201="",0,1)</f>
        <v>0</v>
      </c>
      <c r="T397" s="17" t="str">
        <f>IF(M2_Accesos!A201="","",IF(M2_Accesos!A201="","",M2_Accesos!A201))</f>
        <v/>
      </c>
      <c r="U397" s="17" t="str">
        <f>IF(M2_Accesos!A201="","",IF(M2_Accesos!R201="","",M2_Accesos!R201))</f>
        <v/>
      </c>
      <c r="V397" s="17" t="str">
        <f>IF(M2_Accesos!A201="","",IF(M2_Accesos!D201="","",M2_Accesos!D201))</f>
        <v/>
      </c>
      <c r="W397" s="17" t="str">
        <f>IF(M2_Accesos!A201="","",IF(M2_Accesos!B201="","",M2_Accesos!B201))</f>
        <v/>
      </c>
      <c r="X397" s="17" t="str">
        <f>IF(M2_Accesos!A201="","",IF(M2_Accesos!C201="","",M2_Accesos!C201))</f>
        <v/>
      </c>
      <c r="Y397" s="17" t="str">
        <f>IF(M2_Accesos!A201="","",IF(M2_Accesos!E201="","",M2_Accesos!E201))</f>
        <v/>
      </c>
      <c r="Z397" s="17" t="str">
        <f>IF(M2_Accesos!A201="","",IF(M2_Accesos!F201="","",M2_Accesos!F201))</f>
        <v/>
      </c>
      <c r="AA397" s="17" t="str">
        <f>IF(M2_Accesos!A201="","","M2 Accesos")</f>
        <v/>
      </c>
      <c r="AB397" s="17" t="str">
        <f>IF(M2_Accesos!A201="","",IF(M2_Accesos!G201="","",M2_Accesos!G201))</f>
        <v/>
      </c>
      <c r="AC397" s="17" t="str">
        <f>IF(M2_Accesos!A201="","",IF(M2_Accesos!M201="","",M2_Accesos!M201))</f>
        <v/>
      </c>
      <c r="AD397" s="17" t="str">
        <f>IF(M2_Accesos!A201="","","RD")</f>
        <v/>
      </c>
      <c r="AE397" s="17" t="str">
        <f>IF(M2_Accesos!A201="","",IF(M2_Accesos!O201="","",M2_Accesos!O201))</f>
        <v/>
      </c>
      <c r="AF397" s="17" t="str">
        <f>IF(M2_Accesos!A201="","",IF(M2_Accesos!P201="","",M2_Accesos!P201))</f>
        <v/>
      </c>
      <c r="AG397" s="17" t="str">
        <f>IF(M2_Accesos!A201="","",IF(M2_Accesos!Q201="","",M2_Accesos!Q201))</f>
        <v/>
      </c>
      <c r="AH397" s="17" t="str">
        <f>IF(M2_Accesos!A201="","",IF(M2_Accesos!J201="","",M2_Accesos!J201))</f>
        <v/>
      </c>
      <c r="AI397" s="17" t="str">
        <f>IF(M2_Accesos!A201="","","M2_Accesos!201")</f>
        <v/>
      </c>
      <c r="AJ397" s="17" t="str">
        <f>IF(M2_Accesos!A201="","",IF(M2_Accesos!M201="","Pendiente de resultado","Disponible"))</f>
        <v/>
      </c>
    </row>
    <row r="398" spans="1:36" ht="55.5" customHeight="1">
      <c r="A398" s="6" t="str">
        <f t="array" ref="A398">IF(394&gt;$S$1204,"",INDEX($T$5:$AJ$1204,MATCH(394,$S$5:$S$1204,0),1))</f>
        <v/>
      </c>
      <c r="B398" s="8" t="str">
        <f t="array" ref="B398">IF(394&gt;$S$1204,"",INDEX($T$5:$AJ$1204,MATCH(394,$S$5:$S$1204,0),2))</f>
        <v/>
      </c>
      <c r="C398" s="10" t="str">
        <f t="array" ref="C398">IF(394&gt;$S$1204,"",INDEX($T$5:$AJ$1204,MATCH(394,$S$5:$S$1204,0),3))</f>
        <v/>
      </c>
      <c r="D398" s="8" t="str">
        <f t="array" ref="D398">IF(394&gt;$S$1204,"",INDEX($T$5:$AJ$1204,MATCH(394,$S$5:$S$1204,0),4))</f>
        <v/>
      </c>
      <c r="E398" s="8" t="str">
        <f t="array" ref="E398">IF(394&gt;$S$1204,"",INDEX($T$5:$AJ$1204,MATCH(394,$S$5:$S$1204,0),5))</f>
        <v/>
      </c>
      <c r="F398" s="8" t="str">
        <f t="array" ref="F398">IF(394&gt;$S$1204,"",INDEX($T$5:$AJ$1204,MATCH(394,$S$5:$S$1204,0),6))</f>
        <v/>
      </c>
      <c r="G398" s="8" t="str">
        <f t="array" ref="G398">IF(394&gt;$S$1204,"",INDEX($T$5:$AJ$1204,MATCH(394,$S$5:$S$1204,0),7))</f>
        <v/>
      </c>
      <c r="H398" s="8" t="str">
        <f t="array" ref="H398">IF(394&gt;$S$1204,"",INDEX($T$5:$AJ$1204,MATCH(394,$S$5:$S$1204,0),8))</f>
        <v/>
      </c>
      <c r="I398" s="8" t="str">
        <f t="array" ref="I398">IF(394&gt;$S$1204,"",INDEX($T$5:$AJ$1204,MATCH(394,$S$5:$S$1204,0),9))</f>
        <v/>
      </c>
      <c r="J398" s="14" t="str">
        <f t="array" ref="J398">IF(394&gt;$S$1204,"",INDEX($T$5:$AJ$1204,MATCH(394,$S$5:$S$1204,0),10))</f>
        <v/>
      </c>
      <c r="K398" s="8" t="str">
        <f t="array" ref="K398">IF(394&gt;$S$1204,"",INDEX($T$5:$AJ$1204,MATCH(394,$S$5:$S$1204,0),11))</f>
        <v/>
      </c>
      <c r="L398" s="8" t="str">
        <f t="array" ref="L398">IF(394&gt;$S$1204,"",INDEX($T$5:$AJ$1204,MATCH(394,$S$5:$S$1204,0),12))</f>
        <v/>
      </c>
      <c r="M398" s="8" t="str">
        <f t="array" ref="M398">IF(394&gt;$S$1204,"",INDEX($T$5:$AJ$1204,MATCH(394,$S$5:$S$1204,0),13))</f>
        <v/>
      </c>
      <c r="N398" s="8" t="str">
        <f t="array" ref="N398">IF(394&gt;$S$1204,"",INDEX($T$5:$AJ$1204,MATCH(394,$S$5:$S$1204,0),14))</f>
        <v/>
      </c>
      <c r="O398" s="15" t="str">
        <f t="array" ref="O398">IF(394&gt;$S$1204,"",INDEX($T$5:$AJ$1204,MATCH(394,$S$5:$S$1204,0),15))</f>
        <v/>
      </c>
      <c r="P398" s="8" t="str">
        <f t="array" ref="P398">IF(394&gt;$S$1204,"",INDEX($T$5:$AJ$1204,MATCH(394,$S$5:$S$1204,0),16))</f>
        <v/>
      </c>
      <c r="Q398" s="8" t="str">
        <f t="array" ref="Q398">IF(394&gt;$S$1204,"",INDEX($T$5:$AJ$1204,MATCH(394,$S$5:$S$1204,0),17))</f>
        <v/>
      </c>
      <c r="R398" s="17"/>
      <c r="S398" s="17">
        <f>S397+IF(M2_Accesos!A202="",0,1)</f>
        <v>0</v>
      </c>
      <c r="T398" s="17" t="str">
        <f>IF(M2_Accesos!A202="","",IF(M2_Accesos!A202="","",M2_Accesos!A202))</f>
        <v/>
      </c>
      <c r="U398" s="17" t="str">
        <f>IF(M2_Accesos!A202="","",IF(M2_Accesos!R202="","",M2_Accesos!R202))</f>
        <v/>
      </c>
      <c r="V398" s="17" t="str">
        <f>IF(M2_Accesos!A202="","",IF(M2_Accesos!D202="","",M2_Accesos!D202))</f>
        <v/>
      </c>
      <c r="W398" s="17" t="str">
        <f>IF(M2_Accesos!A202="","",IF(M2_Accesos!B202="","",M2_Accesos!B202))</f>
        <v/>
      </c>
      <c r="X398" s="17" t="str">
        <f>IF(M2_Accesos!A202="","",IF(M2_Accesos!C202="","",M2_Accesos!C202))</f>
        <v/>
      </c>
      <c r="Y398" s="17" t="str">
        <f>IF(M2_Accesos!A202="","",IF(M2_Accesos!E202="","",M2_Accesos!E202))</f>
        <v/>
      </c>
      <c r="Z398" s="17" t="str">
        <f>IF(M2_Accesos!A202="","",IF(M2_Accesos!F202="","",M2_Accesos!F202))</f>
        <v/>
      </c>
      <c r="AA398" s="17" t="str">
        <f>IF(M2_Accesos!A202="","","M2 Accesos")</f>
        <v/>
      </c>
      <c r="AB398" s="17" t="str">
        <f>IF(M2_Accesos!A202="","",IF(M2_Accesos!G202="","",M2_Accesos!G202))</f>
        <v/>
      </c>
      <c r="AC398" s="17" t="str">
        <f>IF(M2_Accesos!A202="","",IF(M2_Accesos!M202="","",M2_Accesos!M202))</f>
        <v/>
      </c>
      <c r="AD398" s="17" t="str">
        <f>IF(M2_Accesos!A202="","","RD")</f>
        <v/>
      </c>
      <c r="AE398" s="17" t="str">
        <f>IF(M2_Accesos!A202="","",IF(M2_Accesos!O202="","",M2_Accesos!O202))</f>
        <v/>
      </c>
      <c r="AF398" s="17" t="str">
        <f>IF(M2_Accesos!A202="","",IF(M2_Accesos!P202="","",M2_Accesos!P202))</f>
        <v/>
      </c>
      <c r="AG398" s="17" t="str">
        <f>IF(M2_Accesos!A202="","",IF(M2_Accesos!Q202="","",M2_Accesos!Q202))</f>
        <v/>
      </c>
      <c r="AH398" s="17" t="str">
        <f>IF(M2_Accesos!A202="","",IF(M2_Accesos!J202="","",M2_Accesos!J202))</f>
        <v/>
      </c>
      <c r="AI398" s="17" t="str">
        <f>IF(M2_Accesos!A202="","","M2_Accesos!202")</f>
        <v/>
      </c>
      <c r="AJ398" s="17" t="str">
        <f>IF(M2_Accesos!A202="","",IF(M2_Accesos!M202="","Pendiente de resultado","Disponible"))</f>
        <v/>
      </c>
    </row>
    <row r="399" spans="1:36" ht="55.5" customHeight="1">
      <c r="A399" s="6" t="str">
        <f t="array" ref="A399">IF(395&gt;$S$1204,"",INDEX($T$5:$AJ$1204,MATCH(395,$S$5:$S$1204,0),1))</f>
        <v/>
      </c>
      <c r="B399" s="8" t="str">
        <f t="array" ref="B399">IF(395&gt;$S$1204,"",INDEX($T$5:$AJ$1204,MATCH(395,$S$5:$S$1204,0),2))</f>
        <v/>
      </c>
      <c r="C399" s="10" t="str">
        <f t="array" ref="C399">IF(395&gt;$S$1204,"",INDEX($T$5:$AJ$1204,MATCH(395,$S$5:$S$1204,0),3))</f>
        <v/>
      </c>
      <c r="D399" s="8" t="str">
        <f t="array" ref="D399">IF(395&gt;$S$1204,"",INDEX($T$5:$AJ$1204,MATCH(395,$S$5:$S$1204,0),4))</f>
        <v/>
      </c>
      <c r="E399" s="8" t="str">
        <f t="array" ref="E399">IF(395&gt;$S$1204,"",INDEX($T$5:$AJ$1204,MATCH(395,$S$5:$S$1204,0),5))</f>
        <v/>
      </c>
      <c r="F399" s="8" t="str">
        <f t="array" ref="F399">IF(395&gt;$S$1204,"",INDEX($T$5:$AJ$1204,MATCH(395,$S$5:$S$1204,0),6))</f>
        <v/>
      </c>
      <c r="G399" s="8" t="str">
        <f t="array" ref="G399">IF(395&gt;$S$1204,"",INDEX($T$5:$AJ$1204,MATCH(395,$S$5:$S$1204,0),7))</f>
        <v/>
      </c>
      <c r="H399" s="8" t="str">
        <f t="array" ref="H399">IF(395&gt;$S$1204,"",INDEX($T$5:$AJ$1204,MATCH(395,$S$5:$S$1204,0),8))</f>
        <v/>
      </c>
      <c r="I399" s="8" t="str">
        <f t="array" ref="I399">IF(395&gt;$S$1204,"",INDEX($T$5:$AJ$1204,MATCH(395,$S$5:$S$1204,0),9))</f>
        <v/>
      </c>
      <c r="J399" s="14" t="str">
        <f t="array" ref="J399">IF(395&gt;$S$1204,"",INDEX($T$5:$AJ$1204,MATCH(395,$S$5:$S$1204,0),10))</f>
        <v/>
      </c>
      <c r="K399" s="8" t="str">
        <f t="array" ref="K399">IF(395&gt;$S$1204,"",INDEX($T$5:$AJ$1204,MATCH(395,$S$5:$S$1204,0),11))</f>
        <v/>
      </c>
      <c r="L399" s="8" t="str">
        <f t="array" ref="L399">IF(395&gt;$S$1204,"",INDEX($T$5:$AJ$1204,MATCH(395,$S$5:$S$1204,0),12))</f>
        <v/>
      </c>
      <c r="M399" s="8" t="str">
        <f t="array" ref="M399">IF(395&gt;$S$1204,"",INDEX($T$5:$AJ$1204,MATCH(395,$S$5:$S$1204,0),13))</f>
        <v/>
      </c>
      <c r="N399" s="8" t="str">
        <f t="array" ref="N399">IF(395&gt;$S$1204,"",INDEX($T$5:$AJ$1204,MATCH(395,$S$5:$S$1204,0),14))</f>
        <v/>
      </c>
      <c r="O399" s="15" t="str">
        <f t="array" ref="O399">IF(395&gt;$S$1204,"",INDEX($T$5:$AJ$1204,MATCH(395,$S$5:$S$1204,0),15))</f>
        <v/>
      </c>
      <c r="P399" s="8" t="str">
        <f t="array" ref="P399">IF(395&gt;$S$1204,"",INDEX($T$5:$AJ$1204,MATCH(395,$S$5:$S$1204,0),16))</f>
        <v/>
      </c>
      <c r="Q399" s="8" t="str">
        <f t="array" ref="Q399">IF(395&gt;$S$1204,"",INDEX($T$5:$AJ$1204,MATCH(395,$S$5:$S$1204,0),17))</f>
        <v/>
      </c>
      <c r="R399" s="17"/>
      <c r="S399" s="17">
        <f>S398+IF(M2_Accesos!A203="",0,1)</f>
        <v>0</v>
      </c>
      <c r="T399" s="17" t="str">
        <f>IF(M2_Accesos!A203="","",IF(M2_Accesos!A203="","",M2_Accesos!A203))</f>
        <v/>
      </c>
      <c r="U399" s="17" t="str">
        <f>IF(M2_Accesos!A203="","",IF(M2_Accesos!R203="","",M2_Accesos!R203))</f>
        <v/>
      </c>
      <c r="V399" s="17" t="str">
        <f>IF(M2_Accesos!A203="","",IF(M2_Accesos!D203="","",M2_Accesos!D203))</f>
        <v/>
      </c>
      <c r="W399" s="17" t="str">
        <f>IF(M2_Accesos!A203="","",IF(M2_Accesos!B203="","",M2_Accesos!B203))</f>
        <v/>
      </c>
      <c r="X399" s="17" t="str">
        <f>IF(M2_Accesos!A203="","",IF(M2_Accesos!C203="","",M2_Accesos!C203))</f>
        <v/>
      </c>
      <c r="Y399" s="17" t="str">
        <f>IF(M2_Accesos!A203="","",IF(M2_Accesos!E203="","",M2_Accesos!E203))</f>
        <v/>
      </c>
      <c r="Z399" s="17" t="str">
        <f>IF(M2_Accesos!A203="","",IF(M2_Accesos!F203="","",M2_Accesos!F203))</f>
        <v/>
      </c>
      <c r="AA399" s="17" t="str">
        <f>IF(M2_Accesos!A203="","","M2 Accesos")</f>
        <v/>
      </c>
      <c r="AB399" s="17" t="str">
        <f>IF(M2_Accesos!A203="","",IF(M2_Accesos!G203="","",M2_Accesos!G203))</f>
        <v/>
      </c>
      <c r="AC399" s="17" t="str">
        <f>IF(M2_Accesos!A203="","",IF(M2_Accesos!M203="","",M2_Accesos!M203))</f>
        <v/>
      </c>
      <c r="AD399" s="17" t="str">
        <f>IF(M2_Accesos!A203="","","RD")</f>
        <v/>
      </c>
      <c r="AE399" s="17" t="str">
        <f>IF(M2_Accesos!A203="","",IF(M2_Accesos!O203="","",M2_Accesos!O203))</f>
        <v/>
      </c>
      <c r="AF399" s="17" t="str">
        <f>IF(M2_Accesos!A203="","",IF(M2_Accesos!P203="","",M2_Accesos!P203))</f>
        <v/>
      </c>
      <c r="AG399" s="17" t="str">
        <f>IF(M2_Accesos!A203="","",IF(M2_Accesos!Q203="","",M2_Accesos!Q203))</f>
        <v/>
      </c>
      <c r="AH399" s="17" t="str">
        <f>IF(M2_Accesos!A203="","",IF(M2_Accesos!J203="","",M2_Accesos!J203))</f>
        <v/>
      </c>
      <c r="AI399" s="17" t="str">
        <f>IF(M2_Accesos!A203="","","M2_Accesos!203")</f>
        <v/>
      </c>
      <c r="AJ399" s="17" t="str">
        <f>IF(M2_Accesos!A203="","",IF(M2_Accesos!M203="","Pendiente de resultado","Disponible"))</f>
        <v/>
      </c>
    </row>
    <row r="400" spans="1:36" ht="55.5" customHeight="1">
      <c r="A400" s="6" t="str">
        <f t="array" ref="A400">IF(396&gt;$S$1204,"",INDEX($T$5:$AJ$1204,MATCH(396,$S$5:$S$1204,0),1))</f>
        <v/>
      </c>
      <c r="B400" s="8" t="str">
        <f t="array" ref="B400">IF(396&gt;$S$1204,"",INDEX($T$5:$AJ$1204,MATCH(396,$S$5:$S$1204,0),2))</f>
        <v/>
      </c>
      <c r="C400" s="10" t="str">
        <f t="array" ref="C400">IF(396&gt;$S$1204,"",INDEX($T$5:$AJ$1204,MATCH(396,$S$5:$S$1204,0),3))</f>
        <v/>
      </c>
      <c r="D400" s="8" t="str">
        <f t="array" ref="D400">IF(396&gt;$S$1204,"",INDEX($T$5:$AJ$1204,MATCH(396,$S$5:$S$1204,0),4))</f>
        <v/>
      </c>
      <c r="E400" s="8" t="str">
        <f t="array" ref="E400">IF(396&gt;$S$1204,"",INDEX($T$5:$AJ$1204,MATCH(396,$S$5:$S$1204,0),5))</f>
        <v/>
      </c>
      <c r="F400" s="8" t="str">
        <f t="array" ref="F400">IF(396&gt;$S$1204,"",INDEX($T$5:$AJ$1204,MATCH(396,$S$5:$S$1204,0),6))</f>
        <v/>
      </c>
      <c r="G400" s="8" t="str">
        <f t="array" ref="G400">IF(396&gt;$S$1204,"",INDEX($T$5:$AJ$1204,MATCH(396,$S$5:$S$1204,0),7))</f>
        <v/>
      </c>
      <c r="H400" s="8" t="str">
        <f t="array" ref="H400">IF(396&gt;$S$1204,"",INDEX($T$5:$AJ$1204,MATCH(396,$S$5:$S$1204,0),8))</f>
        <v/>
      </c>
      <c r="I400" s="8" t="str">
        <f t="array" ref="I400">IF(396&gt;$S$1204,"",INDEX($T$5:$AJ$1204,MATCH(396,$S$5:$S$1204,0),9))</f>
        <v/>
      </c>
      <c r="J400" s="14" t="str">
        <f t="array" ref="J400">IF(396&gt;$S$1204,"",INDEX($T$5:$AJ$1204,MATCH(396,$S$5:$S$1204,0),10))</f>
        <v/>
      </c>
      <c r="K400" s="8" t="str">
        <f t="array" ref="K400">IF(396&gt;$S$1204,"",INDEX($T$5:$AJ$1204,MATCH(396,$S$5:$S$1204,0),11))</f>
        <v/>
      </c>
      <c r="L400" s="8" t="str">
        <f t="array" ref="L400">IF(396&gt;$S$1204,"",INDEX($T$5:$AJ$1204,MATCH(396,$S$5:$S$1204,0),12))</f>
        <v/>
      </c>
      <c r="M400" s="8" t="str">
        <f t="array" ref="M400">IF(396&gt;$S$1204,"",INDEX($T$5:$AJ$1204,MATCH(396,$S$5:$S$1204,0),13))</f>
        <v/>
      </c>
      <c r="N400" s="8" t="str">
        <f t="array" ref="N400">IF(396&gt;$S$1204,"",INDEX($T$5:$AJ$1204,MATCH(396,$S$5:$S$1204,0),14))</f>
        <v/>
      </c>
      <c r="O400" s="15" t="str">
        <f t="array" ref="O400">IF(396&gt;$S$1204,"",INDEX($T$5:$AJ$1204,MATCH(396,$S$5:$S$1204,0),15))</f>
        <v/>
      </c>
      <c r="P400" s="8" t="str">
        <f t="array" ref="P400">IF(396&gt;$S$1204,"",INDEX($T$5:$AJ$1204,MATCH(396,$S$5:$S$1204,0),16))</f>
        <v/>
      </c>
      <c r="Q400" s="8" t="str">
        <f t="array" ref="Q400">IF(396&gt;$S$1204,"",INDEX($T$5:$AJ$1204,MATCH(396,$S$5:$S$1204,0),17))</f>
        <v/>
      </c>
      <c r="R400" s="17"/>
      <c r="S400" s="17">
        <f>S399+IF(M2_Accesos!A204="",0,1)</f>
        <v>0</v>
      </c>
      <c r="T400" s="17" t="str">
        <f>IF(M2_Accesos!A204="","",IF(M2_Accesos!A204="","",M2_Accesos!A204))</f>
        <v/>
      </c>
      <c r="U400" s="17" t="str">
        <f>IF(M2_Accesos!A204="","",IF(M2_Accesos!R204="","",M2_Accesos!R204))</f>
        <v/>
      </c>
      <c r="V400" s="17" t="str">
        <f>IF(M2_Accesos!A204="","",IF(M2_Accesos!D204="","",M2_Accesos!D204))</f>
        <v/>
      </c>
      <c r="W400" s="17" t="str">
        <f>IF(M2_Accesos!A204="","",IF(M2_Accesos!B204="","",M2_Accesos!B204))</f>
        <v/>
      </c>
      <c r="X400" s="17" t="str">
        <f>IF(M2_Accesos!A204="","",IF(M2_Accesos!C204="","",M2_Accesos!C204))</f>
        <v/>
      </c>
      <c r="Y400" s="17" t="str">
        <f>IF(M2_Accesos!A204="","",IF(M2_Accesos!E204="","",M2_Accesos!E204))</f>
        <v/>
      </c>
      <c r="Z400" s="17" t="str">
        <f>IF(M2_Accesos!A204="","",IF(M2_Accesos!F204="","",M2_Accesos!F204))</f>
        <v/>
      </c>
      <c r="AA400" s="17" t="str">
        <f>IF(M2_Accesos!A204="","","M2 Accesos")</f>
        <v/>
      </c>
      <c r="AB400" s="17" t="str">
        <f>IF(M2_Accesos!A204="","",IF(M2_Accesos!G204="","",M2_Accesos!G204))</f>
        <v/>
      </c>
      <c r="AC400" s="17" t="str">
        <f>IF(M2_Accesos!A204="","",IF(M2_Accesos!M204="","",M2_Accesos!M204))</f>
        <v/>
      </c>
      <c r="AD400" s="17" t="str">
        <f>IF(M2_Accesos!A204="","","RD")</f>
        <v/>
      </c>
      <c r="AE400" s="17" t="str">
        <f>IF(M2_Accesos!A204="","",IF(M2_Accesos!O204="","",M2_Accesos!O204))</f>
        <v/>
      </c>
      <c r="AF400" s="17" t="str">
        <f>IF(M2_Accesos!A204="","",IF(M2_Accesos!P204="","",M2_Accesos!P204))</f>
        <v/>
      </c>
      <c r="AG400" s="17" t="str">
        <f>IF(M2_Accesos!A204="","",IF(M2_Accesos!Q204="","",M2_Accesos!Q204))</f>
        <v/>
      </c>
      <c r="AH400" s="17" t="str">
        <f>IF(M2_Accesos!A204="","",IF(M2_Accesos!J204="","",M2_Accesos!J204))</f>
        <v/>
      </c>
      <c r="AI400" s="17" t="str">
        <f>IF(M2_Accesos!A204="","","M2_Accesos!204")</f>
        <v/>
      </c>
      <c r="AJ400" s="17" t="str">
        <f>IF(M2_Accesos!A204="","",IF(M2_Accesos!M204="","Pendiente de resultado","Disponible"))</f>
        <v/>
      </c>
    </row>
    <row r="401" spans="1:36" ht="55.5" customHeight="1">
      <c r="A401" s="6" t="str">
        <f t="array" ref="A401">IF(397&gt;$S$1204,"",INDEX($T$5:$AJ$1204,MATCH(397,$S$5:$S$1204,0),1))</f>
        <v/>
      </c>
      <c r="B401" s="8" t="str">
        <f t="array" ref="B401">IF(397&gt;$S$1204,"",INDEX($T$5:$AJ$1204,MATCH(397,$S$5:$S$1204,0),2))</f>
        <v/>
      </c>
      <c r="C401" s="10" t="str">
        <f t="array" ref="C401">IF(397&gt;$S$1204,"",INDEX($T$5:$AJ$1204,MATCH(397,$S$5:$S$1204,0),3))</f>
        <v/>
      </c>
      <c r="D401" s="8" t="str">
        <f t="array" ref="D401">IF(397&gt;$S$1204,"",INDEX($T$5:$AJ$1204,MATCH(397,$S$5:$S$1204,0),4))</f>
        <v/>
      </c>
      <c r="E401" s="8" t="str">
        <f t="array" ref="E401">IF(397&gt;$S$1204,"",INDEX($T$5:$AJ$1204,MATCH(397,$S$5:$S$1204,0),5))</f>
        <v/>
      </c>
      <c r="F401" s="8" t="str">
        <f t="array" ref="F401">IF(397&gt;$S$1204,"",INDEX($T$5:$AJ$1204,MATCH(397,$S$5:$S$1204,0),6))</f>
        <v/>
      </c>
      <c r="G401" s="8" t="str">
        <f t="array" ref="G401">IF(397&gt;$S$1204,"",INDEX($T$5:$AJ$1204,MATCH(397,$S$5:$S$1204,0),7))</f>
        <v/>
      </c>
      <c r="H401" s="8" t="str">
        <f t="array" ref="H401">IF(397&gt;$S$1204,"",INDEX($T$5:$AJ$1204,MATCH(397,$S$5:$S$1204,0),8))</f>
        <v/>
      </c>
      <c r="I401" s="8" t="str">
        <f t="array" ref="I401">IF(397&gt;$S$1204,"",INDEX($T$5:$AJ$1204,MATCH(397,$S$5:$S$1204,0),9))</f>
        <v/>
      </c>
      <c r="J401" s="14" t="str">
        <f t="array" ref="J401">IF(397&gt;$S$1204,"",INDEX($T$5:$AJ$1204,MATCH(397,$S$5:$S$1204,0),10))</f>
        <v/>
      </c>
      <c r="K401" s="8" t="str">
        <f t="array" ref="K401">IF(397&gt;$S$1204,"",INDEX($T$5:$AJ$1204,MATCH(397,$S$5:$S$1204,0),11))</f>
        <v/>
      </c>
      <c r="L401" s="8" t="str">
        <f t="array" ref="L401">IF(397&gt;$S$1204,"",INDEX($T$5:$AJ$1204,MATCH(397,$S$5:$S$1204,0),12))</f>
        <v/>
      </c>
      <c r="M401" s="8" t="str">
        <f t="array" ref="M401">IF(397&gt;$S$1204,"",INDEX($T$5:$AJ$1204,MATCH(397,$S$5:$S$1204,0),13))</f>
        <v/>
      </c>
      <c r="N401" s="8" t="str">
        <f t="array" ref="N401">IF(397&gt;$S$1204,"",INDEX($T$5:$AJ$1204,MATCH(397,$S$5:$S$1204,0),14))</f>
        <v/>
      </c>
      <c r="O401" s="15" t="str">
        <f t="array" ref="O401">IF(397&gt;$S$1204,"",INDEX($T$5:$AJ$1204,MATCH(397,$S$5:$S$1204,0),15))</f>
        <v/>
      </c>
      <c r="P401" s="8" t="str">
        <f t="array" ref="P401">IF(397&gt;$S$1204,"",INDEX($T$5:$AJ$1204,MATCH(397,$S$5:$S$1204,0),16))</f>
        <v/>
      </c>
      <c r="Q401" s="8" t="str">
        <f t="array" ref="Q401">IF(397&gt;$S$1204,"",INDEX($T$5:$AJ$1204,MATCH(397,$S$5:$S$1204,0),17))</f>
        <v/>
      </c>
      <c r="R401" s="17"/>
      <c r="S401" s="17">
        <f>S400+IF(M2_Accesos!A205="",0,1)</f>
        <v>0</v>
      </c>
      <c r="T401" s="17" t="str">
        <f>IF(M2_Accesos!A205="","",IF(M2_Accesos!A205="","",M2_Accesos!A205))</f>
        <v/>
      </c>
      <c r="U401" s="17" t="str">
        <f>IF(M2_Accesos!A205="","",IF(M2_Accesos!R205="","",M2_Accesos!R205))</f>
        <v/>
      </c>
      <c r="V401" s="17" t="str">
        <f>IF(M2_Accesos!A205="","",IF(M2_Accesos!D205="","",M2_Accesos!D205))</f>
        <v/>
      </c>
      <c r="W401" s="17" t="str">
        <f>IF(M2_Accesos!A205="","",IF(M2_Accesos!B205="","",M2_Accesos!B205))</f>
        <v/>
      </c>
      <c r="X401" s="17" t="str">
        <f>IF(M2_Accesos!A205="","",IF(M2_Accesos!C205="","",M2_Accesos!C205))</f>
        <v/>
      </c>
      <c r="Y401" s="17" t="str">
        <f>IF(M2_Accesos!A205="","",IF(M2_Accesos!E205="","",M2_Accesos!E205))</f>
        <v/>
      </c>
      <c r="Z401" s="17" t="str">
        <f>IF(M2_Accesos!A205="","",IF(M2_Accesos!F205="","",M2_Accesos!F205))</f>
        <v/>
      </c>
      <c r="AA401" s="17" t="str">
        <f>IF(M2_Accesos!A205="","","M2 Accesos")</f>
        <v/>
      </c>
      <c r="AB401" s="17" t="str">
        <f>IF(M2_Accesos!A205="","",IF(M2_Accesos!G205="","",M2_Accesos!G205))</f>
        <v/>
      </c>
      <c r="AC401" s="17" t="str">
        <f>IF(M2_Accesos!A205="","",IF(M2_Accesos!M205="","",M2_Accesos!M205))</f>
        <v/>
      </c>
      <c r="AD401" s="17" t="str">
        <f>IF(M2_Accesos!A205="","","RD")</f>
        <v/>
      </c>
      <c r="AE401" s="17" t="str">
        <f>IF(M2_Accesos!A205="","",IF(M2_Accesos!O205="","",M2_Accesos!O205))</f>
        <v/>
      </c>
      <c r="AF401" s="17" t="str">
        <f>IF(M2_Accesos!A205="","",IF(M2_Accesos!P205="","",M2_Accesos!P205))</f>
        <v/>
      </c>
      <c r="AG401" s="17" t="str">
        <f>IF(M2_Accesos!A205="","",IF(M2_Accesos!Q205="","",M2_Accesos!Q205))</f>
        <v/>
      </c>
      <c r="AH401" s="17" t="str">
        <f>IF(M2_Accesos!A205="","",IF(M2_Accesos!J205="","",M2_Accesos!J205))</f>
        <v/>
      </c>
      <c r="AI401" s="17" t="str">
        <f>IF(M2_Accesos!A205="","","M2_Accesos!205")</f>
        <v/>
      </c>
      <c r="AJ401" s="17" t="str">
        <f>IF(M2_Accesos!A205="","",IF(M2_Accesos!M205="","Pendiente de resultado","Disponible"))</f>
        <v/>
      </c>
    </row>
    <row r="402" spans="1:36" ht="55.5" customHeight="1">
      <c r="A402" s="6" t="str">
        <f t="array" ref="A402">IF(398&gt;$S$1204,"",INDEX($T$5:$AJ$1204,MATCH(398,$S$5:$S$1204,0),1))</f>
        <v/>
      </c>
      <c r="B402" s="8" t="str">
        <f t="array" ref="B402">IF(398&gt;$S$1204,"",INDEX($T$5:$AJ$1204,MATCH(398,$S$5:$S$1204,0),2))</f>
        <v/>
      </c>
      <c r="C402" s="10" t="str">
        <f t="array" ref="C402">IF(398&gt;$S$1204,"",INDEX($T$5:$AJ$1204,MATCH(398,$S$5:$S$1204,0),3))</f>
        <v/>
      </c>
      <c r="D402" s="8" t="str">
        <f t="array" ref="D402">IF(398&gt;$S$1204,"",INDEX($T$5:$AJ$1204,MATCH(398,$S$5:$S$1204,0),4))</f>
        <v/>
      </c>
      <c r="E402" s="8" t="str">
        <f t="array" ref="E402">IF(398&gt;$S$1204,"",INDEX($T$5:$AJ$1204,MATCH(398,$S$5:$S$1204,0),5))</f>
        <v/>
      </c>
      <c r="F402" s="8" t="str">
        <f t="array" ref="F402">IF(398&gt;$S$1204,"",INDEX($T$5:$AJ$1204,MATCH(398,$S$5:$S$1204,0),6))</f>
        <v/>
      </c>
      <c r="G402" s="8" t="str">
        <f t="array" ref="G402">IF(398&gt;$S$1204,"",INDEX($T$5:$AJ$1204,MATCH(398,$S$5:$S$1204,0),7))</f>
        <v/>
      </c>
      <c r="H402" s="8" t="str">
        <f t="array" ref="H402">IF(398&gt;$S$1204,"",INDEX($T$5:$AJ$1204,MATCH(398,$S$5:$S$1204,0),8))</f>
        <v/>
      </c>
      <c r="I402" s="8" t="str">
        <f t="array" ref="I402">IF(398&gt;$S$1204,"",INDEX($T$5:$AJ$1204,MATCH(398,$S$5:$S$1204,0),9))</f>
        <v/>
      </c>
      <c r="J402" s="14" t="str">
        <f t="array" ref="J402">IF(398&gt;$S$1204,"",INDEX($T$5:$AJ$1204,MATCH(398,$S$5:$S$1204,0),10))</f>
        <v/>
      </c>
      <c r="K402" s="8" t="str">
        <f t="array" ref="K402">IF(398&gt;$S$1204,"",INDEX($T$5:$AJ$1204,MATCH(398,$S$5:$S$1204,0),11))</f>
        <v/>
      </c>
      <c r="L402" s="8" t="str">
        <f t="array" ref="L402">IF(398&gt;$S$1204,"",INDEX($T$5:$AJ$1204,MATCH(398,$S$5:$S$1204,0),12))</f>
        <v/>
      </c>
      <c r="M402" s="8" t="str">
        <f t="array" ref="M402">IF(398&gt;$S$1204,"",INDEX($T$5:$AJ$1204,MATCH(398,$S$5:$S$1204,0),13))</f>
        <v/>
      </c>
      <c r="N402" s="8" t="str">
        <f t="array" ref="N402">IF(398&gt;$S$1204,"",INDEX($T$5:$AJ$1204,MATCH(398,$S$5:$S$1204,0),14))</f>
        <v/>
      </c>
      <c r="O402" s="15" t="str">
        <f t="array" ref="O402">IF(398&gt;$S$1204,"",INDEX($T$5:$AJ$1204,MATCH(398,$S$5:$S$1204,0),15))</f>
        <v/>
      </c>
      <c r="P402" s="8" t="str">
        <f t="array" ref="P402">IF(398&gt;$S$1204,"",INDEX($T$5:$AJ$1204,MATCH(398,$S$5:$S$1204,0),16))</f>
        <v/>
      </c>
      <c r="Q402" s="8" t="str">
        <f t="array" ref="Q402">IF(398&gt;$S$1204,"",INDEX($T$5:$AJ$1204,MATCH(398,$S$5:$S$1204,0),17))</f>
        <v/>
      </c>
      <c r="R402" s="17"/>
      <c r="S402" s="17">
        <f>S401+IF(M2_Accesos!A206="",0,1)</f>
        <v>0</v>
      </c>
      <c r="T402" s="17" t="str">
        <f>IF(M2_Accesos!A206="","",IF(M2_Accesos!A206="","",M2_Accesos!A206))</f>
        <v/>
      </c>
      <c r="U402" s="17" t="str">
        <f>IF(M2_Accesos!A206="","",IF(M2_Accesos!R206="","",M2_Accesos!R206))</f>
        <v/>
      </c>
      <c r="V402" s="17" t="str">
        <f>IF(M2_Accesos!A206="","",IF(M2_Accesos!D206="","",M2_Accesos!D206))</f>
        <v/>
      </c>
      <c r="W402" s="17" t="str">
        <f>IF(M2_Accesos!A206="","",IF(M2_Accesos!B206="","",M2_Accesos!B206))</f>
        <v/>
      </c>
      <c r="X402" s="17" t="str">
        <f>IF(M2_Accesos!A206="","",IF(M2_Accesos!C206="","",M2_Accesos!C206))</f>
        <v/>
      </c>
      <c r="Y402" s="17" t="str">
        <f>IF(M2_Accesos!A206="","",IF(M2_Accesos!E206="","",M2_Accesos!E206))</f>
        <v/>
      </c>
      <c r="Z402" s="17" t="str">
        <f>IF(M2_Accesos!A206="","",IF(M2_Accesos!F206="","",M2_Accesos!F206))</f>
        <v/>
      </c>
      <c r="AA402" s="17" t="str">
        <f>IF(M2_Accesos!A206="","","M2 Accesos")</f>
        <v/>
      </c>
      <c r="AB402" s="17" t="str">
        <f>IF(M2_Accesos!A206="","",IF(M2_Accesos!G206="","",M2_Accesos!G206))</f>
        <v/>
      </c>
      <c r="AC402" s="17" t="str">
        <f>IF(M2_Accesos!A206="","",IF(M2_Accesos!M206="","",M2_Accesos!M206))</f>
        <v/>
      </c>
      <c r="AD402" s="17" t="str">
        <f>IF(M2_Accesos!A206="","","RD")</f>
        <v/>
      </c>
      <c r="AE402" s="17" t="str">
        <f>IF(M2_Accesos!A206="","",IF(M2_Accesos!O206="","",M2_Accesos!O206))</f>
        <v/>
      </c>
      <c r="AF402" s="17" t="str">
        <f>IF(M2_Accesos!A206="","",IF(M2_Accesos!P206="","",M2_Accesos!P206))</f>
        <v/>
      </c>
      <c r="AG402" s="17" t="str">
        <f>IF(M2_Accesos!A206="","",IF(M2_Accesos!Q206="","",M2_Accesos!Q206))</f>
        <v/>
      </c>
      <c r="AH402" s="17" t="str">
        <f>IF(M2_Accesos!A206="","",IF(M2_Accesos!J206="","",M2_Accesos!J206))</f>
        <v/>
      </c>
      <c r="AI402" s="17" t="str">
        <f>IF(M2_Accesos!A206="","","M2_Accesos!206")</f>
        <v/>
      </c>
      <c r="AJ402" s="17" t="str">
        <f>IF(M2_Accesos!A206="","",IF(M2_Accesos!M206="","Pendiente de resultado","Disponible"))</f>
        <v/>
      </c>
    </row>
    <row r="403" spans="1:36" ht="55.5" customHeight="1">
      <c r="A403" s="6" t="str">
        <f t="array" ref="A403">IF(399&gt;$S$1204,"",INDEX($T$5:$AJ$1204,MATCH(399,$S$5:$S$1204,0),1))</f>
        <v/>
      </c>
      <c r="B403" s="8" t="str">
        <f t="array" ref="B403">IF(399&gt;$S$1204,"",INDEX($T$5:$AJ$1204,MATCH(399,$S$5:$S$1204,0),2))</f>
        <v/>
      </c>
      <c r="C403" s="10" t="str">
        <f t="array" ref="C403">IF(399&gt;$S$1204,"",INDEX($T$5:$AJ$1204,MATCH(399,$S$5:$S$1204,0),3))</f>
        <v/>
      </c>
      <c r="D403" s="8" t="str">
        <f t="array" ref="D403">IF(399&gt;$S$1204,"",INDEX($T$5:$AJ$1204,MATCH(399,$S$5:$S$1204,0),4))</f>
        <v/>
      </c>
      <c r="E403" s="8" t="str">
        <f t="array" ref="E403">IF(399&gt;$S$1204,"",INDEX($T$5:$AJ$1204,MATCH(399,$S$5:$S$1204,0),5))</f>
        <v/>
      </c>
      <c r="F403" s="8" t="str">
        <f t="array" ref="F403">IF(399&gt;$S$1204,"",INDEX($T$5:$AJ$1204,MATCH(399,$S$5:$S$1204,0),6))</f>
        <v/>
      </c>
      <c r="G403" s="8" t="str">
        <f t="array" ref="G403">IF(399&gt;$S$1204,"",INDEX($T$5:$AJ$1204,MATCH(399,$S$5:$S$1204,0),7))</f>
        <v/>
      </c>
      <c r="H403" s="8" t="str">
        <f t="array" ref="H403">IF(399&gt;$S$1204,"",INDEX($T$5:$AJ$1204,MATCH(399,$S$5:$S$1204,0),8))</f>
        <v/>
      </c>
      <c r="I403" s="8" t="str">
        <f t="array" ref="I403">IF(399&gt;$S$1204,"",INDEX($T$5:$AJ$1204,MATCH(399,$S$5:$S$1204,0),9))</f>
        <v/>
      </c>
      <c r="J403" s="14" t="str">
        <f t="array" ref="J403">IF(399&gt;$S$1204,"",INDEX($T$5:$AJ$1204,MATCH(399,$S$5:$S$1204,0),10))</f>
        <v/>
      </c>
      <c r="K403" s="8" t="str">
        <f t="array" ref="K403">IF(399&gt;$S$1204,"",INDEX($T$5:$AJ$1204,MATCH(399,$S$5:$S$1204,0),11))</f>
        <v/>
      </c>
      <c r="L403" s="8" t="str">
        <f t="array" ref="L403">IF(399&gt;$S$1204,"",INDEX($T$5:$AJ$1204,MATCH(399,$S$5:$S$1204,0),12))</f>
        <v/>
      </c>
      <c r="M403" s="8" t="str">
        <f t="array" ref="M403">IF(399&gt;$S$1204,"",INDEX($T$5:$AJ$1204,MATCH(399,$S$5:$S$1204,0),13))</f>
        <v/>
      </c>
      <c r="N403" s="8" t="str">
        <f t="array" ref="N403">IF(399&gt;$S$1204,"",INDEX($T$5:$AJ$1204,MATCH(399,$S$5:$S$1204,0),14))</f>
        <v/>
      </c>
      <c r="O403" s="15" t="str">
        <f t="array" ref="O403">IF(399&gt;$S$1204,"",INDEX($T$5:$AJ$1204,MATCH(399,$S$5:$S$1204,0),15))</f>
        <v/>
      </c>
      <c r="P403" s="8" t="str">
        <f t="array" ref="P403">IF(399&gt;$S$1204,"",INDEX($T$5:$AJ$1204,MATCH(399,$S$5:$S$1204,0),16))</f>
        <v/>
      </c>
      <c r="Q403" s="8" t="str">
        <f t="array" ref="Q403">IF(399&gt;$S$1204,"",INDEX($T$5:$AJ$1204,MATCH(399,$S$5:$S$1204,0),17))</f>
        <v/>
      </c>
      <c r="R403" s="17"/>
      <c r="S403" s="17">
        <f>S402+IF(M2_Accesos!A207="",0,1)</f>
        <v>0</v>
      </c>
      <c r="T403" s="17" t="str">
        <f>IF(M2_Accesos!A207="","",IF(M2_Accesos!A207="","",M2_Accesos!A207))</f>
        <v/>
      </c>
      <c r="U403" s="17" t="str">
        <f>IF(M2_Accesos!A207="","",IF(M2_Accesos!R207="","",M2_Accesos!R207))</f>
        <v/>
      </c>
      <c r="V403" s="17" t="str">
        <f>IF(M2_Accesos!A207="","",IF(M2_Accesos!D207="","",M2_Accesos!D207))</f>
        <v/>
      </c>
      <c r="W403" s="17" t="str">
        <f>IF(M2_Accesos!A207="","",IF(M2_Accesos!B207="","",M2_Accesos!B207))</f>
        <v/>
      </c>
      <c r="X403" s="17" t="str">
        <f>IF(M2_Accesos!A207="","",IF(M2_Accesos!C207="","",M2_Accesos!C207))</f>
        <v/>
      </c>
      <c r="Y403" s="17" t="str">
        <f>IF(M2_Accesos!A207="","",IF(M2_Accesos!E207="","",M2_Accesos!E207))</f>
        <v/>
      </c>
      <c r="Z403" s="17" t="str">
        <f>IF(M2_Accesos!A207="","",IF(M2_Accesos!F207="","",M2_Accesos!F207))</f>
        <v/>
      </c>
      <c r="AA403" s="17" t="str">
        <f>IF(M2_Accesos!A207="","","M2 Accesos")</f>
        <v/>
      </c>
      <c r="AB403" s="17" t="str">
        <f>IF(M2_Accesos!A207="","",IF(M2_Accesos!G207="","",M2_Accesos!G207))</f>
        <v/>
      </c>
      <c r="AC403" s="17" t="str">
        <f>IF(M2_Accesos!A207="","",IF(M2_Accesos!M207="","",M2_Accesos!M207))</f>
        <v/>
      </c>
      <c r="AD403" s="17" t="str">
        <f>IF(M2_Accesos!A207="","","RD")</f>
        <v/>
      </c>
      <c r="AE403" s="17" t="str">
        <f>IF(M2_Accesos!A207="","",IF(M2_Accesos!O207="","",M2_Accesos!O207))</f>
        <v/>
      </c>
      <c r="AF403" s="17" t="str">
        <f>IF(M2_Accesos!A207="","",IF(M2_Accesos!P207="","",M2_Accesos!P207))</f>
        <v/>
      </c>
      <c r="AG403" s="17" t="str">
        <f>IF(M2_Accesos!A207="","",IF(M2_Accesos!Q207="","",M2_Accesos!Q207))</f>
        <v/>
      </c>
      <c r="AH403" s="17" t="str">
        <f>IF(M2_Accesos!A207="","",IF(M2_Accesos!J207="","",M2_Accesos!J207))</f>
        <v/>
      </c>
      <c r="AI403" s="17" t="str">
        <f>IF(M2_Accesos!A207="","","M2_Accesos!207")</f>
        <v/>
      </c>
      <c r="AJ403" s="17" t="str">
        <f>IF(M2_Accesos!A207="","",IF(M2_Accesos!M207="","Pendiente de resultado","Disponible"))</f>
        <v/>
      </c>
    </row>
    <row r="404" spans="1:36" ht="55.5" customHeight="1">
      <c r="A404" s="6" t="str">
        <f t="array" ref="A404">IF(400&gt;$S$1204,"",INDEX($T$5:$AJ$1204,MATCH(400,$S$5:$S$1204,0),1))</f>
        <v/>
      </c>
      <c r="B404" s="8" t="str">
        <f t="array" ref="B404">IF(400&gt;$S$1204,"",INDEX($T$5:$AJ$1204,MATCH(400,$S$5:$S$1204,0),2))</f>
        <v/>
      </c>
      <c r="C404" s="10" t="str">
        <f t="array" ref="C404">IF(400&gt;$S$1204,"",INDEX($T$5:$AJ$1204,MATCH(400,$S$5:$S$1204,0),3))</f>
        <v/>
      </c>
      <c r="D404" s="8" t="str">
        <f t="array" ref="D404">IF(400&gt;$S$1204,"",INDEX($T$5:$AJ$1204,MATCH(400,$S$5:$S$1204,0),4))</f>
        <v/>
      </c>
      <c r="E404" s="8" t="str">
        <f t="array" ref="E404">IF(400&gt;$S$1204,"",INDEX($T$5:$AJ$1204,MATCH(400,$S$5:$S$1204,0),5))</f>
        <v/>
      </c>
      <c r="F404" s="8" t="str">
        <f t="array" ref="F404">IF(400&gt;$S$1204,"",INDEX($T$5:$AJ$1204,MATCH(400,$S$5:$S$1204,0),6))</f>
        <v/>
      </c>
      <c r="G404" s="8" t="str">
        <f t="array" ref="G404">IF(400&gt;$S$1204,"",INDEX($T$5:$AJ$1204,MATCH(400,$S$5:$S$1204,0),7))</f>
        <v/>
      </c>
      <c r="H404" s="8" t="str">
        <f t="array" ref="H404">IF(400&gt;$S$1204,"",INDEX($T$5:$AJ$1204,MATCH(400,$S$5:$S$1204,0),8))</f>
        <v/>
      </c>
      <c r="I404" s="8" t="str">
        <f t="array" ref="I404">IF(400&gt;$S$1204,"",INDEX($T$5:$AJ$1204,MATCH(400,$S$5:$S$1204,0),9))</f>
        <v/>
      </c>
      <c r="J404" s="14" t="str">
        <f t="array" ref="J404">IF(400&gt;$S$1204,"",INDEX($T$5:$AJ$1204,MATCH(400,$S$5:$S$1204,0),10))</f>
        <v/>
      </c>
      <c r="K404" s="8" t="str">
        <f t="array" ref="K404">IF(400&gt;$S$1204,"",INDEX($T$5:$AJ$1204,MATCH(400,$S$5:$S$1204,0),11))</f>
        <v/>
      </c>
      <c r="L404" s="8" t="str">
        <f t="array" ref="L404">IF(400&gt;$S$1204,"",INDEX($T$5:$AJ$1204,MATCH(400,$S$5:$S$1204,0),12))</f>
        <v/>
      </c>
      <c r="M404" s="8" t="str">
        <f t="array" ref="M404">IF(400&gt;$S$1204,"",INDEX($T$5:$AJ$1204,MATCH(400,$S$5:$S$1204,0),13))</f>
        <v/>
      </c>
      <c r="N404" s="8" t="str">
        <f t="array" ref="N404">IF(400&gt;$S$1204,"",INDEX($T$5:$AJ$1204,MATCH(400,$S$5:$S$1204,0),14))</f>
        <v/>
      </c>
      <c r="O404" s="15" t="str">
        <f t="array" ref="O404">IF(400&gt;$S$1204,"",INDEX($T$5:$AJ$1204,MATCH(400,$S$5:$S$1204,0),15))</f>
        <v/>
      </c>
      <c r="P404" s="8" t="str">
        <f t="array" ref="P404">IF(400&gt;$S$1204,"",INDEX($T$5:$AJ$1204,MATCH(400,$S$5:$S$1204,0),16))</f>
        <v/>
      </c>
      <c r="Q404" s="8" t="str">
        <f t="array" ref="Q404">IF(400&gt;$S$1204,"",INDEX($T$5:$AJ$1204,MATCH(400,$S$5:$S$1204,0),17))</f>
        <v/>
      </c>
      <c r="R404" s="17"/>
      <c r="S404" s="17">
        <f>S403+IF(M2_Accesos!A208="",0,1)</f>
        <v>0</v>
      </c>
      <c r="T404" s="17" t="str">
        <f>IF(M2_Accesos!A208="","",IF(M2_Accesos!A208="","",M2_Accesos!A208))</f>
        <v/>
      </c>
      <c r="U404" s="17" t="str">
        <f>IF(M2_Accesos!A208="","",IF(M2_Accesos!R208="","",M2_Accesos!R208))</f>
        <v/>
      </c>
      <c r="V404" s="17" t="str">
        <f>IF(M2_Accesos!A208="","",IF(M2_Accesos!D208="","",M2_Accesos!D208))</f>
        <v/>
      </c>
      <c r="W404" s="17" t="str">
        <f>IF(M2_Accesos!A208="","",IF(M2_Accesos!B208="","",M2_Accesos!B208))</f>
        <v/>
      </c>
      <c r="X404" s="17" t="str">
        <f>IF(M2_Accesos!A208="","",IF(M2_Accesos!C208="","",M2_Accesos!C208))</f>
        <v/>
      </c>
      <c r="Y404" s="17" t="str">
        <f>IF(M2_Accesos!A208="","",IF(M2_Accesos!E208="","",M2_Accesos!E208))</f>
        <v/>
      </c>
      <c r="Z404" s="17" t="str">
        <f>IF(M2_Accesos!A208="","",IF(M2_Accesos!F208="","",M2_Accesos!F208))</f>
        <v/>
      </c>
      <c r="AA404" s="17" t="str">
        <f>IF(M2_Accesos!A208="","","M2 Accesos")</f>
        <v/>
      </c>
      <c r="AB404" s="17" t="str">
        <f>IF(M2_Accesos!A208="","",IF(M2_Accesos!G208="","",M2_Accesos!G208))</f>
        <v/>
      </c>
      <c r="AC404" s="17" t="str">
        <f>IF(M2_Accesos!A208="","",IF(M2_Accesos!M208="","",M2_Accesos!M208))</f>
        <v/>
      </c>
      <c r="AD404" s="17" t="str">
        <f>IF(M2_Accesos!A208="","","RD")</f>
        <v/>
      </c>
      <c r="AE404" s="17" t="str">
        <f>IF(M2_Accesos!A208="","",IF(M2_Accesos!O208="","",M2_Accesos!O208))</f>
        <v/>
      </c>
      <c r="AF404" s="17" t="str">
        <f>IF(M2_Accesos!A208="","",IF(M2_Accesos!P208="","",M2_Accesos!P208))</f>
        <v/>
      </c>
      <c r="AG404" s="17" t="str">
        <f>IF(M2_Accesos!A208="","",IF(M2_Accesos!Q208="","",M2_Accesos!Q208))</f>
        <v/>
      </c>
      <c r="AH404" s="17" t="str">
        <f>IF(M2_Accesos!A208="","",IF(M2_Accesos!J208="","",M2_Accesos!J208))</f>
        <v/>
      </c>
      <c r="AI404" s="17" t="str">
        <f>IF(M2_Accesos!A208="","","M2_Accesos!208")</f>
        <v/>
      </c>
      <c r="AJ404" s="17" t="str">
        <f>IF(M2_Accesos!A208="","",IF(M2_Accesos!M208="","Pendiente de resultado","Disponible"))</f>
        <v/>
      </c>
    </row>
    <row r="405" spans="1:36" ht="55.5" customHeight="1">
      <c r="A405" s="6" t="str">
        <f t="array" ref="A405">IF(401&gt;$S$1204,"",INDEX($T$5:$AJ$1204,MATCH(401,$S$5:$S$1204,0),1))</f>
        <v/>
      </c>
      <c r="B405" s="8" t="str">
        <f t="array" ref="B405">IF(401&gt;$S$1204,"",INDEX($T$5:$AJ$1204,MATCH(401,$S$5:$S$1204,0),2))</f>
        <v/>
      </c>
      <c r="C405" s="10" t="str">
        <f t="array" ref="C405">IF(401&gt;$S$1204,"",INDEX($T$5:$AJ$1204,MATCH(401,$S$5:$S$1204,0),3))</f>
        <v/>
      </c>
      <c r="D405" s="8" t="str">
        <f t="array" ref="D405">IF(401&gt;$S$1204,"",INDEX($T$5:$AJ$1204,MATCH(401,$S$5:$S$1204,0),4))</f>
        <v/>
      </c>
      <c r="E405" s="8" t="str">
        <f t="array" ref="E405">IF(401&gt;$S$1204,"",INDEX($T$5:$AJ$1204,MATCH(401,$S$5:$S$1204,0),5))</f>
        <v/>
      </c>
      <c r="F405" s="8" t="str">
        <f t="array" ref="F405">IF(401&gt;$S$1204,"",INDEX($T$5:$AJ$1204,MATCH(401,$S$5:$S$1204,0),6))</f>
        <v/>
      </c>
      <c r="G405" s="8" t="str">
        <f t="array" ref="G405">IF(401&gt;$S$1204,"",INDEX($T$5:$AJ$1204,MATCH(401,$S$5:$S$1204,0),7))</f>
        <v/>
      </c>
      <c r="H405" s="8" t="str">
        <f t="array" ref="H405">IF(401&gt;$S$1204,"",INDEX($T$5:$AJ$1204,MATCH(401,$S$5:$S$1204,0),8))</f>
        <v/>
      </c>
      <c r="I405" s="8" t="str">
        <f t="array" ref="I405">IF(401&gt;$S$1204,"",INDEX($T$5:$AJ$1204,MATCH(401,$S$5:$S$1204,0),9))</f>
        <v/>
      </c>
      <c r="J405" s="14" t="str">
        <f t="array" ref="J405">IF(401&gt;$S$1204,"",INDEX($T$5:$AJ$1204,MATCH(401,$S$5:$S$1204,0),10))</f>
        <v/>
      </c>
      <c r="K405" s="8" t="str">
        <f t="array" ref="K405">IF(401&gt;$S$1204,"",INDEX($T$5:$AJ$1204,MATCH(401,$S$5:$S$1204,0),11))</f>
        <v/>
      </c>
      <c r="L405" s="8" t="str">
        <f t="array" ref="L405">IF(401&gt;$S$1204,"",INDEX($T$5:$AJ$1204,MATCH(401,$S$5:$S$1204,0),12))</f>
        <v/>
      </c>
      <c r="M405" s="8" t="str">
        <f t="array" ref="M405">IF(401&gt;$S$1204,"",INDEX($T$5:$AJ$1204,MATCH(401,$S$5:$S$1204,0),13))</f>
        <v/>
      </c>
      <c r="N405" s="8" t="str">
        <f t="array" ref="N405">IF(401&gt;$S$1204,"",INDEX($T$5:$AJ$1204,MATCH(401,$S$5:$S$1204,0),14))</f>
        <v/>
      </c>
      <c r="O405" s="15" t="str">
        <f t="array" ref="O405">IF(401&gt;$S$1204,"",INDEX($T$5:$AJ$1204,MATCH(401,$S$5:$S$1204,0),15))</f>
        <v/>
      </c>
      <c r="P405" s="8" t="str">
        <f t="array" ref="P405">IF(401&gt;$S$1204,"",INDEX($T$5:$AJ$1204,MATCH(401,$S$5:$S$1204,0),16))</f>
        <v/>
      </c>
      <c r="Q405" s="8" t="str">
        <f t="array" ref="Q405">IF(401&gt;$S$1204,"",INDEX($T$5:$AJ$1204,MATCH(401,$S$5:$S$1204,0),17))</f>
        <v/>
      </c>
      <c r="R405" s="17"/>
      <c r="S405" s="17">
        <f>S404+IF(M3_Silleteria!A9="",0,1)</f>
        <v>0</v>
      </c>
      <c r="T405" s="17" t="str">
        <f>IF(M3_Silleteria!A9="","",IF(M3_Silleteria!A9="","",M3_Silleteria!A9))</f>
        <v/>
      </c>
      <c r="U405" s="17" t="str">
        <f>IF(M3_Silleteria!A9="","",IF(M3_Silleteria!Q9="","",M3_Silleteria!Q9))</f>
        <v/>
      </c>
      <c r="V405" s="18" t="str">
        <f>IF(M3_Silleteria!A9="","",IF(M3_Silleteria!D9="","",M3_Silleteria!D9))</f>
        <v/>
      </c>
      <c r="W405" s="17" t="str">
        <f>IF(M3_Silleteria!A9="","",IF(M3_Silleteria!B9="","",M3_Silleteria!B9))</f>
        <v/>
      </c>
      <c r="X405" s="17" t="str">
        <f>IF(M3_Silleteria!A9="","",IF(M3_Silleteria!C9="","",M3_Silleteria!C9))</f>
        <v/>
      </c>
      <c r="Y405" s="17" t="str">
        <f>IF(M3_Silleteria!A9="","",IF(M3_Silleteria!E9="","",M3_Silleteria!E9))</f>
        <v/>
      </c>
      <c r="Z405" s="17" t="str">
        <f>IF(M3_Silleteria!A9="","",IF(M3_Silleteria!F9="","",M3_Silleteria!F9))</f>
        <v/>
      </c>
      <c r="AA405" s="17" t="str">
        <f>IF(M3_Silleteria!A9="","","M3 Silletería")</f>
        <v/>
      </c>
      <c r="AB405" s="17" t="str">
        <f>IF(M3_Silleteria!A9="","",IF(M3_Silleteria!G9="","",M3_Silleteria!G9))</f>
        <v/>
      </c>
      <c r="AC405" s="17" t="str">
        <f>IF(M3_Silleteria!A9="","",IF(M3_Silleteria!L9="","",M3_Silleteria!L9))</f>
        <v/>
      </c>
      <c r="AD405" s="17" t="str">
        <f>IF(M3_Silleteria!A9="","","CD")</f>
        <v/>
      </c>
      <c r="AE405" s="17" t="str">
        <f>IF(M3_Silleteria!A9="","",IF(M3_Silleteria!N9="","",M3_Silleteria!N9))</f>
        <v/>
      </c>
      <c r="AF405" s="17" t="str">
        <f>IF(M3_Silleteria!A9="","",IF(M3_Silleteria!O9="","",M3_Silleteria!O9))</f>
        <v/>
      </c>
      <c r="AG405" s="17" t="str">
        <f>IF(M3_Silleteria!A9="","",IF(M3_Silleteria!P9="","",M3_Silleteria!P9))</f>
        <v/>
      </c>
      <c r="AH405" s="20" t="str">
        <f>IF(M3_Silleteria!A9="","",IF(M3_Silleteria!H9="","",M3_Silleteria!H9))</f>
        <v/>
      </c>
      <c r="AI405" s="17" t="str">
        <f>IF(M3_Silleteria!A9="","","M3_Silleteria!9")</f>
        <v/>
      </c>
      <c r="AJ405" s="17" t="str">
        <f>IF(M3_Silleteria!A9="","",IF(M3_Silleteria!L9="","Pendiente de resultado","Disponible"))</f>
        <v/>
      </c>
    </row>
    <row r="406" spans="1:36" ht="55.5" customHeight="1">
      <c r="A406" s="6" t="str">
        <f t="array" ref="A406">IF(402&gt;$S$1204,"",INDEX($T$5:$AJ$1204,MATCH(402,$S$5:$S$1204,0),1))</f>
        <v/>
      </c>
      <c r="B406" s="8" t="str">
        <f t="array" ref="B406">IF(402&gt;$S$1204,"",INDEX($T$5:$AJ$1204,MATCH(402,$S$5:$S$1204,0),2))</f>
        <v/>
      </c>
      <c r="C406" s="10" t="str">
        <f t="array" ref="C406">IF(402&gt;$S$1204,"",INDEX($T$5:$AJ$1204,MATCH(402,$S$5:$S$1204,0),3))</f>
        <v/>
      </c>
      <c r="D406" s="8" t="str">
        <f t="array" ref="D406">IF(402&gt;$S$1204,"",INDEX($T$5:$AJ$1204,MATCH(402,$S$5:$S$1204,0),4))</f>
        <v/>
      </c>
      <c r="E406" s="8" t="str">
        <f t="array" ref="E406">IF(402&gt;$S$1204,"",INDEX($T$5:$AJ$1204,MATCH(402,$S$5:$S$1204,0),5))</f>
        <v/>
      </c>
      <c r="F406" s="8" t="str">
        <f t="array" ref="F406">IF(402&gt;$S$1204,"",INDEX($T$5:$AJ$1204,MATCH(402,$S$5:$S$1204,0),6))</f>
        <v/>
      </c>
      <c r="G406" s="8" t="str">
        <f t="array" ref="G406">IF(402&gt;$S$1204,"",INDEX($T$5:$AJ$1204,MATCH(402,$S$5:$S$1204,0),7))</f>
        <v/>
      </c>
      <c r="H406" s="8" t="str">
        <f t="array" ref="H406">IF(402&gt;$S$1204,"",INDEX($T$5:$AJ$1204,MATCH(402,$S$5:$S$1204,0),8))</f>
        <v/>
      </c>
      <c r="I406" s="8" t="str">
        <f t="array" ref="I406">IF(402&gt;$S$1204,"",INDEX($T$5:$AJ$1204,MATCH(402,$S$5:$S$1204,0),9))</f>
        <v/>
      </c>
      <c r="J406" s="14" t="str">
        <f t="array" ref="J406">IF(402&gt;$S$1204,"",INDEX($T$5:$AJ$1204,MATCH(402,$S$5:$S$1204,0),10))</f>
        <v/>
      </c>
      <c r="K406" s="8" t="str">
        <f t="array" ref="K406">IF(402&gt;$S$1204,"",INDEX($T$5:$AJ$1204,MATCH(402,$S$5:$S$1204,0),11))</f>
        <v/>
      </c>
      <c r="L406" s="8" t="str">
        <f t="array" ref="L406">IF(402&gt;$S$1204,"",INDEX($T$5:$AJ$1204,MATCH(402,$S$5:$S$1204,0),12))</f>
        <v/>
      </c>
      <c r="M406" s="8" t="str">
        <f t="array" ref="M406">IF(402&gt;$S$1204,"",INDEX($T$5:$AJ$1204,MATCH(402,$S$5:$S$1204,0),13))</f>
        <v/>
      </c>
      <c r="N406" s="8" t="str">
        <f t="array" ref="N406">IF(402&gt;$S$1204,"",INDEX($T$5:$AJ$1204,MATCH(402,$S$5:$S$1204,0),14))</f>
        <v/>
      </c>
      <c r="O406" s="15" t="str">
        <f t="array" ref="O406">IF(402&gt;$S$1204,"",INDEX($T$5:$AJ$1204,MATCH(402,$S$5:$S$1204,0),15))</f>
        <v/>
      </c>
      <c r="P406" s="8" t="str">
        <f t="array" ref="P406">IF(402&gt;$S$1204,"",INDEX($T$5:$AJ$1204,MATCH(402,$S$5:$S$1204,0),16))</f>
        <v/>
      </c>
      <c r="Q406" s="8" t="str">
        <f t="array" ref="Q406">IF(402&gt;$S$1204,"",INDEX($T$5:$AJ$1204,MATCH(402,$S$5:$S$1204,0),17))</f>
        <v/>
      </c>
      <c r="R406" s="17"/>
      <c r="S406" s="17">
        <f>S405+IF(M3_Silleteria!A10="",0,1)</f>
        <v>0</v>
      </c>
      <c r="T406" s="17" t="str">
        <f>IF(M3_Silleteria!A10="","",IF(M3_Silleteria!A10="","",M3_Silleteria!A10))</f>
        <v/>
      </c>
      <c r="U406" s="17" t="str">
        <f>IF(M3_Silleteria!A10="","",IF(M3_Silleteria!Q10="","",M3_Silleteria!Q10))</f>
        <v/>
      </c>
      <c r="V406" s="18" t="str">
        <f>IF(M3_Silleteria!A10="","",IF(M3_Silleteria!D10="","",M3_Silleteria!D10))</f>
        <v/>
      </c>
      <c r="W406" s="17" t="str">
        <f>IF(M3_Silleteria!A10="","",IF(M3_Silleteria!B10="","",M3_Silleteria!B10))</f>
        <v/>
      </c>
      <c r="X406" s="17" t="str">
        <f>IF(M3_Silleteria!A10="","",IF(M3_Silleteria!C10="","",M3_Silleteria!C10))</f>
        <v/>
      </c>
      <c r="Y406" s="17" t="str">
        <f>IF(M3_Silleteria!A10="","",IF(M3_Silleteria!E10="","",M3_Silleteria!E10))</f>
        <v/>
      </c>
      <c r="Z406" s="17" t="str">
        <f>IF(M3_Silleteria!A10="","",IF(M3_Silleteria!F10="","",M3_Silleteria!F10))</f>
        <v/>
      </c>
      <c r="AA406" s="17" t="str">
        <f>IF(M3_Silleteria!A10="","","M3 Silletería")</f>
        <v/>
      </c>
      <c r="AB406" s="17" t="str">
        <f>IF(M3_Silleteria!A10="","",IF(M3_Silleteria!G10="","",M3_Silleteria!G10))</f>
        <v/>
      </c>
      <c r="AC406" s="17" t="str">
        <f>IF(M3_Silleteria!A10="","",IF(M3_Silleteria!L10="","",M3_Silleteria!L10))</f>
        <v/>
      </c>
      <c r="AD406" s="17" t="str">
        <f>IF(M3_Silleteria!A10="","","CD")</f>
        <v/>
      </c>
      <c r="AE406" s="17" t="str">
        <f>IF(M3_Silleteria!A10="","",IF(M3_Silleteria!N10="","",M3_Silleteria!N10))</f>
        <v/>
      </c>
      <c r="AF406" s="17" t="str">
        <f>IF(M3_Silleteria!A10="","",IF(M3_Silleteria!O10="","",M3_Silleteria!O10))</f>
        <v/>
      </c>
      <c r="AG406" s="17" t="str">
        <f>IF(M3_Silleteria!A10="","",IF(M3_Silleteria!P10="","",M3_Silleteria!P10))</f>
        <v/>
      </c>
      <c r="AH406" s="20" t="str">
        <f>IF(M3_Silleteria!A10="","",IF(M3_Silleteria!H10="","",M3_Silleteria!H10))</f>
        <v/>
      </c>
      <c r="AI406" s="17" t="str">
        <f>IF(M3_Silleteria!A10="","","M3_Silleteria!10")</f>
        <v/>
      </c>
      <c r="AJ406" s="17" t="str">
        <f>IF(M3_Silleteria!A10="","",IF(M3_Silleteria!L10="","Pendiente de resultado","Disponible"))</f>
        <v/>
      </c>
    </row>
    <row r="407" spans="1:36" ht="55.5" customHeight="1">
      <c r="A407" s="6" t="str">
        <f t="array" ref="A407">IF(403&gt;$S$1204,"",INDEX($T$5:$AJ$1204,MATCH(403,$S$5:$S$1204,0),1))</f>
        <v/>
      </c>
      <c r="B407" s="8" t="str">
        <f t="array" ref="B407">IF(403&gt;$S$1204,"",INDEX($T$5:$AJ$1204,MATCH(403,$S$5:$S$1204,0),2))</f>
        <v/>
      </c>
      <c r="C407" s="10" t="str">
        <f t="array" ref="C407">IF(403&gt;$S$1204,"",INDEX($T$5:$AJ$1204,MATCH(403,$S$5:$S$1204,0),3))</f>
        <v/>
      </c>
      <c r="D407" s="8" t="str">
        <f t="array" ref="D407">IF(403&gt;$S$1204,"",INDEX($T$5:$AJ$1204,MATCH(403,$S$5:$S$1204,0),4))</f>
        <v/>
      </c>
      <c r="E407" s="8" t="str">
        <f t="array" ref="E407">IF(403&gt;$S$1204,"",INDEX($T$5:$AJ$1204,MATCH(403,$S$5:$S$1204,0),5))</f>
        <v/>
      </c>
      <c r="F407" s="8" t="str">
        <f t="array" ref="F407">IF(403&gt;$S$1204,"",INDEX($T$5:$AJ$1204,MATCH(403,$S$5:$S$1204,0),6))</f>
        <v/>
      </c>
      <c r="G407" s="8" t="str">
        <f t="array" ref="G407">IF(403&gt;$S$1204,"",INDEX($T$5:$AJ$1204,MATCH(403,$S$5:$S$1204,0),7))</f>
        <v/>
      </c>
      <c r="H407" s="8" t="str">
        <f t="array" ref="H407">IF(403&gt;$S$1204,"",INDEX($T$5:$AJ$1204,MATCH(403,$S$5:$S$1204,0),8))</f>
        <v/>
      </c>
      <c r="I407" s="8" t="str">
        <f t="array" ref="I407">IF(403&gt;$S$1204,"",INDEX($T$5:$AJ$1204,MATCH(403,$S$5:$S$1204,0),9))</f>
        <v/>
      </c>
      <c r="J407" s="14" t="str">
        <f t="array" ref="J407">IF(403&gt;$S$1204,"",INDEX($T$5:$AJ$1204,MATCH(403,$S$5:$S$1204,0),10))</f>
        <v/>
      </c>
      <c r="K407" s="8" t="str">
        <f t="array" ref="K407">IF(403&gt;$S$1204,"",INDEX($T$5:$AJ$1204,MATCH(403,$S$5:$S$1204,0),11))</f>
        <v/>
      </c>
      <c r="L407" s="8" t="str">
        <f t="array" ref="L407">IF(403&gt;$S$1204,"",INDEX($T$5:$AJ$1204,MATCH(403,$S$5:$S$1204,0),12))</f>
        <v/>
      </c>
      <c r="M407" s="8" t="str">
        <f t="array" ref="M407">IF(403&gt;$S$1204,"",INDEX($T$5:$AJ$1204,MATCH(403,$S$5:$S$1204,0),13))</f>
        <v/>
      </c>
      <c r="N407" s="8" t="str">
        <f t="array" ref="N407">IF(403&gt;$S$1204,"",INDEX($T$5:$AJ$1204,MATCH(403,$S$5:$S$1204,0),14))</f>
        <v/>
      </c>
      <c r="O407" s="15" t="str">
        <f t="array" ref="O407">IF(403&gt;$S$1204,"",INDEX($T$5:$AJ$1204,MATCH(403,$S$5:$S$1204,0),15))</f>
        <v/>
      </c>
      <c r="P407" s="8" t="str">
        <f t="array" ref="P407">IF(403&gt;$S$1204,"",INDEX($T$5:$AJ$1204,MATCH(403,$S$5:$S$1204,0),16))</f>
        <v/>
      </c>
      <c r="Q407" s="8" t="str">
        <f t="array" ref="Q407">IF(403&gt;$S$1204,"",INDEX($T$5:$AJ$1204,MATCH(403,$S$5:$S$1204,0),17))</f>
        <v/>
      </c>
      <c r="R407" s="17"/>
      <c r="S407" s="17">
        <f>S406+IF(M3_Silleteria!A11="",0,1)</f>
        <v>0</v>
      </c>
      <c r="T407" s="17" t="str">
        <f>IF(M3_Silleteria!A11="","",IF(M3_Silleteria!A11="","",M3_Silleteria!A11))</f>
        <v/>
      </c>
      <c r="U407" s="17" t="str">
        <f>IF(M3_Silleteria!A11="","",IF(M3_Silleteria!Q11="","",M3_Silleteria!Q11))</f>
        <v/>
      </c>
      <c r="V407" s="18" t="str">
        <f>IF(M3_Silleteria!A11="","",IF(M3_Silleteria!D11="","",M3_Silleteria!D11))</f>
        <v/>
      </c>
      <c r="W407" s="17" t="str">
        <f>IF(M3_Silleteria!A11="","",IF(M3_Silleteria!B11="","",M3_Silleteria!B11))</f>
        <v/>
      </c>
      <c r="X407" s="17" t="str">
        <f>IF(M3_Silleteria!A11="","",IF(M3_Silleteria!C11="","",M3_Silleteria!C11))</f>
        <v/>
      </c>
      <c r="Y407" s="17" t="str">
        <f>IF(M3_Silleteria!A11="","",IF(M3_Silleteria!E11="","",M3_Silleteria!E11))</f>
        <v/>
      </c>
      <c r="Z407" s="17" t="str">
        <f>IF(M3_Silleteria!A11="","",IF(M3_Silleteria!F11="","",M3_Silleteria!F11))</f>
        <v/>
      </c>
      <c r="AA407" s="17" t="str">
        <f>IF(M3_Silleteria!A11="","","M3 Silletería")</f>
        <v/>
      </c>
      <c r="AB407" s="17" t="str">
        <f>IF(M3_Silleteria!A11="","",IF(M3_Silleteria!G11="","",M3_Silleteria!G11))</f>
        <v/>
      </c>
      <c r="AC407" s="17" t="str">
        <f>IF(M3_Silleteria!A11="","",IF(M3_Silleteria!L11="","",M3_Silleteria!L11))</f>
        <v/>
      </c>
      <c r="AD407" s="17" t="str">
        <f>IF(M3_Silleteria!A11="","","CD")</f>
        <v/>
      </c>
      <c r="AE407" s="17" t="str">
        <f>IF(M3_Silleteria!A11="","",IF(M3_Silleteria!N11="","",M3_Silleteria!N11))</f>
        <v/>
      </c>
      <c r="AF407" s="17" t="str">
        <f>IF(M3_Silleteria!A11="","",IF(M3_Silleteria!O11="","",M3_Silleteria!O11))</f>
        <v/>
      </c>
      <c r="AG407" s="17" t="str">
        <f>IF(M3_Silleteria!A11="","",IF(M3_Silleteria!P11="","",M3_Silleteria!P11))</f>
        <v/>
      </c>
      <c r="AH407" s="20" t="str">
        <f>IF(M3_Silleteria!A11="","",IF(M3_Silleteria!H11="","",M3_Silleteria!H11))</f>
        <v/>
      </c>
      <c r="AI407" s="17" t="str">
        <f>IF(M3_Silleteria!A11="","","M3_Silleteria!11")</f>
        <v/>
      </c>
      <c r="AJ407" s="17" t="str">
        <f>IF(M3_Silleteria!A11="","",IF(M3_Silleteria!L11="","Pendiente de resultado","Disponible"))</f>
        <v/>
      </c>
    </row>
    <row r="408" spans="1:36" ht="55.5" customHeight="1">
      <c r="A408" s="6" t="str">
        <f t="array" ref="A408">IF(404&gt;$S$1204,"",INDEX($T$5:$AJ$1204,MATCH(404,$S$5:$S$1204,0),1))</f>
        <v/>
      </c>
      <c r="B408" s="8" t="str">
        <f t="array" ref="B408">IF(404&gt;$S$1204,"",INDEX($T$5:$AJ$1204,MATCH(404,$S$5:$S$1204,0),2))</f>
        <v/>
      </c>
      <c r="C408" s="10" t="str">
        <f t="array" ref="C408">IF(404&gt;$S$1204,"",INDEX($T$5:$AJ$1204,MATCH(404,$S$5:$S$1204,0),3))</f>
        <v/>
      </c>
      <c r="D408" s="8" t="str">
        <f t="array" ref="D408">IF(404&gt;$S$1204,"",INDEX($T$5:$AJ$1204,MATCH(404,$S$5:$S$1204,0),4))</f>
        <v/>
      </c>
      <c r="E408" s="8" t="str">
        <f t="array" ref="E408">IF(404&gt;$S$1204,"",INDEX($T$5:$AJ$1204,MATCH(404,$S$5:$S$1204,0),5))</f>
        <v/>
      </c>
      <c r="F408" s="8" t="str">
        <f t="array" ref="F408">IF(404&gt;$S$1204,"",INDEX($T$5:$AJ$1204,MATCH(404,$S$5:$S$1204,0),6))</f>
        <v/>
      </c>
      <c r="G408" s="8" t="str">
        <f t="array" ref="G408">IF(404&gt;$S$1204,"",INDEX($T$5:$AJ$1204,MATCH(404,$S$5:$S$1204,0),7))</f>
        <v/>
      </c>
      <c r="H408" s="8" t="str">
        <f t="array" ref="H408">IF(404&gt;$S$1204,"",INDEX($T$5:$AJ$1204,MATCH(404,$S$5:$S$1204,0),8))</f>
        <v/>
      </c>
      <c r="I408" s="8" t="str">
        <f t="array" ref="I408">IF(404&gt;$S$1204,"",INDEX($T$5:$AJ$1204,MATCH(404,$S$5:$S$1204,0),9))</f>
        <v/>
      </c>
      <c r="J408" s="14" t="str">
        <f t="array" ref="J408">IF(404&gt;$S$1204,"",INDEX($T$5:$AJ$1204,MATCH(404,$S$5:$S$1204,0),10))</f>
        <v/>
      </c>
      <c r="K408" s="8" t="str">
        <f t="array" ref="K408">IF(404&gt;$S$1204,"",INDEX($T$5:$AJ$1204,MATCH(404,$S$5:$S$1204,0),11))</f>
        <v/>
      </c>
      <c r="L408" s="8" t="str">
        <f t="array" ref="L408">IF(404&gt;$S$1204,"",INDEX($T$5:$AJ$1204,MATCH(404,$S$5:$S$1204,0),12))</f>
        <v/>
      </c>
      <c r="M408" s="8" t="str">
        <f t="array" ref="M408">IF(404&gt;$S$1204,"",INDEX($T$5:$AJ$1204,MATCH(404,$S$5:$S$1204,0),13))</f>
        <v/>
      </c>
      <c r="N408" s="8" t="str">
        <f t="array" ref="N408">IF(404&gt;$S$1204,"",INDEX($T$5:$AJ$1204,MATCH(404,$S$5:$S$1204,0),14))</f>
        <v/>
      </c>
      <c r="O408" s="15" t="str">
        <f t="array" ref="O408">IF(404&gt;$S$1204,"",INDEX($T$5:$AJ$1204,MATCH(404,$S$5:$S$1204,0),15))</f>
        <v/>
      </c>
      <c r="P408" s="8" t="str">
        <f t="array" ref="P408">IF(404&gt;$S$1204,"",INDEX($T$5:$AJ$1204,MATCH(404,$S$5:$S$1204,0),16))</f>
        <v/>
      </c>
      <c r="Q408" s="8" t="str">
        <f t="array" ref="Q408">IF(404&gt;$S$1204,"",INDEX($T$5:$AJ$1204,MATCH(404,$S$5:$S$1204,0),17))</f>
        <v/>
      </c>
      <c r="R408" s="17"/>
      <c r="S408" s="17">
        <f>S407+IF(M3_Silleteria!A12="",0,1)</f>
        <v>0</v>
      </c>
      <c r="T408" s="17" t="str">
        <f>IF(M3_Silleteria!A12="","",IF(M3_Silleteria!A12="","",M3_Silleteria!A12))</f>
        <v/>
      </c>
      <c r="U408" s="17" t="str">
        <f>IF(M3_Silleteria!A12="","",IF(M3_Silleteria!Q12="","",M3_Silleteria!Q12))</f>
        <v/>
      </c>
      <c r="V408" s="18" t="str">
        <f>IF(M3_Silleteria!A12="","",IF(M3_Silleteria!D12="","",M3_Silleteria!D12))</f>
        <v/>
      </c>
      <c r="W408" s="17" t="str">
        <f>IF(M3_Silleteria!A12="","",IF(M3_Silleteria!B12="","",M3_Silleteria!B12))</f>
        <v/>
      </c>
      <c r="X408" s="17" t="str">
        <f>IF(M3_Silleteria!A12="","",IF(M3_Silleteria!C12="","",M3_Silleteria!C12))</f>
        <v/>
      </c>
      <c r="Y408" s="17" t="str">
        <f>IF(M3_Silleteria!A12="","",IF(M3_Silleteria!E12="","",M3_Silleteria!E12))</f>
        <v/>
      </c>
      <c r="Z408" s="17" t="str">
        <f>IF(M3_Silleteria!A12="","",IF(M3_Silleteria!F12="","",M3_Silleteria!F12))</f>
        <v/>
      </c>
      <c r="AA408" s="17" t="str">
        <f>IF(M3_Silleteria!A12="","","M3 Silletería")</f>
        <v/>
      </c>
      <c r="AB408" s="17" t="str">
        <f>IF(M3_Silleteria!A12="","",IF(M3_Silleteria!G12="","",M3_Silleteria!G12))</f>
        <v/>
      </c>
      <c r="AC408" s="17" t="str">
        <f>IF(M3_Silleteria!A12="","",IF(M3_Silleteria!L12="","",M3_Silleteria!L12))</f>
        <v/>
      </c>
      <c r="AD408" s="17" t="str">
        <f>IF(M3_Silleteria!A12="","","CD")</f>
        <v/>
      </c>
      <c r="AE408" s="17" t="str">
        <f>IF(M3_Silleteria!A12="","",IF(M3_Silleteria!N12="","",M3_Silleteria!N12))</f>
        <v/>
      </c>
      <c r="AF408" s="17" t="str">
        <f>IF(M3_Silleteria!A12="","",IF(M3_Silleteria!O12="","",M3_Silleteria!O12))</f>
        <v/>
      </c>
      <c r="AG408" s="17" t="str">
        <f>IF(M3_Silleteria!A12="","",IF(M3_Silleteria!P12="","",M3_Silleteria!P12))</f>
        <v/>
      </c>
      <c r="AH408" s="20" t="str">
        <f>IF(M3_Silleteria!A12="","",IF(M3_Silleteria!H12="","",M3_Silleteria!H12))</f>
        <v/>
      </c>
      <c r="AI408" s="17" t="str">
        <f>IF(M3_Silleteria!A12="","","M3_Silleteria!12")</f>
        <v/>
      </c>
      <c r="AJ408" s="17" t="str">
        <f>IF(M3_Silleteria!A12="","",IF(M3_Silleteria!L12="","Pendiente de resultado","Disponible"))</f>
        <v/>
      </c>
    </row>
    <row r="409" spans="1:36" ht="55.5" customHeight="1">
      <c r="A409" s="6" t="str">
        <f t="array" ref="A409">IF(405&gt;$S$1204,"",INDEX($T$5:$AJ$1204,MATCH(405,$S$5:$S$1204,0),1))</f>
        <v/>
      </c>
      <c r="B409" s="8" t="str">
        <f t="array" ref="B409">IF(405&gt;$S$1204,"",INDEX($T$5:$AJ$1204,MATCH(405,$S$5:$S$1204,0),2))</f>
        <v/>
      </c>
      <c r="C409" s="10" t="str">
        <f t="array" ref="C409">IF(405&gt;$S$1204,"",INDEX($T$5:$AJ$1204,MATCH(405,$S$5:$S$1204,0),3))</f>
        <v/>
      </c>
      <c r="D409" s="8" t="str">
        <f t="array" ref="D409">IF(405&gt;$S$1204,"",INDEX($T$5:$AJ$1204,MATCH(405,$S$5:$S$1204,0),4))</f>
        <v/>
      </c>
      <c r="E409" s="8" t="str">
        <f t="array" ref="E409">IF(405&gt;$S$1204,"",INDEX($T$5:$AJ$1204,MATCH(405,$S$5:$S$1204,0),5))</f>
        <v/>
      </c>
      <c r="F409" s="8" t="str">
        <f t="array" ref="F409">IF(405&gt;$S$1204,"",INDEX($T$5:$AJ$1204,MATCH(405,$S$5:$S$1204,0),6))</f>
        <v/>
      </c>
      <c r="G409" s="8" t="str">
        <f t="array" ref="G409">IF(405&gt;$S$1204,"",INDEX($T$5:$AJ$1204,MATCH(405,$S$5:$S$1204,0),7))</f>
        <v/>
      </c>
      <c r="H409" s="8" t="str">
        <f t="array" ref="H409">IF(405&gt;$S$1204,"",INDEX($T$5:$AJ$1204,MATCH(405,$S$5:$S$1204,0),8))</f>
        <v/>
      </c>
      <c r="I409" s="8" t="str">
        <f t="array" ref="I409">IF(405&gt;$S$1204,"",INDEX($T$5:$AJ$1204,MATCH(405,$S$5:$S$1204,0),9))</f>
        <v/>
      </c>
      <c r="J409" s="14" t="str">
        <f t="array" ref="J409">IF(405&gt;$S$1204,"",INDEX($T$5:$AJ$1204,MATCH(405,$S$5:$S$1204,0),10))</f>
        <v/>
      </c>
      <c r="K409" s="8" t="str">
        <f t="array" ref="K409">IF(405&gt;$S$1204,"",INDEX($T$5:$AJ$1204,MATCH(405,$S$5:$S$1204,0),11))</f>
        <v/>
      </c>
      <c r="L409" s="8" t="str">
        <f t="array" ref="L409">IF(405&gt;$S$1204,"",INDEX($T$5:$AJ$1204,MATCH(405,$S$5:$S$1204,0),12))</f>
        <v/>
      </c>
      <c r="M409" s="8" t="str">
        <f t="array" ref="M409">IF(405&gt;$S$1204,"",INDEX($T$5:$AJ$1204,MATCH(405,$S$5:$S$1204,0),13))</f>
        <v/>
      </c>
      <c r="N409" s="8" t="str">
        <f t="array" ref="N409">IF(405&gt;$S$1204,"",INDEX($T$5:$AJ$1204,MATCH(405,$S$5:$S$1204,0),14))</f>
        <v/>
      </c>
      <c r="O409" s="15" t="str">
        <f t="array" ref="O409">IF(405&gt;$S$1204,"",INDEX($T$5:$AJ$1204,MATCH(405,$S$5:$S$1204,0),15))</f>
        <v/>
      </c>
      <c r="P409" s="8" t="str">
        <f t="array" ref="P409">IF(405&gt;$S$1204,"",INDEX($T$5:$AJ$1204,MATCH(405,$S$5:$S$1204,0),16))</f>
        <v/>
      </c>
      <c r="Q409" s="8" t="str">
        <f t="array" ref="Q409">IF(405&gt;$S$1204,"",INDEX($T$5:$AJ$1204,MATCH(405,$S$5:$S$1204,0),17))</f>
        <v/>
      </c>
      <c r="R409" s="17"/>
      <c r="S409" s="17">
        <f>S408+IF(M3_Silleteria!A13="",0,1)</f>
        <v>0</v>
      </c>
      <c r="T409" s="17" t="str">
        <f>IF(M3_Silleteria!A13="","",IF(M3_Silleteria!A13="","",M3_Silleteria!A13))</f>
        <v/>
      </c>
      <c r="U409" s="17" t="str">
        <f>IF(M3_Silleteria!A13="","",IF(M3_Silleteria!Q13="","",M3_Silleteria!Q13))</f>
        <v/>
      </c>
      <c r="V409" s="17" t="str">
        <f>IF(M3_Silleteria!A13="","",IF(M3_Silleteria!D13="","",M3_Silleteria!D13))</f>
        <v/>
      </c>
      <c r="W409" s="17" t="str">
        <f>IF(M3_Silleteria!A13="","",IF(M3_Silleteria!B13="","",M3_Silleteria!B13))</f>
        <v/>
      </c>
      <c r="X409" s="17" t="str">
        <f>IF(M3_Silleteria!A13="","",IF(M3_Silleteria!C13="","",M3_Silleteria!C13))</f>
        <v/>
      </c>
      <c r="Y409" s="17" t="str">
        <f>IF(M3_Silleteria!A13="","",IF(M3_Silleteria!E13="","",M3_Silleteria!E13))</f>
        <v/>
      </c>
      <c r="Z409" s="17" t="str">
        <f>IF(M3_Silleteria!A13="","",IF(M3_Silleteria!F13="","",M3_Silleteria!F13))</f>
        <v/>
      </c>
      <c r="AA409" s="17" t="str">
        <f>IF(M3_Silleteria!A13="","","M3 Silletería")</f>
        <v/>
      </c>
      <c r="AB409" s="17" t="str">
        <f>IF(M3_Silleteria!A13="","",IF(M3_Silleteria!G13="","",M3_Silleteria!G13))</f>
        <v/>
      </c>
      <c r="AC409" s="17" t="str">
        <f>IF(M3_Silleteria!A13="","",IF(M3_Silleteria!L13="","",M3_Silleteria!L13))</f>
        <v/>
      </c>
      <c r="AD409" s="17" t="str">
        <f>IF(M3_Silleteria!A13="","","CD")</f>
        <v/>
      </c>
      <c r="AE409" s="17" t="str">
        <f>IF(M3_Silleteria!A13="","",IF(M3_Silleteria!N13="","",M3_Silleteria!N13))</f>
        <v/>
      </c>
      <c r="AF409" s="17" t="str">
        <f>IF(M3_Silleteria!A13="","",IF(M3_Silleteria!O13="","",M3_Silleteria!O13))</f>
        <v/>
      </c>
      <c r="AG409" s="17" t="str">
        <f>IF(M3_Silleteria!A13="","",IF(M3_Silleteria!P13="","",M3_Silleteria!P13))</f>
        <v/>
      </c>
      <c r="AH409" s="17" t="str">
        <f>IF(M3_Silleteria!A13="","",IF(M3_Silleteria!H13="","",M3_Silleteria!H13))</f>
        <v/>
      </c>
      <c r="AI409" s="17" t="str">
        <f>IF(M3_Silleteria!A13="","","M3_Silleteria!13")</f>
        <v/>
      </c>
      <c r="AJ409" s="17" t="str">
        <f>IF(M3_Silleteria!A13="","",IF(M3_Silleteria!L13="","Pendiente de resultado","Disponible"))</f>
        <v/>
      </c>
    </row>
    <row r="410" spans="1:36" ht="55.5" customHeight="1">
      <c r="A410" s="6" t="str">
        <f t="array" ref="A410">IF(406&gt;$S$1204,"",INDEX($T$5:$AJ$1204,MATCH(406,$S$5:$S$1204,0),1))</f>
        <v/>
      </c>
      <c r="B410" s="8" t="str">
        <f t="array" ref="B410">IF(406&gt;$S$1204,"",INDEX($T$5:$AJ$1204,MATCH(406,$S$5:$S$1204,0),2))</f>
        <v/>
      </c>
      <c r="C410" s="10" t="str">
        <f t="array" ref="C410">IF(406&gt;$S$1204,"",INDEX($T$5:$AJ$1204,MATCH(406,$S$5:$S$1204,0),3))</f>
        <v/>
      </c>
      <c r="D410" s="8" t="str">
        <f t="array" ref="D410">IF(406&gt;$S$1204,"",INDEX($T$5:$AJ$1204,MATCH(406,$S$5:$S$1204,0),4))</f>
        <v/>
      </c>
      <c r="E410" s="8" t="str">
        <f t="array" ref="E410">IF(406&gt;$S$1204,"",INDEX($T$5:$AJ$1204,MATCH(406,$S$5:$S$1204,0),5))</f>
        <v/>
      </c>
      <c r="F410" s="8" t="str">
        <f t="array" ref="F410">IF(406&gt;$S$1204,"",INDEX($T$5:$AJ$1204,MATCH(406,$S$5:$S$1204,0),6))</f>
        <v/>
      </c>
      <c r="G410" s="8" t="str">
        <f t="array" ref="G410">IF(406&gt;$S$1204,"",INDEX($T$5:$AJ$1204,MATCH(406,$S$5:$S$1204,0),7))</f>
        <v/>
      </c>
      <c r="H410" s="8" t="str">
        <f t="array" ref="H410">IF(406&gt;$S$1204,"",INDEX($T$5:$AJ$1204,MATCH(406,$S$5:$S$1204,0),8))</f>
        <v/>
      </c>
      <c r="I410" s="8" t="str">
        <f t="array" ref="I410">IF(406&gt;$S$1204,"",INDEX($T$5:$AJ$1204,MATCH(406,$S$5:$S$1204,0),9))</f>
        <v/>
      </c>
      <c r="J410" s="14" t="str">
        <f t="array" ref="J410">IF(406&gt;$S$1204,"",INDEX($T$5:$AJ$1204,MATCH(406,$S$5:$S$1204,0),10))</f>
        <v/>
      </c>
      <c r="K410" s="8" t="str">
        <f t="array" ref="K410">IF(406&gt;$S$1204,"",INDEX($T$5:$AJ$1204,MATCH(406,$S$5:$S$1204,0),11))</f>
        <v/>
      </c>
      <c r="L410" s="8" t="str">
        <f t="array" ref="L410">IF(406&gt;$S$1204,"",INDEX($T$5:$AJ$1204,MATCH(406,$S$5:$S$1204,0),12))</f>
        <v/>
      </c>
      <c r="M410" s="8" t="str">
        <f t="array" ref="M410">IF(406&gt;$S$1204,"",INDEX($T$5:$AJ$1204,MATCH(406,$S$5:$S$1204,0),13))</f>
        <v/>
      </c>
      <c r="N410" s="8" t="str">
        <f t="array" ref="N410">IF(406&gt;$S$1204,"",INDEX($T$5:$AJ$1204,MATCH(406,$S$5:$S$1204,0),14))</f>
        <v/>
      </c>
      <c r="O410" s="15" t="str">
        <f t="array" ref="O410">IF(406&gt;$S$1204,"",INDEX($T$5:$AJ$1204,MATCH(406,$S$5:$S$1204,0),15))</f>
        <v/>
      </c>
      <c r="P410" s="8" t="str">
        <f t="array" ref="P410">IF(406&gt;$S$1204,"",INDEX($T$5:$AJ$1204,MATCH(406,$S$5:$S$1204,0),16))</f>
        <v/>
      </c>
      <c r="Q410" s="8" t="str">
        <f t="array" ref="Q410">IF(406&gt;$S$1204,"",INDEX($T$5:$AJ$1204,MATCH(406,$S$5:$S$1204,0),17))</f>
        <v/>
      </c>
      <c r="R410" s="17"/>
      <c r="S410" s="17">
        <f>S409+IF(M3_Silleteria!A14="",0,1)</f>
        <v>0</v>
      </c>
      <c r="T410" s="17" t="str">
        <f>IF(M3_Silleteria!A14="","",IF(M3_Silleteria!A14="","",M3_Silleteria!A14))</f>
        <v/>
      </c>
      <c r="U410" s="17" t="str">
        <f>IF(M3_Silleteria!A14="","",IF(M3_Silleteria!Q14="","",M3_Silleteria!Q14))</f>
        <v/>
      </c>
      <c r="V410" s="17" t="str">
        <f>IF(M3_Silleteria!A14="","",IF(M3_Silleteria!D14="","",M3_Silleteria!D14))</f>
        <v/>
      </c>
      <c r="W410" s="17" t="str">
        <f>IF(M3_Silleteria!A14="","",IF(M3_Silleteria!B14="","",M3_Silleteria!B14))</f>
        <v/>
      </c>
      <c r="X410" s="17" t="str">
        <f>IF(M3_Silleteria!A14="","",IF(M3_Silleteria!C14="","",M3_Silleteria!C14))</f>
        <v/>
      </c>
      <c r="Y410" s="17" t="str">
        <f>IF(M3_Silleteria!A14="","",IF(M3_Silleteria!E14="","",M3_Silleteria!E14))</f>
        <v/>
      </c>
      <c r="Z410" s="17" t="str">
        <f>IF(M3_Silleteria!A14="","",IF(M3_Silleteria!F14="","",M3_Silleteria!F14))</f>
        <v/>
      </c>
      <c r="AA410" s="17" t="str">
        <f>IF(M3_Silleteria!A14="","","M3 Silletería")</f>
        <v/>
      </c>
      <c r="AB410" s="17" t="str">
        <f>IF(M3_Silleteria!A14="","",IF(M3_Silleteria!G14="","",M3_Silleteria!G14))</f>
        <v/>
      </c>
      <c r="AC410" s="17" t="str">
        <f>IF(M3_Silleteria!A14="","",IF(M3_Silleteria!L14="","",M3_Silleteria!L14))</f>
        <v/>
      </c>
      <c r="AD410" s="17" t="str">
        <f>IF(M3_Silleteria!A14="","","CD")</f>
        <v/>
      </c>
      <c r="AE410" s="17" t="str">
        <f>IF(M3_Silleteria!A14="","",IF(M3_Silleteria!N14="","",M3_Silleteria!N14))</f>
        <v/>
      </c>
      <c r="AF410" s="17" t="str">
        <f>IF(M3_Silleteria!A14="","",IF(M3_Silleteria!O14="","",M3_Silleteria!O14))</f>
        <v/>
      </c>
      <c r="AG410" s="17" t="str">
        <f>IF(M3_Silleteria!A14="","",IF(M3_Silleteria!P14="","",M3_Silleteria!P14))</f>
        <v/>
      </c>
      <c r="AH410" s="17" t="str">
        <f>IF(M3_Silleteria!A14="","",IF(M3_Silleteria!H14="","",M3_Silleteria!H14))</f>
        <v/>
      </c>
      <c r="AI410" s="17" t="str">
        <f>IF(M3_Silleteria!A14="","","M3_Silleteria!14")</f>
        <v/>
      </c>
      <c r="AJ410" s="17" t="str">
        <f>IF(M3_Silleteria!A14="","",IF(M3_Silleteria!L14="","Pendiente de resultado","Disponible"))</f>
        <v/>
      </c>
    </row>
    <row r="411" spans="1:36" ht="55.5" customHeight="1">
      <c r="A411" s="6" t="str">
        <f t="array" ref="A411">IF(407&gt;$S$1204,"",INDEX($T$5:$AJ$1204,MATCH(407,$S$5:$S$1204,0),1))</f>
        <v/>
      </c>
      <c r="B411" s="8" t="str">
        <f t="array" ref="B411">IF(407&gt;$S$1204,"",INDEX($T$5:$AJ$1204,MATCH(407,$S$5:$S$1204,0),2))</f>
        <v/>
      </c>
      <c r="C411" s="10" t="str">
        <f t="array" ref="C411">IF(407&gt;$S$1204,"",INDEX($T$5:$AJ$1204,MATCH(407,$S$5:$S$1204,0),3))</f>
        <v/>
      </c>
      <c r="D411" s="8" t="str">
        <f t="array" ref="D411">IF(407&gt;$S$1204,"",INDEX($T$5:$AJ$1204,MATCH(407,$S$5:$S$1204,0),4))</f>
        <v/>
      </c>
      <c r="E411" s="8" t="str">
        <f t="array" ref="E411">IF(407&gt;$S$1204,"",INDEX($T$5:$AJ$1204,MATCH(407,$S$5:$S$1204,0),5))</f>
        <v/>
      </c>
      <c r="F411" s="8" t="str">
        <f t="array" ref="F411">IF(407&gt;$S$1204,"",INDEX($T$5:$AJ$1204,MATCH(407,$S$5:$S$1204,0),6))</f>
        <v/>
      </c>
      <c r="G411" s="8" t="str">
        <f t="array" ref="G411">IF(407&gt;$S$1204,"",INDEX($T$5:$AJ$1204,MATCH(407,$S$5:$S$1204,0),7))</f>
        <v/>
      </c>
      <c r="H411" s="8" t="str">
        <f t="array" ref="H411">IF(407&gt;$S$1204,"",INDEX($T$5:$AJ$1204,MATCH(407,$S$5:$S$1204,0),8))</f>
        <v/>
      </c>
      <c r="I411" s="8" t="str">
        <f t="array" ref="I411">IF(407&gt;$S$1204,"",INDEX($T$5:$AJ$1204,MATCH(407,$S$5:$S$1204,0),9))</f>
        <v/>
      </c>
      <c r="J411" s="14" t="str">
        <f t="array" ref="J411">IF(407&gt;$S$1204,"",INDEX($T$5:$AJ$1204,MATCH(407,$S$5:$S$1204,0),10))</f>
        <v/>
      </c>
      <c r="K411" s="8" t="str">
        <f t="array" ref="K411">IF(407&gt;$S$1204,"",INDEX($T$5:$AJ$1204,MATCH(407,$S$5:$S$1204,0),11))</f>
        <v/>
      </c>
      <c r="L411" s="8" t="str">
        <f t="array" ref="L411">IF(407&gt;$S$1204,"",INDEX($T$5:$AJ$1204,MATCH(407,$S$5:$S$1204,0),12))</f>
        <v/>
      </c>
      <c r="M411" s="8" t="str">
        <f t="array" ref="M411">IF(407&gt;$S$1204,"",INDEX($T$5:$AJ$1204,MATCH(407,$S$5:$S$1204,0),13))</f>
        <v/>
      </c>
      <c r="N411" s="8" t="str">
        <f t="array" ref="N411">IF(407&gt;$S$1204,"",INDEX($T$5:$AJ$1204,MATCH(407,$S$5:$S$1204,0),14))</f>
        <v/>
      </c>
      <c r="O411" s="15" t="str">
        <f t="array" ref="O411">IF(407&gt;$S$1204,"",INDEX($T$5:$AJ$1204,MATCH(407,$S$5:$S$1204,0),15))</f>
        <v/>
      </c>
      <c r="P411" s="8" t="str">
        <f t="array" ref="P411">IF(407&gt;$S$1204,"",INDEX($T$5:$AJ$1204,MATCH(407,$S$5:$S$1204,0),16))</f>
        <v/>
      </c>
      <c r="Q411" s="8" t="str">
        <f t="array" ref="Q411">IF(407&gt;$S$1204,"",INDEX($T$5:$AJ$1204,MATCH(407,$S$5:$S$1204,0),17))</f>
        <v/>
      </c>
      <c r="R411" s="17"/>
      <c r="S411" s="17">
        <f>S410+IF(M3_Silleteria!A15="",0,1)</f>
        <v>0</v>
      </c>
      <c r="T411" s="17" t="str">
        <f>IF(M3_Silleteria!A15="","",IF(M3_Silleteria!A15="","",M3_Silleteria!A15))</f>
        <v/>
      </c>
      <c r="U411" s="17" t="str">
        <f>IF(M3_Silleteria!A15="","",IF(M3_Silleteria!Q15="","",M3_Silleteria!Q15))</f>
        <v/>
      </c>
      <c r="V411" s="17" t="str">
        <f>IF(M3_Silleteria!A15="","",IF(M3_Silleteria!D15="","",M3_Silleteria!D15))</f>
        <v/>
      </c>
      <c r="W411" s="17" t="str">
        <f>IF(M3_Silleteria!A15="","",IF(M3_Silleteria!B15="","",M3_Silleteria!B15))</f>
        <v/>
      </c>
      <c r="X411" s="17" t="str">
        <f>IF(M3_Silleteria!A15="","",IF(M3_Silleteria!C15="","",M3_Silleteria!C15))</f>
        <v/>
      </c>
      <c r="Y411" s="17" t="str">
        <f>IF(M3_Silleteria!A15="","",IF(M3_Silleteria!E15="","",M3_Silleteria!E15))</f>
        <v/>
      </c>
      <c r="Z411" s="17" t="str">
        <f>IF(M3_Silleteria!A15="","",IF(M3_Silleteria!F15="","",M3_Silleteria!F15))</f>
        <v/>
      </c>
      <c r="AA411" s="17" t="str">
        <f>IF(M3_Silleteria!A15="","","M3 Silletería")</f>
        <v/>
      </c>
      <c r="AB411" s="17" t="str">
        <f>IF(M3_Silleteria!A15="","",IF(M3_Silleteria!G15="","",M3_Silleteria!G15))</f>
        <v/>
      </c>
      <c r="AC411" s="17" t="str">
        <f>IF(M3_Silleteria!A15="","",IF(M3_Silleteria!L15="","",M3_Silleteria!L15))</f>
        <v/>
      </c>
      <c r="AD411" s="17" t="str">
        <f>IF(M3_Silleteria!A15="","","CD")</f>
        <v/>
      </c>
      <c r="AE411" s="17" t="str">
        <f>IF(M3_Silleteria!A15="","",IF(M3_Silleteria!N15="","",M3_Silleteria!N15))</f>
        <v/>
      </c>
      <c r="AF411" s="17" t="str">
        <f>IF(M3_Silleteria!A15="","",IF(M3_Silleteria!O15="","",M3_Silleteria!O15))</f>
        <v/>
      </c>
      <c r="AG411" s="17" t="str">
        <f>IF(M3_Silleteria!A15="","",IF(M3_Silleteria!P15="","",M3_Silleteria!P15))</f>
        <v/>
      </c>
      <c r="AH411" s="17" t="str">
        <f>IF(M3_Silleteria!A15="","",IF(M3_Silleteria!H15="","",M3_Silleteria!H15))</f>
        <v/>
      </c>
      <c r="AI411" s="17" t="str">
        <f>IF(M3_Silleteria!A15="","","M3_Silleteria!15")</f>
        <v/>
      </c>
      <c r="AJ411" s="17" t="str">
        <f>IF(M3_Silleteria!A15="","",IF(M3_Silleteria!L15="","Pendiente de resultado","Disponible"))</f>
        <v/>
      </c>
    </row>
    <row r="412" spans="1:36" ht="55.5" customHeight="1">
      <c r="A412" s="6" t="str">
        <f t="array" ref="A412">IF(408&gt;$S$1204,"",INDEX($T$5:$AJ$1204,MATCH(408,$S$5:$S$1204,0),1))</f>
        <v/>
      </c>
      <c r="B412" s="8" t="str">
        <f t="array" ref="B412">IF(408&gt;$S$1204,"",INDEX($T$5:$AJ$1204,MATCH(408,$S$5:$S$1204,0),2))</f>
        <v/>
      </c>
      <c r="C412" s="10" t="str">
        <f t="array" ref="C412">IF(408&gt;$S$1204,"",INDEX($T$5:$AJ$1204,MATCH(408,$S$5:$S$1204,0),3))</f>
        <v/>
      </c>
      <c r="D412" s="8" t="str">
        <f t="array" ref="D412">IF(408&gt;$S$1204,"",INDEX($T$5:$AJ$1204,MATCH(408,$S$5:$S$1204,0),4))</f>
        <v/>
      </c>
      <c r="E412" s="8" t="str">
        <f t="array" ref="E412">IF(408&gt;$S$1204,"",INDEX($T$5:$AJ$1204,MATCH(408,$S$5:$S$1204,0),5))</f>
        <v/>
      </c>
      <c r="F412" s="8" t="str">
        <f t="array" ref="F412">IF(408&gt;$S$1204,"",INDEX($T$5:$AJ$1204,MATCH(408,$S$5:$S$1204,0),6))</f>
        <v/>
      </c>
      <c r="G412" s="8" t="str">
        <f t="array" ref="G412">IF(408&gt;$S$1204,"",INDEX($T$5:$AJ$1204,MATCH(408,$S$5:$S$1204,0),7))</f>
        <v/>
      </c>
      <c r="H412" s="8" t="str">
        <f t="array" ref="H412">IF(408&gt;$S$1204,"",INDEX($T$5:$AJ$1204,MATCH(408,$S$5:$S$1204,0),8))</f>
        <v/>
      </c>
      <c r="I412" s="8" t="str">
        <f t="array" ref="I412">IF(408&gt;$S$1204,"",INDEX($T$5:$AJ$1204,MATCH(408,$S$5:$S$1204,0),9))</f>
        <v/>
      </c>
      <c r="J412" s="14" t="str">
        <f t="array" ref="J412">IF(408&gt;$S$1204,"",INDEX($T$5:$AJ$1204,MATCH(408,$S$5:$S$1204,0),10))</f>
        <v/>
      </c>
      <c r="K412" s="8" t="str">
        <f t="array" ref="K412">IF(408&gt;$S$1204,"",INDEX($T$5:$AJ$1204,MATCH(408,$S$5:$S$1204,0),11))</f>
        <v/>
      </c>
      <c r="L412" s="8" t="str">
        <f t="array" ref="L412">IF(408&gt;$S$1204,"",INDEX($T$5:$AJ$1204,MATCH(408,$S$5:$S$1204,0),12))</f>
        <v/>
      </c>
      <c r="M412" s="8" t="str">
        <f t="array" ref="M412">IF(408&gt;$S$1204,"",INDEX($T$5:$AJ$1204,MATCH(408,$S$5:$S$1204,0),13))</f>
        <v/>
      </c>
      <c r="N412" s="8" t="str">
        <f t="array" ref="N412">IF(408&gt;$S$1204,"",INDEX($T$5:$AJ$1204,MATCH(408,$S$5:$S$1204,0),14))</f>
        <v/>
      </c>
      <c r="O412" s="15" t="str">
        <f t="array" ref="O412">IF(408&gt;$S$1204,"",INDEX($T$5:$AJ$1204,MATCH(408,$S$5:$S$1204,0),15))</f>
        <v/>
      </c>
      <c r="P412" s="8" t="str">
        <f t="array" ref="P412">IF(408&gt;$S$1204,"",INDEX($T$5:$AJ$1204,MATCH(408,$S$5:$S$1204,0),16))</f>
        <v/>
      </c>
      <c r="Q412" s="8" t="str">
        <f t="array" ref="Q412">IF(408&gt;$S$1204,"",INDEX($T$5:$AJ$1204,MATCH(408,$S$5:$S$1204,0),17))</f>
        <v/>
      </c>
      <c r="R412" s="17"/>
      <c r="S412" s="17">
        <f>S411+IF(M3_Silleteria!A16="",0,1)</f>
        <v>0</v>
      </c>
      <c r="T412" s="17" t="str">
        <f>IF(M3_Silleteria!A16="","",IF(M3_Silleteria!A16="","",M3_Silleteria!A16))</f>
        <v/>
      </c>
      <c r="U412" s="17" t="str">
        <f>IF(M3_Silleteria!A16="","",IF(M3_Silleteria!Q16="","",M3_Silleteria!Q16))</f>
        <v/>
      </c>
      <c r="V412" s="17" t="str">
        <f>IF(M3_Silleteria!A16="","",IF(M3_Silleteria!D16="","",M3_Silleteria!D16))</f>
        <v/>
      </c>
      <c r="W412" s="17" t="str">
        <f>IF(M3_Silleteria!A16="","",IF(M3_Silleteria!B16="","",M3_Silleteria!B16))</f>
        <v/>
      </c>
      <c r="X412" s="17" t="str">
        <f>IF(M3_Silleteria!A16="","",IF(M3_Silleteria!C16="","",M3_Silleteria!C16))</f>
        <v/>
      </c>
      <c r="Y412" s="17" t="str">
        <f>IF(M3_Silleteria!A16="","",IF(M3_Silleteria!E16="","",M3_Silleteria!E16))</f>
        <v/>
      </c>
      <c r="Z412" s="17" t="str">
        <f>IF(M3_Silleteria!A16="","",IF(M3_Silleteria!F16="","",M3_Silleteria!F16))</f>
        <v/>
      </c>
      <c r="AA412" s="17" t="str">
        <f>IF(M3_Silleteria!A16="","","M3 Silletería")</f>
        <v/>
      </c>
      <c r="AB412" s="17" t="str">
        <f>IF(M3_Silleteria!A16="","",IF(M3_Silleteria!G16="","",M3_Silleteria!G16))</f>
        <v/>
      </c>
      <c r="AC412" s="17" t="str">
        <f>IF(M3_Silleteria!A16="","",IF(M3_Silleteria!L16="","",M3_Silleteria!L16))</f>
        <v/>
      </c>
      <c r="AD412" s="17" t="str">
        <f>IF(M3_Silleteria!A16="","","CD")</f>
        <v/>
      </c>
      <c r="AE412" s="17" t="str">
        <f>IF(M3_Silleteria!A16="","",IF(M3_Silleteria!N16="","",M3_Silleteria!N16))</f>
        <v/>
      </c>
      <c r="AF412" s="17" t="str">
        <f>IF(M3_Silleteria!A16="","",IF(M3_Silleteria!O16="","",M3_Silleteria!O16))</f>
        <v/>
      </c>
      <c r="AG412" s="17" t="str">
        <f>IF(M3_Silleteria!A16="","",IF(M3_Silleteria!P16="","",M3_Silleteria!P16))</f>
        <v/>
      </c>
      <c r="AH412" s="17" t="str">
        <f>IF(M3_Silleteria!A16="","",IF(M3_Silleteria!H16="","",M3_Silleteria!H16))</f>
        <v/>
      </c>
      <c r="AI412" s="17" t="str">
        <f>IF(M3_Silleteria!A16="","","M3_Silleteria!16")</f>
        <v/>
      </c>
      <c r="AJ412" s="17" t="str">
        <f>IF(M3_Silleteria!A16="","",IF(M3_Silleteria!L16="","Pendiente de resultado","Disponible"))</f>
        <v/>
      </c>
    </row>
    <row r="413" spans="1:36" ht="55.5" customHeight="1">
      <c r="A413" s="6" t="str">
        <f t="array" ref="A413">IF(409&gt;$S$1204,"",INDEX($T$5:$AJ$1204,MATCH(409,$S$5:$S$1204,0),1))</f>
        <v/>
      </c>
      <c r="B413" s="8" t="str">
        <f t="array" ref="B413">IF(409&gt;$S$1204,"",INDEX($T$5:$AJ$1204,MATCH(409,$S$5:$S$1204,0),2))</f>
        <v/>
      </c>
      <c r="C413" s="10" t="str">
        <f t="array" ref="C413">IF(409&gt;$S$1204,"",INDEX($T$5:$AJ$1204,MATCH(409,$S$5:$S$1204,0),3))</f>
        <v/>
      </c>
      <c r="D413" s="8" t="str">
        <f t="array" ref="D413">IF(409&gt;$S$1204,"",INDEX($T$5:$AJ$1204,MATCH(409,$S$5:$S$1204,0),4))</f>
        <v/>
      </c>
      <c r="E413" s="8" t="str">
        <f t="array" ref="E413">IF(409&gt;$S$1204,"",INDEX($T$5:$AJ$1204,MATCH(409,$S$5:$S$1204,0),5))</f>
        <v/>
      </c>
      <c r="F413" s="8" t="str">
        <f t="array" ref="F413">IF(409&gt;$S$1204,"",INDEX($T$5:$AJ$1204,MATCH(409,$S$5:$S$1204,0),6))</f>
        <v/>
      </c>
      <c r="G413" s="8" t="str">
        <f t="array" ref="G413">IF(409&gt;$S$1204,"",INDEX($T$5:$AJ$1204,MATCH(409,$S$5:$S$1204,0),7))</f>
        <v/>
      </c>
      <c r="H413" s="8" t="str">
        <f t="array" ref="H413">IF(409&gt;$S$1204,"",INDEX($T$5:$AJ$1204,MATCH(409,$S$5:$S$1204,0),8))</f>
        <v/>
      </c>
      <c r="I413" s="8" t="str">
        <f t="array" ref="I413">IF(409&gt;$S$1204,"",INDEX($T$5:$AJ$1204,MATCH(409,$S$5:$S$1204,0),9))</f>
        <v/>
      </c>
      <c r="J413" s="14" t="str">
        <f t="array" ref="J413">IF(409&gt;$S$1204,"",INDEX($T$5:$AJ$1204,MATCH(409,$S$5:$S$1204,0),10))</f>
        <v/>
      </c>
      <c r="K413" s="8" t="str">
        <f t="array" ref="K413">IF(409&gt;$S$1204,"",INDEX($T$5:$AJ$1204,MATCH(409,$S$5:$S$1204,0),11))</f>
        <v/>
      </c>
      <c r="L413" s="8" t="str">
        <f t="array" ref="L413">IF(409&gt;$S$1204,"",INDEX($T$5:$AJ$1204,MATCH(409,$S$5:$S$1204,0),12))</f>
        <v/>
      </c>
      <c r="M413" s="8" t="str">
        <f t="array" ref="M413">IF(409&gt;$S$1204,"",INDEX($T$5:$AJ$1204,MATCH(409,$S$5:$S$1204,0),13))</f>
        <v/>
      </c>
      <c r="N413" s="8" t="str">
        <f t="array" ref="N413">IF(409&gt;$S$1204,"",INDEX($T$5:$AJ$1204,MATCH(409,$S$5:$S$1204,0),14))</f>
        <v/>
      </c>
      <c r="O413" s="15" t="str">
        <f t="array" ref="O413">IF(409&gt;$S$1204,"",INDEX($T$5:$AJ$1204,MATCH(409,$S$5:$S$1204,0),15))</f>
        <v/>
      </c>
      <c r="P413" s="8" t="str">
        <f t="array" ref="P413">IF(409&gt;$S$1204,"",INDEX($T$5:$AJ$1204,MATCH(409,$S$5:$S$1204,0),16))</f>
        <v/>
      </c>
      <c r="Q413" s="8" t="str">
        <f t="array" ref="Q413">IF(409&gt;$S$1204,"",INDEX($T$5:$AJ$1204,MATCH(409,$S$5:$S$1204,0),17))</f>
        <v/>
      </c>
      <c r="R413" s="17"/>
      <c r="S413" s="17">
        <f>S412+IF(M3_Silleteria!A17="",0,1)</f>
        <v>0</v>
      </c>
      <c r="T413" s="17" t="str">
        <f>IF(M3_Silleteria!A17="","",IF(M3_Silleteria!A17="","",M3_Silleteria!A17))</f>
        <v/>
      </c>
      <c r="U413" s="17" t="str">
        <f>IF(M3_Silleteria!A17="","",IF(M3_Silleteria!Q17="","",M3_Silleteria!Q17))</f>
        <v/>
      </c>
      <c r="V413" s="17" t="str">
        <f>IF(M3_Silleteria!A17="","",IF(M3_Silleteria!D17="","",M3_Silleteria!D17))</f>
        <v/>
      </c>
      <c r="W413" s="17" t="str">
        <f>IF(M3_Silleteria!A17="","",IF(M3_Silleteria!B17="","",M3_Silleteria!B17))</f>
        <v/>
      </c>
      <c r="X413" s="17" t="str">
        <f>IF(M3_Silleteria!A17="","",IF(M3_Silleteria!C17="","",M3_Silleteria!C17))</f>
        <v/>
      </c>
      <c r="Y413" s="17" t="str">
        <f>IF(M3_Silleteria!A17="","",IF(M3_Silleteria!E17="","",M3_Silleteria!E17))</f>
        <v/>
      </c>
      <c r="Z413" s="17" t="str">
        <f>IF(M3_Silleteria!A17="","",IF(M3_Silleteria!F17="","",M3_Silleteria!F17))</f>
        <v/>
      </c>
      <c r="AA413" s="17" t="str">
        <f>IF(M3_Silleteria!A17="","","M3 Silletería")</f>
        <v/>
      </c>
      <c r="AB413" s="17" t="str">
        <f>IF(M3_Silleteria!A17="","",IF(M3_Silleteria!G17="","",M3_Silleteria!G17))</f>
        <v/>
      </c>
      <c r="AC413" s="17" t="str">
        <f>IF(M3_Silleteria!A17="","",IF(M3_Silleteria!L17="","",M3_Silleteria!L17))</f>
        <v/>
      </c>
      <c r="AD413" s="17" t="str">
        <f>IF(M3_Silleteria!A17="","","CD")</f>
        <v/>
      </c>
      <c r="AE413" s="17" t="str">
        <f>IF(M3_Silleteria!A17="","",IF(M3_Silleteria!N17="","",M3_Silleteria!N17))</f>
        <v/>
      </c>
      <c r="AF413" s="17" t="str">
        <f>IF(M3_Silleteria!A17="","",IF(M3_Silleteria!O17="","",M3_Silleteria!O17))</f>
        <v/>
      </c>
      <c r="AG413" s="17" t="str">
        <f>IF(M3_Silleteria!A17="","",IF(M3_Silleteria!P17="","",M3_Silleteria!P17))</f>
        <v/>
      </c>
      <c r="AH413" s="17" t="str">
        <f>IF(M3_Silleteria!A17="","",IF(M3_Silleteria!H17="","",M3_Silleteria!H17))</f>
        <v/>
      </c>
      <c r="AI413" s="17" t="str">
        <f>IF(M3_Silleteria!A17="","","M3_Silleteria!17")</f>
        <v/>
      </c>
      <c r="AJ413" s="17" t="str">
        <f>IF(M3_Silleteria!A17="","",IF(M3_Silleteria!L17="","Pendiente de resultado","Disponible"))</f>
        <v/>
      </c>
    </row>
    <row r="414" spans="1:36" ht="55.5" customHeight="1">
      <c r="A414" s="6" t="str">
        <f t="array" ref="A414">IF(410&gt;$S$1204,"",INDEX($T$5:$AJ$1204,MATCH(410,$S$5:$S$1204,0),1))</f>
        <v/>
      </c>
      <c r="B414" s="8" t="str">
        <f t="array" ref="B414">IF(410&gt;$S$1204,"",INDEX($T$5:$AJ$1204,MATCH(410,$S$5:$S$1204,0),2))</f>
        <v/>
      </c>
      <c r="C414" s="10" t="str">
        <f t="array" ref="C414">IF(410&gt;$S$1204,"",INDEX($T$5:$AJ$1204,MATCH(410,$S$5:$S$1204,0),3))</f>
        <v/>
      </c>
      <c r="D414" s="8" t="str">
        <f t="array" ref="D414">IF(410&gt;$S$1204,"",INDEX($T$5:$AJ$1204,MATCH(410,$S$5:$S$1204,0),4))</f>
        <v/>
      </c>
      <c r="E414" s="8" t="str">
        <f t="array" ref="E414">IF(410&gt;$S$1204,"",INDEX($T$5:$AJ$1204,MATCH(410,$S$5:$S$1204,0),5))</f>
        <v/>
      </c>
      <c r="F414" s="8" t="str">
        <f t="array" ref="F414">IF(410&gt;$S$1204,"",INDEX($T$5:$AJ$1204,MATCH(410,$S$5:$S$1204,0),6))</f>
        <v/>
      </c>
      <c r="G414" s="8" t="str">
        <f t="array" ref="G414">IF(410&gt;$S$1204,"",INDEX($T$5:$AJ$1204,MATCH(410,$S$5:$S$1204,0),7))</f>
        <v/>
      </c>
      <c r="H414" s="8" t="str">
        <f t="array" ref="H414">IF(410&gt;$S$1204,"",INDEX($T$5:$AJ$1204,MATCH(410,$S$5:$S$1204,0),8))</f>
        <v/>
      </c>
      <c r="I414" s="8" t="str">
        <f t="array" ref="I414">IF(410&gt;$S$1204,"",INDEX($T$5:$AJ$1204,MATCH(410,$S$5:$S$1204,0),9))</f>
        <v/>
      </c>
      <c r="J414" s="14" t="str">
        <f t="array" ref="J414">IF(410&gt;$S$1204,"",INDEX($T$5:$AJ$1204,MATCH(410,$S$5:$S$1204,0),10))</f>
        <v/>
      </c>
      <c r="K414" s="8" t="str">
        <f t="array" ref="K414">IF(410&gt;$S$1204,"",INDEX($T$5:$AJ$1204,MATCH(410,$S$5:$S$1204,0),11))</f>
        <v/>
      </c>
      <c r="L414" s="8" t="str">
        <f t="array" ref="L414">IF(410&gt;$S$1204,"",INDEX($T$5:$AJ$1204,MATCH(410,$S$5:$S$1204,0),12))</f>
        <v/>
      </c>
      <c r="M414" s="8" t="str">
        <f t="array" ref="M414">IF(410&gt;$S$1204,"",INDEX($T$5:$AJ$1204,MATCH(410,$S$5:$S$1204,0),13))</f>
        <v/>
      </c>
      <c r="N414" s="8" t="str">
        <f t="array" ref="N414">IF(410&gt;$S$1204,"",INDEX($T$5:$AJ$1204,MATCH(410,$S$5:$S$1204,0),14))</f>
        <v/>
      </c>
      <c r="O414" s="15" t="str">
        <f t="array" ref="O414">IF(410&gt;$S$1204,"",INDEX($T$5:$AJ$1204,MATCH(410,$S$5:$S$1204,0),15))</f>
        <v/>
      </c>
      <c r="P414" s="8" t="str">
        <f t="array" ref="P414">IF(410&gt;$S$1204,"",INDEX($T$5:$AJ$1204,MATCH(410,$S$5:$S$1204,0),16))</f>
        <v/>
      </c>
      <c r="Q414" s="8" t="str">
        <f t="array" ref="Q414">IF(410&gt;$S$1204,"",INDEX($T$5:$AJ$1204,MATCH(410,$S$5:$S$1204,0),17))</f>
        <v/>
      </c>
      <c r="R414" s="17"/>
      <c r="S414" s="17">
        <f>S413+IF(M3_Silleteria!A18="",0,1)</f>
        <v>0</v>
      </c>
      <c r="T414" s="17" t="str">
        <f>IF(M3_Silleteria!A18="","",IF(M3_Silleteria!A18="","",M3_Silleteria!A18))</f>
        <v/>
      </c>
      <c r="U414" s="17" t="str">
        <f>IF(M3_Silleteria!A18="","",IF(M3_Silleteria!Q18="","",M3_Silleteria!Q18))</f>
        <v/>
      </c>
      <c r="V414" s="17" t="str">
        <f>IF(M3_Silleteria!A18="","",IF(M3_Silleteria!D18="","",M3_Silleteria!D18))</f>
        <v/>
      </c>
      <c r="W414" s="17" t="str">
        <f>IF(M3_Silleteria!A18="","",IF(M3_Silleteria!B18="","",M3_Silleteria!B18))</f>
        <v/>
      </c>
      <c r="X414" s="17" t="str">
        <f>IF(M3_Silleteria!A18="","",IF(M3_Silleteria!C18="","",M3_Silleteria!C18))</f>
        <v/>
      </c>
      <c r="Y414" s="17" t="str">
        <f>IF(M3_Silleteria!A18="","",IF(M3_Silleteria!E18="","",M3_Silleteria!E18))</f>
        <v/>
      </c>
      <c r="Z414" s="17" t="str">
        <f>IF(M3_Silleteria!A18="","",IF(M3_Silleteria!F18="","",M3_Silleteria!F18))</f>
        <v/>
      </c>
      <c r="AA414" s="17" t="str">
        <f>IF(M3_Silleteria!A18="","","M3 Silletería")</f>
        <v/>
      </c>
      <c r="AB414" s="17" t="str">
        <f>IF(M3_Silleteria!A18="","",IF(M3_Silleteria!G18="","",M3_Silleteria!G18))</f>
        <v/>
      </c>
      <c r="AC414" s="17" t="str">
        <f>IF(M3_Silleteria!A18="","",IF(M3_Silleteria!L18="","",M3_Silleteria!L18))</f>
        <v/>
      </c>
      <c r="AD414" s="17" t="str">
        <f>IF(M3_Silleteria!A18="","","CD")</f>
        <v/>
      </c>
      <c r="AE414" s="17" t="str">
        <f>IF(M3_Silleteria!A18="","",IF(M3_Silleteria!N18="","",M3_Silleteria!N18))</f>
        <v/>
      </c>
      <c r="AF414" s="17" t="str">
        <f>IF(M3_Silleteria!A18="","",IF(M3_Silleteria!O18="","",M3_Silleteria!O18))</f>
        <v/>
      </c>
      <c r="AG414" s="17" t="str">
        <f>IF(M3_Silleteria!A18="","",IF(M3_Silleteria!P18="","",M3_Silleteria!P18))</f>
        <v/>
      </c>
      <c r="AH414" s="17" t="str">
        <f>IF(M3_Silleteria!A18="","",IF(M3_Silleteria!H18="","",M3_Silleteria!H18))</f>
        <v/>
      </c>
      <c r="AI414" s="17" t="str">
        <f>IF(M3_Silleteria!A18="","","M3_Silleteria!18")</f>
        <v/>
      </c>
      <c r="AJ414" s="17" t="str">
        <f>IF(M3_Silleteria!A18="","",IF(M3_Silleteria!L18="","Pendiente de resultado","Disponible"))</f>
        <v/>
      </c>
    </row>
    <row r="415" spans="1:36" ht="55.5" customHeight="1">
      <c r="A415" s="6" t="str">
        <f t="array" ref="A415">IF(411&gt;$S$1204,"",INDEX($T$5:$AJ$1204,MATCH(411,$S$5:$S$1204,0),1))</f>
        <v/>
      </c>
      <c r="B415" s="8" t="str">
        <f t="array" ref="B415">IF(411&gt;$S$1204,"",INDEX($T$5:$AJ$1204,MATCH(411,$S$5:$S$1204,0),2))</f>
        <v/>
      </c>
      <c r="C415" s="10" t="str">
        <f t="array" ref="C415">IF(411&gt;$S$1204,"",INDEX($T$5:$AJ$1204,MATCH(411,$S$5:$S$1204,0),3))</f>
        <v/>
      </c>
      <c r="D415" s="8" t="str">
        <f t="array" ref="D415">IF(411&gt;$S$1204,"",INDEX($T$5:$AJ$1204,MATCH(411,$S$5:$S$1204,0),4))</f>
        <v/>
      </c>
      <c r="E415" s="8" t="str">
        <f t="array" ref="E415">IF(411&gt;$S$1204,"",INDEX($T$5:$AJ$1204,MATCH(411,$S$5:$S$1204,0),5))</f>
        <v/>
      </c>
      <c r="F415" s="8" t="str">
        <f t="array" ref="F415">IF(411&gt;$S$1204,"",INDEX($T$5:$AJ$1204,MATCH(411,$S$5:$S$1204,0),6))</f>
        <v/>
      </c>
      <c r="G415" s="8" t="str">
        <f t="array" ref="G415">IF(411&gt;$S$1204,"",INDEX($T$5:$AJ$1204,MATCH(411,$S$5:$S$1204,0),7))</f>
        <v/>
      </c>
      <c r="H415" s="8" t="str">
        <f t="array" ref="H415">IF(411&gt;$S$1204,"",INDEX($T$5:$AJ$1204,MATCH(411,$S$5:$S$1204,0),8))</f>
        <v/>
      </c>
      <c r="I415" s="8" t="str">
        <f t="array" ref="I415">IF(411&gt;$S$1204,"",INDEX($T$5:$AJ$1204,MATCH(411,$S$5:$S$1204,0),9))</f>
        <v/>
      </c>
      <c r="J415" s="14" t="str">
        <f t="array" ref="J415">IF(411&gt;$S$1204,"",INDEX($T$5:$AJ$1204,MATCH(411,$S$5:$S$1204,0),10))</f>
        <v/>
      </c>
      <c r="K415" s="8" t="str">
        <f t="array" ref="K415">IF(411&gt;$S$1204,"",INDEX($T$5:$AJ$1204,MATCH(411,$S$5:$S$1204,0),11))</f>
        <v/>
      </c>
      <c r="L415" s="8" t="str">
        <f t="array" ref="L415">IF(411&gt;$S$1204,"",INDEX($T$5:$AJ$1204,MATCH(411,$S$5:$S$1204,0),12))</f>
        <v/>
      </c>
      <c r="M415" s="8" t="str">
        <f t="array" ref="M415">IF(411&gt;$S$1204,"",INDEX($T$5:$AJ$1204,MATCH(411,$S$5:$S$1204,0),13))</f>
        <v/>
      </c>
      <c r="N415" s="8" t="str">
        <f t="array" ref="N415">IF(411&gt;$S$1204,"",INDEX($T$5:$AJ$1204,MATCH(411,$S$5:$S$1204,0),14))</f>
        <v/>
      </c>
      <c r="O415" s="15" t="str">
        <f t="array" ref="O415">IF(411&gt;$S$1204,"",INDEX($T$5:$AJ$1204,MATCH(411,$S$5:$S$1204,0),15))</f>
        <v/>
      </c>
      <c r="P415" s="8" t="str">
        <f t="array" ref="P415">IF(411&gt;$S$1204,"",INDEX($T$5:$AJ$1204,MATCH(411,$S$5:$S$1204,0),16))</f>
        <v/>
      </c>
      <c r="Q415" s="8" t="str">
        <f t="array" ref="Q415">IF(411&gt;$S$1204,"",INDEX($T$5:$AJ$1204,MATCH(411,$S$5:$S$1204,0),17))</f>
        <v/>
      </c>
      <c r="R415" s="17"/>
      <c r="S415" s="17">
        <f>S414+IF(M3_Silleteria!A19="",0,1)</f>
        <v>0</v>
      </c>
      <c r="T415" s="17" t="str">
        <f>IF(M3_Silleteria!A19="","",IF(M3_Silleteria!A19="","",M3_Silleteria!A19))</f>
        <v/>
      </c>
      <c r="U415" s="17" t="str">
        <f>IF(M3_Silleteria!A19="","",IF(M3_Silleteria!Q19="","",M3_Silleteria!Q19))</f>
        <v/>
      </c>
      <c r="V415" s="17" t="str">
        <f>IF(M3_Silleteria!A19="","",IF(M3_Silleteria!D19="","",M3_Silleteria!D19))</f>
        <v/>
      </c>
      <c r="W415" s="17" t="str">
        <f>IF(M3_Silleteria!A19="","",IF(M3_Silleteria!B19="","",M3_Silleteria!B19))</f>
        <v/>
      </c>
      <c r="X415" s="17" t="str">
        <f>IF(M3_Silleteria!A19="","",IF(M3_Silleteria!C19="","",M3_Silleteria!C19))</f>
        <v/>
      </c>
      <c r="Y415" s="17" t="str">
        <f>IF(M3_Silleteria!A19="","",IF(M3_Silleteria!E19="","",M3_Silleteria!E19))</f>
        <v/>
      </c>
      <c r="Z415" s="17" t="str">
        <f>IF(M3_Silleteria!A19="","",IF(M3_Silleteria!F19="","",M3_Silleteria!F19))</f>
        <v/>
      </c>
      <c r="AA415" s="17" t="str">
        <f>IF(M3_Silleteria!A19="","","M3 Silletería")</f>
        <v/>
      </c>
      <c r="AB415" s="17" t="str">
        <f>IF(M3_Silleteria!A19="","",IF(M3_Silleteria!G19="","",M3_Silleteria!G19))</f>
        <v/>
      </c>
      <c r="AC415" s="17" t="str">
        <f>IF(M3_Silleteria!A19="","",IF(M3_Silleteria!L19="","",M3_Silleteria!L19))</f>
        <v/>
      </c>
      <c r="AD415" s="17" t="str">
        <f>IF(M3_Silleteria!A19="","","CD")</f>
        <v/>
      </c>
      <c r="AE415" s="17" t="str">
        <f>IF(M3_Silleteria!A19="","",IF(M3_Silleteria!N19="","",M3_Silleteria!N19))</f>
        <v/>
      </c>
      <c r="AF415" s="17" t="str">
        <f>IF(M3_Silleteria!A19="","",IF(M3_Silleteria!O19="","",M3_Silleteria!O19))</f>
        <v/>
      </c>
      <c r="AG415" s="17" t="str">
        <f>IF(M3_Silleteria!A19="","",IF(M3_Silleteria!P19="","",M3_Silleteria!P19))</f>
        <v/>
      </c>
      <c r="AH415" s="17" t="str">
        <f>IF(M3_Silleteria!A19="","",IF(M3_Silleteria!H19="","",M3_Silleteria!H19))</f>
        <v/>
      </c>
      <c r="AI415" s="17" t="str">
        <f>IF(M3_Silleteria!A19="","","M3_Silleteria!19")</f>
        <v/>
      </c>
      <c r="AJ415" s="17" t="str">
        <f>IF(M3_Silleteria!A19="","",IF(M3_Silleteria!L19="","Pendiente de resultado","Disponible"))</f>
        <v/>
      </c>
    </row>
    <row r="416" spans="1:36" ht="55.5" customHeight="1">
      <c r="A416" s="6" t="str">
        <f t="array" ref="A416">IF(412&gt;$S$1204,"",INDEX($T$5:$AJ$1204,MATCH(412,$S$5:$S$1204,0),1))</f>
        <v/>
      </c>
      <c r="B416" s="8" t="str">
        <f t="array" ref="B416">IF(412&gt;$S$1204,"",INDEX($T$5:$AJ$1204,MATCH(412,$S$5:$S$1204,0),2))</f>
        <v/>
      </c>
      <c r="C416" s="10" t="str">
        <f t="array" ref="C416">IF(412&gt;$S$1204,"",INDEX($T$5:$AJ$1204,MATCH(412,$S$5:$S$1204,0),3))</f>
        <v/>
      </c>
      <c r="D416" s="8" t="str">
        <f t="array" ref="D416">IF(412&gt;$S$1204,"",INDEX($T$5:$AJ$1204,MATCH(412,$S$5:$S$1204,0),4))</f>
        <v/>
      </c>
      <c r="E416" s="8" t="str">
        <f t="array" ref="E416">IF(412&gt;$S$1204,"",INDEX($T$5:$AJ$1204,MATCH(412,$S$5:$S$1204,0),5))</f>
        <v/>
      </c>
      <c r="F416" s="8" t="str">
        <f t="array" ref="F416">IF(412&gt;$S$1204,"",INDEX($T$5:$AJ$1204,MATCH(412,$S$5:$S$1204,0),6))</f>
        <v/>
      </c>
      <c r="G416" s="8" t="str">
        <f t="array" ref="G416">IF(412&gt;$S$1204,"",INDEX($T$5:$AJ$1204,MATCH(412,$S$5:$S$1204,0),7))</f>
        <v/>
      </c>
      <c r="H416" s="8" t="str">
        <f t="array" ref="H416">IF(412&gt;$S$1204,"",INDEX($T$5:$AJ$1204,MATCH(412,$S$5:$S$1204,0),8))</f>
        <v/>
      </c>
      <c r="I416" s="8" t="str">
        <f t="array" ref="I416">IF(412&gt;$S$1204,"",INDEX($T$5:$AJ$1204,MATCH(412,$S$5:$S$1204,0),9))</f>
        <v/>
      </c>
      <c r="J416" s="14" t="str">
        <f t="array" ref="J416">IF(412&gt;$S$1204,"",INDEX($T$5:$AJ$1204,MATCH(412,$S$5:$S$1204,0),10))</f>
        <v/>
      </c>
      <c r="K416" s="8" t="str">
        <f t="array" ref="K416">IF(412&gt;$S$1204,"",INDEX($T$5:$AJ$1204,MATCH(412,$S$5:$S$1204,0),11))</f>
        <v/>
      </c>
      <c r="L416" s="8" t="str">
        <f t="array" ref="L416">IF(412&gt;$S$1204,"",INDEX($T$5:$AJ$1204,MATCH(412,$S$5:$S$1204,0),12))</f>
        <v/>
      </c>
      <c r="M416" s="8" t="str">
        <f t="array" ref="M416">IF(412&gt;$S$1204,"",INDEX($T$5:$AJ$1204,MATCH(412,$S$5:$S$1204,0),13))</f>
        <v/>
      </c>
      <c r="N416" s="8" t="str">
        <f t="array" ref="N416">IF(412&gt;$S$1204,"",INDEX($T$5:$AJ$1204,MATCH(412,$S$5:$S$1204,0),14))</f>
        <v/>
      </c>
      <c r="O416" s="15" t="str">
        <f t="array" ref="O416">IF(412&gt;$S$1204,"",INDEX($T$5:$AJ$1204,MATCH(412,$S$5:$S$1204,0),15))</f>
        <v/>
      </c>
      <c r="P416" s="8" t="str">
        <f t="array" ref="P416">IF(412&gt;$S$1204,"",INDEX($T$5:$AJ$1204,MATCH(412,$S$5:$S$1204,0),16))</f>
        <v/>
      </c>
      <c r="Q416" s="8" t="str">
        <f t="array" ref="Q416">IF(412&gt;$S$1204,"",INDEX($T$5:$AJ$1204,MATCH(412,$S$5:$S$1204,0),17))</f>
        <v/>
      </c>
      <c r="R416" s="17"/>
      <c r="S416" s="17">
        <f>S415+IF(M3_Silleteria!A20="",0,1)</f>
        <v>0</v>
      </c>
      <c r="T416" s="17" t="str">
        <f>IF(M3_Silleteria!A20="","",IF(M3_Silleteria!A20="","",M3_Silleteria!A20))</f>
        <v/>
      </c>
      <c r="U416" s="17" t="str">
        <f>IF(M3_Silleteria!A20="","",IF(M3_Silleteria!Q20="","",M3_Silleteria!Q20))</f>
        <v/>
      </c>
      <c r="V416" s="17" t="str">
        <f>IF(M3_Silleteria!A20="","",IF(M3_Silleteria!D20="","",M3_Silleteria!D20))</f>
        <v/>
      </c>
      <c r="W416" s="17" t="str">
        <f>IF(M3_Silleteria!A20="","",IF(M3_Silleteria!B20="","",M3_Silleteria!B20))</f>
        <v/>
      </c>
      <c r="X416" s="17" t="str">
        <f>IF(M3_Silleteria!A20="","",IF(M3_Silleteria!C20="","",M3_Silleteria!C20))</f>
        <v/>
      </c>
      <c r="Y416" s="17" t="str">
        <f>IF(M3_Silleteria!A20="","",IF(M3_Silleteria!E20="","",M3_Silleteria!E20))</f>
        <v/>
      </c>
      <c r="Z416" s="17" t="str">
        <f>IF(M3_Silleteria!A20="","",IF(M3_Silleteria!F20="","",M3_Silleteria!F20))</f>
        <v/>
      </c>
      <c r="AA416" s="17" t="str">
        <f>IF(M3_Silleteria!A20="","","M3 Silletería")</f>
        <v/>
      </c>
      <c r="AB416" s="17" t="str">
        <f>IF(M3_Silleteria!A20="","",IF(M3_Silleteria!G20="","",M3_Silleteria!G20))</f>
        <v/>
      </c>
      <c r="AC416" s="17" t="str">
        <f>IF(M3_Silleteria!A20="","",IF(M3_Silleteria!L20="","",M3_Silleteria!L20))</f>
        <v/>
      </c>
      <c r="AD416" s="17" t="str">
        <f>IF(M3_Silleteria!A20="","","CD")</f>
        <v/>
      </c>
      <c r="AE416" s="17" t="str">
        <f>IF(M3_Silleteria!A20="","",IF(M3_Silleteria!N20="","",M3_Silleteria!N20))</f>
        <v/>
      </c>
      <c r="AF416" s="17" t="str">
        <f>IF(M3_Silleteria!A20="","",IF(M3_Silleteria!O20="","",M3_Silleteria!O20))</f>
        <v/>
      </c>
      <c r="AG416" s="17" t="str">
        <f>IF(M3_Silleteria!A20="","",IF(M3_Silleteria!P20="","",M3_Silleteria!P20))</f>
        <v/>
      </c>
      <c r="AH416" s="17" t="str">
        <f>IF(M3_Silleteria!A20="","",IF(M3_Silleteria!H20="","",M3_Silleteria!H20))</f>
        <v/>
      </c>
      <c r="AI416" s="17" t="str">
        <f>IF(M3_Silleteria!A20="","","M3_Silleteria!20")</f>
        <v/>
      </c>
      <c r="AJ416" s="17" t="str">
        <f>IF(M3_Silleteria!A20="","",IF(M3_Silleteria!L20="","Pendiente de resultado","Disponible"))</f>
        <v/>
      </c>
    </row>
    <row r="417" spans="1:36" ht="55.5" customHeight="1">
      <c r="A417" s="6" t="str">
        <f t="array" ref="A417">IF(413&gt;$S$1204,"",INDEX($T$5:$AJ$1204,MATCH(413,$S$5:$S$1204,0),1))</f>
        <v/>
      </c>
      <c r="B417" s="8" t="str">
        <f t="array" ref="B417">IF(413&gt;$S$1204,"",INDEX($T$5:$AJ$1204,MATCH(413,$S$5:$S$1204,0),2))</f>
        <v/>
      </c>
      <c r="C417" s="10" t="str">
        <f t="array" ref="C417">IF(413&gt;$S$1204,"",INDEX($T$5:$AJ$1204,MATCH(413,$S$5:$S$1204,0),3))</f>
        <v/>
      </c>
      <c r="D417" s="8" t="str">
        <f t="array" ref="D417">IF(413&gt;$S$1204,"",INDEX($T$5:$AJ$1204,MATCH(413,$S$5:$S$1204,0),4))</f>
        <v/>
      </c>
      <c r="E417" s="8" t="str">
        <f t="array" ref="E417">IF(413&gt;$S$1204,"",INDEX($T$5:$AJ$1204,MATCH(413,$S$5:$S$1204,0),5))</f>
        <v/>
      </c>
      <c r="F417" s="8" t="str">
        <f t="array" ref="F417">IF(413&gt;$S$1204,"",INDEX($T$5:$AJ$1204,MATCH(413,$S$5:$S$1204,0),6))</f>
        <v/>
      </c>
      <c r="G417" s="8" t="str">
        <f t="array" ref="G417">IF(413&gt;$S$1204,"",INDEX($T$5:$AJ$1204,MATCH(413,$S$5:$S$1204,0),7))</f>
        <v/>
      </c>
      <c r="H417" s="8" t="str">
        <f t="array" ref="H417">IF(413&gt;$S$1204,"",INDEX($T$5:$AJ$1204,MATCH(413,$S$5:$S$1204,0),8))</f>
        <v/>
      </c>
      <c r="I417" s="8" t="str">
        <f t="array" ref="I417">IF(413&gt;$S$1204,"",INDEX($T$5:$AJ$1204,MATCH(413,$S$5:$S$1204,0),9))</f>
        <v/>
      </c>
      <c r="J417" s="14" t="str">
        <f t="array" ref="J417">IF(413&gt;$S$1204,"",INDEX($T$5:$AJ$1204,MATCH(413,$S$5:$S$1204,0),10))</f>
        <v/>
      </c>
      <c r="K417" s="8" t="str">
        <f t="array" ref="K417">IF(413&gt;$S$1204,"",INDEX($T$5:$AJ$1204,MATCH(413,$S$5:$S$1204,0),11))</f>
        <v/>
      </c>
      <c r="L417" s="8" t="str">
        <f t="array" ref="L417">IF(413&gt;$S$1204,"",INDEX($T$5:$AJ$1204,MATCH(413,$S$5:$S$1204,0),12))</f>
        <v/>
      </c>
      <c r="M417" s="8" t="str">
        <f t="array" ref="M417">IF(413&gt;$S$1204,"",INDEX($T$5:$AJ$1204,MATCH(413,$S$5:$S$1204,0),13))</f>
        <v/>
      </c>
      <c r="N417" s="8" t="str">
        <f t="array" ref="N417">IF(413&gt;$S$1204,"",INDEX($T$5:$AJ$1204,MATCH(413,$S$5:$S$1204,0),14))</f>
        <v/>
      </c>
      <c r="O417" s="15" t="str">
        <f t="array" ref="O417">IF(413&gt;$S$1204,"",INDEX($T$5:$AJ$1204,MATCH(413,$S$5:$S$1204,0),15))</f>
        <v/>
      </c>
      <c r="P417" s="8" t="str">
        <f t="array" ref="P417">IF(413&gt;$S$1204,"",INDEX($T$5:$AJ$1204,MATCH(413,$S$5:$S$1204,0),16))</f>
        <v/>
      </c>
      <c r="Q417" s="8" t="str">
        <f t="array" ref="Q417">IF(413&gt;$S$1204,"",INDEX($T$5:$AJ$1204,MATCH(413,$S$5:$S$1204,0),17))</f>
        <v/>
      </c>
      <c r="R417" s="17"/>
      <c r="S417" s="17">
        <f>S416+IF(M3_Silleteria!A21="",0,1)</f>
        <v>0</v>
      </c>
      <c r="T417" s="17" t="str">
        <f>IF(M3_Silleteria!A21="","",IF(M3_Silleteria!A21="","",M3_Silleteria!A21))</f>
        <v/>
      </c>
      <c r="U417" s="17" t="str">
        <f>IF(M3_Silleteria!A21="","",IF(M3_Silleteria!Q21="","",M3_Silleteria!Q21))</f>
        <v/>
      </c>
      <c r="V417" s="17" t="str">
        <f>IF(M3_Silleteria!A21="","",IF(M3_Silleteria!D21="","",M3_Silleteria!D21))</f>
        <v/>
      </c>
      <c r="W417" s="17" t="str">
        <f>IF(M3_Silleteria!A21="","",IF(M3_Silleteria!B21="","",M3_Silleteria!B21))</f>
        <v/>
      </c>
      <c r="X417" s="17" t="str">
        <f>IF(M3_Silleteria!A21="","",IF(M3_Silleteria!C21="","",M3_Silleteria!C21))</f>
        <v/>
      </c>
      <c r="Y417" s="17" t="str">
        <f>IF(M3_Silleteria!A21="","",IF(M3_Silleteria!E21="","",M3_Silleteria!E21))</f>
        <v/>
      </c>
      <c r="Z417" s="17" t="str">
        <f>IF(M3_Silleteria!A21="","",IF(M3_Silleteria!F21="","",M3_Silleteria!F21))</f>
        <v/>
      </c>
      <c r="AA417" s="17" t="str">
        <f>IF(M3_Silleteria!A21="","","M3 Silletería")</f>
        <v/>
      </c>
      <c r="AB417" s="17" t="str">
        <f>IF(M3_Silleteria!A21="","",IF(M3_Silleteria!G21="","",M3_Silleteria!G21))</f>
        <v/>
      </c>
      <c r="AC417" s="17" t="str">
        <f>IF(M3_Silleteria!A21="","",IF(M3_Silleteria!L21="","",M3_Silleteria!L21))</f>
        <v/>
      </c>
      <c r="AD417" s="17" t="str">
        <f>IF(M3_Silleteria!A21="","","CD")</f>
        <v/>
      </c>
      <c r="AE417" s="17" t="str">
        <f>IF(M3_Silleteria!A21="","",IF(M3_Silleteria!N21="","",M3_Silleteria!N21))</f>
        <v/>
      </c>
      <c r="AF417" s="17" t="str">
        <f>IF(M3_Silleteria!A21="","",IF(M3_Silleteria!O21="","",M3_Silleteria!O21))</f>
        <v/>
      </c>
      <c r="AG417" s="17" t="str">
        <f>IF(M3_Silleteria!A21="","",IF(M3_Silleteria!P21="","",M3_Silleteria!P21))</f>
        <v/>
      </c>
      <c r="AH417" s="17" t="str">
        <f>IF(M3_Silleteria!A21="","",IF(M3_Silleteria!H21="","",M3_Silleteria!H21))</f>
        <v/>
      </c>
      <c r="AI417" s="17" t="str">
        <f>IF(M3_Silleteria!A21="","","M3_Silleteria!21")</f>
        <v/>
      </c>
      <c r="AJ417" s="17" t="str">
        <f>IF(M3_Silleteria!A21="","",IF(M3_Silleteria!L21="","Pendiente de resultado","Disponible"))</f>
        <v/>
      </c>
    </row>
    <row r="418" spans="1:36" ht="55.5" customHeight="1">
      <c r="A418" s="6" t="str">
        <f t="array" ref="A418">IF(414&gt;$S$1204,"",INDEX($T$5:$AJ$1204,MATCH(414,$S$5:$S$1204,0),1))</f>
        <v/>
      </c>
      <c r="B418" s="8" t="str">
        <f t="array" ref="B418">IF(414&gt;$S$1204,"",INDEX($T$5:$AJ$1204,MATCH(414,$S$5:$S$1204,0),2))</f>
        <v/>
      </c>
      <c r="C418" s="10" t="str">
        <f t="array" ref="C418">IF(414&gt;$S$1204,"",INDEX($T$5:$AJ$1204,MATCH(414,$S$5:$S$1204,0),3))</f>
        <v/>
      </c>
      <c r="D418" s="8" t="str">
        <f t="array" ref="D418">IF(414&gt;$S$1204,"",INDEX($T$5:$AJ$1204,MATCH(414,$S$5:$S$1204,0),4))</f>
        <v/>
      </c>
      <c r="E418" s="8" t="str">
        <f t="array" ref="E418">IF(414&gt;$S$1204,"",INDEX($T$5:$AJ$1204,MATCH(414,$S$5:$S$1204,0),5))</f>
        <v/>
      </c>
      <c r="F418" s="8" t="str">
        <f t="array" ref="F418">IF(414&gt;$S$1204,"",INDEX($T$5:$AJ$1204,MATCH(414,$S$5:$S$1204,0),6))</f>
        <v/>
      </c>
      <c r="G418" s="8" t="str">
        <f t="array" ref="G418">IF(414&gt;$S$1204,"",INDEX($T$5:$AJ$1204,MATCH(414,$S$5:$S$1204,0),7))</f>
        <v/>
      </c>
      <c r="H418" s="8" t="str">
        <f t="array" ref="H418">IF(414&gt;$S$1204,"",INDEX($T$5:$AJ$1204,MATCH(414,$S$5:$S$1204,0),8))</f>
        <v/>
      </c>
      <c r="I418" s="8" t="str">
        <f t="array" ref="I418">IF(414&gt;$S$1204,"",INDEX($T$5:$AJ$1204,MATCH(414,$S$5:$S$1204,0),9))</f>
        <v/>
      </c>
      <c r="J418" s="14" t="str">
        <f t="array" ref="J418">IF(414&gt;$S$1204,"",INDEX($T$5:$AJ$1204,MATCH(414,$S$5:$S$1204,0),10))</f>
        <v/>
      </c>
      <c r="K418" s="8" t="str">
        <f t="array" ref="K418">IF(414&gt;$S$1204,"",INDEX($T$5:$AJ$1204,MATCH(414,$S$5:$S$1204,0),11))</f>
        <v/>
      </c>
      <c r="L418" s="8" t="str">
        <f t="array" ref="L418">IF(414&gt;$S$1204,"",INDEX($T$5:$AJ$1204,MATCH(414,$S$5:$S$1204,0),12))</f>
        <v/>
      </c>
      <c r="M418" s="8" t="str">
        <f t="array" ref="M418">IF(414&gt;$S$1204,"",INDEX($T$5:$AJ$1204,MATCH(414,$S$5:$S$1204,0),13))</f>
        <v/>
      </c>
      <c r="N418" s="8" t="str">
        <f t="array" ref="N418">IF(414&gt;$S$1204,"",INDEX($T$5:$AJ$1204,MATCH(414,$S$5:$S$1204,0),14))</f>
        <v/>
      </c>
      <c r="O418" s="15" t="str">
        <f t="array" ref="O418">IF(414&gt;$S$1204,"",INDEX($T$5:$AJ$1204,MATCH(414,$S$5:$S$1204,0),15))</f>
        <v/>
      </c>
      <c r="P418" s="8" t="str">
        <f t="array" ref="P418">IF(414&gt;$S$1204,"",INDEX($T$5:$AJ$1204,MATCH(414,$S$5:$S$1204,0),16))</f>
        <v/>
      </c>
      <c r="Q418" s="8" t="str">
        <f t="array" ref="Q418">IF(414&gt;$S$1204,"",INDEX($T$5:$AJ$1204,MATCH(414,$S$5:$S$1204,0),17))</f>
        <v/>
      </c>
      <c r="R418" s="17"/>
      <c r="S418" s="17">
        <f>S417+IF(M3_Silleteria!A22="",0,1)</f>
        <v>0</v>
      </c>
      <c r="T418" s="17" t="str">
        <f>IF(M3_Silleteria!A22="","",IF(M3_Silleteria!A22="","",M3_Silleteria!A22))</f>
        <v/>
      </c>
      <c r="U418" s="17" t="str">
        <f>IF(M3_Silleteria!A22="","",IF(M3_Silleteria!Q22="","",M3_Silleteria!Q22))</f>
        <v/>
      </c>
      <c r="V418" s="17" t="str">
        <f>IF(M3_Silleteria!A22="","",IF(M3_Silleteria!D22="","",M3_Silleteria!D22))</f>
        <v/>
      </c>
      <c r="W418" s="17" t="str">
        <f>IF(M3_Silleteria!A22="","",IF(M3_Silleteria!B22="","",M3_Silleteria!B22))</f>
        <v/>
      </c>
      <c r="X418" s="17" t="str">
        <f>IF(M3_Silleteria!A22="","",IF(M3_Silleteria!C22="","",M3_Silleteria!C22))</f>
        <v/>
      </c>
      <c r="Y418" s="17" t="str">
        <f>IF(M3_Silleteria!A22="","",IF(M3_Silleteria!E22="","",M3_Silleteria!E22))</f>
        <v/>
      </c>
      <c r="Z418" s="17" t="str">
        <f>IF(M3_Silleteria!A22="","",IF(M3_Silleteria!F22="","",M3_Silleteria!F22))</f>
        <v/>
      </c>
      <c r="AA418" s="17" t="str">
        <f>IF(M3_Silleteria!A22="","","M3 Silletería")</f>
        <v/>
      </c>
      <c r="AB418" s="17" t="str">
        <f>IF(M3_Silleteria!A22="","",IF(M3_Silleteria!G22="","",M3_Silleteria!G22))</f>
        <v/>
      </c>
      <c r="AC418" s="17" t="str">
        <f>IF(M3_Silleteria!A22="","",IF(M3_Silleteria!L22="","",M3_Silleteria!L22))</f>
        <v/>
      </c>
      <c r="AD418" s="17" t="str">
        <f>IF(M3_Silleteria!A22="","","CD")</f>
        <v/>
      </c>
      <c r="AE418" s="17" t="str">
        <f>IF(M3_Silleteria!A22="","",IF(M3_Silleteria!N22="","",M3_Silleteria!N22))</f>
        <v/>
      </c>
      <c r="AF418" s="17" t="str">
        <f>IF(M3_Silleteria!A22="","",IF(M3_Silleteria!O22="","",M3_Silleteria!O22))</f>
        <v/>
      </c>
      <c r="AG418" s="17" t="str">
        <f>IF(M3_Silleteria!A22="","",IF(M3_Silleteria!P22="","",M3_Silleteria!P22))</f>
        <v/>
      </c>
      <c r="AH418" s="17" t="str">
        <f>IF(M3_Silleteria!A22="","",IF(M3_Silleteria!H22="","",M3_Silleteria!H22))</f>
        <v/>
      </c>
      <c r="AI418" s="17" t="str">
        <f>IF(M3_Silleteria!A22="","","M3_Silleteria!22")</f>
        <v/>
      </c>
      <c r="AJ418" s="17" t="str">
        <f>IF(M3_Silleteria!A22="","",IF(M3_Silleteria!L22="","Pendiente de resultado","Disponible"))</f>
        <v/>
      </c>
    </row>
    <row r="419" spans="1:36" ht="55.5" customHeight="1">
      <c r="A419" s="6" t="str">
        <f t="array" ref="A419">IF(415&gt;$S$1204,"",INDEX($T$5:$AJ$1204,MATCH(415,$S$5:$S$1204,0),1))</f>
        <v/>
      </c>
      <c r="B419" s="8" t="str">
        <f t="array" ref="B419">IF(415&gt;$S$1204,"",INDEX($T$5:$AJ$1204,MATCH(415,$S$5:$S$1204,0),2))</f>
        <v/>
      </c>
      <c r="C419" s="10" t="str">
        <f t="array" ref="C419">IF(415&gt;$S$1204,"",INDEX($T$5:$AJ$1204,MATCH(415,$S$5:$S$1204,0),3))</f>
        <v/>
      </c>
      <c r="D419" s="8" t="str">
        <f t="array" ref="D419">IF(415&gt;$S$1204,"",INDEX($T$5:$AJ$1204,MATCH(415,$S$5:$S$1204,0),4))</f>
        <v/>
      </c>
      <c r="E419" s="8" t="str">
        <f t="array" ref="E419">IF(415&gt;$S$1204,"",INDEX($T$5:$AJ$1204,MATCH(415,$S$5:$S$1204,0),5))</f>
        <v/>
      </c>
      <c r="F419" s="8" t="str">
        <f t="array" ref="F419">IF(415&gt;$S$1204,"",INDEX($T$5:$AJ$1204,MATCH(415,$S$5:$S$1204,0),6))</f>
        <v/>
      </c>
      <c r="G419" s="8" t="str">
        <f t="array" ref="G419">IF(415&gt;$S$1204,"",INDEX($T$5:$AJ$1204,MATCH(415,$S$5:$S$1204,0),7))</f>
        <v/>
      </c>
      <c r="H419" s="8" t="str">
        <f t="array" ref="H419">IF(415&gt;$S$1204,"",INDEX($T$5:$AJ$1204,MATCH(415,$S$5:$S$1204,0),8))</f>
        <v/>
      </c>
      <c r="I419" s="8" t="str">
        <f t="array" ref="I419">IF(415&gt;$S$1204,"",INDEX($T$5:$AJ$1204,MATCH(415,$S$5:$S$1204,0),9))</f>
        <v/>
      </c>
      <c r="J419" s="14" t="str">
        <f t="array" ref="J419">IF(415&gt;$S$1204,"",INDEX($T$5:$AJ$1204,MATCH(415,$S$5:$S$1204,0),10))</f>
        <v/>
      </c>
      <c r="K419" s="8" t="str">
        <f t="array" ref="K419">IF(415&gt;$S$1204,"",INDEX($T$5:$AJ$1204,MATCH(415,$S$5:$S$1204,0),11))</f>
        <v/>
      </c>
      <c r="L419" s="8" t="str">
        <f t="array" ref="L419">IF(415&gt;$S$1204,"",INDEX($T$5:$AJ$1204,MATCH(415,$S$5:$S$1204,0),12))</f>
        <v/>
      </c>
      <c r="M419" s="8" t="str">
        <f t="array" ref="M419">IF(415&gt;$S$1204,"",INDEX($T$5:$AJ$1204,MATCH(415,$S$5:$S$1204,0),13))</f>
        <v/>
      </c>
      <c r="N419" s="8" t="str">
        <f t="array" ref="N419">IF(415&gt;$S$1204,"",INDEX($T$5:$AJ$1204,MATCH(415,$S$5:$S$1204,0),14))</f>
        <v/>
      </c>
      <c r="O419" s="15" t="str">
        <f t="array" ref="O419">IF(415&gt;$S$1204,"",INDEX($T$5:$AJ$1204,MATCH(415,$S$5:$S$1204,0),15))</f>
        <v/>
      </c>
      <c r="P419" s="8" t="str">
        <f t="array" ref="P419">IF(415&gt;$S$1204,"",INDEX($T$5:$AJ$1204,MATCH(415,$S$5:$S$1204,0),16))</f>
        <v/>
      </c>
      <c r="Q419" s="8" t="str">
        <f t="array" ref="Q419">IF(415&gt;$S$1204,"",INDEX($T$5:$AJ$1204,MATCH(415,$S$5:$S$1204,0),17))</f>
        <v/>
      </c>
      <c r="R419" s="17"/>
      <c r="S419" s="17">
        <f>S418+IF(M3_Silleteria!A23="",0,1)</f>
        <v>0</v>
      </c>
      <c r="T419" s="17" t="str">
        <f>IF(M3_Silleteria!A23="","",IF(M3_Silleteria!A23="","",M3_Silleteria!A23))</f>
        <v/>
      </c>
      <c r="U419" s="17" t="str">
        <f>IF(M3_Silleteria!A23="","",IF(M3_Silleteria!Q23="","",M3_Silleteria!Q23))</f>
        <v/>
      </c>
      <c r="V419" s="17" t="str">
        <f>IF(M3_Silleteria!A23="","",IF(M3_Silleteria!D23="","",M3_Silleteria!D23))</f>
        <v/>
      </c>
      <c r="W419" s="17" t="str">
        <f>IF(M3_Silleteria!A23="","",IF(M3_Silleteria!B23="","",M3_Silleteria!B23))</f>
        <v/>
      </c>
      <c r="X419" s="17" t="str">
        <f>IF(M3_Silleteria!A23="","",IF(M3_Silleteria!C23="","",M3_Silleteria!C23))</f>
        <v/>
      </c>
      <c r="Y419" s="17" t="str">
        <f>IF(M3_Silleteria!A23="","",IF(M3_Silleteria!E23="","",M3_Silleteria!E23))</f>
        <v/>
      </c>
      <c r="Z419" s="17" t="str">
        <f>IF(M3_Silleteria!A23="","",IF(M3_Silleteria!F23="","",M3_Silleteria!F23))</f>
        <v/>
      </c>
      <c r="AA419" s="17" t="str">
        <f>IF(M3_Silleteria!A23="","","M3 Silletería")</f>
        <v/>
      </c>
      <c r="AB419" s="17" t="str">
        <f>IF(M3_Silleteria!A23="","",IF(M3_Silleteria!G23="","",M3_Silleteria!G23))</f>
        <v/>
      </c>
      <c r="AC419" s="17" t="str">
        <f>IF(M3_Silleteria!A23="","",IF(M3_Silleteria!L23="","",M3_Silleteria!L23))</f>
        <v/>
      </c>
      <c r="AD419" s="17" t="str">
        <f>IF(M3_Silleteria!A23="","","CD")</f>
        <v/>
      </c>
      <c r="AE419" s="17" t="str">
        <f>IF(M3_Silleteria!A23="","",IF(M3_Silleteria!N23="","",M3_Silleteria!N23))</f>
        <v/>
      </c>
      <c r="AF419" s="17" t="str">
        <f>IF(M3_Silleteria!A23="","",IF(M3_Silleteria!O23="","",M3_Silleteria!O23))</f>
        <v/>
      </c>
      <c r="AG419" s="17" t="str">
        <f>IF(M3_Silleteria!A23="","",IF(M3_Silleteria!P23="","",M3_Silleteria!P23))</f>
        <v/>
      </c>
      <c r="AH419" s="17" t="str">
        <f>IF(M3_Silleteria!A23="","",IF(M3_Silleteria!H23="","",M3_Silleteria!H23))</f>
        <v/>
      </c>
      <c r="AI419" s="17" t="str">
        <f>IF(M3_Silleteria!A23="","","M3_Silleteria!23")</f>
        <v/>
      </c>
      <c r="AJ419" s="17" t="str">
        <f>IF(M3_Silleteria!A23="","",IF(M3_Silleteria!L23="","Pendiente de resultado","Disponible"))</f>
        <v/>
      </c>
    </row>
    <row r="420" spans="1:36" ht="55.5" customHeight="1">
      <c r="A420" s="6" t="str">
        <f t="array" ref="A420">IF(416&gt;$S$1204,"",INDEX($T$5:$AJ$1204,MATCH(416,$S$5:$S$1204,0),1))</f>
        <v/>
      </c>
      <c r="B420" s="8" t="str">
        <f t="array" ref="B420">IF(416&gt;$S$1204,"",INDEX($T$5:$AJ$1204,MATCH(416,$S$5:$S$1204,0),2))</f>
        <v/>
      </c>
      <c r="C420" s="10" t="str">
        <f t="array" ref="C420">IF(416&gt;$S$1204,"",INDEX($T$5:$AJ$1204,MATCH(416,$S$5:$S$1204,0),3))</f>
        <v/>
      </c>
      <c r="D420" s="8" t="str">
        <f t="array" ref="D420">IF(416&gt;$S$1204,"",INDEX($T$5:$AJ$1204,MATCH(416,$S$5:$S$1204,0),4))</f>
        <v/>
      </c>
      <c r="E420" s="8" t="str">
        <f t="array" ref="E420">IF(416&gt;$S$1204,"",INDEX($T$5:$AJ$1204,MATCH(416,$S$5:$S$1204,0),5))</f>
        <v/>
      </c>
      <c r="F420" s="8" t="str">
        <f t="array" ref="F420">IF(416&gt;$S$1204,"",INDEX($T$5:$AJ$1204,MATCH(416,$S$5:$S$1204,0),6))</f>
        <v/>
      </c>
      <c r="G420" s="8" t="str">
        <f t="array" ref="G420">IF(416&gt;$S$1204,"",INDEX($T$5:$AJ$1204,MATCH(416,$S$5:$S$1204,0),7))</f>
        <v/>
      </c>
      <c r="H420" s="8" t="str">
        <f t="array" ref="H420">IF(416&gt;$S$1204,"",INDEX($T$5:$AJ$1204,MATCH(416,$S$5:$S$1204,0),8))</f>
        <v/>
      </c>
      <c r="I420" s="8" t="str">
        <f t="array" ref="I420">IF(416&gt;$S$1204,"",INDEX($T$5:$AJ$1204,MATCH(416,$S$5:$S$1204,0),9))</f>
        <v/>
      </c>
      <c r="J420" s="14" t="str">
        <f t="array" ref="J420">IF(416&gt;$S$1204,"",INDEX($T$5:$AJ$1204,MATCH(416,$S$5:$S$1204,0),10))</f>
        <v/>
      </c>
      <c r="K420" s="8" t="str">
        <f t="array" ref="K420">IF(416&gt;$S$1204,"",INDEX($T$5:$AJ$1204,MATCH(416,$S$5:$S$1204,0),11))</f>
        <v/>
      </c>
      <c r="L420" s="8" t="str">
        <f t="array" ref="L420">IF(416&gt;$S$1204,"",INDEX($T$5:$AJ$1204,MATCH(416,$S$5:$S$1204,0),12))</f>
        <v/>
      </c>
      <c r="M420" s="8" t="str">
        <f t="array" ref="M420">IF(416&gt;$S$1204,"",INDEX($T$5:$AJ$1204,MATCH(416,$S$5:$S$1204,0),13))</f>
        <v/>
      </c>
      <c r="N420" s="8" t="str">
        <f t="array" ref="N420">IF(416&gt;$S$1204,"",INDEX($T$5:$AJ$1204,MATCH(416,$S$5:$S$1204,0),14))</f>
        <v/>
      </c>
      <c r="O420" s="15" t="str">
        <f t="array" ref="O420">IF(416&gt;$S$1204,"",INDEX($T$5:$AJ$1204,MATCH(416,$S$5:$S$1204,0),15))</f>
        <v/>
      </c>
      <c r="P420" s="8" t="str">
        <f t="array" ref="P420">IF(416&gt;$S$1204,"",INDEX($T$5:$AJ$1204,MATCH(416,$S$5:$S$1204,0),16))</f>
        <v/>
      </c>
      <c r="Q420" s="8" t="str">
        <f t="array" ref="Q420">IF(416&gt;$S$1204,"",INDEX($T$5:$AJ$1204,MATCH(416,$S$5:$S$1204,0),17))</f>
        <v/>
      </c>
      <c r="R420" s="17"/>
      <c r="S420" s="17">
        <f>S419+IF(M3_Silleteria!A24="",0,1)</f>
        <v>0</v>
      </c>
      <c r="T420" s="17" t="str">
        <f>IF(M3_Silleteria!A24="","",IF(M3_Silleteria!A24="","",M3_Silleteria!A24))</f>
        <v/>
      </c>
      <c r="U420" s="17" t="str">
        <f>IF(M3_Silleteria!A24="","",IF(M3_Silleteria!Q24="","",M3_Silleteria!Q24))</f>
        <v/>
      </c>
      <c r="V420" s="17" t="str">
        <f>IF(M3_Silleteria!A24="","",IF(M3_Silleteria!D24="","",M3_Silleteria!D24))</f>
        <v/>
      </c>
      <c r="W420" s="17" t="str">
        <f>IF(M3_Silleteria!A24="","",IF(M3_Silleteria!B24="","",M3_Silleteria!B24))</f>
        <v/>
      </c>
      <c r="X420" s="17" t="str">
        <f>IF(M3_Silleteria!A24="","",IF(M3_Silleteria!C24="","",M3_Silleteria!C24))</f>
        <v/>
      </c>
      <c r="Y420" s="17" t="str">
        <f>IF(M3_Silleteria!A24="","",IF(M3_Silleteria!E24="","",M3_Silleteria!E24))</f>
        <v/>
      </c>
      <c r="Z420" s="17" t="str">
        <f>IF(M3_Silleteria!A24="","",IF(M3_Silleteria!F24="","",M3_Silleteria!F24))</f>
        <v/>
      </c>
      <c r="AA420" s="17" t="str">
        <f>IF(M3_Silleteria!A24="","","M3 Silletería")</f>
        <v/>
      </c>
      <c r="AB420" s="17" t="str">
        <f>IF(M3_Silleteria!A24="","",IF(M3_Silleteria!G24="","",M3_Silleteria!G24))</f>
        <v/>
      </c>
      <c r="AC420" s="17" t="str">
        <f>IF(M3_Silleteria!A24="","",IF(M3_Silleteria!L24="","",M3_Silleteria!L24))</f>
        <v/>
      </c>
      <c r="AD420" s="17" t="str">
        <f>IF(M3_Silleteria!A24="","","CD")</f>
        <v/>
      </c>
      <c r="AE420" s="17" t="str">
        <f>IF(M3_Silleteria!A24="","",IF(M3_Silleteria!N24="","",M3_Silleteria!N24))</f>
        <v/>
      </c>
      <c r="AF420" s="17" t="str">
        <f>IF(M3_Silleteria!A24="","",IF(M3_Silleteria!O24="","",M3_Silleteria!O24))</f>
        <v/>
      </c>
      <c r="AG420" s="17" t="str">
        <f>IF(M3_Silleteria!A24="","",IF(M3_Silleteria!P24="","",M3_Silleteria!P24))</f>
        <v/>
      </c>
      <c r="AH420" s="17" t="str">
        <f>IF(M3_Silleteria!A24="","",IF(M3_Silleteria!H24="","",M3_Silleteria!H24))</f>
        <v/>
      </c>
      <c r="AI420" s="17" t="str">
        <f>IF(M3_Silleteria!A24="","","M3_Silleteria!24")</f>
        <v/>
      </c>
      <c r="AJ420" s="17" t="str">
        <f>IF(M3_Silleteria!A24="","",IF(M3_Silleteria!L24="","Pendiente de resultado","Disponible"))</f>
        <v/>
      </c>
    </row>
    <row r="421" spans="1:36" ht="55.5" customHeight="1">
      <c r="A421" s="6" t="str">
        <f t="array" ref="A421">IF(417&gt;$S$1204,"",INDEX($T$5:$AJ$1204,MATCH(417,$S$5:$S$1204,0),1))</f>
        <v/>
      </c>
      <c r="B421" s="8" t="str">
        <f t="array" ref="B421">IF(417&gt;$S$1204,"",INDEX($T$5:$AJ$1204,MATCH(417,$S$5:$S$1204,0),2))</f>
        <v/>
      </c>
      <c r="C421" s="10" t="str">
        <f t="array" ref="C421">IF(417&gt;$S$1204,"",INDEX($T$5:$AJ$1204,MATCH(417,$S$5:$S$1204,0),3))</f>
        <v/>
      </c>
      <c r="D421" s="8" t="str">
        <f t="array" ref="D421">IF(417&gt;$S$1204,"",INDEX($T$5:$AJ$1204,MATCH(417,$S$5:$S$1204,0),4))</f>
        <v/>
      </c>
      <c r="E421" s="8" t="str">
        <f t="array" ref="E421">IF(417&gt;$S$1204,"",INDEX($T$5:$AJ$1204,MATCH(417,$S$5:$S$1204,0),5))</f>
        <v/>
      </c>
      <c r="F421" s="8" t="str">
        <f t="array" ref="F421">IF(417&gt;$S$1204,"",INDEX($T$5:$AJ$1204,MATCH(417,$S$5:$S$1204,0),6))</f>
        <v/>
      </c>
      <c r="G421" s="8" t="str">
        <f t="array" ref="G421">IF(417&gt;$S$1204,"",INDEX($T$5:$AJ$1204,MATCH(417,$S$5:$S$1204,0),7))</f>
        <v/>
      </c>
      <c r="H421" s="8" t="str">
        <f t="array" ref="H421">IF(417&gt;$S$1204,"",INDEX($T$5:$AJ$1204,MATCH(417,$S$5:$S$1204,0),8))</f>
        <v/>
      </c>
      <c r="I421" s="8" t="str">
        <f t="array" ref="I421">IF(417&gt;$S$1204,"",INDEX($T$5:$AJ$1204,MATCH(417,$S$5:$S$1204,0),9))</f>
        <v/>
      </c>
      <c r="J421" s="14" t="str">
        <f t="array" ref="J421">IF(417&gt;$S$1204,"",INDEX($T$5:$AJ$1204,MATCH(417,$S$5:$S$1204,0),10))</f>
        <v/>
      </c>
      <c r="K421" s="8" t="str">
        <f t="array" ref="K421">IF(417&gt;$S$1204,"",INDEX($T$5:$AJ$1204,MATCH(417,$S$5:$S$1204,0),11))</f>
        <v/>
      </c>
      <c r="L421" s="8" t="str">
        <f t="array" ref="L421">IF(417&gt;$S$1204,"",INDEX($T$5:$AJ$1204,MATCH(417,$S$5:$S$1204,0),12))</f>
        <v/>
      </c>
      <c r="M421" s="8" t="str">
        <f t="array" ref="M421">IF(417&gt;$S$1204,"",INDEX($T$5:$AJ$1204,MATCH(417,$S$5:$S$1204,0),13))</f>
        <v/>
      </c>
      <c r="N421" s="8" t="str">
        <f t="array" ref="N421">IF(417&gt;$S$1204,"",INDEX($T$5:$AJ$1204,MATCH(417,$S$5:$S$1204,0),14))</f>
        <v/>
      </c>
      <c r="O421" s="15" t="str">
        <f t="array" ref="O421">IF(417&gt;$S$1204,"",INDEX($T$5:$AJ$1204,MATCH(417,$S$5:$S$1204,0),15))</f>
        <v/>
      </c>
      <c r="P421" s="8" t="str">
        <f t="array" ref="P421">IF(417&gt;$S$1204,"",INDEX($T$5:$AJ$1204,MATCH(417,$S$5:$S$1204,0),16))</f>
        <v/>
      </c>
      <c r="Q421" s="8" t="str">
        <f t="array" ref="Q421">IF(417&gt;$S$1204,"",INDEX($T$5:$AJ$1204,MATCH(417,$S$5:$S$1204,0),17))</f>
        <v/>
      </c>
      <c r="R421" s="17"/>
      <c r="S421" s="17">
        <f>S420+IF(M3_Silleteria!A25="",0,1)</f>
        <v>0</v>
      </c>
      <c r="T421" s="17" t="str">
        <f>IF(M3_Silleteria!A25="","",IF(M3_Silleteria!A25="","",M3_Silleteria!A25))</f>
        <v/>
      </c>
      <c r="U421" s="17" t="str">
        <f>IF(M3_Silleteria!A25="","",IF(M3_Silleteria!Q25="","",M3_Silleteria!Q25))</f>
        <v/>
      </c>
      <c r="V421" s="17" t="str">
        <f>IF(M3_Silleteria!A25="","",IF(M3_Silleteria!D25="","",M3_Silleteria!D25))</f>
        <v/>
      </c>
      <c r="W421" s="17" t="str">
        <f>IF(M3_Silleteria!A25="","",IF(M3_Silleteria!B25="","",M3_Silleteria!B25))</f>
        <v/>
      </c>
      <c r="X421" s="17" t="str">
        <f>IF(M3_Silleteria!A25="","",IF(M3_Silleteria!C25="","",M3_Silleteria!C25))</f>
        <v/>
      </c>
      <c r="Y421" s="17" t="str">
        <f>IF(M3_Silleteria!A25="","",IF(M3_Silleteria!E25="","",M3_Silleteria!E25))</f>
        <v/>
      </c>
      <c r="Z421" s="17" t="str">
        <f>IF(M3_Silleteria!A25="","",IF(M3_Silleteria!F25="","",M3_Silleteria!F25))</f>
        <v/>
      </c>
      <c r="AA421" s="17" t="str">
        <f>IF(M3_Silleteria!A25="","","M3 Silletería")</f>
        <v/>
      </c>
      <c r="AB421" s="17" t="str">
        <f>IF(M3_Silleteria!A25="","",IF(M3_Silleteria!G25="","",M3_Silleteria!G25))</f>
        <v/>
      </c>
      <c r="AC421" s="17" t="str">
        <f>IF(M3_Silleteria!A25="","",IF(M3_Silleteria!L25="","",M3_Silleteria!L25))</f>
        <v/>
      </c>
      <c r="AD421" s="17" t="str">
        <f>IF(M3_Silleteria!A25="","","CD")</f>
        <v/>
      </c>
      <c r="AE421" s="17" t="str">
        <f>IF(M3_Silleteria!A25="","",IF(M3_Silleteria!N25="","",M3_Silleteria!N25))</f>
        <v/>
      </c>
      <c r="AF421" s="17" t="str">
        <f>IF(M3_Silleteria!A25="","",IF(M3_Silleteria!O25="","",M3_Silleteria!O25))</f>
        <v/>
      </c>
      <c r="AG421" s="17" t="str">
        <f>IF(M3_Silleteria!A25="","",IF(M3_Silleteria!P25="","",M3_Silleteria!P25))</f>
        <v/>
      </c>
      <c r="AH421" s="17" t="str">
        <f>IF(M3_Silleteria!A25="","",IF(M3_Silleteria!H25="","",M3_Silleteria!H25))</f>
        <v/>
      </c>
      <c r="AI421" s="17" t="str">
        <f>IF(M3_Silleteria!A25="","","M3_Silleteria!25")</f>
        <v/>
      </c>
      <c r="AJ421" s="17" t="str">
        <f>IF(M3_Silleteria!A25="","",IF(M3_Silleteria!L25="","Pendiente de resultado","Disponible"))</f>
        <v/>
      </c>
    </row>
    <row r="422" spans="1:36" ht="55.5" customHeight="1">
      <c r="A422" s="6" t="str">
        <f t="array" ref="A422">IF(418&gt;$S$1204,"",INDEX($T$5:$AJ$1204,MATCH(418,$S$5:$S$1204,0),1))</f>
        <v/>
      </c>
      <c r="B422" s="8" t="str">
        <f t="array" ref="B422">IF(418&gt;$S$1204,"",INDEX($T$5:$AJ$1204,MATCH(418,$S$5:$S$1204,0),2))</f>
        <v/>
      </c>
      <c r="C422" s="10" t="str">
        <f t="array" ref="C422">IF(418&gt;$S$1204,"",INDEX($T$5:$AJ$1204,MATCH(418,$S$5:$S$1204,0),3))</f>
        <v/>
      </c>
      <c r="D422" s="8" t="str">
        <f t="array" ref="D422">IF(418&gt;$S$1204,"",INDEX($T$5:$AJ$1204,MATCH(418,$S$5:$S$1204,0),4))</f>
        <v/>
      </c>
      <c r="E422" s="8" t="str">
        <f t="array" ref="E422">IF(418&gt;$S$1204,"",INDEX($T$5:$AJ$1204,MATCH(418,$S$5:$S$1204,0),5))</f>
        <v/>
      </c>
      <c r="F422" s="8" t="str">
        <f t="array" ref="F422">IF(418&gt;$S$1204,"",INDEX($T$5:$AJ$1204,MATCH(418,$S$5:$S$1204,0),6))</f>
        <v/>
      </c>
      <c r="G422" s="8" t="str">
        <f t="array" ref="G422">IF(418&gt;$S$1204,"",INDEX($T$5:$AJ$1204,MATCH(418,$S$5:$S$1204,0),7))</f>
        <v/>
      </c>
      <c r="H422" s="8" t="str">
        <f t="array" ref="H422">IF(418&gt;$S$1204,"",INDEX($T$5:$AJ$1204,MATCH(418,$S$5:$S$1204,0),8))</f>
        <v/>
      </c>
      <c r="I422" s="8" t="str">
        <f t="array" ref="I422">IF(418&gt;$S$1204,"",INDEX($T$5:$AJ$1204,MATCH(418,$S$5:$S$1204,0),9))</f>
        <v/>
      </c>
      <c r="J422" s="14" t="str">
        <f t="array" ref="J422">IF(418&gt;$S$1204,"",INDEX($T$5:$AJ$1204,MATCH(418,$S$5:$S$1204,0),10))</f>
        <v/>
      </c>
      <c r="K422" s="8" t="str">
        <f t="array" ref="K422">IF(418&gt;$S$1204,"",INDEX($T$5:$AJ$1204,MATCH(418,$S$5:$S$1204,0),11))</f>
        <v/>
      </c>
      <c r="L422" s="8" t="str">
        <f t="array" ref="L422">IF(418&gt;$S$1204,"",INDEX($T$5:$AJ$1204,MATCH(418,$S$5:$S$1204,0),12))</f>
        <v/>
      </c>
      <c r="M422" s="8" t="str">
        <f t="array" ref="M422">IF(418&gt;$S$1204,"",INDEX($T$5:$AJ$1204,MATCH(418,$S$5:$S$1204,0),13))</f>
        <v/>
      </c>
      <c r="N422" s="8" t="str">
        <f t="array" ref="N422">IF(418&gt;$S$1204,"",INDEX($T$5:$AJ$1204,MATCH(418,$S$5:$S$1204,0),14))</f>
        <v/>
      </c>
      <c r="O422" s="15" t="str">
        <f t="array" ref="O422">IF(418&gt;$S$1204,"",INDEX($T$5:$AJ$1204,MATCH(418,$S$5:$S$1204,0),15))</f>
        <v/>
      </c>
      <c r="P422" s="8" t="str">
        <f t="array" ref="P422">IF(418&gt;$S$1204,"",INDEX($T$5:$AJ$1204,MATCH(418,$S$5:$S$1204,0),16))</f>
        <v/>
      </c>
      <c r="Q422" s="8" t="str">
        <f t="array" ref="Q422">IF(418&gt;$S$1204,"",INDEX($T$5:$AJ$1204,MATCH(418,$S$5:$S$1204,0),17))</f>
        <v/>
      </c>
      <c r="R422" s="17"/>
      <c r="S422" s="17">
        <f>S421+IF(M3_Silleteria!A26="",0,1)</f>
        <v>0</v>
      </c>
      <c r="T422" s="17" t="str">
        <f>IF(M3_Silleteria!A26="","",IF(M3_Silleteria!A26="","",M3_Silleteria!A26))</f>
        <v/>
      </c>
      <c r="U422" s="17" t="str">
        <f>IF(M3_Silleteria!A26="","",IF(M3_Silleteria!Q26="","",M3_Silleteria!Q26))</f>
        <v/>
      </c>
      <c r="V422" s="17" t="str">
        <f>IF(M3_Silleteria!A26="","",IF(M3_Silleteria!D26="","",M3_Silleteria!D26))</f>
        <v/>
      </c>
      <c r="W422" s="17" t="str">
        <f>IF(M3_Silleteria!A26="","",IF(M3_Silleteria!B26="","",M3_Silleteria!B26))</f>
        <v/>
      </c>
      <c r="X422" s="17" t="str">
        <f>IF(M3_Silleteria!A26="","",IF(M3_Silleteria!C26="","",M3_Silleteria!C26))</f>
        <v/>
      </c>
      <c r="Y422" s="17" t="str">
        <f>IF(M3_Silleteria!A26="","",IF(M3_Silleteria!E26="","",M3_Silleteria!E26))</f>
        <v/>
      </c>
      <c r="Z422" s="17" t="str">
        <f>IF(M3_Silleteria!A26="","",IF(M3_Silleteria!F26="","",M3_Silleteria!F26))</f>
        <v/>
      </c>
      <c r="AA422" s="17" t="str">
        <f>IF(M3_Silleteria!A26="","","M3 Silletería")</f>
        <v/>
      </c>
      <c r="AB422" s="17" t="str">
        <f>IF(M3_Silleteria!A26="","",IF(M3_Silleteria!G26="","",M3_Silleteria!G26))</f>
        <v/>
      </c>
      <c r="AC422" s="17" t="str">
        <f>IF(M3_Silleteria!A26="","",IF(M3_Silleteria!L26="","",M3_Silleteria!L26))</f>
        <v/>
      </c>
      <c r="AD422" s="17" t="str">
        <f>IF(M3_Silleteria!A26="","","CD")</f>
        <v/>
      </c>
      <c r="AE422" s="17" t="str">
        <f>IF(M3_Silleteria!A26="","",IF(M3_Silleteria!N26="","",M3_Silleteria!N26))</f>
        <v/>
      </c>
      <c r="AF422" s="17" t="str">
        <f>IF(M3_Silleteria!A26="","",IF(M3_Silleteria!O26="","",M3_Silleteria!O26))</f>
        <v/>
      </c>
      <c r="AG422" s="17" t="str">
        <f>IF(M3_Silleteria!A26="","",IF(M3_Silleteria!P26="","",M3_Silleteria!P26))</f>
        <v/>
      </c>
      <c r="AH422" s="17" t="str">
        <f>IF(M3_Silleteria!A26="","",IF(M3_Silleteria!H26="","",M3_Silleteria!H26))</f>
        <v/>
      </c>
      <c r="AI422" s="17" t="str">
        <f>IF(M3_Silleteria!A26="","","M3_Silleteria!26")</f>
        <v/>
      </c>
      <c r="AJ422" s="17" t="str">
        <f>IF(M3_Silleteria!A26="","",IF(M3_Silleteria!L26="","Pendiente de resultado","Disponible"))</f>
        <v/>
      </c>
    </row>
    <row r="423" spans="1:36" ht="55.5" customHeight="1">
      <c r="A423" s="6" t="str">
        <f t="array" ref="A423">IF(419&gt;$S$1204,"",INDEX($T$5:$AJ$1204,MATCH(419,$S$5:$S$1204,0),1))</f>
        <v/>
      </c>
      <c r="B423" s="8" t="str">
        <f t="array" ref="B423">IF(419&gt;$S$1204,"",INDEX($T$5:$AJ$1204,MATCH(419,$S$5:$S$1204,0),2))</f>
        <v/>
      </c>
      <c r="C423" s="10" t="str">
        <f t="array" ref="C423">IF(419&gt;$S$1204,"",INDEX($T$5:$AJ$1204,MATCH(419,$S$5:$S$1204,0),3))</f>
        <v/>
      </c>
      <c r="D423" s="8" t="str">
        <f t="array" ref="D423">IF(419&gt;$S$1204,"",INDEX($T$5:$AJ$1204,MATCH(419,$S$5:$S$1204,0),4))</f>
        <v/>
      </c>
      <c r="E423" s="8" t="str">
        <f t="array" ref="E423">IF(419&gt;$S$1204,"",INDEX($T$5:$AJ$1204,MATCH(419,$S$5:$S$1204,0),5))</f>
        <v/>
      </c>
      <c r="F423" s="8" t="str">
        <f t="array" ref="F423">IF(419&gt;$S$1204,"",INDEX($T$5:$AJ$1204,MATCH(419,$S$5:$S$1204,0),6))</f>
        <v/>
      </c>
      <c r="G423" s="8" t="str">
        <f t="array" ref="G423">IF(419&gt;$S$1204,"",INDEX($T$5:$AJ$1204,MATCH(419,$S$5:$S$1204,0),7))</f>
        <v/>
      </c>
      <c r="H423" s="8" t="str">
        <f t="array" ref="H423">IF(419&gt;$S$1204,"",INDEX($T$5:$AJ$1204,MATCH(419,$S$5:$S$1204,0),8))</f>
        <v/>
      </c>
      <c r="I423" s="8" t="str">
        <f t="array" ref="I423">IF(419&gt;$S$1204,"",INDEX($T$5:$AJ$1204,MATCH(419,$S$5:$S$1204,0),9))</f>
        <v/>
      </c>
      <c r="J423" s="14" t="str">
        <f t="array" ref="J423">IF(419&gt;$S$1204,"",INDEX($T$5:$AJ$1204,MATCH(419,$S$5:$S$1204,0),10))</f>
        <v/>
      </c>
      <c r="K423" s="8" t="str">
        <f t="array" ref="K423">IF(419&gt;$S$1204,"",INDEX($T$5:$AJ$1204,MATCH(419,$S$5:$S$1204,0),11))</f>
        <v/>
      </c>
      <c r="L423" s="8" t="str">
        <f t="array" ref="L423">IF(419&gt;$S$1204,"",INDEX($T$5:$AJ$1204,MATCH(419,$S$5:$S$1204,0),12))</f>
        <v/>
      </c>
      <c r="M423" s="8" t="str">
        <f t="array" ref="M423">IF(419&gt;$S$1204,"",INDEX($T$5:$AJ$1204,MATCH(419,$S$5:$S$1204,0),13))</f>
        <v/>
      </c>
      <c r="N423" s="8" t="str">
        <f t="array" ref="N423">IF(419&gt;$S$1204,"",INDEX($T$5:$AJ$1204,MATCH(419,$S$5:$S$1204,0),14))</f>
        <v/>
      </c>
      <c r="O423" s="15" t="str">
        <f t="array" ref="O423">IF(419&gt;$S$1204,"",INDEX($T$5:$AJ$1204,MATCH(419,$S$5:$S$1204,0),15))</f>
        <v/>
      </c>
      <c r="P423" s="8" t="str">
        <f t="array" ref="P423">IF(419&gt;$S$1204,"",INDEX($T$5:$AJ$1204,MATCH(419,$S$5:$S$1204,0),16))</f>
        <v/>
      </c>
      <c r="Q423" s="8" t="str">
        <f t="array" ref="Q423">IF(419&gt;$S$1204,"",INDEX($T$5:$AJ$1204,MATCH(419,$S$5:$S$1204,0),17))</f>
        <v/>
      </c>
      <c r="R423" s="17"/>
      <c r="S423" s="17">
        <f>S422+IF(M3_Silleteria!A27="",0,1)</f>
        <v>0</v>
      </c>
      <c r="T423" s="17" t="str">
        <f>IF(M3_Silleteria!A27="","",IF(M3_Silleteria!A27="","",M3_Silleteria!A27))</f>
        <v/>
      </c>
      <c r="U423" s="17" t="str">
        <f>IF(M3_Silleteria!A27="","",IF(M3_Silleteria!Q27="","",M3_Silleteria!Q27))</f>
        <v/>
      </c>
      <c r="V423" s="17" t="str">
        <f>IF(M3_Silleteria!A27="","",IF(M3_Silleteria!D27="","",M3_Silleteria!D27))</f>
        <v/>
      </c>
      <c r="W423" s="17" t="str">
        <f>IF(M3_Silleteria!A27="","",IF(M3_Silleteria!B27="","",M3_Silleteria!B27))</f>
        <v/>
      </c>
      <c r="X423" s="17" t="str">
        <f>IF(M3_Silleteria!A27="","",IF(M3_Silleteria!C27="","",M3_Silleteria!C27))</f>
        <v/>
      </c>
      <c r="Y423" s="17" t="str">
        <f>IF(M3_Silleteria!A27="","",IF(M3_Silleteria!E27="","",M3_Silleteria!E27))</f>
        <v/>
      </c>
      <c r="Z423" s="17" t="str">
        <f>IF(M3_Silleteria!A27="","",IF(M3_Silleteria!F27="","",M3_Silleteria!F27))</f>
        <v/>
      </c>
      <c r="AA423" s="17" t="str">
        <f>IF(M3_Silleteria!A27="","","M3 Silletería")</f>
        <v/>
      </c>
      <c r="AB423" s="17" t="str">
        <f>IF(M3_Silleteria!A27="","",IF(M3_Silleteria!G27="","",M3_Silleteria!G27))</f>
        <v/>
      </c>
      <c r="AC423" s="17" t="str">
        <f>IF(M3_Silleteria!A27="","",IF(M3_Silleteria!L27="","",M3_Silleteria!L27))</f>
        <v/>
      </c>
      <c r="AD423" s="17" t="str">
        <f>IF(M3_Silleteria!A27="","","CD")</f>
        <v/>
      </c>
      <c r="AE423" s="17" t="str">
        <f>IF(M3_Silleteria!A27="","",IF(M3_Silleteria!N27="","",M3_Silleteria!N27))</f>
        <v/>
      </c>
      <c r="AF423" s="17" t="str">
        <f>IF(M3_Silleteria!A27="","",IF(M3_Silleteria!O27="","",M3_Silleteria!O27))</f>
        <v/>
      </c>
      <c r="AG423" s="17" t="str">
        <f>IF(M3_Silleteria!A27="","",IF(M3_Silleteria!P27="","",M3_Silleteria!P27))</f>
        <v/>
      </c>
      <c r="AH423" s="17" t="str">
        <f>IF(M3_Silleteria!A27="","",IF(M3_Silleteria!H27="","",M3_Silleteria!H27))</f>
        <v/>
      </c>
      <c r="AI423" s="17" t="str">
        <f>IF(M3_Silleteria!A27="","","M3_Silleteria!27")</f>
        <v/>
      </c>
      <c r="AJ423" s="17" t="str">
        <f>IF(M3_Silleteria!A27="","",IF(M3_Silleteria!L27="","Pendiente de resultado","Disponible"))</f>
        <v/>
      </c>
    </row>
    <row r="424" spans="1:36" ht="55.5" customHeight="1">
      <c r="A424" s="6" t="str">
        <f t="array" ref="A424">IF(420&gt;$S$1204,"",INDEX($T$5:$AJ$1204,MATCH(420,$S$5:$S$1204,0),1))</f>
        <v/>
      </c>
      <c r="B424" s="8" t="str">
        <f t="array" ref="B424">IF(420&gt;$S$1204,"",INDEX($T$5:$AJ$1204,MATCH(420,$S$5:$S$1204,0),2))</f>
        <v/>
      </c>
      <c r="C424" s="10" t="str">
        <f t="array" ref="C424">IF(420&gt;$S$1204,"",INDEX($T$5:$AJ$1204,MATCH(420,$S$5:$S$1204,0),3))</f>
        <v/>
      </c>
      <c r="D424" s="8" t="str">
        <f t="array" ref="D424">IF(420&gt;$S$1204,"",INDEX($T$5:$AJ$1204,MATCH(420,$S$5:$S$1204,0),4))</f>
        <v/>
      </c>
      <c r="E424" s="8" t="str">
        <f t="array" ref="E424">IF(420&gt;$S$1204,"",INDEX($T$5:$AJ$1204,MATCH(420,$S$5:$S$1204,0),5))</f>
        <v/>
      </c>
      <c r="F424" s="8" t="str">
        <f t="array" ref="F424">IF(420&gt;$S$1204,"",INDEX($T$5:$AJ$1204,MATCH(420,$S$5:$S$1204,0),6))</f>
        <v/>
      </c>
      <c r="G424" s="8" t="str">
        <f t="array" ref="G424">IF(420&gt;$S$1204,"",INDEX($T$5:$AJ$1204,MATCH(420,$S$5:$S$1204,0),7))</f>
        <v/>
      </c>
      <c r="H424" s="8" t="str">
        <f t="array" ref="H424">IF(420&gt;$S$1204,"",INDEX($T$5:$AJ$1204,MATCH(420,$S$5:$S$1204,0),8))</f>
        <v/>
      </c>
      <c r="I424" s="8" t="str">
        <f t="array" ref="I424">IF(420&gt;$S$1204,"",INDEX($T$5:$AJ$1204,MATCH(420,$S$5:$S$1204,0),9))</f>
        <v/>
      </c>
      <c r="J424" s="14" t="str">
        <f t="array" ref="J424">IF(420&gt;$S$1204,"",INDEX($T$5:$AJ$1204,MATCH(420,$S$5:$S$1204,0),10))</f>
        <v/>
      </c>
      <c r="K424" s="8" t="str">
        <f t="array" ref="K424">IF(420&gt;$S$1204,"",INDEX($T$5:$AJ$1204,MATCH(420,$S$5:$S$1204,0),11))</f>
        <v/>
      </c>
      <c r="L424" s="8" t="str">
        <f t="array" ref="L424">IF(420&gt;$S$1204,"",INDEX($T$5:$AJ$1204,MATCH(420,$S$5:$S$1204,0),12))</f>
        <v/>
      </c>
      <c r="M424" s="8" t="str">
        <f t="array" ref="M424">IF(420&gt;$S$1204,"",INDEX($T$5:$AJ$1204,MATCH(420,$S$5:$S$1204,0),13))</f>
        <v/>
      </c>
      <c r="N424" s="8" t="str">
        <f t="array" ref="N424">IF(420&gt;$S$1204,"",INDEX($T$5:$AJ$1204,MATCH(420,$S$5:$S$1204,0),14))</f>
        <v/>
      </c>
      <c r="O424" s="15" t="str">
        <f t="array" ref="O424">IF(420&gt;$S$1204,"",INDEX($T$5:$AJ$1204,MATCH(420,$S$5:$S$1204,0),15))</f>
        <v/>
      </c>
      <c r="P424" s="8" t="str">
        <f t="array" ref="P424">IF(420&gt;$S$1204,"",INDEX($T$5:$AJ$1204,MATCH(420,$S$5:$S$1204,0),16))</f>
        <v/>
      </c>
      <c r="Q424" s="8" t="str">
        <f t="array" ref="Q424">IF(420&gt;$S$1204,"",INDEX($T$5:$AJ$1204,MATCH(420,$S$5:$S$1204,0),17))</f>
        <v/>
      </c>
      <c r="R424" s="17"/>
      <c r="S424" s="17">
        <f>S423+IF(M3_Silleteria!A28="",0,1)</f>
        <v>0</v>
      </c>
      <c r="T424" s="17" t="str">
        <f>IF(M3_Silleteria!A28="","",IF(M3_Silleteria!A28="","",M3_Silleteria!A28))</f>
        <v/>
      </c>
      <c r="U424" s="17" t="str">
        <f>IF(M3_Silleteria!A28="","",IF(M3_Silleteria!Q28="","",M3_Silleteria!Q28))</f>
        <v/>
      </c>
      <c r="V424" s="17" t="str">
        <f>IF(M3_Silleteria!A28="","",IF(M3_Silleteria!D28="","",M3_Silleteria!D28))</f>
        <v/>
      </c>
      <c r="W424" s="17" t="str">
        <f>IF(M3_Silleteria!A28="","",IF(M3_Silleteria!B28="","",M3_Silleteria!B28))</f>
        <v/>
      </c>
      <c r="X424" s="17" t="str">
        <f>IF(M3_Silleteria!A28="","",IF(M3_Silleteria!C28="","",M3_Silleteria!C28))</f>
        <v/>
      </c>
      <c r="Y424" s="17" t="str">
        <f>IF(M3_Silleteria!A28="","",IF(M3_Silleteria!E28="","",M3_Silleteria!E28))</f>
        <v/>
      </c>
      <c r="Z424" s="17" t="str">
        <f>IF(M3_Silleteria!A28="","",IF(M3_Silleteria!F28="","",M3_Silleteria!F28))</f>
        <v/>
      </c>
      <c r="AA424" s="17" t="str">
        <f>IF(M3_Silleteria!A28="","","M3 Silletería")</f>
        <v/>
      </c>
      <c r="AB424" s="17" t="str">
        <f>IF(M3_Silleteria!A28="","",IF(M3_Silleteria!G28="","",M3_Silleteria!G28))</f>
        <v/>
      </c>
      <c r="AC424" s="17" t="str">
        <f>IF(M3_Silleteria!A28="","",IF(M3_Silleteria!L28="","",M3_Silleteria!L28))</f>
        <v/>
      </c>
      <c r="AD424" s="17" t="str">
        <f>IF(M3_Silleteria!A28="","","CD")</f>
        <v/>
      </c>
      <c r="AE424" s="17" t="str">
        <f>IF(M3_Silleteria!A28="","",IF(M3_Silleteria!N28="","",M3_Silleteria!N28))</f>
        <v/>
      </c>
      <c r="AF424" s="17" t="str">
        <f>IF(M3_Silleteria!A28="","",IF(M3_Silleteria!O28="","",M3_Silleteria!O28))</f>
        <v/>
      </c>
      <c r="AG424" s="17" t="str">
        <f>IF(M3_Silleteria!A28="","",IF(M3_Silleteria!P28="","",M3_Silleteria!P28))</f>
        <v/>
      </c>
      <c r="AH424" s="17" t="str">
        <f>IF(M3_Silleteria!A28="","",IF(M3_Silleteria!H28="","",M3_Silleteria!H28))</f>
        <v/>
      </c>
      <c r="AI424" s="17" t="str">
        <f>IF(M3_Silleteria!A28="","","M3_Silleteria!28")</f>
        <v/>
      </c>
      <c r="AJ424" s="17" t="str">
        <f>IF(M3_Silleteria!A28="","",IF(M3_Silleteria!L28="","Pendiente de resultado","Disponible"))</f>
        <v/>
      </c>
    </row>
    <row r="425" spans="1:36" ht="55.5" customHeight="1">
      <c r="A425" s="6" t="str">
        <f t="array" ref="A425">IF(421&gt;$S$1204,"",INDEX($T$5:$AJ$1204,MATCH(421,$S$5:$S$1204,0),1))</f>
        <v/>
      </c>
      <c r="B425" s="8" t="str">
        <f t="array" ref="B425">IF(421&gt;$S$1204,"",INDEX($T$5:$AJ$1204,MATCH(421,$S$5:$S$1204,0),2))</f>
        <v/>
      </c>
      <c r="C425" s="10" t="str">
        <f t="array" ref="C425">IF(421&gt;$S$1204,"",INDEX($T$5:$AJ$1204,MATCH(421,$S$5:$S$1204,0),3))</f>
        <v/>
      </c>
      <c r="D425" s="8" t="str">
        <f t="array" ref="D425">IF(421&gt;$S$1204,"",INDEX($T$5:$AJ$1204,MATCH(421,$S$5:$S$1204,0),4))</f>
        <v/>
      </c>
      <c r="E425" s="8" t="str">
        <f t="array" ref="E425">IF(421&gt;$S$1204,"",INDEX($T$5:$AJ$1204,MATCH(421,$S$5:$S$1204,0),5))</f>
        <v/>
      </c>
      <c r="F425" s="8" t="str">
        <f t="array" ref="F425">IF(421&gt;$S$1204,"",INDEX($T$5:$AJ$1204,MATCH(421,$S$5:$S$1204,0),6))</f>
        <v/>
      </c>
      <c r="G425" s="8" t="str">
        <f t="array" ref="G425">IF(421&gt;$S$1204,"",INDEX($T$5:$AJ$1204,MATCH(421,$S$5:$S$1204,0),7))</f>
        <v/>
      </c>
      <c r="H425" s="8" t="str">
        <f t="array" ref="H425">IF(421&gt;$S$1204,"",INDEX($T$5:$AJ$1204,MATCH(421,$S$5:$S$1204,0),8))</f>
        <v/>
      </c>
      <c r="I425" s="8" t="str">
        <f t="array" ref="I425">IF(421&gt;$S$1204,"",INDEX($T$5:$AJ$1204,MATCH(421,$S$5:$S$1204,0),9))</f>
        <v/>
      </c>
      <c r="J425" s="14" t="str">
        <f t="array" ref="J425">IF(421&gt;$S$1204,"",INDEX($T$5:$AJ$1204,MATCH(421,$S$5:$S$1204,0),10))</f>
        <v/>
      </c>
      <c r="K425" s="8" t="str">
        <f t="array" ref="K425">IF(421&gt;$S$1204,"",INDEX($T$5:$AJ$1204,MATCH(421,$S$5:$S$1204,0),11))</f>
        <v/>
      </c>
      <c r="L425" s="8" t="str">
        <f t="array" ref="L425">IF(421&gt;$S$1204,"",INDEX($T$5:$AJ$1204,MATCH(421,$S$5:$S$1204,0),12))</f>
        <v/>
      </c>
      <c r="M425" s="8" t="str">
        <f t="array" ref="M425">IF(421&gt;$S$1204,"",INDEX($T$5:$AJ$1204,MATCH(421,$S$5:$S$1204,0),13))</f>
        <v/>
      </c>
      <c r="N425" s="8" t="str">
        <f t="array" ref="N425">IF(421&gt;$S$1204,"",INDEX($T$5:$AJ$1204,MATCH(421,$S$5:$S$1204,0),14))</f>
        <v/>
      </c>
      <c r="O425" s="15" t="str">
        <f t="array" ref="O425">IF(421&gt;$S$1204,"",INDEX($T$5:$AJ$1204,MATCH(421,$S$5:$S$1204,0),15))</f>
        <v/>
      </c>
      <c r="P425" s="8" t="str">
        <f t="array" ref="P425">IF(421&gt;$S$1204,"",INDEX($T$5:$AJ$1204,MATCH(421,$S$5:$S$1204,0),16))</f>
        <v/>
      </c>
      <c r="Q425" s="8" t="str">
        <f t="array" ref="Q425">IF(421&gt;$S$1204,"",INDEX($T$5:$AJ$1204,MATCH(421,$S$5:$S$1204,0),17))</f>
        <v/>
      </c>
      <c r="R425" s="17"/>
      <c r="S425" s="17">
        <f>S424+IF(M3_Silleteria!A29="",0,1)</f>
        <v>0</v>
      </c>
      <c r="T425" s="17" t="str">
        <f>IF(M3_Silleteria!A29="","",IF(M3_Silleteria!A29="","",M3_Silleteria!A29))</f>
        <v/>
      </c>
      <c r="U425" s="17" t="str">
        <f>IF(M3_Silleteria!A29="","",IF(M3_Silleteria!Q29="","",M3_Silleteria!Q29))</f>
        <v/>
      </c>
      <c r="V425" s="17" t="str">
        <f>IF(M3_Silleteria!A29="","",IF(M3_Silleteria!D29="","",M3_Silleteria!D29))</f>
        <v/>
      </c>
      <c r="W425" s="17" t="str">
        <f>IF(M3_Silleteria!A29="","",IF(M3_Silleteria!B29="","",M3_Silleteria!B29))</f>
        <v/>
      </c>
      <c r="X425" s="17" t="str">
        <f>IF(M3_Silleteria!A29="","",IF(M3_Silleteria!C29="","",M3_Silleteria!C29))</f>
        <v/>
      </c>
      <c r="Y425" s="17" t="str">
        <f>IF(M3_Silleteria!A29="","",IF(M3_Silleteria!E29="","",M3_Silleteria!E29))</f>
        <v/>
      </c>
      <c r="Z425" s="17" t="str">
        <f>IF(M3_Silleteria!A29="","",IF(M3_Silleteria!F29="","",M3_Silleteria!F29))</f>
        <v/>
      </c>
      <c r="AA425" s="17" t="str">
        <f>IF(M3_Silleteria!A29="","","M3 Silletería")</f>
        <v/>
      </c>
      <c r="AB425" s="17" t="str">
        <f>IF(M3_Silleteria!A29="","",IF(M3_Silleteria!G29="","",M3_Silleteria!G29))</f>
        <v/>
      </c>
      <c r="AC425" s="17" t="str">
        <f>IF(M3_Silleteria!A29="","",IF(M3_Silleteria!L29="","",M3_Silleteria!L29))</f>
        <v/>
      </c>
      <c r="AD425" s="17" t="str">
        <f>IF(M3_Silleteria!A29="","","CD")</f>
        <v/>
      </c>
      <c r="AE425" s="17" t="str">
        <f>IF(M3_Silleteria!A29="","",IF(M3_Silleteria!N29="","",M3_Silleteria!N29))</f>
        <v/>
      </c>
      <c r="AF425" s="17" t="str">
        <f>IF(M3_Silleteria!A29="","",IF(M3_Silleteria!O29="","",M3_Silleteria!O29))</f>
        <v/>
      </c>
      <c r="AG425" s="17" t="str">
        <f>IF(M3_Silleteria!A29="","",IF(M3_Silleteria!P29="","",M3_Silleteria!P29))</f>
        <v/>
      </c>
      <c r="AH425" s="17" t="str">
        <f>IF(M3_Silleteria!A29="","",IF(M3_Silleteria!H29="","",M3_Silleteria!H29))</f>
        <v/>
      </c>
      <c r="AI425" s="17" t="str">
        <f>IF(M3_Silleteria!A29="","","M3_Silleteria!29")</f>
        <v/>
      </c>
      <c r="AJ425" s="17" t="str">
        <f>IF(M3_Silleteria!A29="","",IF(M3_Silleteria!L29="","Pendiente de resultado","Disponible"))</f>
        <v/>
      </c>
    </row>
    <row r="426" spans="1:36" ht="55.5" customHeight="1">
      <c r="A426" s="6" t="str">
        <f t="array" ref="A426">IF(422&gt;$S$1204,"",INDEX($T$5:$AJ$1204,MATCH(422,$S$5:$S$1204,0),1))</f>
        <v/>
      </c>
      <c r="B426" s="8" t="str">
        <f t="array" ref="B426">IF(422&gt;$S$1204,"",INDEX($T$5:$AJ$1204,MATCH(422,$S$5:$S$1204,0),2))</f>
        <v/>
      </c>
      <c r="C426" s="10" t="str">
        <f t="array" ref="C426">IF(422&gt;$S$1204,"",INDEX($T$5:$AJ$1204,MATCH(422,$S$5:$S$1204,0),3))</f>
        <v/>
      </c>
      <c r="D426" s="8" t="str">
        <f t="array" ref="D426">IF(422&gt;$S$1204,"",INDEX($T$5:$AJ$1204,MATCH(422,$S$5:$S$1204,0),4))</f>
        <v/>
      </c>
      <c r="E426" s="8" t="str">
        <f t="array" ref="E426">IF(422&gt;$S$1204,"",INDEX($T$5:$AJ$1204,MATCH(422,$S$5:$S$1204,0),5))</f>
        <v/>
      </c>
      <c r="F426" s="8" t="str">
        <f t="array" ref="F426">IF(422&gt;$S$1204,"",INDEX($T$5:$AJ$1204,MATCH(422,$S$5:$S$1204,0),6))</f>
        <v/>
      </c>
      <c r="G426" s="8" t="str">
        <f t="array" ref="G426">IF(422&gt;$S$1204,"",INDEX($T$5:$AJ$1204,MATCH(422,$S$5:$S$1204,0),7))</f>
        <v/>
      </c>
      <c r="H426" s="8" t="str">
        <f t="array" ref="H426">IF(422&gt;$S$1204,"",INDEX($T$5:$AJ$1204,MATCH(422,$S$5:$S$1204,0),8))</f>
        <v/>
      </c>
      <c r="I426" s="8" t="str">
        <f t="array" ref="I426">IF(422&gt;$S$1204,"",INDEX($T$5:$AJ$1204,MATCH(422,$S$5:$S$1204,0),9))</f>
        <v/>
      </c>
      <c r="J426" s="14" t="str">
        <f t="array" ref="J426">IF(422&gt;$S$1204,"",INDEX($T$5:$AJ$1204,MATCH(422,$S$5:$S$1204,0),10))</f>
        <v/>
      </c>
      <c r="K426" s="8" t="str">
        <f t="array" ref="K426">IF(422&gt;$S$1204,"",INDEX($T$5:$AJ$1204,MATCH(422,$S$5:$S$1204,0),11))</f>
        <v/>
      </c>
      <c r="L426" s="8" t="str">
        <f t="array" ref="L426">IF(422&gt;$S$1204,"",INDEX($T$5:$AJ$1204,MATCH(422,$S$5:$S$1204,0),12))</f>
        <v/>
      </c>
      <c r="M426" s="8" t="str">
        <f t="array" ref="M426">IF(422&gt;$S$1204,"",INDEX($T$5:$AJ$1204,MATCH(422,$S$5:$S$1204,0),13))</f>
        <v/>
      </c>
      <c r="N426" s="8" t="str">
        <f t="array" ref="N426">IF(422&gt;$S$1204,"",INDEX($T$5:$AJ$1204,MATCH(422,$S$5:$S$1204,0),14))</f>
        <v/>
      </c>
      <c r="O426" s="15" t="str">
        <f t="array" ref="O426">IF(422&gt;$S$1204,"",INDEX($T$5:$AJ$1204,MATCH(422,$S$5:$S$1204,0),15))</f>
        <v/>
      </c>
      <c r="P426" s="8" t="str">
        <f t="array" ref="P426">IF(422&gt;$S$1204,"",INDEX($T$5:$AJ$1204,MATCH(422,$S$5:$S$1204,0),16))</f>
        <v/>
      </c>
      <c r="Q426" s="8" t="str">
        <f t="array" ref="Q426">IF(422&gt;$S$1204,"",INDEX($T$5:$AJ$1204,MATCH(422,$S$5:$S$1204,0),17))</f>
        <v/>
      </c>
      <c r="R426" s="17"/>
      <c r="S426" s="17">
        <f>S425+IF(M3_Silleteria!A30="",0,1)</f>
        <v>0</v>
      </c>
      <c r="T426" s="17" t="str">
        <f>IF(M3_Silleteria!A30="","",IF(M3_Silleteria!A30="","",M3_Silleteria!A30))</f>
        <v/>
      </c>
      <c r="U426" s="17" t="str">
        <f>IF(M3_Silleteria!A30="","",IF(M3_Silleteria!Q30="","",M3_Silleteria!Q30))</f>
        <v/>
      </c>
      <c r="V426" s="17" t="str">
        <f>IF(M3_Silleteria!A30="","",IF(M3_Silleteria!D30="","",M3_Silleteria!D30))</f>
        <v/>
      </c>
      <c r="W426" s="17" t="str">
        <f>IF(M3_Silleteria!A30="","",IF(M3_Silleteria!B30="","",M3_Silleteria!B30))</f>
        <v/>
      </c>
      <c r="X426" s="17" t="str">
        <f>IF(M3_Silleteria!A30="","",IF(M3_Silleteria!C30="","",M3_Silleteria!C30))</f>
        <v/>
      </c>
      <c r="Y426" s="17" t="str">
        <f>IF(M3_Silleteria!A30="","",IF(M3_Silleteria!E30="","",M3_Silleteria!E30))</f>
        <v/>
      </c>
      <c r="Z426" s="17" t="str">
        <f>IF(M3_Silleteria!A30="","",IF(M3_Silleteria!F30="","",M3_Silleteria!F30))</f>
        <v/>
      </c>
      <c r="AA426" s="17" t="str">
        <f>IF(M3_Silleteria!A30="","","M3 Silletería")</f>
        <v/>
      </c>
      <c r="AB426" s="17" t="str">
        <f>IF(M3_Silleteria!A30="","",IF(M3_Silleteria!G30="","",M3_Silleteria!G30))</f>
        <v/>
      </c>
      <c r="AC426" s="17" t="str">
        <f>IF(M3_Silleteria!A30="","",IF(M3_Silleteria!L30="","",M3_Silleteria!L30))</f>
        <v/>
      </c>
      <c r="AD426" s="17" t="str">
        <f>IF(M3_Silleteria!A30="","","CD")</f>
        <v/>
      </c>
      <c r="AE426" s="17" t="str">
        <f>IF(M3_Silleteria!A30="","",IF(M3_Silleteria!N30="","",M3_Silleteria!N30))</f>
        <v/>
      </c>
      <c r="AF426" s="17" t="str">
        <f>IF(M3_Silleteria!A30="","",IF(M3_Silleteria!O30="","",M3_Silleteria!O30))</f>
        <v/>
      </c>
      <c r="AG426" s="17" t="str">
        <f>IF(M3_Silleteria!A30="","",IF(M3_Silleteria!P30="","",M3_Silleteria!P30))</f>
        <v/>
      </c>
      <c r="AH426" s="17" t="str">
        <f>IF(M3_Silleteria!A30="","",IF(M3_Silleteria!H30="","",M3_Silleteria!H30))</f>
        <v/>
      </c>
      <c r="AI426" s="17" t="str">
        <f>IF(M3_Silleteria!A30="","","M3_Silleteria!30")</f>
        <v/>
      </c>
      <c r="AJ426" s="17" t="str">
        <f>IF(M3_Silleteria!A30="","",IF(M3_Silleteria!L30="","Pendiente de resultado","Disponible"))</f>
        <v/>
      </c>
    </row>
    <row r="427" spans="1:36" ht="55.5" customHeight="1">
      <c r="A427" s="6" t="str">
        <f t="array" ref="A427">IF(423&gt;$S$1204,"",INDEX($T$5:$AJ$1204,MATCH(423,$S$5:$S$1204,0),1))</f>
        <v/>
      </c>
      <c r="B427" s="8" t="str">
        <f t="array" ref="B427">IF(423&gt;$S$1204,"",INDEX($T$5:$AJ$1204,MATCH(423,$S$5:$S$1204,0),2))</f>
        <v/>
      </c>
      <c r="C427" s="10" t="str">
        <f t="array" ref="C427">IF(423&gt;$S$1204,"",INDEX($T$5:$AJ$1204,MATCH(423,$S$5:$S$1204,0),3))</f>
        <v/>
      </c>
      <c r="D427" s="8" t="str">
        <f t="array" ref="D427">IF(423&gt;$S$1204,"",INDEX($T$5:$AJ$1204,MATCH(423,$S$5:$S$1204,0),4))</f>
        <v/>
      </c>
      <c r="E427" s="8" t="str">
        <f t="array" ref="E427">IF(423&gt;$S$1204,"",INDEX($T$5:$AJ$1204,MATCH(423,$S$5:$S$1204,0),5))</f>
        <v/>
      </c>
      <c r="F427" s="8" t="str">
        <f t="array" ref="F427">IF(423&gt;$S$1204,"",INDEX($T$5:$AJ$1204,MATCH(423,$S$5:$S$1204,0),6))</f>
        <v/>
      </c>
      <c r="G427" s="8" t="str">
        <f t="array" ref="G427">IF(423&gt;$S$1204,"",INDEX($T$5:$AJ$1204,MATCH(423,$S$5:$S$1204,0),7))</f>
        <v/>
      </c>
      <c r="H427" s="8" t="str">
        <f t="array" ref="H427">IF(423&gt;$S$1204,"",INDEX($T$5:$AJ$1204,MATCH(423,$S$5:$S$1204,0),8))</f>
        <v/>
      </c>
      <c r="I427" s="8" t="str">
        <f t="array" ref="I427">IF(423&gt;$S$1204,"",INDEX($T$5:$AJ$1204,MATCH(423,$S$5:$S$1204,0),9))</f>
        <v/>
      </c>
      <c r="J427" s="14" t="str">
        <f t="array" ref="J427">IF(423&gt;$S$1204,"",INDEX($T$5:$AJ$1204,MATCH(423,$S$5:$S$1204,0),10))</f>
        <v/>
      </c>
      <c r="K427" s="8" t="str">
        <f t="array" ref="K427">IF(423&gt;$S$1204,"",INDEX($T$5:$AJ$1204,MATCH(423,$S$5:$S$1204,0),11))</f>
        <v/>
      </c>
      <c r="L427" s="8" t="str">
        <f t="array" ref="L427">IF(423&gt;$S$1204,"",INDEX($T$5:$AJ$1204,MATCH(423,$S$5:$S$1204,0),12))</f>
        <v/>
      </c>
      <c r="M427" s="8" t="str">
        <f t="array" ref="M427">IF(423&gt;$S$1204,"",INDEX($T$5:$AJ$1204,MATCH(423,$S$5:$S$1204,0),13))</f>
        <v/>
      </c>
      <c r="N427" s="8" t="str">
        <f t="array" ref="N427">IF(423&gt;$S$1204,"",INDEX($T$5:$AJ$1204,MATCH(423,$S$5:$S$1204,0),14))</f>
        <v/>
      </c>
      <c r="O427" s="15" t="str">
        <f t="array" ref="O427">IF(423&gt;$S$1204,"",INDEX($T$5:$AJ$1204,MATCH(423,$S$5:$S$1204,0),15))</f>
        <v/>
      </c>
      <c r="P427" s="8" t="str">
        <f t="array" ref="P427">IF(423&gt;$S$1204,"",INDEX($T$5:$AJ$1204,MATCH(423,$S$5:$S$1204,0),16))</f>
        <v/>
      </c>
      <c r="Q427" s="8" t="str">
        <f t="array" ref="Q427">IF(423&gt;$S$1204,"",INDEX($T$5:$AJ$1204,MATCH(423,$S$5:$S$1204,0),17))</f>
        <v/>
      </c>
      <c r="R427" s="17"/>
      <c r="S427" s="17">
        <f>S426+IF(M3_Silleteria!A31="",0,1)</f>
        <v>0</v>
      </c>
      <c r="T427" s="17" t="str">
        <f>IF(M3_Silleteria!A31="","",IF(M3_Silleteria!A31="","",M3_Silleteria!A31))</f>
        <v/>
      </c>
      <c r="U427" s="17" t="str">
        <f>IF(M3_Silleteria!A31="","",IF(M3_Silleteria!Q31="","",M3_Silleteria!Q31))</f>
        <v/>
      </c>
      <c r="V427" s="17" t="str">
        <f>IF(M3_Silleteria!A31="","",IF(M3_Silleteria!D31="","",M3_Silleteria!D31))</f>
        <v/>
      </c>
      <c r="W427" s="17" t="str">
        <f>IF(M3_Silleteria!A31="","",IF(M3_Silleteria!B31="","",M3_Silleteria!B31))</f>
        <v/>
      </c>
      <c r="X427" s="17" t="str">
        <f>IF(M3_Silleteria!A31="","",IF(M3_Silleteria!C31="","",M3_Silleteria!C31))</f>
        <v/>
      </c>
      <c r="Y427" s="17" t="str">
        <f>IF(M3_Silleteria!A31="","",IF(M3_Silleteria!E31="","",M3_Silleteria!E31))</f>
        <v/>
      </c>
      <c r="Z427" s="17" t="str">
        <f>IF(M3_Silleteria!A31="","",IF(M3_Silleteria!F31="","",M3_Silleteria!F31))</f>
        <v/>
      </c>
      <c r="AA427" s="17" t="str">
        <f>IF(M3_Silleteria!A31="","","M3 Silletería")</f>
        <v/>
      </c>
      <c r="AB427" s="17" t="str">
        <f>IF(M3_Silleteria!A31="","",IF(M3_Silleteria!G31="","",M3_Silleteria!G31))</f>
        <v/>
      </c>
      <c r="AC427" s="17" t="str">
        <f>IF(M3_Silleteria!A31="","",IF(M3_Silleteria!L31="","",M3_Silleteria!L31))</f>
        <v/>
      </c>
      <c r="AD427" s="17" t="str">
        <f>IF(M3_Silleteria!A31="","","CD")</f>
        <v/>
      </c>
      <c r="AE427" s="17" t="str">
        <f>IF(M3_Silleteria!A31="","",IF(M3_Silleteria!N31="","",M3_Silleteria!N31))</f>
        <v/>
      </c>
      <c r="AF427" s="17" t="str">
        <f>IF(M3_Silleteria!A31="","",IF(M3_Silleteria!O31="","",M3_Silleteria!O31))</f>
        <v/>
      </c>
      <c r="AG427" s="17" t="str">
        <f>IF(M3_Silleteria!A31="","",IF(M3_Silleteria!P31="","",M3_Silleteria!P31))</f>
        <v/>
      </c>
      <c r="AH427" s="17" t="str">
        <f>IF(M3_Silleteria!A31="","",IF(M3_Silleteria!H31="","",M3_Silleteria!H31))</f>
        <v/>
      </c>
      <c r="AI427" s="17" t="str">
        <f>IF(M3_Silleteria!A31="","","M3_Silleteria!31")</f>
        <v/>
      </c>
      <c r="AJ427" s="17" t="str">
        <f>IF(M3_Silleteria!A31="","",IF(M3_Silleteria!L31="","Pendiente de resultado","Disponible"))</f>
        <v/>
      </c>
    </row>
    <row r="428" spans="1:36" ht="55.5" customHeight="1">
      <c r="A428" s="6" t="str">
        <f t="array" ref="A428">IF(424&gt;$S$1204,"",INDEX($T$5:$AJ$1204,MATCH(424,$S$5:$S$1204,0),1))</f>
        <v/>
      </c>
      <c r="B428" s="8" t="str">
        <f t="array" ref="B428">IF(424&gt;$S$1204,"",INDEX($T$5:$AJ$1204,MATCH(424,$S$5:$S$1204,0),2))</f>
        <v/>
      </c>
      <c r="C428" s="10" t="str">
        <f t="array" ref="C428">IF(424&gt;$S$1204,"",INDEX($T$5:$AJ$1204,MATCH(424,$S$5:$S$1204,0),3))</f>
        <v/>
      </c>
      <c r="D428" s="8" t="str">
        <f t="array" ref="D428">IF(424&gt;$S$1204,"",INDEX($T$5:$AJ$1204,MATCH(424,$S$5:$S$1204,0),4))</f>
        <v/>
      </c>
      <c r="E428" s="8" t="str">
        <f t="array" ref="E428">IF(424&gt;$S$1204,"",INDEX($T$5:$AJ$1204,MATCH(424,$S$5:$S$1204,0),5))</f>
        <v/>
      </c>
      <c r="F428" s="8" t="str">
        <f t="array" ref="F428">IF(424&gt;$S$1204,"",INDEX($T$5:$AJ$1204,MATCH(424,$S$5:$S$1204,0),6))</f>
        <v/>
      </c>
      <c r="G428" s="8" t="str">
        <f t="array" ref="G428">IF(424&gt;$S$1204,"",INDEX($T$5:$AJ$1204,MATCH(424,$S$5:$S$1204,0),7))</f>
        <v/>
      </c>
      <c r="H428" s="8" t="str">
        <f t="array" ref="H428">IF(424&gt;$S$1204,"",INDEX($T$5:$AJ$1204,MATCH(424,$S$5:$S$1204,0),8))</f>
        <v/>
      </c>
      <c r="I428" s="8" t="str">
        <f t="array" ref="I428">IF(424&gt;$S$1204,"",INDEX($T$5:$AJ$1204,MATCH(424,$S$5:$S$1204,0),9))</f>
        <v/>
      </c>
      <c r="J428" s="14" t="str">
        <f t="array" ref="J428">IF(424&gt;$S$1204,"",INDEX($T$5:$AJ$1204,MATCH(424,$S$5:$S$1204,0),10))</f>
        <v/>
      </c>
      <c r="K428" s="8" t="str">
        <f t="array" ref="K428">IF(424&gt;$S$1204,"",INDEX($T$5:$AJ$1204,MATCH(424,$S$5:$S$1204,0),11))</f>
        <v/>
      </c>
      <c r="L428" s="8" t="str">
        <f t="array" ref="L428">IF(424&gt;$S$1204,"",INDEX($T$5:$AJ$1204,MATCH(424,$S$5:$S$1204,0),12))</f>
        <v/>
      </c>
      <c r="M428" s="8" t="str">
        <f t="array" ref="M428">IF(424&gt;$S$1204,"",INDEX($T$5:$AJ$1204,MATCH(424,$S$5:$S$1204,0),13))</f>
        <v/>
      </c>
      <c r="N428" s="8" t="str">
        <f t="array" ref="N428">IF(424&gt;$S$1204,"",INDEX($T$5:$AJ$1204,MATCH(424,$S$5:$S$1204,0),14))</f>
        <v/>
      </c>
      <c r="O428" s="15" t="str">
        <f t="array" ref="O428">IF(424&gt;$S$1204,"",INDEX($T$5:$AJ$1204,MATCH(424,$S$5:$S$1204,0),15))</f>
        <v/>
      </c>
      <c r="P428" s="8" t="str">
        <f t="array" ref="P428">IF(424&gt;$S$1204,"",INDEX($T$5:$AJ$1204,MATCH(424,$S$5:$S$1204,0),16))</f>
        <v/>
      </c>
      <c r="Q428" s="8" t="str">
        <f t="array" ref="Q428">IF(424&gt;$S$1204,"",INDEX($T$5:$AJ$1204,MATCH(424,$S$5:$S$1204,0),17))</f>
        <v/>
      </c>
      <c r="R428" s="17"/>
      <c r="S428" s="17">
        <f>S427+IF(M3_Silleteria!A32="",0,1)</f>
        <v>0</v>
      </c>
      <c r="T428" s="17" t="str">
        <f>IF(M3_Silleteria!A32="","",IF(M3_Silleteria!A32="","",M3_Silleteria!A32))</f>
        <v/>
      </c>
      <c r="U428" s="17" t="str">
        <f>IF(M3_Silleteria!A32="","",IF(M3_Silleteria!Q32="","",M3_Silleteria!Q32))</f>
        <v/>
      </c>
      <c r="V428" s="17" t="str">
        <f>IF(M3_Silleteria!A32="","",IF(M3_Silleteria!D32="","",M3_Silleteria!D32))</f>
        <v/>
      </c>
      <c r="W428" s="17" t="str">
        <f>IF(M3_Silleteria!A32="","",IF(M3_Silleteria!B32="","",M3_Silleteria!B32))</f>
        <v/>
      </c>
      <c r="X428" s="17" t="str">
        <f>IF(M3_Silleteria!A32="","",IF(M3_Silleteria!C32="","",M3_Silleteria!C32))</f>
        <v/>
      </c>
      <c r="Y428" s="17" t="str">
        <f>IF(M3_Silleteria!A32="","",IF(M3_Silleteria!E32="","",M3_Silleteria!E32))</f>
        <v/>
      </c>
      <c r="Z428" s="17" t="str">
        <f>IF(M3_Silleteria!A32="","",IF(M3_Silleteria!F32="","",M3_Silleteria!F32))</f>
        <v/>
      </c>
      <c r="AA428" s="17" t="str">
        <f>IF(M3_Silleteria!A32="","","M3 Silletería")</f>
        <v/>
      </c>
      <c r="AB428" s="17" t="str">
        <f>IF(M3_Silleteria!A32="","",IF(M3_Silleteria!G32="","",M3_Silleteria!G32))</f>
        <v/>
      </c>
      <c r="AC428" s="17" t="str">
        <f>IF(M3_Silleteria!A32="","",IF(M3_Silleteria!L32="","",M3_Silleteria!L32))</f>
        <v/>
      </c>
      <c r="AD428" s="17" t="str">
        <f>IF(M3_Silleteria!A32="","","CD")</f>
        <v/>
      </c>
      <c r="AE428" s="17" t="str">
        <f>IF(M3_Silleteria!A32="","",IF(M3_Silleteria!N32="","",M3_Silleteria!N32))</f>
        <v/>
      </c>
      <c r="AF428" s="17" t="str">
        <f>IF(M3_Silleteria!A32="","",IF(M3_Silleteria!O32="","",M3_Silleteria!O32))</f>
        <v/>
      </c>
      <c r="AG428" s="17" t="str">
        <f>IF(M3_Silleteria!A32="","",IF(M3_Silleteria!P32="","",M3_Silleteria!P32))</f>
        <v/>
      </c>
      <c r="AH428" s="17" t="str">
        <f>IF(M3_Silleteria!A32="","",IF(M3_Silleteria!H32="","",M3_Silleteria!H32))</f>
        <v/>
      </c>
      <c r="AI428" s="17" t="str">
        <f>IF(M3_Silleteria!A32="","","M3_Silleteria!32")</f>
        <v/>
      </c>
      <c r="AJ428" s="17" t="str">
        <f>IF(M3_Silleteria!A32="","",IF(M3_Silleteria!L32="","Pendiente de resultado","Disponible"))</f>
        <v/>
      </c>
    </row>
    <row r="429" spans="1:36" ht="55.5" customHeight="1">
      <c r="A429" s="6" t="str">
        <f t="array" ref="A429">IF(425&gt;$S$1204,"",INDEX($T$5:$AJ$1204,MATCH(425,$S$5:$S$1204,0),1))</f>
        <v/>
      </c>
      <c r="B429" s="8" t="str">
        <f t="array" ref="B429">IF(425&gt;$S$1204,"",INDEX($T$5:$AJ$1204,MATCH(425,$S$5:$S$1204,0),2))</f>
        <v/>
      </c>
      <c r="C429" s="10" t="str">
        <f t="array" ref="C429">IF(425&gt;$S$1204,"",INDEX($T$5:$AJ$1204,MATCH(425,$S$5:$S$1204,0),3))</f>
        <v/>
      </c>
      <c r="D429" s="8" t="str">
        <f t="array" ref="D429">IF(425&gt;$S$1204,"",INDEX($T$5:$AJ$1204,MATCH(425,$S$5:$S$1204,0),4))</f>
        <v/>
      </c>
      <c r="E429" s="8" t="str">
        <f t="array" ref="E429">IF(425&gt;$S$1204,"",INDEX($T$5:$AJ$1204,MATCH(425,$S$5:$S$1204,0),5))</f>
        <v/>
      </c>
      <c r="F429" s="8" t="str">
        <f t="array" ref="F429">IF(425&gt;$S$1204,"",INDEX($T$5:$AJ$1204,MATCH(425,$S$5:$S$1204,0),6))</f>
        <v/>
      </c>
      <c r="G429" s="8" t="str">
        <f t="array" ref="G429">IF(425&gt;$S$1204,"",INDEX($T$5:$AJ$1204,MATCH(425,$S$5:$S$1204,0),7))</f>
        <v/>
      </c>
      <c r="H429" s="8" t="str">
        <f t="array" ref="H429">IF(425&gt;$S$1204,"",INDEX($T$5:$AJ$1204,MATCH(425,$S$5:$S$1204,0),8))</f>
        <v/>
      </c>
      <c r="I429" s="8" t="str">
        <f t="array" ref="I429">IF(425&gt;$S$1204,"",INDEX($T$5:$AJ$1204,MATCH(425,$S$5:$S$1204,0),9))</f>
        <v/>
      </c>
      <c r="J429" s="14" t="str">
        <f t="array" ref="J429">IF(425&gt;$S$1204,"",INDEX($T$5:$AJ$1204,MATCH(425,$S$5:$S$1204,0),10))</f>
        <v/>
      </c>
      <c r="K429" s="8" t="str">
        <f t="array" ref="K429">IF(425&gt;$S$1204,"",INDEX($T$5:$AJ$1204,MATCH(425,$S$5:$S$1204,0),11))</f>
        <v/>
      </c>
      <c r="L429" s="8" t="str">
        <f t="array" ref="L429">IF(425&gt;$S$1204,"",INDEX($T$5:$AJ$1204,MATCH(425,$S$5:$S$1204,0),12))</f>
        <v/>
      </c>
      <c r="M429" s="8" t="str">
        <f t="array" ref="M429">IF(425&gt;$S$1204,"",INDEX($T$5:$AJ$1204,MATCH(425,$S$5:$S$1204,0),13))</f>
        <v/>
      </c>
      <c r="N429" s="8" t="str">
        <f t="array" ref="N429">IF(425&gt;$S$1204,"",INDEX($T$5:$AJ$1204,MATCH(425,$S$5:$S$1204,0),14))</f>
        <v/>
      </c>
      <c r="O429" s="15" t="str">
        <f t="array" ref="O429">IF(425&gt;$S$1204,"",INDEX($T$5:$AJ$1204,MATCH(425,$S$5:$S$1204,0),15))</f>
        <v/>
      </c>
      <c r="P429" s="8" t="str">
        <f t="array" ref="P429">IF(425&gt;$S$1204,"",INDEX($T$5:$AJ$1204,MATCH(425,$S$5:$S$1204,0),16))</f>
        <v/>
      </c>
      <c r="Q429" s="8" t="str">
        <f t="array" ref="Q429">IF(425&gt;$S$1204,"",INDEX($T$5:$AJ$1204,MATCH(425,$S$5:$S$1204,0),17))</f>
        <v/>
      </c>
      <c r="R429" s="17"/>
      <c r="S429" s="17">
        <f>S428+IF(M3_Silleteria!A33="",0,1)</f>
        <v>0</v>
      </c>
      <c r="T429" s="17" t="str">
        <f>IF(M3_Silleteria!A33="","",IF(M3_Silleteria!A33="","",M3_Silleteria!A33))</f>
        <v/>
      </c>
      <c r="U429" s="17" t="str">
        <f>IF(M3_Silleteria!A33="","",IF(M3_Silleteria!Q33="","",M3_Silleteria!Q33))</f>
        <v/>
      </c>
      <c r="V429" s="17" t="str">
        <f>IF(M3_Silleteria!A33="","",IF(M3_Silleteria!D33="","",M3_Silleteria!D33))</f>
        <v/>
      </c>
      <c r="W429" s="17" t="str">
        <f>IF(M3_Silleteria!A33="","",IF(M3_Silleteria!B33="","",M3_Silleteria!B33))</f>
        <v/>
      </c>
      <c r="X429" s="17" t="str">
        <f>IF(M3_Silleteria!A33="","",IF(M3_Silleteria!C33="","",M3_Silleteria!C33))</f>
        <v/>
      </c>
      <c r="Y429" s="17" t="str">
        <f>IF(M3_Silleteria!A33="","",IF(M3_Silleteria!E33="","",M3_Silleteria!E33))</f>
        <v/>
      </c>
      <c r="Z429" s="17" t="str">
        <f>IF(M3_Silleteria!A33="","",IF(M3_Silleteria!F33="","",M3_Silleteria!F33))</f>
        <v/>
      </c>
      <c r="AA429" s="17" t="str">
        <f>IF(M3_Silleteria!A33="","","M3 Silletería")</f>
        <v/>
      </c>
      <c r="AB429" s="17" t="str">
        <f>IF(M3_Silleteria!A33="","",IF(M3_Silleteria!G33="","",M3_Silleteria!G33))</f>
        <v/>
      </c>
      <c r="AC429" s="17" t="str">
        <f>IF(M3_Silleteria!A33="","",IF(M3_Silleteria!L33="","",M3_Silleteria!L33))</f>
        <v/>
      </c>
      <c r="AD429" s="17" t="str">
        <f>IF(M3_Silleteria!A33="","","CD")</f>
        <v/>
      </c>
      <c r="AE429" s="17" t="str">
        <f>IF(M3_Silleteria!A33="","",IF(M3_Silleteria!N33="","",M3_Silleteria!N33))</f>
        <v/>
      </c>
      <c r="AF429" s="17" t="str">
        <f>IF(M3_Silleteria!A33="","",IF(M3_Silleteria!O33="","",M3_Silleteria!O33))</f>
        <v/>
      </c>
      <c r="AG429" s="17" t="str">
        <f>IF(M3_Silleteria!A33="","",IF(M3_Silleteria!P33="","",M3_Silleteria!P33))</f>
        <v/>
      </c>
      <c r="AH429" s="17" t="str">
        <f>IF(M3_Silleteria!A33="","",IF(M3_Silleteria!H33="","",M3_Silleteria!H33))</f>
        <v/>
      </c>
      <c r="AI429" s="17" t="str">
        <f>IF(M3_Silleteria!A33="","","M3_Silleteria!33")</f>
        <v/>
      </c>
      <c r="AJ429" s="17" t="str">
        <f>IF(M3_Silleteria!A33="","",IF(M3_Silleteria!L33="","Pendiente de resultado","Disponible"))</f>
        <v/>
      </c>
    </row>
    <row r="430" spans="1:36" ht="55.5" customHeight="1">
      <c r="A430" s="6" t="str">
        <f t="array" ref="A430">IF(426&gt;$S$1204,"",INDEX($T$5:$AJ$1204,MATCH(426,$S$5:$S$1204,0),1))</f>
        <v/>
      </c>
      <c r="B430" s="8" t="str">
        <f t="array" ref="B430">IF(426&gt;$S$1204,"",INDEX($T$5:$AJ$1204,MATCH(426,$S$5:$S$1204,0),2))</f>
        <v/>
      </c>
      <c r="C430" s="10" t="str">
        <f t="array" ref="C430">IF(426&gt;$S$1204,"",INDEX($T$5:$AJ$1204,MATCH(426,$S$5:$S$1204,0),3))</f>
        <v/>
      </c>
      <c r="D430" s="8" t="str">
        <f t="array" ref="D430">IF(426&gt;$S$1204,"",INDEX($T$5:$AJ$1204,MATCH(426,$S$5:$S$1204,0),4))</f>
        <v/>
      </c>
      <c r="E430" s="8" t="str">
        <f t="array" ref="E430">IF(426&gt;$S$1204,"",INDEX($T$5:$AJ$1204,MATCH(426,$S$5:$S$1204,0),5))</f>
        <v/>
      </c>
      <c r="F430" s="8" t="str">
        <f t="array" ref="F430">IF(426&gt;$S$1204,"",INDEX($T$5:$AJ$1204,MATCH(426,$S$5:$S$1204,0),6))</f>
        <v/>
      </c>
      <c r="G430" s="8" t="str">
        <f t="array" ref="G430">IF(426&gt;$S$1204,"",INDEX($T$5:$AJ$1204,MATCH(426,$S$5:$S$1204,0),7))</f>
        <v/>
      </c>
      <c r="H430" s="8" t="str">
        <f t="array" ref="H430">IF(426&gt;$S$1204,"",INDEX($T$5:$AJ$1204,MATCH(426,$S$5:$S$1204,0),8))</f>
        <v/>
      </c>
      <c r="I430" s="8" t="str">
        <f t="array" ref="I430">IF(426&gt;$S$1204,"",INDEX($T$5:$AJ$1204,MATCH(426,$S$5:$S$1204,0),9))</f>
        <v/>
      </c>
      <c r="J430" s="14" t="str">
        <f t="array" ref="J430">IF(426&gt;$S$1204,"",INDEX($T$5:$AJ$1204,MATCH(426,$S$5:$S$1204,0),10))</f>
        <v/>
      </c>
      <c r="K430" s="8" t="str">
        <f t="array" ref="K430">IF(426&gt;$S$1204,"",INDEX($T$5:$AJ$1204,MATCH(426,$S$5:$S$1204,0),11))</f>
        <v/>
      </c>
      <c r="L430" s="8" t="str">
        <f t="array" ref="L430">IF(426&gt;$S$1204,"",INDEX($T$5:$AJ$1204,MATCH(426,$S$5:$S$1204,0),12))</f>
        <v/>
      </c>
      <c r="M430" s="8" t="str">
        <f t="array" ref="M430">IF(426&gt;$S$1204,"",INDEX($T$5:$AJ$1204,MATCH(426,$S$5:$S$1204,0),13))</f>
        <v/>
      </c>
      <c r="N430" s="8" t="str">
        <f t="array" ref="N430">IF(426&gt;$S$1204,"",INDEX($T$5:$AJ$1204,MATCH(426,$S$5:$S$1204,0),14))</f>
        <v/>
      </c>
      <c r="O430" s="15" t="str">
        <f t="array" ref="O430">IF(426&gt;$S$1204,"",INDEX($T$5:$AJ$1204,MATCH(426,$S$5:$S$1204,0),15))</f>
        <v/>
      </c>
      <c r="P430" s="8" t="str">
        <f t="array" ref="P430">IF(426&gt;$S$1204,"",INDEX($T$5:$AJ$1204,MATCH(426,$S$5:$S$1204,0),16))</f>
        <v/>
      </c>
      <c r="Q430" s="8" t="str">
        <f t="array" ref="Q430">IF(426&gt;$S$1204,"",INDEX($T$5:$AJ$1204,MATCH(426,$S$5:$S$1204,0),17))</f>
        <v/>
      </c>
      <c r="R430" s="17"/>
      <c r="S430" s="17">
        <f>S429+IF(M3_Silleteria!A34="",0,1)</f>
        <v>0</v>
      </c>
      <c r="T430" s="17" t="str">
        <f>IF(M3_Silleteria!A34="","",IF(M3_Silleteria!A34="","",M3_Silleteria!A34))</f>
        <v/>
      </c>
      <c r="U430" s="17" t="str">
        <f>IF(M3_Silleteria!A34="","",IF(M3_Silleteria!Q34="","",M3_Silleteria!Q34))</f>
        <v/>
      </c>
      <c r="V430" s="17" t="str">
        <f>IF(M3_Silleteria!A34="","",IF(M3_Silleteria!D34="","",M3_Silleteria!D34))</f>
        <v/>
      </c>
      <c r="W430" s="17" t="str">
        <f>IF(M3_Silleteria!A34="","",IF(M3_Silleteria!B34="","",M3_Silleteria!B34))</f>
        <v/>
      </c>
      <c r="X430" s="17" t="str">
        <f>IF(M3_Silleteria!A34="","",IF(M3_Silleteria!C34="","",M3_Silleteria!C34))</f>
        <v/>
      </c>
      <c r="Y430" s="17" t="str">
        <f>IF(M3_Silleteria!A34="","",IF(M3_Silleteria!E34="","",M3_Silleteria!E34))</f>
        <v/>
      </c>
      <c r="Z430" s="17" t="str">
        <f>IF(M3_Silleteria!A34="","",IF(M3_Silleteria!F34="","",M3_Silleteria!F34))</f>
        <v/>
      </c>
      <c r="AA430" s="17" t="str">
        <f>IF(M3_Silleteria!A34="","","M3 Silletería")</f>
        <v/>
      </c>
      <c r="AB430" s="17" t="str">
        <f>IF(M3_Silleteria!A34="","",IF(M3_Silleteria!G34="","",M3_Silleteria!G34))</f>
        <v/>
      </c>
      <c r="AC430" s="17" t="str">
        <f>IF(M3_Silleteria!A34="","",IF(M3_Silleteria!L34="","",M3_Silleteria!L34))</f>
        <v/>
      </c>
      <c r="AD430" s="17" t="str">
        <f>IF(M3_Silleteria!A34="","","CD")</f>
        <v/>
      </c>
      <c r="AE430" s="17" t="str">
        <f>IF(M3_Silleteria!A34="","",IF(M3_Silleteria!N34="","",M3_Silleteria!N34))</f>
        <v/>
      </c>
      <c r="AF430" s="17" t="str">
        <f>IF(M3_Silleteria!A34="","",IF(M3_Silleteria!O34="","",M3_Silleteria!O34))</f>
        <v/>
      </c>
      <c r="AG430" s="17" t="str">
        <f>IF(M3_Silleteria!A34="","",IF(M3_Silleteria!P34="","",M3_Silleteria!P34))</f>
        <v/>
      </c>
      <c r="AH430" s="17" t="str">
        <f>IF(M3_Silleteria!A34="","",IF(M3_Silleteria!H34="","",M3_Silleteria!H34))</f>
        <v/>
      </c>
      <c r="AI430" s="17" t="str">
        <f>IF(M3_Silleteria!A34="","","M3_Silleteria!34")</f>
        <v/>
      </c>
      <c r="AJ430" s="17" t="str">
        <f>IF(M3_Silleteria!A34="","",IF(M3_Silleteria!L34="","Pendiente de resultado","Disponible"))</f>
        <v/>
      </c>
    </row>
    <row r="431" spans="1:36" ht="55.5" customHeight="1">
      <c r="A431" s="6" t="str">
        <f t="array" ref="A431">IF(427&gt;$S$1204,"",INDEX($T$5:$AJ$1204,MATCH(427,$S$5:$S$1204,0),1))</f>
        <v/>
      </c>
      <c r="B431" s="8" t="str">
        <f t="array" ref="B431">IF(427&gt;$S$1204,"",INDEX($T$5:$AJ$1204,MATCH(427,$S$5:$S$1204,0),2))</f>
        <v/>
      </c>
      <c r="C431" s="10" t="str">
        <f t="array" ref="C431">IF(427&gt;$S$1204,"",INDEX($T$5:$AJ$1204,MATCH(427,$S$5:$S$1204,0),3))</f>
        <v/>
      </c>
      <c r="D431" s="8" t="str">
        <f t="array" ref="D431">IF(427&gt;$S$1204,"",INDEX($T$5:$AJ$1204,MATCH(427,$S$5:$S$1204,0),4))</f>
        <v/>
      </c>
      <c r="E431" s="8" t="str">
        <f t="array" ref="E431">IF(427&gt;$S$1204,"",INDEX($T$5:$AJ$1204,MATCH(427,$S$5:$S$1204,0),5))</f>
        <v/>
      </c>
      <c r="F431" s="8" t="str">
        <f t="array" ref="F431">IF(427&gt;$S$1204,"",INDEX($T$5:$AJ$1204,MATCH(427,$S$5:$S$1204,0),6))</f>
        <v/>
      </c>
      <c r="G431" s="8" t="str">
        <f t="array" ref="G431">IF(427&gt;$S$1204,"",INDEX($T$5:$AJ$1204,MATCH(427,$S$5:$S$1204,0),7))</f>
        <v/>
      </c>
      <c r="H431" s="8" t="str">
        <f t="array" ref="H431">IF(427&gt;$S$1204,"",INDEX($T$5:$AJ$1204,MATCH(427,$S$5:$S$1204,0),8))</f>
        <v/>
      </c>
      <c r="I431" s="8" t="str">
        <f t="array" ref="I431">IF(427&gt;$S$1204,"",INDEX($T$5:$AJ$1204,MATCH(427,$S$5:$S$1204,0),9))</f>
        <v/>
      </c>
      <c r="J431" s="14" t="str">
        <f t="array" ref="J431">IF(427&gt;$S$1204,"",INDEX($T$5:$AJ$1204,MATCH(427,$S$5:$S$1204,0),10))</f>
        <v/>
      </c>
      <c r="K431" s="8" t="str">
        <f t="array" ref="K431">IF(427&gt;$S$1204,"",INDEX($T$5:$AJ$1204,MATCH(427,$S$5:$S$1204,0),11))</f>
        <v/>
      </c>
      <c r="L431" s="8" t="str">
        <f t="array" ref="L431">IF(427&gt;$S$1204,"",INDEX($T$5:$AJ$1204,MATCH(427,$S$5:$S$1204,0),12))</f>
        <v/>
      </c>
      <c r="M431" s="8" t="str">
        <f t="array" ref="M431">IF(427&gt;$S$1204,"",INDEX($T$5:$AJ$1204,MATCH(427,$S$5:$S$1204,0),13))</f>
        <v/>
      </c>
      <c r="N431" s="8" t="str">
        <f t="array" ref="N431">IF(427&gt;$S$1204,"",INDEX($T$5:$AJ$1204,MATCH(427,$S$5:$S$1204,0),14))</f>
        <v/>
      </c>
      <c r="O431" s="15" t="str">
        <f t="array" ref="O431">IF(427&gt;$S$1204,"",INDEX($T$5:$AJ$1204,MATCH(427,$S$5:$S$1204,0),15))</f>
        <v/>
      </c>
      <c r="P431" s="8" t="str">
        <f t="array" ref="P431">IF(427&gt;$S$1204,"",INDEX($T$5:$AJ$1204,MATCH(427,$S$5:$S$1204,0),16))</f>
        <v/>
      </c>
      <c r="Q431" s="8" t="str">
        <f t="array" ref="Q431">IF(427&gt;$S$1204,"",INDEX($T$5:$AJ$1204,MATCH(427,$S$5:$S$1204,0),17))</f>
        <v/>
      </c>
      <c r="R431" s="17"/>
      <c r="S431" s="17">
        <f>S430+IF(M3_Silleteria!A35="",0,1)</f>
        <v>0</v>
      </c>
      <c r="T431" s="17" t="str">
        <f>IF(M3_Silleteria!A35="","",IF(M3_Silleteria!A35="","",M3_Silleteria!A35))</f>
        <v/>
      </c>
      <c r="U431" s="17" t="str">
        <f>IF(M3_Silleteria!A35="","",IF(M3_Silleteria!Q35="","",M3_Silleteria!Q35))</f>
        <v/>
      </c>
      <c r="V431" s="17" t="str">
        <f>IF(M3_Silleteria!A35="","",IF(M3_Silleteria!D35="","",M3_Silleteria!D35))</f>
        <v/>
      </c>
      <c r="W431" s="17" t="str">
        <f>IF(M3_Silleteria!A35="","",IF(M3_Silleteria!B35="","",M3_Silleteria!B35))</f>
        <v/>
      </c>
      <c r="X431" s="17" t="str">
        <f>IF(M3_Silleteria!A35="","",IF(M3_Silleteria!C35="","",M3_Silleteria!C35))</f>
        <v/>
      </c>
      <c r="Y431" s="17" t="str">
        <f>IF(M3_Silleteria!A35="","",IF(M3_Silleteria!E35="","",M3_Silleteria!E35))</f>
        <v/>
      </c>
      <c r="Z431" s="17" t="str">
        <f>IF(M3_Silleteria!A35="","",IF(M3_Silleteria!F35="","",M3_Silleteria!F35))</f>
        <v/>
      </c>
      <c r="AA431" s="17" t="str">
        <f>IF(M3_Silleteria!A35="","","M3 Silletería")</f>
        <v/>
      </c>
      <c r="AB431" s="17" t="str">
        <f>IF(M3_Silleteria!A35="","",IF(M3_Silleteria!G35="","",M3_Silleteria!G35))</f>
        <v/>
      </c>
      <c r="AC431" s="17" t="str">
        <f>IF(M3_Silleteria!A35="","",IF(M3_Silleteria!L35="","",M3_Silleteria!L35))</f>
        <v/>
      </c>
      <c r="AD431" s="17" t="str">
        <f>IF(M3_Silleteria!A35="","","CD")</f>
        <v/>
      </c>
      <c r="AE431" s="17" t="str">
        <f>IF(M3_Silleteria!A35="","",IF(M3_Silleteria!N35="","",M3_Silleteria!N35))</f>
        <v/>
      </c>
      <c r="AF431" s="17" t="str">
        <f>IF(M3_Silleteria!A35="","",IF(M3_Silleteria!O35="","",M3_Silleteria!O35))</f>
        <v/>
      </c>
      <c r="AG431" s="17" t="str">
        <f>IF(M3_Silleteria!A35="","",IF(M3_Silleteria!P35="","",M3_Silleteria!P35))</f>
        <v/>
      </c>
      <c r="AH431" s="17" t="str">
        <f>IF(M3_Silleteria!A35="","",IF(M3_Silleteria!H35="","",M3_Silleteria!H35))</f>
        <v/>
      </c>
      <c r="AI431" s="17" t="str">
        <f>IF(M3_Silleteria!A35="","","M3_Silleteria!35")</f>
        <v/>
      </c>
      <c r="AJ431" s="17" t="str">
        <f>IF(M3_Silleteria!A35="","",IF(M3_Silleteria!L35="","Pendiente de resultado","Disponible"))</f>
        <v/>
      </c>
    </row>
    <row r="432" spans="1:36" ht="55.5" customHeight="1">
      <c r="A432" s="6" t="str">
        <f t="array" ref="A432">IF(428&gt;$S$1204,"",INDEX($T$5:$AJ$1204,MATCH(428,$S$5:$S$1204,0),1))</f>
        <v/>
      </c>
      <c r="B432" s="8" t="str">
        <f t="array" ref="B432">IF(428&gt;$S$1204,"",INDEX($T$5:$AJ$1204,MATCH(428,$S$5:$S$1204,0),2))</f>
        <v/>
      </c>
      <c r="C432" s="10" t="str">
        <f t="array" ref="C432">IF(428&gt;$S$1204,"",INDEX($T$5:$AJ$1204,MATCH(428,$S$5:$S$1204,0),3))</f>
        <v/>
      </c>
      <c r="D432" s="8" t="str">
        <f t="array" ref="D432">IF(428&gt;$S$1204,"",INDEX($T$5:$AJ$1204,MATCH(428,$S$5:$S$1204,0),4))</f>
        <v/>
      </c>
      <c r="E432" s="8" t="str">
        <f t="array" ref="E432">IF(428&gt;$S$1204,"",INDEX($T$5:$AJ$1204,MATCH(428,$S$5:$S$1204,0),5))</f>
        <v/>
      </c>
      <c r="F432" s="8" t="str">
        <f t="array" ref="F432">IF(428&gt;$S$1204,"",INDEX($T$5:$AJ$1204,MATCH(428,$S$5:$S$1204,0),6))</f>
        <v/>
      </c>
      <c r="G432" s="8" t="str">
        <f t="array" ref="G432">IF(428&gt;$S$1204,"",INDEX($T$5:$AJ$1204,MATCH(428,$S$5:$S$1204,0),7))</f>
        <v/>
      </c>
      <c r="H432" s="8" t="str">
        <f t="array" ref="H432">IF(428&gt;$S$1204,"",INDEX($T$5:$AJ$1204,MATCH(428,$S$5:$S$1204,0),8))</f>
        <v/>
      </c>
      <c r="I432" s="8" t="str">
        <f t="array" ref="I432">IF(428&gt;$S$1204,"",INDEX($T$5:$AJ$1204,MATCH(428,$S$5:$S$1204,0),9))</f>
        <v/>
      </c>
      <c r="J432" s="14" t="str">
        <f t="array" ref="J432">IF(428&gt;$S$1204,"",INDEX($T$5:$AJ$1204,MATCH(428,$S$5:$S$1204,0),10))</f>
        <v/>
      </c>
      <c r="K432" s="8" t="str">
        <f t="array" ref="K432">IF(428&gt;$S$1204,"",INDEX($T$5:$AJ$1204,MATCH(428,$S$5:$S$1204,0),11))</f>
        <v/>
      </c>
      <c r="L432" s="8" t="str">
        <f t="array" ref="L432">IF(428&gt;$S$1204,"",INDEX($T$5:$AJ$1204,MATCH(428,$S$5:$S$1204,0),12))</f>
        <v/>
      </c>
      <c r="M432" s="8" t="str">
        <f t="array" ref="M432">IF(428&gt;$S$1204,"",INDEX($T$5:$AJ$1204,MATCH(428,$S$5:$S$1204,0),13))</f>
        <v/>
      </c>
      <c r="N432" s="8" t="str">
        <f t="array" ref="N432">IF(428&gt;$S$1204,"",INDEX($T$5:$AJ$1204,MATCH(428,$S$5:$S$1204,0),14))</f>
        <v/>
      </c>
      <c r="O432" s="15" t="str">
        <f t="array" ref="O432">IF(428&gt;$S$1204,"",INDEX($T$5:$AJ$1204,MATCH(428,$S$5:$S$1204,0),15))</f>
        <v/>
      </c>
      <c r="P432" s="8" t="str">
        <f t="array" ref="P432">IF(428&gt;$S$1204,"",INDEX($T$5:$AJ$1204,MATCH(428,$S$5:$S$1204,0),16))</f>
        <v/>
      </c>
      <c r="Q432" s="8" t="str">
        <f t="array" ref="Q432">IF(428&gt;$S$1204,"",INDEX($T$5:$AJ$1204,MATCH(428,$S$5:$S$1204,0),17))</f>
        <v/>
      </c>
      <c r="R432" s="17"/>
      <c r="S432" s="17">
        <f>S431+IF(M3_Silleteria!A36="",0,1)</f>
        <v>0</v>
      </c>
      <c r="T432" s="17" t="str">
        <f>IF(M3_Silleteria!A36="","",IF(M3_Silleteria!A36="","",M3_Silleteria!A36))</f>
        <v/>
      </c>
      <c r="U432" s="17" t="str">
        <f>IF(M3_Silleteria!A36="","",IF(M3_Silleteria!Q36="","",M3_Silleteria!Q36))</f>
        <v/>
      </c>
      <c r="V432" s="17" t="str">
        <f>IF(M3_Silleteria!A36="","",IF(M3_Silleteria!D36="","",M3_Silleteria!D36))</f>
        <v/>
      </c>
      <c r="W432" s="17" t="str">
        <f>IF(M3_Silleteria!A36="","",IF(M3_Silleteria!B36="","",M3_Silleteria!B36))</f>
        <v/>
      </c>
      <c r="X432" s="17" t="str">
        <f>IF(M3_Silleteria!A36="","",IF(M3_Silleteria!C36="","",M3_Silleteria!C36))</f>
        <v/>
      </c>
      <c r="Y432" s="17" t="str">
        <f>IF(M3_Silleteria!A36="","",IF(M3_Silleteria!E36="","",M3_Silleteria!E36))</f>
        <v/>
      </c>
      <c r="Z432" s="17" t="str">
        <f>IF(M3_Silleteria!A36="","",IF(M3_Silleteria!F36="","",M3_Silleteria!F36))</f>
        <v/>
      </c>
      <c r="AA432" s="17" t="str">
        <f>IF(M3_Silleteria!A36="","","M3 Silletería")</f>
        <v/>
      </c>
      <c r="AB432" s="17" t="str">
        <f>IF(M3_Silleteria!A36="","",IF(M3_Silleteria!G36="","",M3_Silleteria!G36))</f>
        <v/>
      </c>
      <c r="AC432" s="17" t="str">
        <f>IF(M3_Silleteria!A36="","",IF(M3_Silleteria!L36="","",M3_Silleteria!L36))</f>
        <v/>
      </c>
      <c r="AD432" s="17" t="str">
        <f>IF(M3_Silleteria!A36="","","CD")</f>
        <v/>
      </c>
      <c r="AE432" s="17" t="str">
        <f>IF(M3_Silleteria!A36="","",IF(M3_Silleteria!N36="","",M3_Silleteria!N36))</f>
        <v/>
      </c>
      <c r="AF432" s="17" t="str">
        <f>IF(M3_Silleteria!A36="","",IF(M3_Silleteria!O36="","",M3_Silleteria!O36))</f>
        <v/>
      </c>
      <c r="AG432" s="17" t="str">
        <f>IF(M3_Silleteria!A36="","",IF(M3_Silleteria!P36="","",M3_Silleteria!P36))</f>
        <v/>
      </c>
      <c r="AH432" s="17" t="str">
        <f>IF(M3_Silleteria!A36="","",IF(M3_Silleteria!H36="","",M3_Silleteria!H36))</f>
        <v/>
      </c>
      <c r="AI432" s="17" t="str">
        <f>IF(M3_Silleteria!A36="","","M3_Silleteria!36")</f>
        <v/>
      </c>
      <c r="AJ432" s="17" t="str">
        <f>IF(M3_Silleteria!A36="","",IF(M3_Silleteria!L36="","Pendiente de resultado","Disponible"))</f>
        <v/>
      </c>
    </row>
    <row r="433" spans="1:36" ht="55.5" customHeight="1">
      <c r="A433" s="6" t="str">
        <f t="array" ref="A433">IF(429&gt;$S$1204,"",INDEX($T$5:$AJ$1204,MATCH(429,$S$5:$S$1204,0),1))</f>
        <v/>
      </c>
      <c r="B433" s="8" t="str">
        <f t="array" ref="B433">IF(429&gt;$S$1204,"",INDEX($T$5:$AJ$1204,MATCH(429,$S$5:$S$1204,0),2))</f>
        <v/>
      </c>
      <c r="C433" s="10" t="str">
        <f t="array" ref="C433">IF(429&gt;$S$1204,"",INDEX($T$5:$AJ$1204,MATCH(429,$S$5:$S$1204,0),3))</f>
        <v/>
      </c>
      <c r="D433" s="8" t="str">
        <f t="array" ref="D433">IF(429&gt;$S$1204,"",INDEX($T$5:$AJ$1204,MATCH(429,$S$5:$S$1204,0),4))</f>
        <v/>
      </c>
      <c r="E433" s="8" t="str">
        <f t="array" ref="E433">IF(429&gt;$S$1204,"",INDEX($T$5:$AJ$1204,MATCH(429,$S$5:$S$1204,0),5))</f>
        <v/>
      </c>
      <c r="F433" s="8" t="str">
        <f t="array" ref="F433">IF(429&gt;$S$1204,"",INDEX($T$5:$AJ$1204,MATCH(429,$S$5:$S$1204,0),6))</f>
        <v/>
      </c>
      <c r="G433" s="8" t="str">
        <f t="array" ref="G433">IF(429&gt;$S$1204,"",INDEX($T$5:$AJ$1204,MATCH(429,$S$5:$S$1204,0),7))</f>
        <v/>
      </c>
      <c r="H433" s="8" t="str">
        <f t="array" ref="H433">IF(429&gt;$S$1204,"",INDEX($T$5:$AJ$1204,MATCH(429,$S$5:$S$1204,0),8))</f>
        <v/>
      </c>
      <c r="I433" s="8" t="str">
        <f t="array" ref="I433">IF(429&gt;$S$1204,"",INDEX($T$5:$AJ$1204,MATCH(429,$S$5:$S$1204,0),9))</f>
        <v/>
      </c>
      <c r="J433" s="14" t="str">
        <f t="array" ref="J433">IF(429&gt;$S$1204,"",INDEX($T$5:$AJ$1204,MATCH(429,$S$5:$S$1204,0),10))</f>
        <v/>
      </c>
      <c r="K433" s="8" t="str">
        <f t="array" ref="K433">IF(429&gt;$S$1204,"",INDEX($T$5:$AJ$1204,MATCH(429,$S$5:$S$1204,0),11))</f>
        <v/>
      </c>
      <c r="L433" s="8" t="str">
        <f t="array" ref="L433">IF(429&gt;$S$1204,"",INDEX($T$5:$AJ$1204,MATCH(429,$S$5:$S$1204,0),12))</f>
        <v/>
      </c>
      <c r="M433" s="8" t="str">
        <f t="array" ref="M433">IF(429&gt;$S$1204,"",INDEX($T$5:$AJ$1204,MATCH(429,$S$5:$S$1204,0),13))</f>
        <v/>
      </c>
      <c r="N433" s="8" t="str">
        <f t="array" ref="N433">IF(429&gt;$S$1204,"",INDEX($T$5:$AJ$1204,MATCH(429,$S$5:$S$1204,0),14))</f>
        <v/>
      </c>
      <c r="O433" s="15" t="str">
        <f t="array" ref="O433">IF(429&gt;$S$1204,"",INDEX($T$5:$AJ$1204,MATCH(429,$S$5:$S$1204,0),15))</f>
        <v/>
      </c>
      <c r="P433" s="8" t="str">
        <f t="array" ref="P433">IF(429&gt;$S$1204,"",INDEX($T$5:$AJ$1204,MATCH(429,$S$5:$S$1204,0),16))</f>
        <v/>
      </c>
      <c r="Q433" s="8" t="str">
        <f t="array" ref="Q433">IF(429&gt;$S$1204,"",INDEX($T$5:$AJ$1204,MATCH(429,$S$5:$S$1204,0),17))</f>
        <v/>
      </c>
      <c r="R433" s="17"/>
      <c r="S433" s="17">
        <f>S432+IF(M3_Silleteria!A37="",0,1)</f>
        <v>0</v>
      </c>
      <c r="T433" s="17" t="str">
        <f>IF(M3_Silleteria!A37="","",IF(M3_Silleteria!A37="","",M3_Silleteria!A37))</f>
        <v/>
      </c>
      <c r="U433" s="17" t="str">
        <f>IF(M3_Silleteria!A37="","",IF(M3_Silleteria!Q37="","",M3_Silleteria!Q37))</f>
        <v/>
      </c>
      <c r="V433" s="17" t="str">
        <f>IF(M3_Silleteria!A37="","",IF(M3_Silleteria!D37="","",M3_Silleteria!D37))</f>
        <v/>
      </c>
      <c r="W433" s="17" t="str">
        <f>IF(M3_Silleteria!A37="","",IF(M3_Silleteria!B37="","",M3_Silleteria!B37))</f>
        <v/>
      </c>
      <c r="X433" s="17" t="str">
        <f>IF(M3_Silleteria!A37="","",IF(M3_Silleteria!C37="","",M3_Silleteria!C37))</f>
        <v/>
      </c>
      <c r="Y433" s="17" t="str">
        <f>IF(M3_Silleteria!A37="","",IF(M3_Silleteria!E37="","",M3_Silleteria!E37))</f>
        <v/>
      </c>
      <c r="Z433" s="17" t="str">
        <f>IF(M3_Silleteria!A37="","",IF(M3_Silleteria!F37="","",M3_Silleteria!F37))</f>
        <v/>
      </c>
      <c r="AA433" s="17" t="str">
        <f>IF(M3_Silleteria!A37="","","M3 Silletería")</f>
        <v/>
      </c>
      <c r="AB433" s="17" t="str">
        <f>IF(M3_Silleteria!A37="","",IF(M3_Silleteria!G37="","",M3_Silleteria!G37))</f>
        <v/>
      </c>
      <c r="AC433" s="17" t="str">
        <f>IF(M3_Silleteria!A37="","",IF(M3_Silleteria!L37="","",M3_Silleteria!L37))</f>
        <v/>
      </c>
      <c r="AD433" s="17" t="str">
        <f>IF(M3_Silleteria!A37="","","CD")</f>
        <v/>
      </c>
      <c r="AE433" s="17" t="str">
        <f>IF(M3_Silleteria!A37="","",IF(M3_Silleteria!N37="","",M3_Silleteria!N37))</f>
        <v/>
      </c>
      <c r="AF433" s="17" t="str">
        <f>IF(M3_Silleteria!A37="","",IF(M3_Silleteria!O37="","",M3_Silleteria!O37))</f>
        <v/>
      </c>
      <c r="AG433" s="17" t="str">
        <f>IF(M3_Silleteria!A37="","",IF(M3_Silleteria!P37="","",M3_Silleteria!P37))</f>
        <v/>
      </c>
      <c r="AH433" s="17" t="str">
        <f>IF(M3_Silleteria!A37="","",IF(M3_Silleteria!H37="","",M3_Silleteria!H37))</f>
        <v/>
      </c>
      <c r="AI433" s="17" t="str">
        <f>IF(M3_Silleteria!A37="","","M3_Silleteria!37")</f>
        <v/>
      </c>
      <c r="AJ433" s="17" t="str">
        <f>IF(M3_Silleteria!A37="","",IF(M3_Silleteria!L37="","Pendiente de resultado","Disponible"))</f>
        <v/>
      </c>
    </row>
    <row r="434" spans="1:36" ht="55.5" customHeight="1">
      <c r="A434" s="6" t="str">
        <f t="array" ref="A434">IF(430&gt;$S$1204,"",INDEX($T$5:$AJ$1204,MATCH(430,$S$5:$S$1204,0),1))</f>
        <v/>
      </c>
      <c r="B434" s="8" t="str">
        <f t="array" ref="B434">IF(430&gt;$S$1204,"",INDEX($T$5:$AJ$1204,MATCH(430,$S$5:$S$1204,0),2))</f>
        <v/>
      </c>
      <c r="C434" s="10" t="str">
        <f t="array" ref="C434">IF(430&gt;$S$1204,"",INDEX($T$5:$AJ$1204,MATCH(430,$S$5:$S$1204,0),3))</f>
        <v/>
      </c>
      <c r="D434" s="8" t="str">
        <f t="array" ref="D434">IF(430&gt;$S$1204,"",INDEX($T$5:$AJ$1204,MATCH(430,$S$5:$S$1204,0),4))</f>
        <v/>
      </c>
      <c r="E434" s="8" t="str">
        <f t="array" ref="E434">IF(430&gt;$S$1204,"",INDEX($T$5:$AJ$1204,MATCH(430,$S$5:$S$1204,0),5))</f>
        <v/>
      </c>
      <c r="F434" s="8" t="str">
        <f t="array" ref="F434">IF(430&gt;$S$1204,"",INDEX($T$5:$AJ$1204,MATCH(430,$S$5:$S$1204,0),6))</f>
        <v/>
      </c>
      <c r="G434" s="8" t="str">
        <f t="array" ref="G434">IF(430&gt;$S$1204,"",INDEX($T$5:$AJ$1204,MATCH(430,$S$5:$S$1204,0),7))</f>
        <v/>
      </c>
      <c r="H434" s="8" t="str">
        <f t="array" ref="H434">IF(430&gt;$S$1204,"",INDEX($T$5:$AJ$1204,MATCH(430,$S$5:$S$1204,0),8))</f>
        <v/>
      </c>
      <c r="I434" s="8" t="str">
        <f t="array" ref="I434">IF(430&gt;$S$1204,"",INDEX($T$5:$AJ$1204,MATCH(430,$S$5:$S$1204,0),9))</f>
        <v/>
      </c>
      <c r="J434" s="14" t="str">
        <f t="array" ref="J434">IF(430&gt;$S$1204,"",INDEX($T$5:$AJ$1204,MATCH(430,$S$5:$S$1204,0),10))</f>
        <v/>
      </c>
      <c r="K434" s="8" t="str">
        <f t="array" ref="K434">IF(430&gt;$S$1204,"",INDEX($T$5:$AJ$1204,MATCH(430,$S$5:$S$1204,0),11))</f>
        <v/>
      </c>
      <c r="L434" s="8" t="str">
        <f t="array" ref="L434">IF(430&gt;$S$1204,"",INDEX($T$5:$AJ$1204,MATCH(430,$S$5:$S$1204,0),12))</f>
        <v/>
      </c>
      <c r="M434" s="8" t="str">
        <f t="array" ref="M434">IF(430&gt;$S$1204,"",INDEX($T$5:$AJ$1204,MATCH(430,$S$5:$S$1204,0),13))</f>
        <v/>
      </c>
      <c r="N434" s="8" t="str">
        <f t="array" ref="N434">IF(430&gt;$S$1204,"",INDEX($T$5:$AJ$1204,MATCH(430,$S$5:$S$1204,0),14))</f>
        <v/>
      </c>
      <c r="O434" s="15" t="str">
        <f t="array" ref="O434">IF(430&gt;$S$1204,"",INDEX($T$5:$AJ$1204,MATCH(430,$S$5:$S$1204,0),15))</f>
        <v/>
      </c>
      <c r="P434" s="8" t="str">
        <f t="array" ref="P434">IF(430&gt;$S$1204,"",INDEX($T$5:$AJ$1204,MATCH(430,$S$5:$S$1204,0),16))</f>
        <v/>
      </c>
      <c r="Q434" s="8" t="str">
        <f t="array" ref="Q434">IF(430&gt;$S$1204,"",INDEX($T$5:$AJ$1204,MATCH(430,$S$5:$S$1204,0),17))</f>
        <v/>
      </c>
      <c r="R434" s="17"/>
      <c r="S434" s="17">
        <f>S433+IF(M3_Silleteria!A38="",0,1)</f>
        <v>0</v>
      </c>
      <c r="T434" s="17" t="str">
        <f>IF(M3_Silleteria!A38="","",IF(M3_Silleteria!A38="","",M3_Silleteria!A38))</f>
        <v/>
      </c>
      <c r="U434" s="17" t="str">
        <f>IF(M3_Silleteria!A38="","",IF(M3_Silleteria!Q38="","",M3_Silleteria!Q38))</f>
        <v/>
      </c>
      <c r="V434" s="17" t="str">
        <f>IF(M3_Silleteria!A38="","",IF(M3_Silleteria!D38="","",M3_Silleteria!D38))</f>
        <v/>
      </c>
      <c r="W434" s="17" t="str">
        <f>IF(M3_Silleteria!A38="","",IF(M3_Silleteria!B38="","",M3_Silleteria!B38))</f>
        <v/>
      </c>
      <c r="X434" s="17" t="str">
        <f>IF(M3_Silleteria!A38="","",IF(M3_Silleteria!C38="","",M3_Silleteria!C38))</f>
        <v/>
      </c>
      <c r="Y434" s="17" t="str">
        <f>IF(M3_Silleteria!A38="","",IF(M3_Silleteria!E38="","",M3_Silleteria!E38))</f>
        <v/>
      </c>
      <c r="Z434" s="17" t="str">
        <f>IF(M3_Silleteria!A38="","",IF(M3_Silleteria!F38="","",M3_Silleteria!F38))</f>
        <v/>
      </c>
      <c r="AA434" s="17" t="str">
        <f>IF(M3_Silleteria!A38="","","M3 Silletería")</f>
        <v/>
      </c>
      <c r="AB434" s="17" t="str">
        <f>IF(M3_Silleteria!A38="","",IF(M3_Silleteria!G38="","",M3_Silleteria!G38))</f>
        <v/>
      </c>
      <c r="AC434" s="17" t="str">
        <f>IF(M3_Silleteria!A38="","",IF(M3_Silleteria!L38="","",M3_Silleteria!L38))</f>
        <v/>
      </c>
      <c r="AD434" s="17" t="str">
        <f>IF(M3_Silleteria!A38="","","CD")</f>
        <v/>
      </c>
      <c r="AE434" s="17" t="str">
        <f>IF(M3_Silleteria!A38="","",IF(M3_Silleteria!N38="","",M3_Silleteria!N38))</f>
        <v/>
      </c>
      <c r="AF434" s="17" t="str">
        <f>IF(M3_Silleteria!A38="","",IF(M3_Silleteria!O38="","",M3_Silleteria!O38))</f>
        <v/>
      </c>
      <c r="AG434" s="17" t="str">
        <f>IF(M3_Silleteria!A38="","",IF(M3_Silleteria!P38="","",M3_Silleteria!P38))</f>
        <v/>
      </c>
      <c r="AH434" s="17" t="str">
        <f>IF(M3_Silleteria!A38="","",IF(M3_Silleteria!H38="","",M3_Silleteria!H38))</f>
        <v/>
      </c>
      <c r="AI434" s="17" t="str">
        <f>IF(M3_Silleteria!A38="","","M3_Silleteria!38")</f>
        <v/>
      </c>
      <c r="AJ434" s="17" t="str">
        <f>IF(M3_Silleteria!A38="","",IF(M3_Silleteria!L38="","Pendiente de resultado","Disponible"))</f>
        <v/>
      </c>
    </row>
    <row r="435" spans="1:36" ht="55.5" customHeight="1">
      <c r="A435" s="6" t="str">
        <f t="array" ref="A435">IF(431&gt;$S$1204,"",INDEX($T$5:$AJ$1204,MATCH(431,$S$5:$S$1204,0),1))</f>
        <v/>
      </c>
      <c r="B435" s="8" t="str">
        <f t="array" ref="B435">IF(431&gt;$S$1204,"",INDEX($T$5:$AJ$1204,MATCH(431,$S$5:$S$1204,0),2))</f>
        <v/>
      </c>
      <c r="C435" s="10" t="str">
        <f t="array" ref="C435">IF(431&gt;$S$1204,"",INDEX($T$5:$AJ$1204,MATCH(431,$S$5:$S$1204,0),3))</f>
        <v/>
      </c>
      <c r="D435" s="8" t="str">
        <f t="array" ref="D435">IF(431&gt;$S$1204,"",INDEX($T$5:$AJ$1204,MATCH(431,$S$5:$S$1204,0),4))</f>
        <v/>
      </c>
      <c r="E435" s="8" t="str">
        <f t="array" ref="E435">IF(431&gt;$S$1204,"",INDEX($T$5:$AJ$1204,MATCH(431,$S$5:$S$1204,0),5))</f>
        <v/>
      </c>
      <c r="F435" s="8" t="str">
        <f t="array" ref="F435">IF(431&gt;$S$1204,"",INDEX($T$5:$AJ$1204,MATCH(431,$S$5:$S$1204,0),6))</f>
        <v/>
      </c>
      <c r="G435" s="8" t="str">
        <f t="array" ref="G435">IF(431&gt;$S$1204,"",INDEX($T$5:$AJ$1204,MATCH(431,$S$5:$S$1204,0),7))</f>
        <v/>
      </c>
      <c r="H435" s="8" t="str">
        <f t="array" ref="H435">IF(431&gt;$S$1204,"",INDEX($T$5:$AJ$1204,MATCH(431,$S$5:$S$1204,0),8))</f>
        <v/>
      </c>
      <c r="I435" s="8" t="str">
        <f t="array" ref="I435">IF(431&gt;$S$1204,"",INDEX($T$5:$AJ$1204,MATCH(431,$S$5:$S$1204,0),9))</f>
        <v/>
      </c>
      <c r="J435" s="14" t="str">
        <f t="array" ref="J435">IF(431&gt;$S$1204,"",INDEX($T$5:$AJ$1204,MATCH(431,$S$5:$S$1204,0),10))</f>
        <v/>
      </c>
      <c r="K435" s="8" t="str">
        <f t="array" ref="K435">IF(431&gt;$S$1204,"",INDEX($T$5:$AJ$1204,MATCH(431,$S$5:$S$1204,0),11))</f>
        <v/>
      </c>
      <c r="L435" s="8" t="str">
        <f t="array" ref="L435">IF(431&gt;$S$1204,"",INDEX($T$5:$AJ$1204,MATCH(431,$S$5:$S$1204,0),12))</f>
        <v/>
      </c>
      <c r="M435" s="8" t="str">
        <f t="array" ref="M435">IF(431&gt;$S$1204,"",INDEX($T$5:$AJ$1204,MATCH(431,$S$5:$S$1204,0),13))</f>
        <v/>
      </c>
      <c r="N435" s="8" t="str">
        <f t="array" ref="N435">IF(431&gt;$S$1204,"",INDEX($T$5:$AJ$1204,MATCH(431,$S$5:$S$1204,0),14))</f>
        <v/>
      </c>
      <c r="O435" s="15" t="str">
        <f t="array" ref="O435">IF(431&gt;$S$1204,"",INDEX($T$5:$AJ$1204,MATCH(431,$S$5:$S$1204,0),15))</f>
        <v/>
      </c>
      <c r="P435" s="8" t="str">
        <f t="array" ref="P435">IF(431&gt;$S$1204,"",INDEX($T$5:$AJ$1204,MATCH(431,$S$5:$S$1204,0),16))</f>
        <v/>
      </c>
      <c r="Q435" s="8" t="str">
        <f t="array" ref="Q435">IF(431&gt;$S$1204,"",INDEX($T$5:$AJ$1204,MATCH(431,$S$5:$S$1204,0),17))</f>
        <v/>
      </c>
      <c r="R435" s="17"/>
      <c r="S435" s="17">
        <f>S434+IF(M3_Silleteria!A39="",0,1)</f>
        <v>0</v>
      </c>
      <c r="T435" s="17" t="str">
        <f>IF(M3_Silleteria!A39="","",IF(M3_Silleteria!A39="","",M3_Silleteria!A39))</f>
        <v/>
      </c>
      <c r="U435" s="17" t="str">
        <f>IF(M3_Silleteria!A39="","",IF(M3_Silleteria!Q39="","",M3_Silleteria!Q39))</f>
        <v/>
      </c>
      <c r="V435" s="17" t="str">
        <f>IF(M3_Silleteria!A39="","",IF(M3_Silleteria!D39="","",M3_Silleteria!D39))</f>
        <v/>
      </c>
      <c r="W435" s="17" t="str">
        <f>IF(M3_Silleteria!A39="","",IF(M3_Silleteria!B39="","",M3_Silleteria!B39))</f>
        <v/>
      </c>
      <c r="X435" s="17" t="str">
        <f>IF(M3_Silleteria!A39="","",IF(M3_Silleteria!C39="","",M3_Silleteria!C39))</f>
        <v/>
      </c>
      <c r="Y435" s="17" t="str">
        <f>IF(M3_Silleteria!A39="","",IF(M3_Silleteria!E39="","",M3_Silleteria!E39))</f>
        <v/>
      </c>
      <c r="Z435" s="17" t="str">
        <f>IF(M3_Silleteria!A39="","",IF(M3_Silleteria!F39="","",M3_Silleteria!F39))</f>
        <v/>
      </c>
      <c r="AA435" s="17" t="str">
        <f>IF(M3_Silleteria!A39="","","M3 Silletería")</f>
        <v/>
      </c>
      <c r="AB435" s="17" t="str">
        <f>IF(M3_Silleteria!A39="","",IF(M3_Silleteria!G39="","",M3_Silleteria!G39))</f>
        <v/>
      </c>
      <c r="AC435" s="17" t="str">
        <f>IF(M3_Silleteria!A39="","",IF(M3_Silleteria!L39="","",M3_Silleteria!L39))</f>
        <v/>
      </c>
      <c r="AD435" s="17" t="str">
        <f>IF(M3_Silleteria!A39="","","CD")</f>
        <v/>
      </c>
      <c r="AE435" s="17" t="str">
        <f>IF(M3_Silleteria!A39="","",IF(M3_Silleteria!N39="","",M3_Silleteria!N39))</f>
        <v/>
      </c>
      <c r="AF435" s="17" t="str">
        <f>IF(M3_Silleteria!A39="","",IF(M3_Silleteria!O39="","",M3_Silleteria!O39))</f>
        <v/>
      </c>
      <c r="AG435" s="17" t="str">
        <f>IF(M3_Silleteria!A39="","",IF(M3_Silleteria!P39="","",M3_Silleteria!P39))</f>
        <v/>
      </c>
      <c r="AH435" s="17" t="str">
        <f>IF(M3_Silleteria!A39="","",IF(M3_Silleteria!H39="","",M3_Silleteria!H39))</f>
        <v/>
      </c>
      <c r="AI435" s="17" t="str">
        <f>IF(M3_Silleteria!A39="","","M3_Silleteria!39")</f>
        <v/>
      </c>
      <c r="AJ435" s="17" t="str">
        <f>IF(M3_Silleteria!A39="","",IF(M3_Silleteria!L39="","Pendiente de resultado","Disponible"))</f>
        <v/>
      </c>
    </row>
    <row r="436" spans="1:36" ht="55.5" customHeight="1">
      <c r="A436" s="6" t="str">
        <f t="array" ref="A436">IF(432&gt;$S$1204,"",INDEX($T$5:$AJ$1204,MATCH(432,$S$5:$S$1204,0),1))</f>
        <v/>
      </c>
      <c r="B436" s="8" t="str">
        <f t="array" ref="B436">IF(432&gt;$S$1204,"",INDEX($T$5:$AJ$1204,MATCH(432,$S$5:$S$1204,0),2))</f>
        <v/>
      </c>
      <c r="C436" s="10" t="str">
        <f t="array" ref="C436">IF(432&gt;$S$1204,"",INDEX($T$5:$AJ$1204,MATCH(432,$S$5:$S$1204,0),3))</f>
        <v/>
      </c>
      <c r="D436" s="8" t="str">
        <f t="array" ref="D436">IF(432&gt;$S$1204,"",INDEX($T$5:$AJ$1204,MATCH(432,$S$5:$S$1204,0),4))</f>
        <v/>
      </c>
      <c r="E436" s="8" t="str">
        <f t="array" ref="E436">IF(432&gt;$S$1204,"",INDEX($T$5:$AJ$1204,MATCH(432,$S$5:$S$1204,0),5))</f>
        <v/>
      </c>
      <c r="F436" s="8" t="str">
        <f t="array" ref="F436">IF(432&gt;$S$1204,"",INDEX($T$5:$AJ$1204,MATCH(432,$S$5:$S$1204,0),6))</f>
        <v/>
      </c>
      <c r="G436" s="8" t="str">
        <f t="array" ref="G436">IF(432&gt;$S$1204,"",INDEX($T$5:$AJ$1204,MATCH(432,$S$5:$S$1204,0),7))</f>
        <v/>
      </c>
      <c r="H436" s="8" t="str">
        <f t="array" ref="H436">IF(432&gt;$S$1204,"",INDEX($T$5:$AJ$1204,MATCH(432,$S$5:$S$1204,0),8))</f>
        <v/>
      </c>
      <c r="I436" s="8" t="str">
        <f t="array" ref="I436">IF(432&gt;$S$1204,"",INDEX($T$5:$AJ$1204,MATCH(432,$S$5:$S$1204,0),9))</f>
        <v/>
      </c>
      <c r="J436" s="14" t="str">
        <f t="array" ref="J436">IF(432&gt;$S$1204,"",INDEX($T$5:$AJ$1204,MATCH(432,$S$5:$S$1204,0),10))</f>
        <v/>
      </c>
      <c r="K436" s="8" t="str">
        <f t="array" ref="K436">IF(432&gt;$S$1204,"",INDEX($T$5:$AJ$1204,MATCH(432,$S$5:$S$1204,0),11))</f>
        <v/>
      </c>
      <c r="L436" s="8" t="str">
        <f t="array" ref="L436">IF(432&gt;$S$1204,"",INDEX($T$5:$AJ$1204,MATCH(432,$S$5:$S$1204,0),12))</f>
        <v/>
      </c>
      <c r="M436" s="8" t="str">
        <f t="array" ref="M436">IF(432&gt;$S$1204,"",INDEX($T$5:$AJ$1204,MATCH(432,$S$5:$S$1204,0),13))</f>
        <v/>
      </c>
      <c r="N436" s="8" t="str">
        <f t="array" ref="N436">IF(432&gt;$S$1204,"",INDEX($T$5:$AJ$1204,MATCH(432,$S$5:$S$1204,0),14))</f>
        <v/>
      </c>
      <c r="O436" s="15" t="str">
        <f t="array" ref="O436">IF(432&gt;$S$1204,"",INDEX($T$5:$AJ$1204,MATCH(432,$S$5:$S$1204,0),15))</f>
        <v/>
      </c>
      <c r="P436" s="8" t="str">
        <f t="array" ref="P436">IF(432&gt;$S$1204,"",INDEX($T$5:$AJ$1204,MATCH(432,$S$5:$S$1204,0),16))</f>
        <v/>
      </c>
      <c r="Q436" s="8" t="str">
        <f t="array" ref="Q436">IF(432&gt;$S$1204,"",INDEX($T$5:$AJ$1204,MATCH(432,$S$5:$S$1204,0),17))</f>
        <v/>
      </c>
      <c r="R436" s="17"/>
      <c r="S436" s="17">
        <f>S435+IF(M3_Silleteria!A40="",0,1)</f>
        <v>0</v>
      </c>
      <c r="T436" s="17" t="str">
        <f>IF(M3_Silleteria!A40="","",IF(M3_Silleteria!A40="","",M3_Silleteria!A40))</f>
        <v/>
      </c>
      <c r="U436" s="17" t="str">
        <f>IF(M3_Silleteria!A40="","",IF(M3_Silleteria!Q40="","",M3_Silleteria!Q40))</f>
        <v/>
      </c>
      <c r="V436" s="17" t="str">
        <f>IF(M3_Silleteria!A40="","",IF(M3_Silleteria!D40="","",M3_Silleteria!D40))</f>
        <v/>
      </c>
      <c r="W436" s="17" t="str">
        <f>IF(M3_Silleteria!A40="","",IF(M3_Silleteria!B40="","",M3_Silleteria!B40))</f>
        <v/>
      </c>
      <c r="X436" s="17" t="str">
        <f>IF(M3_Silleteria!A40="","",IF(M3_Silleteria!C40="","",M3_Silleteria!C40))</f>
        <v/>
      </c>
      <c r="Y436" s="17" t="str">
        <f>IF(M3_Silleteria!A40="","",IF(M3_Silleteria!E40="","",M3_Silleteria!E40))</f>
        <v/>
      </c>
      <c r="Z436" s="17" t="str">
        <f>IF(M3_Silleteria!A40="","",IF(M3_Silleteria!F40="","",M3_Silleteria!F40))</f>
        <v/>
      </c>
      <c r="AA436" s="17" t="str">
        <f>IF(M3_Silleteria!A40="","","M3 Silletería")</f>
        <v/>
      </c>
      <c r="AB436" s="17" t="str">
        <f>IF(M3_Silleteria!A40="","",IF(M3_Silleteria!G40="","",M3_Silleteria!G40))</f>
        <v/>
      </c>
      <c r="AC436" s="17" t="str">
        <f>IF(M3_Silleteria!A40="","",IF(M3_Silleteria!L40="","",M3_Silleteria!L40))</f>
        <v/>
      </c>
      <c r="AD436" s="17" t="str">
        <f>IF(M3_Silleteria!A40="","","CD")</f>
        <v/>
      </c>
      <c r="AE436" s="17" t="str">
        <f>IF(M3_Silleteria!A40="","",IF(M3_Silleteria!N40="","",M3_Silleteria!N40))</f>
        <v/>
      </c>
      <c r="AF436" s="17" t="str">
        <f>IF(M3_Silleteria!A40="","",IF(M3_Silleteria!O40="","",M3_Silleteria!O40))</f>
        <v/>
      </c>
      <c r="AG436" s="17" t="str">
        <f>IF(M3_Silleteria!A40="","",IF(M3_Silleteria!P40="","",M3_Silleteria!P40))</f>
        <v/>
      </c>
      <c r="AH436" s="17" t="str">
        <f>IF(M3_Silleteria!A40="","",IF(M3_Silleteria!H40="","",M3_Silleteria!H40))</f>
        <v/>
      </c>
      <c r="AI436" s="17" t="str">
        <f>IF(M3_Silleteria!A40="","","M3_Silleteria!40")</f>
        <v/>
      </c>
      <c r="AJ436" s="17" t="str">
        <f>IF(M3_Silleteria!A40="","",IF(M3_Silleteria!L40="","Pendiente de resultado","Disponible"))</f>
        <v/>
      </c>
    </row>
    <row r="437" spans="1:36" ht="55.5" customHeight="1">
      <c r="A437" s="6" t="str">
        <f t="array" ref="A437">IF(433&gt;$S$1204,"",INDEX($T$5:$AJ$1204,MATCH(433,$S$5:$S$1204,0),1))</f>
        <v/>
      </c>
      <c r="B437" s="8" t="str">
        <f t="array" ref="B437">IF(433&gt;$S$1204,"",INDEX($T$5:$AJ$1204,MATCH(433,$S$5:$S$1204,0),2))</f>
        <v/>
      </c>
      <c r="C437" s="10" t="str">
        <f t="array" ref="C437">IF(433&gt;$S$1204,"",INDEX($T$5:$AJ$1204,MATCH(433,$S$5:$S$1204,0),3))</f>
        <v/>
      </c>
      <c r="D437" s="8" t="str">
        <f t="array" ref="D437">IF(433&gt;$S$1204,"",INDEX($T$5:$AJ$1204,MATCH(433,$S$5:$S$1204,0),4))</f>
        <v/>
      </c>
      <c r="E437" s="8" t="str">
        <f t="array" ref="E437">IF(433&gt;$S$1204,"",INDEX($T$5:$AJ$1204,MATCH(433,$S$5:$S$1204,0),5))</f>
        <v/>
      </c>
      <c r="F437" s="8" t="str">
        <f t="array" ref="F437">IF(433&gt;$S$1204,"",INDEX($T$5:$AJ$1204,MATCH(433,$S$5:$S$1204,0),6))</f>
        <v/>
      </c>
      <c r="G437" s="8" t="str">
        <f t="array" ref="G437">IF(433&gt;$S$1204,"",INDEX($T$5:$AJ$1204,MATCH(433,$S$5:$S$1204,0),7))</f>
        <v/>
      </c>
      <c r="H437" s="8" t="str">
        <f t="array" ref="H437">IF(433&gt;$S$1204,"",INDEX($T$5:$AJ$1204,MATCH(433,$S$5:$S$1204,0),8))</f>
        <v/>
      </c>
      <c r="I437" s="8" t="str">
        <f t="array" ref="I437">IF(433&gt;$S$1204,"",INDEX($T$5:$AJ$1204,MATCH(433,$S$5:$S$1204,0),9))</f>
        <v/>
      </c>
      <c r="J437" s="14" t="str">
        <f t="array" ref="J437">IF(433&gt;$S$1204,"",INDEX($T$5:$AJ$1204,MATCH(433,$S$5:$S$1204,0),10))</f>
        <v/>
      </c>
      <c r="K437" s="8" t="str">
        <f t="array" ref="K437">IF(433&gt;$S$1204,"",INDEX($T$5:$AJ$1204,MATCH(433,$S$5:$S$1204,0),11))</f>
        <v/>
      </c>
      <c r="L437" s="8" t="str">
        <f t="array" ref="L437">IF(433&gt;$S$1204,"",INDEX($T$5:$AJ$1204,MATCH(433,$S$5:$S$1204,0),12))</f>
        <v/>
      </c>
      <c r="M437" s="8" t="str">
        <f t="array" ref="M437">IF(433&gt;$S$1204,"",INDEX($T$5:$AJ$1204,MATCH(433,$S$5:$S$1204,0),13))</f>
        <v/>
      </c>
      <c r="N437" s="8" t="str">
        <f t="array" ref="N437">IF(433&gt;$S$1204,"",INDEX($T$5:$AJ$1204,MATCH(433,$S$5:$S$1204,0),14))</f>
        <v/>
      </c>
      <c r="O437" s="15" t="str">
        <f t="array" ref="O437">IF(433&gt;$S$1204,"",INDEX($T$5:$AJ$1204,MATCH(433,$S$5:$S$1204,0),15))</f>
        <v/>
      </c>
      <c r="P437" s="8" t="str">
        <f t="array" ref="P437">IF(433&gt;$S$1204,"",INDEX($T$5:$AJ$1204,MATCH(433,$S$5:$S$1204,0),16))</f>
        <v/>
      </c>
      <c r="Q437" s="8" t="str">
        <f t="array" ref="Q437">IF(433&gt;$S$1204,"",INDEX($T$5:$AJ$1204,MATCH(433,$S$5:$S$1204,0),17))</f>
        <v/>
      </c>
      <c r="R437" s="17"/>
      <c r="S437" s="17">
        <f>S436+IF(M3_Silleteria!A41="",0,1)</f>
        <v>0</v>
      </c>
      <c r="T437" s="17" t="str">
        <f>IF(M3_Silleteria!A41="","",IF(M3_Silleteria!A41="","",M3_Silleteria!A41))</f>
        <v/>
      </c>
      <c r="U437" s="17" t="str">
        <f>IF(M3_Silleteria!A41="","",IF(M3_Silleteria!Q41="","",M3_Silleteria!Q41))</f>
        <v/>
      </c>
      <c r="V437" s="17" t="str">
        <f>IF(M3_Silleteria!A41="","",IF(M3_Silleteria!D41="","",M3_Silleteria!D41))</f>
        <v/>
      </c>
      <c r="W437" s="17" t="str">
        <f>IF(M3_Silleteria!A41="","",IF(M3_Silleteria!B41="","",M3_Silleteria!B41))</f>
        <v/>
      </c>
      <c r="X437" s="17" t="str">
        <f>IF(M3_Silleteria!A41="","",IF(M3_Silleteria!C41="","",M3_Silleteria!C41))</f>
        <v/>
      </c>
      <c r="Y437" s="17" t="str">
        <f>IF(M3_Silleteria!A41="","",IF(M3_Silleteria!E41="","",M3_Silleteria!E41))</f>
        <v/>
      </c>
      <c r="Z437" s="17" t="str">
        <f>IF(M3_Silleteria!A41="","",IF(M3_Silleteria!F41="","",M3_Silleteria!F41))</f>
        <v/>
      </c>
      <c r="AA437" s="17" t="str">
        <f>IF(M3_Silleteria!A41="","","M3 Silletería")</f>
        <v/>
      </c>
      <c r="AB437" s="17" t="str">
        <f>IF(M3_Silleteria!A41="","",IF(M3_Silleteria!G41="","",M3_Silleteria!G41))</f>
        <v/>
      </c>
      <c r="AC437" s="17" t="str">
        <f>IF(M3_Silleteria!A41="","",IF(M3_Silleteria!L41="","",M3_Silleteria!L41))</f>
        <v/>
      </c>
      <c r="AD437" s="17" t="str">
        <f>IF(M3_Silleteria!A41="","","CD")</f>
        <v/>
      </c>
      <c r="AE437" s="17" t="str">
        <f>IF(M3_Silleteria!A41="","",IF(M3_Silleteria!N41="","",M3_Silleteria!N41))</f>
        <v/>
      </c>
      <c r="AF437" s="17" t="str">
        <f>IF(M3_Silleteria!A41="","",IF(M3_Silleteria!O41="","",M3_Silleteria!O41))</f>
        <v/>
      </c>
      <c r="AG437" s="17" t="str">
        <f>IF(M3_Silleteria!A41="","",IF(M3_Silleteria!P41="","",M3_Silleteria!P41))</f>
        <v/>
      </c>
      <c r="AH437" s="17" t="str">
        <f>IF(M3_Silleteria!A41="","",IF(M3_Silleteria!H41="","",M3_Silleteria!H41))</f>
        <v/>
      </c>
      <c r="AI437" s="17" t="str">
        <f>IF(M3_Silleteria!A41="","","M3_Silleteria!41")</f>
        <v/>
      </c>
      <c r="AJ437" s="17" t="str">
        <f>IF(M3_Silleteria!A41="","",IF(M3_Silleteria!L41="","Pendiente de resultado","Disponible"))</f>
        <v/>
      </c>
    </row>
    <row r="438" spans="1:36" ht="55.5" customHeight="1">
      <c r="A438" s="6" t="str">
        <f t="array" ref="A438">IF(434&gt;$S$1204,"",INDEX($T$5:$AJ$1204,MATCH(434,$S$5:$S$1204,0),1))</f>
        <v/>
      </c>
      <c r="B438" s="8" t="str">
        <f t="array" ref="B438">IF(434&gt;$S$1204,"",INDEX($T$5:$AJ$1204,MATCH(434,$S$5:$S$1204,0),2))</f>
        <v/>
      </c>
      <c r="C438" s="10" t="str">
        <f t="array" ref="C438">IF(434&gt;$S$1204,"",INDEX($T$5:$AJ$1204,MATCH(434,$S$5:$S$1204,0),3))</f>
        <v/>
      </c>
      <c r="D438" s="8" t="str">
        <f t="array" ref="D438">IF(434&gt;$S$1204,"",INDEX($T$5:$AJ$1204,MATCH(434,$S$5:$S$1204,0),4))</f>
        <v/>
      </c>
      <c r="E438" s="8" t="str">
        <f t="array" ref="E438">IF(434&gt;$S$1204,"",INDEX($T$5:$AJ$1204,MATCH(434,$S$5:$S$1204,0),5))</f>
        <v/>
      </c>
      <c r="F438" s="8" t="str">
        <f t="array" ref="F438">IF(434&gt;$S$1204,"",INDEX($T$5:$AJ$1204,MATCH(434,$S$5:$S$1204,0),6))</f>
        <v/>
      </c>
      <c r="G438" s="8" t="str">
        <f t="array" ref="G438">IF(434&gt;$S$1204,"",INDEX($T$5:$AJ$1204,MATCH(434,$S$5:$S$1204,0),7))</f>
        <v/>
      </c>
      <c r="H438" s="8" t="str">
        <f t="array" ref="H438">IF(434&gt;$S$1204,"",INDEX($T$5:$AJ$1204,MATCH(434,$S$5:$S$1204,0),8))</f>
        <v/>
      </c>
      <c r="I438" s="8" t="str">
        <f t="array" ref="I438">IF(434&gt;$S$1204,"",INDEX($T$5:$AJ$1204,MATCH(434,$S$5:$S$1204,0),9))</f>
        <v/>
      </c>
      <c r="J438" s="14" t="str">
        <f t="array" ref="J438">IF(434&gt;$S$1204,"",INDEX($T$5:$AJ$1204,MATCH(434,$S$5:$S$1204,0),10))</f>
        <v/>
      </c>
      <c r="K438" s="8" t="str">
        <f t="array" ref="K438">IF(434&gt;$S$1204,"",INDEX($T$5:$AJ$1204,MATCH(434,$S$5:$S$1204,0),11))</f>
        <v/>
      </c>
      <c r="L438" s="8" t="str">
        <f t="array" ref="L438">IF(434&gt;$S$1204,"",INDEX($T$5:$AJ$1204,MATCH(434,$S$5:$S$1204,0),12))</f>
        <v/>
      </c>
      <c r="M438" s="8" t="str">
        <f t="array" ref="M438">IF(434&gt;$S$1204,"",INDEX($T$5:$AJ$1204,MATCH(434,$S$5:$S$1204,0),13))</f>
        <v/>
      </c>
      <c r="N438" s="8" t="str">
        <f t="array" ref="N438">IF(434&gt;$S$1204,"",INDEX($T$5:$AJ$1204,MATCH(434,$S$5:$S$1204,0),14))</f>
        <v/>
      </c>
      <c r="O438" s="15" t="str">
        <f t="array" ref="O438">IF(434&gt;$S$1204,"",INDEX($T$5:$AJ$1204,MATCH(434,$S$5:$S$1204,0),15))</f>
        <v/>
      </c>
      <c r="P438" s="8" t="str">
        <f t="array" ref="P438">IF(434&gt;$S$1204,"",INDEX($T$5:$AJ$1204,MATCH(434,$S$5:$S$1204,0),16))</f>
        <v/>
      </c>
      <c r="Q438" s="8" t="str">
        <f t="array" ref="Q438">IF(434&gt;$S$1204,"",INDEX($T$5:$AJ$1204,MATCH(434,$S$5:$S$1204,0),17))</f>
        <v/>
      </c>
      <c r="R438" s="17"/>
      <c r="S438" s="17">
        <f>S437+IF(M3_Silleteria!A42="",0,1)</f>
        <v>0</v>
      </c>
      <c r="T438" s="17" t="str">
        <f>IF(M3_Silleteria!A42="","",IF(M3_Silleteria!A42="","",M3_Silleteria!A42))</f>
        <v/>
      </c>
      <c r="U438" s="17" t="str">
        <f>IF(M3_Silleteria!A42="","",IF(M3_Silleteria!Q42="","",M3_Silleteria!Q42))</f>
        <v/>
      </c>
      <c r="V438" s="17" t="str">
        <f>IF(M3_Silleteria!A42="","",IF(M3_Silleteria!D42="","",M3_Silleteria!D42))</f>
        <v/>
      </c>
      <c r="W438" s="17" t="str">
        <f>IF(M3_Silleteria!A42="","",IF(M3_Silleteria!B42="","",M3_Silleteria!B42))</f>
        <v/>
      </c>
      <c r="X438" s="17" t="str">
        <f>IF(M3_Silleteria!A42="","",IF(M3_Silleteria!C42="","",M3_Silleteria!C42))</f>
        <v/>
      </c>
      <c r="Y438" s="17" t="str">
        <f>IF(M3_Silleteria!A42="","",IF(M3_Silleteria!E42="","",M3_Silleteria!E42))</f>
        <v/>
      </c>
      <c r="Z438" s="17" t="str">
        <f>IF(M3_Silleteria!A42="","",IF(M3_Silleteria!F42="","",M3_Silleteria!F42))</f>
        <v/>
      </c>
      <c r="AA438" s="17" t="str">
        <f>IF(M3_Silleteria!A42="","","M3 Silletería")</f>
        <v/>
      </c>
      <c r="AB438" s="17" t="str">
        <f>IF(M3_Silleteria!A42="","",IF(M3_Silleteria!G42="","",M3_Silleteria!G42))</f>
        <v/>
      </c>
      <c r="AC438" s="17" t="str">
        <f>IF(M3_Silleteria!A42="","",IF(M3_Silleteria!L42="","",M3_Silleteria!L42))</f>
        <v/>
      </c>
      <c r="AD438" s="17" t="str">
        <f>IF(M3_Silleteria!A42="","","CD")</f>
        <v/>
      </c>
      <c r="AE438" s="17" t="str">
        <f>IF(M3_Silleteria!A42="","",IF(M3_Silleteria!N42="","",M3_Silleteria!N42))</f>
        <v/>
      </c>
      <c r="AF438" s="17" t="str">
        <f>IF(M3_Silleteria!A42="","",IF(M3_Silleteria!O42="","",M3_Silleteria!O42))</f>
        <v/>
      </c>
      <c r="AG438" s="17" t="str">
        <f>IF(M3_Silleteria!A42="","",IF(M3_Silleteria!P42="","",M3_Silleteria!P42))</f>
        <v/>
      </c>
      <c r="AH438" s="17" t="str">
        <f>IF(M3_Silleteria!A42="","",IF(M3_Silleteria!H42="","",M3_Silleteria!H42))</f>
        <v/>
      </c>
      <c r="AI438" s="17" t="str">
        <f>IF(M3_Silleteria!A42="","","M3_Silleteria!42")</f>
        <v/>
      </c>
      <c r="AJ438" s="17" t="str">
        <f>IF(M3_Silleteria!A42="","",IF(M3_Silleteria!L42="","Pendiente de resultado","Disponible"))</f>
        <v/>
      </c>
    </row>
    <row r="439" spans="1:36" ht="55.5" customHeight="1">
      <c r="A439" s="6" t="str">
        <f t="array" ref="A439">IF(435&gt;$S$1204,"",INDEX($T$5:$AJ$1204,MATCH(435,$S$5:$S$1204,0),1))</f>
        <v/>
      </c>
      <c r="B439" s="8" t="str">
        <f t="array" ref="B439">IF(435&gt;$S$1204,"",INDEX($T$5:$AJ$1204,MATCH(435,$S$5:$S$1204,0),2))</f>
        <v/>
      </c>
      <c r="C439" s="10" t="str">
        <f t="array" ref="C439">IF(435&gt;$S$1204,"",INDEX($T$5:$AJ$1204,MATCH(435,$S$5:$S$1204,0),3))</f>
        <v/>
      </c>
      <c r="D439" s="8" t="str">
        <f t="array" ref="D439">IF(435&gt;$S$1204,"",INDEX($T$5:$AJ$1204,MATCH(435,$S$5:$S$1204,0),4))</f>
        <v/>
      </c>
      <c r="E439" s="8" t="str">
        <f t="array" ref="E439">IF(435&gt;$S$1204,"",INDEX($T$5:$AJ$1204,MATCH(435,$S$5:$S$1204,0),5))</f>
        <v/>
      </c>
      <c r="F439" s="8" t="str">
        <f t="array" ref="F439">IF(435&gt;$S$1204,"",INDEX($T$5:$AJ$1204,MATCH(435,$S$5:$S$1204,0),6))</f>
        <v/>
      </c>
      <c r="G439" s="8" t="str">
        <f t="array" ref="G439">IF(435&gt;$S$1204,"",INDEX($T$5:$AJ$1204,MATCH(435,$S$5:$S$1204,0),7))</f>
        <v/>
      </c>
      <c r="H439" s="8" t="str">
        <f t="array" ref="H439">IF(435&gt;$S$1204,"",INDEX($T$5:$AJ$1204,MATCH(435,$S$5:$S$1204,0),8))</f>
        <v/>
      </c>
      <c r="I439" s="8" t="str">
        <f t="array" ref="I439">IF(435&gt;$S$1204,"",INDEX($T$5:$AJ$1204,MATCH(435,$S$5:$S$1204,0),9))</f>
        <v/>
      </c>
      <c r="J439" s="14" t="str">
        <f t="array" ref="J439">IF(435&gt;$S$1204,"",INDEX($T$5:$AJ$1204,MATCH(435,$S$5:$S$1204,0),10))</f>
        <v/>
      </c>
      <c r="K439" s="8" t="str">
        <f t="array" ref="K439">IF(435&gt;$S$1204,"",INDEX($T$5:$AJ$1204,MATCH(435,$S$5:$S$1204,0),11))</f>
        <v/>
      </c>
      <c r="L439" s="8" t="str">
        <f t="array" ref="L439">IF(435&gt;$S$1204,"",INDEX($T$5:$AJ$1204,MATCH(435,$S$5:$S$1204,0),12))</f>
        <v/>
      </c>
      <c r="M439" s="8" t="str">
        <f t="array" ref="M439">IF(435&gt;$S$1204,"",INDEX($T$5:$AJ$1204,MATCH(435,$S$5:$S$1204,0),13))</f>
        <v/>
      </c>
      <c r="N439" s="8" t="str">
        <f t="array" ref="N439">IF(435&gt;$S$1204,"",INDEX($T$5:$AJ$1204,MATCH(435,$S$5:$S$1204,0),14))</f>
        <v/>
      </c>
      <c r="O439" s="15" t="str">
        <f t="array" ref="O439">IF(435&gt;$S$1204,"",INDEX($T$5:$AJ$1204,MATCH(435,$S$5:$S$1204,0),15))</f>
        <v/>
      </c>
      <c r="P439" s="8" t="str">
        <f t="array" ref="P439">IF(435&gt;$S$1204,"",INDEX($T$5:$AJ$1204,MATCH(435,$S$5:$S$1204,0),16))</f>
        <v/>
      </c>
      <c r="Q439" s="8" t="str">
        <f t="array" ref="Q439">IF(435&gt;$S$1204,"",INDEX($T$5:$AJ$1204,MATCH(435,$S$5:$S$1204,0),17))</f>
        <v/>
      </c>
      <c r="R439" s="17"/>
      <c r="S439" s="17">
        <f>S438+IF(M3_Silleteria!A43="",0,1)</f>
        <v>0</v>
      </c>
      <c r="T439" s="17" t="str">
        <f>IF(M3_Silleteria!A43="","",IF(M3_Silleteria!A43="","",M3_Silleteria!A43))</f>
        <v/>
      </c>
      <c r="U439" s="17" t="str">
        <f>IF(M3_Silleteria!A43="","",IF(M3_Silleteria!Q43="","",M3_Silleteria!Q43))</f>
        <v/>
      </c>
      <c r="V439" s="17" t="str">
        <f>IF(M3_Silleteria!A43="","",IF(M3_Silleteria!D43="","",M3_Silleteria!D43))</f>
        <v/>
      </c>
      <c r="W439" s="17" t="str">
        <f>IF(M3_Silleteria!A43="","",IF(M3_Silleteria!B43="","",M3_Silleteria!B43))</f>
        <v/>
      </c>
      <c r="X439" s="17" t="str">
        <f>IF(M3_Silleteria!A43="","",IF(M3_Silleteria!C43="","",M3_Silleteria!C43))</f>
        <v/>
      </c>
      <c r="Y439" s="17" t="str">
        <f>IF(M3_Silleteria!A43="","",IF(M3_Silleteria!E43="","",M3_Silleteria!E43))</f>
        <v/>
      </c>
      <c r="Z439" s="17" t="str">
        <f>IF(M3_Silleteria!A43="","",IF(M3_Silleteria!F43="","",M3_Silleteria!F43))</f>
        <v/>
      </c>
      <c r="AA439" s="17" t="str">
        <f>IF(M3_Silleteria!A43="","","M3 Silletería")</f>
        <v/>
      </c>
      <c r="AB439" s="17" t="str">
        <f>IF(M3_Silleteria!A43="","",IF(M3_Silleteria!G43="","",M3_Silleteria!G43))</f>
        <v/>
      </c>
      <c r="AC439" s="17" t="str">
        <f>IF(M3_Silleteria!A43="","",IF(M3_Silleteria!L43="","",M3_Silleteria!L43))</f>
        <v/>
      </c>
      <c r="AD439" s="17" t="str">
        <f>IF(M3_Silleteria!A43="","","CD")</f>
        <v/>
      </c>
      <c r="AE439" s="17" t="str">
        <f>IF(M3_Silleteria!A43="","",IF(M3_Silleteria!N43="","",M3_Silleteria!N43))</f>
        <v/>
      </c>
      <c r="AF439" s="17" t="str">
        <f>IF(M3_Silleteria!A43="","",IF(M3_Silleteria!O43="","",M3_Silleteria!O43))</f>
        <v/>
      </c>
      <c r="AG439" s="17" t="str">
        <f>IF(M3_Silleteria!A43="","",IF(M3_Silleteria!P43="","",M3_Silleteria!P43))</f>
        <v/>
      </c>
      <c r="AH439" s="17" t="str">
        <f>IF(M3_Silleteria!A43="","",IF(M3_Silleteria!H43="","",M3_Silleteria!H43))</f>
        <v/>
      </c>
      <c r="AI439" s="17" t="str">
        <f>IF(M3_Silleteria!A43="","","M3_Silleteria!43")</f>
        <v/>
      </c>
      <c r="AJ439" s="17" t="str">
        <f>IF(M3_Silleteria!A43="","",IF(M3_Silleteria!L43="","Pendiente de resultado","Disponible"))</f>
        <v/>
      </c>
    </row>
    <row r="440" spans="1:36" ht="55.5" customHeight="1">
      <c r="A440" s="6" t="str">
        <f t="array" ref="A440">IF(436&gt;$S$1204,"",INDEX($T$5:$AJ$1204,MATCH(436,$S$5:$S$1204,0),1))</f>
        <v/>
      </c>
      <c r="B440" s="8" t="str">
        <f t="array" ref="B440">IF(436&gt;$S$1204,"",INDEX($T$5:$AJ$1204,MATCH(436,$S$5:$S$1204,0),2))</f>
        <v/>
      </c>
      <c r="C440" s="10" t="str">
        <f t="array" ref="C440">IF(436&gt;$S$1204,"",INDEX($T$5:$AJ$1204,MATCH(436,$S$5:$S$1204,0),3))</f>
        <v/>
      </c>
      <c r="D440" s="8" t="str">
        <f t="array" ref="D440">IF(436&gt;$S$1204,"",INDEX($T$5:$AJ$1204,MATCH(436,$S$5:$S$1204,0),4))</f>
        <v/>
      </c>
      <c r="E440" s="8" t="str">
        <f t="array" ref="E440">IF(436&gt;$S$1204,"",INDEX($T$5:$AJ$1204,MATCH(436,$S$5:$S$1204,0),5))</f>
        <v/>
      </c>
      <c r="F440" s="8" t="str">
        <f t="array" ref="F440">IF(436&gt;$S$1204,"",INDEX($T$5:$AJ$1204,MATCH(436,$S$5:$S$1204,0),6))</f>
        <v/>
      </c>
      <c r="G440" s="8" t="str">
        <f t="array" ref="G440">IF(436&gt;$S$1204,"",INDEX($T$5:$AJ$1204,MATCH(436,$S$5:$S$1204,0),7))</f>
        <v/>
      </c>
      <c r="H440" s="8" t="str">
        <f t="array" ref="H440">IF(436&gt;$S$1204,"",INDEX($T$5:$AJ$1204,MATCH(436,$S$5:$S$1204,0),8))</f>
        <v/>
      </c>
      <c r="I440" s="8" t="str">
        <f t="array" ref="I440">IF(436&gt;$S$1204,"",INDEX($T$5:$AJ$1204,MATCH(436,$S$5:$S$1204,0),9))</f>
        <v/>
      </c>
      <c r="J440" s="14" t="str">
        <f t="array" ref="J440">IF(436&gt;$S$1204,"",INDEX($T$5:$AJ$1204,MATCH(436,$S$5:$S$1204,0),10))</f>
        <v/>
      </c>
      <c r="K440" s="8" t="str">
        <f t="array" ref="K440">IF(436&gt;$S$1204,"",INDEX($T$5:$AJ$1204,MATCH(436,$S$5:$S$1204,0),11))</f>
        <v/>
      </c>
      <c r="L440" s="8" t="str">
        <f t="array" ref="L440">IF(436&gt;$S$1204,"",INDEX($T$5:$AJ$1204,MATCH(436,$S$5:$S$1204,0),12))</f>
        <v/>
      </c>
      <c r="M440" s="8" t="str">
        <f t="array" ref="M440">IF(436&gt;$S$1204,"",INDEX($T$5:$AJ$1204,MATCH(436,$S$5:$S$1204,0),13))</f>
        <v/>
      </c>
      <c r="N440" s="8" t="str">
        <f t="array" ref="N440">IF(436&gt;$S$1204,"",INDEX($T$5:$AJ$1204,MATCH(436,$S$5:$S$1204,0),14))</f>
        <v/>
      </c>
      <c r="O440" s="15" t="str">
        <f t="array" ref="O440">IF(436&gt;$S$1204,"",INDEX($T$5:$AJ$1204,MATCH(436,$S$5:$S$1204,0),15))</f>
        <v/>
      </c>
      <c r="P440" s="8" t="str">
        <f t="array" ref="P440">IF(436&gt;$S$1204,"",INDEX($T$5:$AJ$1204,MATCH(436,$S$5:$S$1204,0),16))</f>
        <v/>
      </c>
      <c r="Q440" s="8" t="str">
        <f t="array" ref="Q440">IF(436&gt;$S$1204,"",INDEX($T$5:$AJ$1204,MATCH(436,$S$5:$S$1204,0),17))</f>
        <v/>
      </c>
      <c r="R440" s="17"/>
      <c r="S440" s="17">
        <f>S439+IF(M3_Silleteria!A44="",0,1)</f>
        <v>0</v>
      </c>
      <c r="T440" s="17" t="str">
        <f>IF(M3_Silleteria!A44="","",IF(M3_Silleteria!A44="","",M3_Silleteria!A44))</f>
        <v/>
      </c>
      <c r="U440" s="17" t="str">
        <f>IF(M3_Silleteria!A44="","",IF(M3_Silleteria!Q44="","",M3_Silleteria!Q44))</f>
        <v/>
      </c>
      <c r="V440" s="17" t="str">
        <f>IF(M3_Silleteria!A44="","",IF(M3_Silleteria!D44="","",M3_Silleteria!D44))</f>
        <v/>
      </c>
      <c r="W440" s="17" t="str">
        <f>IF(M3_Silleteria!A44="","",IF(M3_Silleteria!B44="","",M3_Silleteria!B44))</f>
        <v/>
      </c>
      <c r="X440" s="17" t="str">
        <f>IF(M3_Silleteria!A44="","",IF(M3_Silleteria!C44="","",M3_Silleteria!C44))</f>
        <v/>
      </c>
      <c r="Y440" s="17" t="str">
        <f>IF(M3_Silleteria!A44="","",IF(M3_Silleteria!E44="","",M3_Silleteria!E44))</f>
        <v/>
      </c>
      <c r="Z440" s="17" t="str">
        <f>IF(M3_Silleteria!A44="","",IF(M3_Silleteria!F44="","",M3_Silleteria!F44))</f>
        <v/>
      </c>
      <c r="AA440" s="17" t="str">
        <f>IF(M3_Silleteria!A44="","","M3 Silletería")</f>
        <v/>
      </c>
      <c r="AB440" s="17" t="str">
        <f>IF(M3_Silleteria!A44="","",IF(M3_Silleteria!G44="","",M3_Silleteria!G44))</f>
        <v/>
      </c>
      <c r="AC440" s="17" t="str">
        <f>IF(M3_Silleteria!A44="","",IF(M3_Silleteria!L44="","",M3_Silleteria!L44))</f>
        <v/>
      </c>
      <c r="AD440" s="17" t="str">
        <f>IF(M3_Silleteria!A44="","","CD")</f>
        <v/>
      </c>
      <c r="AE440" s="17" t="str">
        <f>IF(M3_Silleteria!A44="","",IF(M3_Silleteria!N44="","",M3_Silleteria!N44))</f>
        <v/>
      </c>
      <c r="AF440" s="17" t="str">
        <f>IF(M3_Silleteria!A44="","",IF(M3_Silleteria!O44="","",M3_Silleteria!O44))</f>
        <v/>
      </c>
      <c r="AG440" s="17" t="str">
        <f>IF(M3_Silleteria!A44="","",IF(M3_Silleteria!P44="","",M3_Silleteria!P44))</f>
        <v/>
      </c>
      <c r="AH440" s="17" t="str">
        <f>IF(M3_Silleteria!A44="","",IF(M3_Silleteria!H44="","",M3_Silleteria!H44))</f>
        <v/>
      </c>
      <c r="AI440" s="17" t="str">
        <f>IF(M3_Silleteria!A44="","","M3_Silleteria!44")</f>
        <v/>
      </c>
      <c r="AJ440" s="17" t="str">
        <f>IF(M3_Silleteria!A44="","",IF(M3_Silleteria!L44="","Pendiente de resultado","Disponible"))</f>
        <v/>
      </c>
    </row>
    <row r="441" spans="1:36" ht="55.5" customHeight="1">
      <c r="A441" s="6" t="str">
        <f t="array" ref="A441">IF(437&gt;$S$1204,"",INDEX($T$5:$AJ$1204,MATCH(437,$S$5:$S$1204,0),1))</f>
        <v/>
      </c>
      <c r="B441" s="8" t="str">
        <f t="array" ref="B441">IF(437&gt;$S$1204,"",INDEX($T$5:$AJ$1204,MATCH(437,$S$5:$S$1204,0),2))</f>
        <v/>
      </c>
      <c r="C441" s="10" t="str">
        <f t="array" ref="C441">IF(437&gt;$S$1204,"",INDEX($T$5:$AJ$1204,MATCH(437,$S$5:$S$1204,0),3))</f>
        <v/>
      </c>
      <c r="D441" s="8" t="str">
        <f t="array" ref="D441">IF(437&gt;$S$1204,"",INDEX($T$5:$AJ$1204,MATCH(437,$S$5:$S$1204,0),4))</f>
        <v/>
      </c>
      <c r="E441" s="8" t="str">
        <f t="array" ref="E441">IF(437&gt;$S$1204,"",INDEX($T$5:$AJ$1204,MATCH(437,$S$5:$S$1204,0),5))</f>
        <v/>
      </c>
      <c r="F441" s="8" t="str">
        <f t="array" ref="F441">IF(437&gt;$S$1204,"",INDEX($T$5:$AJ$1204,MATCH(437,$S$5:$S$1204,0),6))</f>
        <v/>
      </c>
      <c r="G441" s="8" t="str">
        <f t="array" ref="G441">IF(437&gt;$S$1204,"",INDEX($T$5:$AJ$1204,MATCH(437,$S$5:$S$1204,0),7))</f>
        <v/>
      </c>
      <c r="H441" s="8" t="str">
        <f t="array" ref="H441">IF(437&gt;$S$1204,"",INDEX($T$5:$AJ$1204,MATCH(437,$S$5:$S$1204,0),8))</f>
        <v/>
      </c>
      <c r="I441" s="8" t="str">
        <f t="array" ref="I441">IF(437&gt;$S$1204,"",INDEX($T$5:$AJ$1204,MATCH(437,$S$5:$S$1204,0),9))</f>
        <v/>
      </c>
      <c r="J441" s="14" t="str">
        <f t="array" ref="J441">IF(437&gt;$S$1204,"",INDEX($T$5:$AJ$1204,MATCH(437,$S$5:$S$1204,0),10))</f>
        <v/>
      </c>
      <c r="K441" s="8" t="str">
        <f t="array" ref="K441">IF(437&gt;$S$1204,"",INDEX($T$5:$AJ$1204,MATCH(437,$S$5:$S$1204,0),11))</f>
        <v/>
      </c>
      <c r="L441" s="8" t="str">
        <f t="array" ref="L441">IF(437&gt;$S$1204,"",INDEX($T$5:$AJ$1204,MATCH(437,$S$5:$S$1204,0),12))</f>
        <v/>
      </c>
      <c r="M441" s="8" t="str">
        <f t="array" ref="M441">IF(437&gt;$S$1204,"",INDEX($T$5:$AJ$1204,MATCH(437,$S$5:$S$1204,0),13))</f>
        <v/>
      </c>
      <c r="N441" s="8" t="str">
        <f t="array" ref="N441">IF(437&gt;$S$1204,"",INDEX($T$5:$AJ$1204,MATCH(437,$S$5:$S$1204,0),14))</f>
        <v/>
      </c>
      <c r="O441" s="15" t="str">
        <f t="array" ref="O441">IF(437&gt;$S$1204,"",INDEX($T$5:$AJ$1204,MATCH(437,$S$5:$S$1204,0),15))</f>
        <v/>
      </c>
      <c r="P441" s="8" t="str">
        <f t="array" ref="P441">IF(437&gt;$S$1204,"",INDEX($T$5:$AJ$1204,MATCH(437,$S$5:$S$1204,0),16))</f>
        <v/>
      </c>
      <c r="Q441" s="8" t="str">
        <f t="array" ref="Q441">IF(437&gt;$S$1204,"",INDEX($T$5:$AJ$1204,MATCH(437,$S$5:$S$1204,0),17))</f>
        <v/>
      </c>
      <c r="R441" s="17"/>
      <c r="S441" s="17">
        <f>S440+IF(M3_Silleteria!A45="",0,1)</f>
        <v>0</v>
      </c>
      <c r="T441" s="17" t="str">
        <f>IF(M3_Silleteria!A45="","",IF(M3_Silleteria!A45="","",M3_Silleteria!A45))</f>
        <v/>
      </c>
      <c r="U441" s="17" t="str">
        <f>IF(M3_Silleteria!A45="","",IF(M3_Silleteria!Q45="","",M3_Silleteria!Q45))</f>
        <v/>
      </c>
      <c r="V441" s="17" t="str">
        <f>IF(M3_Silleteria!A45="","",IF(M3_Silleteria!D45="","",M3_Silleteria!D45))</f>
        <v/>
      </c>
      <c r="W441" s="17" t="str">
        <f>IF(M3_Silleteria!A45="","",IF(M3_Silleteria!B45="","",M3_Silleteria!B45))</f>
        <v/>
      </c>
      <c r="X441" s="17" t="str">
        <f>IF(M3_Silleteria!A45="","",IF(M3_Silleteria!C45="","",M3_Silleteria!C45))</f>
        <v/>
      </c>
      <c r="Y441" s="17" t="str">
        <f>IF(M3_Silleteria!A45="","",IF(M3_Silleteria!E45="","",M3_Silleteria!E45))</f>
        <v/>
      </c>
      <c r="Z441" s="17" t="str">
        <f>IF(M3_Silleteria!A45="","",IF(M3_Silleteria!F45="","",M3_Silleteria!F45))</f>
        <v/>
      </c>
      <c r="AA441" s="17" t="str">
        <f>IF(M3_Silleteria!A45="","","M3 Silletería")</f>
        <v/>
      </c>
      <c r="AB441" s="17" t="str">
        <f>IF(M3_Silleteria!A45="","",IF(M3_Silleteria!G45="","",M3_Silleteria!G45))</f>
        <v/>
      </c>
      <c r="AC441" s="17" t="str">
        <f>IF(M3_Silleteria!A45="","",IF(M3_Silleteria!L45="","",M3_Silleteria!L45))</f>
        <v/>
      </c>
      <c r="AD441" s="17" t="str">
        <f>IF(M3_Silleteria!A45="","","CD")</f>
        <v/>
      </c>
      <c r="AE441" s="17" t="str">
        <f>IF(M3_Silleteria!A45="","",IF(M3_Silleteria!N45="","",M3_Silleteria!N45))</f>
        <v/>
      </c>
      <c r="AF441" s="17" t="str">
        <f>IF(M3_Silleteria!A45="","",IF(M3_Silleteria!O45="","",M3_Silleteria!O45))</f>
        <v/>
      </c>
      <c r="AG441" s="17" t="str">
        <f>IF(M3_Silleteria!A45="","",IF(M3_Silleteria!P45="","",M3_Silleteria!P45))</f>
        <v/>
      </c>
      <c r="AH441" s="17" t="str">
        <f>IF(M3_Silleteria!A45="","",IF(M3_Silleteria!H45="","",M3_Silleteria!H45))</f>
        <v/>
      </c>
      <c r="AI441" s="17" t="str">
        <f>IF(M3_Silleteria!A45="","","M3_Silleteria!45")</f>
        <v/>
      </c>
      <c r="AJ441" s="17" t="str">
        <f>IF(M3_Silleteria!A45="","",IF(M3_Silleteria!L45="","Pendiente de resultado","Disponible"))</f>
        <v/>
      </c>
    </row>
    <row r="442" spans="1:36" ht="55.5" customHeight="1">
      <c r="A442" s="6" t="str">
        <f t="array" ref="A442">IF(438&gt;$S$1204,"",INDEX($T$5:$AJ$1204,MATCH(438,$S$5:$S$1204,0),1))</f>
        <v/>
      </c>
      <c r="B442" s="8" t="str">
        <f t="array" ref="B442">IF(438&gt;$S$1204,"",INDEX($T$5:$AJ$1204,MATCH(438,$S$5:$S$1204,0),2))</f>
        <v/>
      </c>
      <c r="C442" s="10" t="str">
        <f t="array" ref="C442">IF(438&gt;$S$1204,"",INDEX($T$5:$AJ$1204,MATCH(438,$S$5:$S$1204,0),3))</f>
        <v/>
      </c>
      <c r="D442" s="8" t="str">
        <f t="array" ref="D442">IF(438&gt;$S$1204,"",INDEX($T$5:$AJ$1204,MATCH(438,$S$5:$S$1204,0),4))</f>
        <v/>
      </c>
      <c r="E442" s="8" t="str">
        <f t="array" ref="E442">IF(438&gt;$S$1204,"",INDEX($T$5:$AJ$1204,MATCH(438,$S$5:$S$1204,0),5))</f>
        <v/>
      </c>
      <c r="F442" s="8" t="str">
        <f t="array" ref="F442">IF(438&gt;$S$1204,"",INDEX($T$5:$AJ$1204,MATCH(438,$S$5:$S$1204,0),6))</f>
        <v/>
      </c>
      <c r="G442" s="8" t="str">
        <f t="array" ref="G442">IF(438&gt;$S$1204,"",INDEX($T$5:$AJ$1204,MATCH(438,$S$5:$S$1204,0),7))</f>
        <v/>
      </c>
      <c r="H442" s="8" t="str">
        <f t="array" ref="H442">IF(438&gt;$S$1204,"",INDEX($T$5:$AJ$1204,MATCH(438,$S$5:$S$1204,0),8))</f>
        <v/>
      </c>
      <c r="I442" s="8" t="str">
        <f t="array" ref="I442">IF(438&gt;$S$1204,"",INDEX($T$5:$AJ$1204,MATCH(438,$S$5:$S$1204,0),9))</f>
        <v/>
      </c>
      <c r="J442" s="14" t="str">
        <f t="array" ref="J442">IF(438&gt;$S$1204,"",INDEX($T$5:$AJ$1204,MATCH(438,$S$5:$S$1204,0),10))</f>
        <v/>
      </c>
      <c r="K442" s="8" t="str">
        <f t="array" ref="K442">IF(438&gt;$S$1204,"",INDEX($T$5:$AJ$1204,MATCH(438,$S$5:$S$1204,0),11))</f>
        <v/>
      </c>
      <c r="L442" s="8" t="str">
        <f t="array" ref="L442">IF(438&gt;$S$1204,"",INDEX($T$5:$AJ$1204,MATCH(438,$S$5:$S$1204,0),12))</f>
        <v/>
      </c>
      <c r="M442" s="8" t="str">
        <f t="array" ref="M442">IF(438&gt;$S$1204,"",INDEX($T$5:$AJ$1204,MATCH(438,$S$5:$S$1204,0),13))</f>
        <v/>
      </c>
      <c r="N442" s="8" t="str">
        <f t="array" ref="N442">IF(438&gt;$S$1204,"",INDEX($T$5:$AJ$1204,MATCH(438,$S$5:$S$1204,0),14))</f>
        <v/>
      </c>
      <c r="O442" s="15" t="str">
        <f t="array" ref="O442">IF(438&gt;$S$1204,"",INDEX($T$5:$AJ$1204,MATCH(438,$S$5:$S$1204,0),15))</f>
        <v/>
      </c>
      <c r="P442" s="8" t="str">
        <f t="array" ref="P442">IF(438&gt;$S$1204,"",INDEX($T$5:$AJ$1204,MATCH(438,$S$5:$S$1204,0),16))</f>
        <v/>
      </c>
      <c r="Q442" s="8" t="str">
        <f t="array" ref="Q442">IF(438&gt;$S$1204,"",INDEX($T$5:$AJ$1204,MATCH(438,$S$5:$S$1204,0),17))</f>
        <v/>
      </c>
      <c r="R442" s="17"/>
      <c r="S442" s="17">
        <f>S441+IF(M3_Silleteria!A46="",0,1)</f>
        <v>0</v>
      </c>
      <c r="T442" s="17" t="str">
        <f>IF(M3_Silleteria!A46="","",IF(M3_Silleteria!A46="","",M3_Silleteria!A46))</f>
        <v/>
      </c>
      <c r="U442" s="17" t="str">
        <f>IF(M3_Silleteria!A46="","",IF(M3_Silleteria!Q46="","",M3_Silleteria!Q46))</f>
        <v/>
      </c>
      <c r="V442" s="17" t="str">
        <f>IF(M3_Silleteria!A46="","",IF(M3_Silleteria!D46="","",M3_Silleteria!D46))</f>
        <v/>
      </c>
      <c r="W442" s="17" t="str">
        <f>IF(M3_Silleteria!A46="","",IF(M3_Silleteria!B46="","",M3_Silleteria!B46))</f>
        <v/>
      </c>
      <c r="X442" s="17" t="str">
        <f>IF(M3_Silleteria!A46="","",IF(M3_Silleteria!C46="","",M3_Silleteria!C46))</f>
        <v/>
      </c>
      <c r="Y442" s="17" t="str">
        <f>IF(M3_Silleteria!A46="","",IF(M3_Silleteria!E46="","",M3_Silleteria!E46))</f>
        <v/>
      </c>
      <c r="Z442" s="17" t="str">
        <f>IF(M3_Silleteria!A46="","",IF(M3_Silleteria!F46="","",M3_Silleteria!F46))</f>
        <v/>
      </c>
      <c r="AA442" s="17" t="str">
        <f>IF(M3_Silleteria!A46="","","M3 Silletería")</f>
        <v/>
      </c>
      <c r="AB442" s="17" t="str">
        <f>IF(M3_Silleteria!A46="","",IF(M3_Silleteria!G46="","",M3_Silleteria!G46))</f>
        <v/>
      </c>
      <c r="AC442" s="17" t="str">
        <f>IF(M3_Silleteria!A46="","",IF(M3_Silleteria!L46="","",M3_Silleteria!L46))</f>
        <v/>
      </c>
      <c r="AD442" s="17" t="str">
        <f>IF(M3_Silleteria!A46="","","CD")</f>
        <v/>
      </c>
      <c r="AE442" s="17" t="str">
        <f>IF(M3_Silleteria!A46="","",IF(M3_Silleteria!N46="","",M3_Silleteria!N46))</f>
        <v/>
      </c>
      <c r="AF442" s="17" t="str">
        <f>IF(M3_Silleteria!A46="","",IF(M3_Silleteria!O46="","",M3_Silleteria!O46))</f>
        <v/>
      </c>
      <c r="AG442" s="17" t="str">
        <f>IF(M3_Silleteria!A46="","",IF(M3_Silleteria!P46="","",M3_Silleteria!P46))</f>
        <v/>
      </c>
      <c r="AH442" s="17" t="str">
        <f>IF(M3_Silleteria!A46="","",IF(M3_Silleteria!H46="","",M3_Silleteria!H46))</f>
        <v/>
      </c>
      <c r="AI442" s="17" t="str">
        <f>IF(M3_Silleteria!A46="","","M3_Silleteria!46")</f>
        <v/>
      </c>
      <c r="AJ442" s="17" t="str">
        <f>IF(M3_Silleteria!A46="","",IF(M3_Silleteria!L46="","Pendiente de resultado","Disponible"))</f>
        <v/>
      </c>
    </row>
    <row r="443" spans="1:36" ht="55.5" customHeight="1">
      <c r="A443" s="6" t="str">
        <f t="array" ref="A443">IF(439&gt;$S$1204,"",INDEX($T$5:$AJ$1204,MATCH(439,$S$5:$S$1204,0),1))</f>
        <v/>
      </c>
      <c r="B443" s="8" t="str">
        <f t="array" ref="B443">IF(439&gt;$S$1204,"",INDEX($T$5:$AJ$1204,MATCH(439,$S$5:$S$1204,0),2))</f>
        <v/>
      </c>
      <c r="C443" s="10" t="str">
        <f t="array" ref="C443">IF(439&gt;$S$1204,"",INDEX($T$5:$AJ$1204,MATCH(439,$S$5:$S$1204,0),3))</f>
        <v/>
      </c>
      <c r="D443" s="8" t="str">
        <f t="array" ref="D443">IF(439&gt;$S$1204,"",INDEX($T$5:$AJ$1204,MATCH(439,$S$5:$S$1204,0),4))</f>
        <v/>
      </c>
      <c r="E443" s="8" t="str">
        <f t="array" ref="E443">IF(439&gt;$S$1204,"",INDEX($T$5:$AJ$1204,MATCH(439,$S$5:$S$1204,0),5))</f>
        <v/>
      </c>
      <c r="F443" s="8" t="str">
        <f t="array" ref="F443">IF(439&gt;$S$1204,"",INDEX($T$5:$AJ$1204,MATCH(439,$S$5:$S$1204,0),6))</f>
        <v/>
      </c>
      <c r="G443" s="8" t="str">
        <f t="array" ref="G443">IF(439&gt;$S$1204,"",INDEX($T$5:$AJ$1204,MATCH(439,$S$5:$S$1204,0),7))</f>
        <v/>
      </c>
      <c r="H443" s="8" t="str">
        <f t="array" ref="H443">IF(439&gt;$S$1204,"",INDEX($T$5:$AJ$1204,MATCH(439,$S$5:$S$1204,0),8))</f>
        <v/>
      </c>
      <c r="I443" s="8" t="str">
        <f t="array" ref="I443">IF(439&gt;$S$1204,"",INDEX($T$5:$AJ$1204,MATCH(439,$S$5:$S$1204,0),9))</f>
        <v/>
      </c>
      <c r="J443" s="14" t="str">
        <f t="array" ref="J443">IF(439&gt;$S$1204,"",INDEX($T$5:$AJ$1204,MATCH(439,$S$5:$S$1204,0),10))</f>
        <v/>
      </c>
      <c r="K443" s="8" t="str">
        <f t="array" ref="K443">IF(439&gt;$S$1204,"",INDEX($T$5:$AJ$1204,MATCH(439,$S$5:$S$1204,0),11))</f>
        <v/>
      </c>
      <c r="L443" s="8" t="str">
        <f t="array" ref="L443">IF(439&gt;$S$1204,"",INDEX($T$5:$AJ$1204,MATCH(439,$S$5:$S$1204,0),12))</f>
        <v/>
      </c>
      <c r="M443" s="8" t="str">
        <f t="array" ref="M443">IF(439&gt;$S$1204,"",INDEX($T$5:$AJ$1204,MATCH(439,$S$5:$S$1204,0),13))</f>
        <v/>
      </c>
      <c r="N443" s="8" t="str">
        <f t="array" ref="N443">IF(439&gt;$S$1204,"",INDEX($T$5:$AJ$1204,MATCH(439,$S$5:$S$1204,0),14))</f>
        <v/>
      </c>
      <c r="O443" s="15" t="str">
        <f t="array" ref="O443">IF(439&gt;$S$1204,"",INDEX($T$5:$AJ$1204,MATCH(439,$S$5:$S$1204,0),15))</f>
        <v/>
      </c>
      <c r="P443" s="8" t="str">
        <f t="array" ref="P443">IF(439&gt;$S$1204,"",INDEX($T$5:$AJ$1204,MATCH(439,$S$5:$S$1204,0),16))</f>
        <v/>
      </c>
      <c r="Q443" s="8" t="str">
        <f t="array" ref="Q443">IF(439&gt;$S$1204,"",INDEX($T$5:$AJ$1204,MATCH(439,$S$5:$S$1204,0),17))</f>
        <v/>
      </c>
      <c r="R443" s="17"/>
      <c r="S443" s="17">
        <f>S442+IF(M3_Silleteria!A47="",0,1)</f>
        <v>0</v>
      </c>
      <c r="T443" s="17" t="str">
        <f>IF(M3_Silleteria!A47="","",IF(M3_Silleteria!A47="","",M3_Silleteria!A47))</f>
        <v/>
      </c>
      <c r="U443" s="17" t="str">
        <f>IF(M3_Silleteria!A47="","",IF(M3_Silleteria!Q47="","",M3_Silleteria!Q47))</f>
        <v/>
      </c>
      <c r="V443" s="17" t="str">
        <f>IF(M3_Silleteria!A47="","",IF(M3_Silleteria!D47="","",M3_Silleteria!D47))</f>
        <v/>
      </c>
      <c r="W443" s="17" t="str">
        <f>IF(M3_Silleteria!A47="","",IF(M3_Silleteria!B47="","",M3_Silleteria!B47))</f>
        <v/>
      </c>
      <c r="X443" s="17" t="str">
        <f>IF(M3_Silleteria!A47="","",IF(M3_Silleteria!C47="","",M3_Silleteria!C47))</f>
        <v/>
      </c>
      <c r="Y443" s="17" t="str">
        <f>IF(M3_Silleteria!A47="","",IF(M3_Silleteria!E47="","",M3_Silleteria!E47))</f>
        <v/>
      </c>
      <c r="Z443" s="17" t="str">
        <f>IF(M3_Silleteria!A47="","",IF(M3_Silleteria!F47="","",M3_Silleteria!F47))</f>
        <v/>
      </c>
      <c r="AA443" s="17" t="str">
        <f>IF(M3_Silleteria!A47="","","M3 Silletería")</f>
        <v/>
      </c>
      <c r="AB443" s="17" t="str">
        <f>IF(M3_Silleteria!A47="","",IF(M3_Silleteria!G47="","",M3_Silleteria!G47))</f>
        <v/>
      </c>
      <c r="AC443" s="17" t="str">
        <f>IF(M3_Silleteria!A47="","",IF(M3_Silleteria!L47="","",M3_Silleteria!L47))</f>
        <v/>
      </c>
      <c r="AD443" s="17" t="str">
        <f>IF(M3_Silleteria!A47="","","CD")</f>
        <v/>
      </c>
      <c r="AE443" s="17" t="str">
        <f>IF(M3_Silleteria!A47="","",IF(M3_Silleteria!N47="","",M3_Silleteria!N47))</f>
        <v/>
      </c>
      <c r="AF443" s="17" t="str">
        <f>IF(M3_Silleteria!A47="","",IF(M3_Silleteria!O47="","",M3_Silleteria!O47))</f>
        <v/>
      </c>
      <c r="AG443" s="17" t="str">
        <f>IF(M3_Silleteria!A47="","",IF(M3_Silleteria!P47="","",M3_Silleteria!P47))</f>
        <v/>
      </c>
      <c r="AH443" s="17" t="str">
        <f>IF(M3_Silleteria!A47="","",IF(M3_Silleteria!H47="","",M3_Silleteria!H47))</f>
        <v/>
      </c>
      <c r="AI443" s="17" t="str">
        <f>IF(M3_Silleteria!A47="","","M3_Silleteria!47")</f>
        <v/>
      </c>
      <c r="AJ443" s="17" t="str">
        <f>IF(M3_Silleteria!A47="","",IF(M3_Silleteria!L47="","Pendiente de resultado","Disponible"))</f>
        <v/>
      </c>
    </row>
    <row r="444" spans="1:36" ht="55.5" customHeight="1">
      <c r="A444" s="6" t="str">
        <f t="array" ref="A444">IF(440&gt;$S$1204,"",INDEX($T$5:$AJ$1204,MATCH(440,$S$5:$S$1204,0),1))</f>
        <v/>
      </c>
      <c r="B444" s="8" t="str">
        <f t="array" ref="B444">IF(440&gt;$S$1204,"",INDEX($T$5:$AJ$1204,MATCH(440,$S$5:$S$1204,0),2))</f>
        <v/>
      </c>
      <c r="C444" s="10" t="str">
        <f t="array" ref="C444">IF(440&gt;$S$1204,"",INDEX($T$5:$AJ$1204,MATCH(440,$S$5:$S$1204,0),3))</f>
        <v/>
      </c>
      <c r="D444" s="8" t="str">
        <f t="array" ref="D444">IF(440&gt;$S$1204,"",INDEX($T$5:$AJ$1204,MATCH(440,$S$5:$S$1204,0),4))</f>
        <v/>
      </c>
      <c r="E444" s="8" t="str">
        <f t="array" ref="E444">IF(440&gt;$S$1204,"",INDEX($T$5:$AJ$1204,MATCH(440,$S$5:$S$1204,0),5))</f>
        <v/>
      </c>
      <c r="F444" s="8" t="str">
        <f t="array" ref="F444">IF(440&gt;$S$1204,"",INDEX($T$5:$AJ$1204,MATCH(440,$S$5:$S$1204,0),6))</f>
        <v/>
      </c>
      <c r="G444" s="8" t="str">
        <f t="array" ref="G444">IF(440&gt;$S$1204,"",INDEX($T$5:$AJ$1204,MATCH(440,$S$5:$S$1204,0),7))</f>
        <v/>
      </c>
      <c r="H444" s="8" t="str">
        <f t="array" ref="H444">IF(440&gt;$S$1204,"",INDEX($T$5:$AJ$1204,MATCH(440,$S$5:$S$1204,0),8))</f>
        <v/>
      </c>
      <c r="I444" s="8" t="str">
        <f t="array" ref="I444">IF(440&gt;$S$1204,"",INDEX($T$5:$AJ$1204,MATCH(440,$S$5:$S$1204,0),9))</f>
        <v/>
      </c>
      <c r="J444" s="14" t="str">
        <f t="array" ref="J444">IF(440&gt;$S$1204,"",INDEX($T$5:$AJ$1204,MATCH(440,$S$5:$S$1204,0),10))</f>
        <v/>
      </c>
      <c r="K444" s="8" t="str">
        <f t="array" ref="K444">IF(440&gt;$S$1204,"",INDEX($T$5:$AJ$1204,MATCH(440,$S$5:$S$1204,0),11))</f>
        <v/>
      </c>
      <c r="L444" s="8" t="str">
        <f t="array" ref="L444">IF(440&gt;$S$1204,"",INDEX($T$5:$AJ$1204,MATCH(440,$S$5:$S$1204,0),12))</f>
        <v/>
      </c>
      <c r="M444" s="8" t="str">
        <f t="array" ref="M444">IF(440&gt;$S$1204,"",INDEX($T$5:$AJ$1204,MATCH(440,$S$5:$S$1204,0),13))</f>
        <v/>
      </c>
      <c r="N444" s="8" t="str">
        <f t="array" ref="N444">IF(440&gt;$S$1204,"",INDEX($T$5:$AJ$1204,MATCH(440,$S$5:$S$1204,0),14))</f>
        <v/>
      </c>
      <c r="O444" s="15" t="str">
        <f t="array" ref="O444">IF(440&gt;$S$1204,"",INDEX($T$5:$AJ$1204,MATCH(440,$S$5:$S$1204,0),15))</f>
        <v/>
      </c>
      <c r="P444" s="8" t="str">
        <f t="array" ref="P444">IF(440&gt;$S$1204,"",INDEX($T$5:$AJ$1204,MATCH(440,$S$5:$S$1204,0),16))</f>
        <v/>
      </c>
      <c r="Q444" s="8" t="str">
        <f t="array" ref="Q444">IF(440&gt;$S$1204,"",INDEX($T$5:$AJ$1204,MATCH(440,$S$5:$S$1204,0),17))</f>
        <v/>
      </c>
      <c r="R444" s="17"/>
      <c r="S444" s="17">
        <f>S443+IF(M3_Silleteria!A48="",0,1)</f>
        <v>0</v>
      </c>
      <c r="T444" s="17" t="str">
        <f>IF(M3_Silleteria!A48="","",IF(M3_Silleteria!A48="","",M3_Silleteria!A48))</f>
        <v/>
      </c>
      <c r="U444" s="17" t="str">
        <f>IF(M3_Silleteria!A48="","",IF(M3_Silleteria!Q48="","",M3_Silleteria!Q48))</f>
        <v/>
      </c>
      <c r="V444" s="17" t="str">
        <f>IF(M3_Silleteria!A48="","",IF(M3_Silleteria!D48="","",M3_Silleteria!D48))</f>
        <v/>
      </c>
      <c r="W444" s="17" t="str">
        <f>IF(M3_Silleteria!A48="","",IF(M3_Silleteria!B48="","",M3_Silleteria!B48))</f>
        <v/>
      </c>
      <c r="X444" s="17" t="str">
        <f>IF(M3_Silleteria!A48="","",IF(M3_Silleteria!C48="","",M3_Silleteria!C48))</f>
        <v/>
      </c>
      <c r="Y444" s="17" t="str">
        <f>IF(M3_Silleteria!A48="","",IF(M3_Silleteria!E48="","",M3_Silleteria!E48))</f>
        <v/>
      </c>
      <c r="Z444" s="17" t="str">
        <f>IF(M3_Silleteria!A48="","",IF(M3_Silleteria!F48="","",M3_Silleteria!F48))</f>
        <v/>
      </c>
      <c r="AA444" s="17" t="str">
        <f>IF(M3_Silleteria!A48="","","M3 Silletería")</f>
        <v/>
      </c>
      <c r="AB444" s="17" t="str">
        <f>IF(M3_Silleteria!A48="","",IF(M3_Silleteria!G48="","",M3_Silleteria!G48))</f>
        <v/>
      </c>
      <c r="AC444" s="17" t="str">
        <f>IF(M3_Silleteria!A48="","",IF(M3_Silleteria!L48="","",M3_Silleteria!L48))</f>
        <v/>
      </c>
      <c r="AD444" s="17" t="str">
        <f>IF(M3_Silleteria!A48="","","CD")</f>
        <v/>
      </c>
      <c r="AE444" s="17" t="str">
        <f>IF(M3_Silleteria!A48="","",IF(M3_Silleteria!N48="","",M3_Silleteria!N48))</f>
        <v/>
      </c>
      <c r="AF444" s="17" t="str">
        <f>IF(M3_Silleteria!A48="","",IF(M3_Silleteria!O48="","",M3_Silleteria!O48))</f>
        <v/>
      </c>
      <c r="AG444" s="17" t="str">
        <f>IF(M3_Silleteria!A48="","",IF(M3_Silleteria!P48="","",M3_Silleteria!P48))</f>
        <v/>
      </c>
      <c r="AH444" s="17" t="str">
        <f>IF(M3_Silleteria!A48="","",IF(M3_Silleteria!H48="","",M3_Silleteria!H48))</f>
        <v/>
      </c>
      <c r="AI444" s="17" t="str">
        <f>IF(M3_Silleteria!A48="","","M3_Silleteria!48")</f>
        <v/>
      </c>
      <c r="AJ444" s="17" t="str">
        <f>IF(M3_Silleteria!A48="","",IF(M3_Silleteria!L48="","Pendiente de resultado","Disponible"))</f>
        <v/>
      </c>
    </row>
    <row r="445" spans="1:36" ht="55.5" customHeight="1">
      <c r="A445" s="6" t="str">
        <f t="array" ref="A445">IF(441&gt;$S$1204,"",INDEX($T$5:$AJ$1204,MATCH(441,$S$5:$S$1204,0),1))</f>
        <v/>
      </c>
      <c r="B445" s="8" t="str">
        <f t="array" ref="B445">IF(441&gt;$S$1204,"",INDEX($T$5:$AJ$1204,MATCH(441,$S$5:$S$1204,0),2))</f>
        <v/>
      </c>
      <c r="C445" s="10" t="str">
        <f t="array" ref="C445">IF(441&gt;$S$1204,"",INDEX($T$5:$AJ$1204,MATCH(441,$S$5:$S$1204,0),3))</f>
        <v/>
      </c>
      <c r="D445" s="8" t="str">
        <f t="array" ref="D445">IF(441&gt;$S$1204,"",INDEX($T$5:$AJ$1204,MATCH(441,$S$5:$S$1204,0),4))</f>
        <v/>
      </c>
      <c r="E445" s="8" t="str">
        <f t="array" ref="E445">IF(441&gt;$S$1204,"",INDEX($T$5:$AJ$1204,MATCH(441,$S$5:$S$1204,0),5))</f>
        <v/>
      </c>
      <c r="F445" s="8" t="str">
        <f t="array" ref="F445">IF(441&gt;$S$1204,"",INDEX($T$5:$AJ$1204,MATCH(441,$S$5:$S$1204,0),6))</f>
        <v/>
      </c>
      <c r="G445" s="8" t="str">
        <f t="array" ref="G445">IF(441&gt;$S$1204,"",INDEX($T$5:$AJ$1204,MATCH(441,$S$5:$S$1204,0),7))</f>
        <v/>
      </c>
      <c r="H445" s="8" t="str">
        <f t="array" ref="H445">IF(441&gt;$S$1204,"",INDEX($T$5:$AJ$1204,MATCH(441,$S$5:$S$1204,0),8))</f>
        <v/>
      </c>
      <c r="I445" s="8" t="str">
        <f t="array" ref="I445">IF(441&gt;$S$1204,"",INDEX($T$5:$AJ$1204,MATCH(441,$S$5:$S$1204,0),9))</f>
        <v/>
      </c>
      <c r="J445" s="14" t="str">
        <f t="array" ref="J445">IF(441&gt;$S$1204,"",INDEX($T$5:$AJ$1204,MATCH(441,$S$5:$S$1204,0),10))</f>
        <v/>
      </c>
      <c r="K445" s="8" t="str">
        <f t="array" ref="K445">IF(441&gt;$S$1204,"",INDEX($T$5:$AJ$1204,MATCH(441,$S$5:$S$1204,0),11))</f>
        <v/>
      </c>
      <c r="L445" s="8" t="str">
        <f t="array" ref="L445">IF(441&gt;$S$1204,"",INDEX($T$5:$AJ$1204,MATCH(441,$S$5:$S$1204,0),12))</f>
        <v/>
      </c>
      <c r="M445" s="8" t="str">
        <f t="array" ref="M445">IF(441&gt;$S$1204,"",INDEX($T$5:$AJ$1204,MATCH(441,$S$5:$S$1204,0),13))</f>
        <v/>
      </c>
      <c r="N445" s="8" t="str">
        <f t="array" ref="N445">IF(441&gt;$S$1204,"",INDEX($T$5:$AJ$1204,MATCH(441,$S$5:$S$1204,0),14))</f>
        <v/>
      </c>
      <c r="O445" s="15" t="str">
        <f t="array" ref="O445">IF(441&gt;$S$1204,"",INDEX($T$5:$AJ$1204,MATCH(441,$S$5:$S$1204,0),15))</f>
        <v/>
      </c>
      <c r="P445" s="8" t="str">
        <f t="array" ref="P445">IF(441&gt;$S$1204,"",INDEX($T$5:$AJ$1204,MATCH(441,$S$5:$S$1204,0),16))</f>
        <v/>
      </c>
      <c r="Q445" s="8" t="str">
        <f t="array" ref="Q445">IF(441&gt;$S$1204,"",INDEX($T$5:$AJ$1204,MATCH(441,$S$5:$S$1204,0),17))</f>
        <v/>
      </c>
      <c r="R445" s="17"/>
      <c r="S445" s="17">
        <f>S444+IF(M3_Silleteria!A49="",0,1)</f>
        <v>0</v>
      </c>
      <c r="T445" s="17" t="str">
        <f>IF(M3_Silleteria!A49="","",IF(M3_Silleteria!A49="","",M3_Silleteria!A49))</f>
        <v/>
      </c>
      <c r="U445" s="17" t="str">
        <f>IF(M3_Silleteria!A49="","",IF(M3_Silleteria!Q49="","",M3_Silleteria!Q49))</f>
        <v/>
      </c>
      <c r="V445" s="17" t="str">
        <f>IF(M3_Silleteria!A49="","",IF(M3_Silleteria!D49="","",M3_Silleteria!D49))</f>
        <v/>
      </c>
      <c r="W445" s="17" t="str">
        <f>IF(M3_Silleteria!A49="","",IF(M3_Silleteria!B49="","",M3_Silleteria!B49))</f>
        <v/>
      </c>
      <c r="X445" s="17" t="str">
        <f>IF(M3_Silleteria!A49="","",IF(M3_Silleteria!C49="","",M3_Silleteria!C49))</f>
        <v/>
      </c>
      <c r="Y445" s="17" t="str">
        <f>IF(M3_Silleteria!A49="","",IF(M3_Silleteria!E49="","",M3_Silleteria!E49))</f>
        <v/>
      </c>
      <c r="Z445" s="17" t="str">
        <f>IF(M3_Silleteria!A49="","",IF(M3_Silleteria!F49="","",M3_Silleteria!F49))</f>
        <v/>
      </c>
      <c r="AA445" s="17" t="str">
        <f>IF(M3_Silleteria!A49="","","M3 Silletería")</f>
        <v/>
      </c>
      <c r="AB445" s="17" t="str">
        <f>IF(M3_Silleteria!A49="","",IF(M3_Silleteria!G49="","",M3_Silleteria!G49))</f>
        <v/>
      </c>
      <c r="AC445" s="17" t="str">
        <f>IF(M3_Silleteria!A49="","",IF(M3_Silleteria!L49="","",M3_Silleteria!L49))</f>
        <v/>
      </c>
      <c r="AD445" s="17" t="str">
        <f>IF(M3_Silleteria!A49="","","CD")</f>
        <v/>
      </c>
      <c r="AE445" s="17" t="str">
        <f>IF(M3_Silleteria!A49="","",IF(M3_Silleteria!N49="","",M3_Silleteria!N49))</f>
        <v/>
      </c>
      <c r="AF445" s="17" t="str">
        <f>IF(M3_Silleteria!A49="","",IF(M3_Silleteria!O49="","",M3_Silleteria!O49))</f>
        <v/>
      </c>
      <c r="AG445" s="17" t="str">
        <f>IF(M3_Silleteria!A49="","",IF(M3_Silleteria!P49="","",M3_Silleteria!P49))</f>
        <v/>
      </c>
      <c r="AH445" s="17" t="str">
        <f>IF(M3_Silleteria!A49="","",IF(M3_Silleteria!H49="","",M3_Silleteria!H49))</f>
        <v/>
      </c>
      <c r="AI445" s="17" t="str">
        <f>IF(M3_Silleteria!A49="","","M3_Silleteria!49")</f>
        <v/>
      </c>
      <c r="AJ445" s="17" t="str">
        <f>IF(M3_Silleteria!A49="","",IF(M3_Silleteria!L49="","Pendiente de resultado","Disponible"))</f>
        <v/>
      </c>
    </row>
    <row r="446" spans="1:36" ht="55.5" customHeight="1">
      <c r="A446" s="6" t="str">
        <f t="array" ref="A446">IF(442&gt;$S$1204,"",INDEX($T$5:$AJ$1204,MATCH(442,$S$5:$S$1204,0),1))</f>
        <v/>
      </c>
      <c r="B446" s="8" t="str">
        <f t="array" ref="B446">IF(442&gt;$S$1204,"",INDEX($T$5:$AJ$1204,MATCH(442,$S$5:$S$1204,0),2))</f>
        <v/>
      </c>
      <c r="C446" s="10" t="str">
        <f t="array" ref="C446">IF(442&gt;$S$1204,"",INDEX($T$5:$AJ$1204,MATCH(442,$S$5:$S$1204,0),3))</f>
        <v/>
      </c>
      <c r="D446" s="8" t="str">
        <f t="array" ref="D446">IF(442&gt;$S$1204,"",INDEX($T$5:$AJ$1204,MATCH(442,$S$5:$S$1204,0),4))</f>
        <v/>
      </c>
      <c r="E446" s="8" t="str">
        <f t="array" ref="E446">IF(442&gt;$S$1204,"",INDEX($T$5:$AJ$1204,MATCH(442,$S$5:$S$1204,0),5))</f>
        <v/>
      </c>
      <c r="F446" s="8" t="str">
        <f t="array" ref="F446">IF(442&gt;$S$1204,"",INDEX($T$5:$AJ$1204,MATCH(442,$S$5:$S$1204,0),6))</f>
        <v/>
      </c>
      <c r="G446" s="8" t="str">
        <f t="array" ref="G446">IF(442&gt;$S$1204,"",INDEX($T$5:$AJ$1204,MATCH(442,$S$5:$S$1204,0),7))</f>
        <v/>
      </c>
      <c r="H446" s="8" t="str">
        <f t="array" ref="H446">IF(442&gt;$S$1204,"",INDEX($T$5:$AJ$1204,MATCH(442,$S$5:$S$1204,0),8))</f>
        <v/>
      </c>
      <c r="I446" s="8" t="str">
        <f t="array" ref="I446">IF(442&gt;$S$1204,"",INDEX($T$5:$AJ$1204,MATCH(442,$S$5:$S$1204,0),9))</f>
        <v/>
      </c>
      <c r="J446" s="14" t="str">
        <f t="array" ref="J446">IF(442&gt;$S$1204,"",INDEX($T$5:$AJ$1204,MATCH(442,$S$5:$S$1204,0),10))</f>
        <v/>
      </c>
      <c r="K446" s="8" t="str">
        <f t="array" ref="K446">IF(442&gt;$S$1204,"",INDEX($T$5:$AJ$1204,MATCH(442,$S$5:$S$1204,0),11))</f>
        <v/>
      </c>
      <c r="L446" s="8" t="str">
        <f t="array" ref="L446">IF(442&gt;$S$1204,"",INDEX($T$5:$AJ$1204,MATCH(442,$S$5:$S$1204,0),12))</f>
        <v/>
      </c>
      <c r="M446" s="8" t="str">
        <f t="array" ref="M446">IF(442&gt;$S$1204,"",INDEX($T$5:$AJ$1204,MATCH(442,$S$5:$S$1204,0),13))</f>
        <v/>
      </c>
      <c r="N446" s="8" t="str">
        <f t="array" ref="N446">IF(442&gt;$S$1204,"",INDEX($T$5:$AJ$1204,MATCH(442,$S$5:$S$1204,0),14))</f>
        <v/>
      </c>
      <c r="O446" s="15" t="str">
        <f t="array" ref="O446">IF(442&gt;$S$1204,"",INDEX($T$5:$AJ$1204,MATCH(442,$S$5:$S$1204,0),15))</f>
        <v/>
      </c>
      <c r="P446" s="8" t="str">
        <f t="array" ref="P446">IF(442&gt;$S$1204,"",INDEX($T$5:$AJ$1204,MATCH(442,$S$5:$S$1204,0),16))</f>
        <v/>
      </c>
      <c r="Q446" s="8" t="str">
        <f t="array" ref="Q446">IF(442&gt;$S$1204,"",INDEX($T$5:$AJ$1204,MATCH(442,$S$5:$S$1204,0),17))</f>
        <v/>
      </c>
      <c r="R446" s="17"/>
      <c r="S446" s="17">
        <f>S445+IF(M3_Silleteria!A50="",0,1)</f>
        <v>0</v>
      </c>
      <c r="T446" s="17" t="str">
        <f>IF(M3_Silleteria!A50="","",IF(M3_Silleteria!A50="","",M3_Silleteria!A50))</f>
        <v/>
      </c>
      <c r="U446" s="17" t="str">
        <f>IF(M3_Silleteria!A50="","",IF(M3_Silleteria!Q50="","",M3_Silleteria!Q50))</f>
        <v/>
      </c>
      <c r="V446" s="17" t="str">
        <f>IF(M3_Silleteria!A50="","",IF(M3_Silleteria!D50="","",M3_Silleteria!D50))</f>
        <v/>
      </c>
      <c r="W446" s="17" t="str">
        <f>IF(M3_Silleteria!A50="","",IF(M3_Silleteria!B50="","",M3_Silleteria!B50))</f>
        <v/>
      </c>
      <c r="X446" s="17" t="str">
        <f>IF(M3_Silleteria!A50="","",IF(M3_Silleteria!C50="","",M3_Silleteria!C50))</f>
        <v/>
      </c>
      <c r="Y446" s="17" t="str">
        <f>IF(M3_Silleteria!A50="","",IF(M3_Silleteria!E50="","",M3_Silleteria!E50))</f>
        <v/>
      </c>
      <c r="Z446" s="17" t="str">
        <f>IF(M3_Silleteria!A50="","",IF(M3_Silleteria!F50="","",M3_Silleteria!F50))</f>
        <v/>
      </c>
      <c r="AA446" s="17" t="str">
        <f>IF(M3_Silleteria!A50="","","M3 Silletería")</f>
        <v/>
      </c>
      <c r="AB446" s="17" t="str">
        <f>IF(M3_Silleteria!A50="","",IF(M3_Silleteria!G50="","",M3_Silleteria!G50))</f>
        <v/>
      </c>
      <c r="AC446" s="17" t="str">
        <f>IF(M3_Silleteria!A50="","",IF(M3_Silleteria!L50="","",M3_Silleteria!L50))</f>
        <v/>
      </c>
      <c r="AD446" s="17" t="str">
        <f>IF(M3_Silleteria!A50="","","CD")</f>
        <v/>
      </c>
      <c r="AE446" s="17" t="str">
        <f>IF(M3_Silleteria!A50="","",IF(M3_Silleteria!N50="","",M3_Silleteria!N50))</f>
        <v/>
      </c>
      <c r="AF446" s="17" t="str">
        <f>IF(M3_Silleteria!A50="","",IF(M3_Silleteria!O50="","",M3_Silleteria!O50))</f>
        <v/>
      </c>
      <c r="AG446" s="17" t="str">
        <f>IF(M3_Silleteria!A50="","",IF(M3_Silleteria!P50="","",M3_Silleteria!P50))</f>
        <v/>
      </c>
      <c r="AH446" s="17" t="str">
        <f>IF(M3_Silleteria!A50="","",IF(M3_Silleteria!H50="","",M3_Silleteria!H50))</f>
        <v/>
      </c>
      <c r="AI446" s="17" t="str">
        <f>IF(M3_Silleteria!A50="","","M3_Silleteria!50")</f>
        <v/>
      </c>
      <c r="AJ446" s="17" t="str">
        <f>IF(M3_Silleteria!A50="","",IF(M3_Silleteria!L50="","Pendiente de resultado","Disponible"))</f>
        <v/>
      </c>
    </row>
    <row r="447" spans="1:36" ht="55.5" customHeight="1">
      <c r="A447" s="6" t="str">
        <f t="array" ref="A447">IF(443&gt;$S$1204,"",INDEX($T$5:$AJ$1204,MATCH(443,$S$5:$S$1204,0),1))</f>
        <v/>
      </c>
      <c r="B447" s="8" t="str">
        <f t="array" ref="B447">IF(443&gt;$S$1204,"",INDEX($T$5:$AJ$1204,MATCH(443,$S$5:$S$1204,0),2))</f>
        <v/>
      </c>
      <c r="C447" s="10" t="str">
        <f t="array" ref="C447">IF(443&gt;$S$1204,"",INDEX($T$5:$AJ$1204,MATCH(443,$S$5:$S$1204,0),3))</f>
        <v/>
      </c>
      <c r="D447" s="8" t="str">
        <f t="array" ref="D447">IF(443&gt;$S$1204,"",INDEX($T$5:$AJ$1204,MATCH(443,$S$5:$S$1204,0),4))</f>
        <v/>
      </c>
      <c r="E447" s="8" t="str">
        <f t="array" ref="E447">IF(443&gt;$S$1204,"",INDEX($T$5:$AJ$1204,MATCH(443,$S$5:$S$1204,0),5))</f>
        <v/>
      </c>
      <c r="F447" s="8" t="str">
        <f t="array" ref="F447">IF(443&gt;$S$1204,"",INDEX($T$5:$AJ$1204,MATCH(443,$S$5:$S$1204,0),6))</f>
        <v/>
      </c>
      <c r="G447" s="8" t="str">
        <f t="array" ref="G447">IF(443&gt;$S$1204,"",INDEX($T$5:$AJ$1204,MATCH(443,$S$5:$S$1204,0),7))</f>
        <v/>
      </c>
      <c r="H447" s="8" t="str">
        <f t="array" ref="H447">IF(443&gt;$S$1204,"",INDEX($T$5:$AJ$1204,MATCH(443,$S$5:$S$1204,0),8))</f>
        <v/>
      </c>
      <c r="I447" s="8" t="str">
        <f t="array" ref="I447">IF(443&gt;$S$1204,"",INDEX($T$5:$AJ$1204,MATCH(443,$S$5:$S$1204,0),9))</f>
        <v/>
      </c>
      <c r="J447" s="14" t="str">
        <f t="array" ref="J447">IF(443&gt;$S$1204,"",INDEX($T$5:$AJ$1204,MATCH(443,$S$5:$S$1204,0),10))</f>
        <v/>
      </c>
      <c r="K447" s="8" t="str">
        <f t="array" ref="K447">IF(443&gt;$S$1204,"",INDEX($T$5:$AJ$1204,MATCH(443,$S$5:$S$1204,0),11))</f>
        <v/>
      </c>
      <c r="L447" s="8" t="str">
        <f t="array" ref="L447">IF(443&gt;$S$1204,"",INDEX($T$5:$AJ$1204,MATCH(443,$S$5:$S$1204,0),12))</f>
        <v/>
      </c>
      <c r="M447" s="8" t="str">
        <f t="array" ref="M447">IF(443&gt;$S$1204,"",INDEX($T$5:$AJ$1204,MATCH(443,$S$5:$S$1204,0),13))</f>
        <v/>
      </c>
      <c r="N447" s="8" t="str">
        <f t="array" ref="N447">IF(443&gt;$S$1204,"",INDEX($T$5:$AJ$1204,MATCH(443,$S$5:$S$1204,0),14))</f>
        <v/>
      </c>
      <c r="O447" s="15" t="str">
        <f t="array" ref="O447">IF(443&gt;$S$1204,"",INDEX($T$5:$AJ$1204,MATCH(443,$S$5:$S$1204,0),15))</f>
        <v/>
      </c>
      <c r="P447" s="8" t="str">
        <f t="array" ref="P447">IF(443&gt;$S$1204,"",INDEX($T$5:$AJ$1204,MATCH(443,$S$5:$S$1204,0),16))</f>
        <v/>
      </c>
      <c r="Q447" s="8" t="str">
        <f t="array" ref="Q447">IF(443&gt;$S$1204,"",INDEX($T$5:$AJ$1204,MATCH(443,$S$5:$S$1204,0),17))</f>
        <v/>
      </c>
      <c r="R447" s="17"/>
      <c r="S447" s="17">
        <f>S446+IF(M3_Silleteria!A51="",0,1)</f>
        <v>0</v>
      </c>
      <c r="T447" s="17" t="str">
        <f>IF(M3_Silleteria!A51="","",IF(M3_Silleteria!A51="","",M3_Silleteria!A51))</f>
        <v/>
      </c>
      <c r="U447" s="17" t="str">
        <f>IF(M3_Silleteria!A51="","",IF(M3_Silleteria!Q51="","",M3_Silleteria!Q51))</f>
        <v/>
      </c>
      <c r="V447" s="17" t="str">
        <f>IF(M3_Silleteria!A51="","",IF(M3_Silleteria!D51="","",M3_Silleteria!D51))</f>
        <v/>
      </c>
      <c r="W447" s="17" t="str">
        <f>IF(M3_Silleteria!A51="","",IF(M3_Silleteria!B51="","",M3_Silleteria!B51))</f>
        <v/>
      </c>
      <c r="X447" s="17" t="str">
        <f>IF(M3_Silleteria!A51="","",IF(M3_Silleteria!C51="","",M3_Silleteria!C51))</f>
        <v/>
      </c>
      <c r="Y447" s="17" t="str">
        <f>IF(M3_Silleteria!A51="","",IF(M3_Silleteria!E51="","",M3_Silleteria!E51))</f>
        <v/>
      </c>
      <c r="Z447" s="17" t="str">
        <f>IF(M3_Silleteria!A51="","",IF(M3_Silleteria!F51="","",M3_Silleteria!F51))</f>
        <v/>
      </c>
      <c r="AA447" s="17" t="str">
        <f>IF(M3_Silleteria!A51="","","M3 Silletería")</f>
        <v/>
      </c>
      <c r="AB447" s="17" t="str">
        <f>IF(M3_Silleteria!A51="","",IF(M3_Silleteria!G51="","",M3_Silleteria!G51))</f>
        <v/>
      </c>
      <c r="AC447" s="17" t="str">
        <f>IF(M3_Silleteria!A51="","",IF(M3_Silleteria!L51="","",M3_Silleteria!L51))</f>
        <v/>
      </c>
      <c r="AD447" s="17" t="str">
        <f>IF(M3_Silleteria!A51="","","CD")</f>
        <v/>
      </c>
      <c r="AE447" s="17" t="str">
        <f>IF(M3_Silleteria!A51="","",IF(M3_Silleteria!N51="","",M3_Silleteria!N51))</f>
        <v/>
      </c>
      <c r="AF447" s="17" t="str">
        <f>IF(M3_Silleteria!A51="","",IF(M3_Silleteria!O51="","",M3_Silleteria!O51))</f>
        <v/>
      </c>
      <c r="AG447" s="17" t="str">
        <f>IF(M3_Silleteria!A51="","",IF(M3_Silleteria!P51="","",M3_Silleteria!P51))</f>
        <v/>
      </c>
      <c r="AH447" s="17" t="str">
        <f>IF(M3_Silleteria!A51="","",IF(M3_Silleteria!H51="","",M3_Silleteria!H51))</f>
        <v/>
      </c>
      <c r="AI447" s="17" t="str">
        <f>IF(M3_Silleteria!A51="","","M3_Silleteria!51")</f>
        <v/>
      </c>
      <c r="AJ447" s="17" t="str">
        <f>IF(M3_Silleteria!A51="","",IF(M3_Silleteria!L51="","Pendiente de resultado","Disponible"))</f>
        <v/>
      </c>
    </row>
    <row r="448" spans="1:36" ht="55.5" customHeight="1">
      <c r="A448" s="6" t="str">
        <f t="array" ref="A448">IF(444&gt;$S$1204,"",INDEX($T$5:$AJ$1204,MATCH(444,$S$5:$S$1204,0),1))</f>
        <v/>
      </c>
      <c r="B448" s="8" t="str">
        <f t="array" ref="B448">IF(444&gt;$S$1204,"",INDEX($T$5:$AJ$1204,MATCH(444,$S$5:$S$1204,0),2))</f>
        <v/>
      </c>
      <c r="C448" s="10" t="str">
        <f t="array" ref="C448">IF(444&gt;$S$1204,"",INDEX($T$5:$AJ$1204,MATCH(444,$S$5:$S$1204,0),3))</f>
        <v/>
      </c>
      <c r="D448" s="8" t="str">
        <f t="array" ref="D448">IF(444&gt;$S$1204,"",INDEX($T$5:$AJ$1204,MATCH(444,$S$5:$S$1204,0),4))</f>
        <v/>
      </c>
      <c r="E448" s="8" t="str">
        <f t="array" ref="E448">IF(444&gt;$S$1204,"",INDEX($T$5:$AJ$1204,MATCH(444,$S$5:$S$1204,0),5))</f>
        <v/>
      </c>
      <c r="F448" s="8" t="str">
        <f t="array" ref="F448">IF(444&gt;$S$1204,"",INDEX($T$5:$AJ$1204,MATCH(444,$S$5:$S$1204,0),6))</f>
        <v/>
      </c>
      <c r="G448" s="8" t="str">
        <f t="array" ref="G448">IF(444&gt;$S$1204,"",INDEX($T$5:$AJ$1204,MATCH(444,$S$5:$S$1204,0),7))</f>
        <v/>
      </c>
      <c r="H448" s="8" t="str">
        <f t="array" ref="H448">IF(444&gt;$S$1204,"",INDEX($T$5:$AJ$1204,MATCH(444,$S$5:$S$1204,0),8))</f>
        <v/>
      </c>
      <c r="I448" s="8" t="str">
        <f t="array" ref="I448">IF(444&gt;$S$1204,"",INDEX($T$5:$AJ$1204,MATCH(444,$S$5:$S$1204,0),9))</f>
        <v/>
      </c>
      <c r="J448" s="14" t="str">
        <f t="array" ref="J448">IF(444&gt;$S$1204,"",INDEX($T$5:$AJ$1204,MATCH(444,$S$5:$S$1204,0),10))</f>
        <v/>
      </c>
      <c r="K448" s="8" t="str">
        <f t="array" ref="K448">IF(444&gt;$S$1204,"",INDEX($T$5:$AJ$1204,MATCH(444,$S$5:$S$1204,0),11))</f>
        <v/>
      </c>
      <c r="L448" s="8" t="str">
        <f t="array" ref="L448">IF(444&gt;$S$1204,"",INDEX($T$5:$AJ$1204,MATCH(444,$S$5:$S$1204,0),12))</f>
        <v/>
      </c>
      <c r="M448" s="8" t="str">
        <f t="array" ref="M448">IF(444&gt;$S$1204,"",INDEX($T$5:$AJ$1204,MATCH(444,$S$5:$S$1204,0),13))</f>
        <v/>
      </c>
      <c r="N448" s="8" t="str">
        <f t="array" ref="N448">IF(444&gt;$S$1204,"",INDEX($T$5:$AJ$1204,MATCH(444,$S$5:$S$1204,0),14))</f>
        <v/>
      </c>
      <c r="O448" s="15" t="str">
        <f t="array" ref="O448">IF(444&gt;$S$1204,"",INDEX($T$5:$AJ$1204,MATCH(444,$S$5:$S$1204,0),15))</f>
        <v/>
      </c>
      <c r="P448" s="8" t="str">
        <f t="array" ref="P448">IF(444&gt;$S$1204,"",INDEX($T$5:$AJ$1204,MATCH(444,$S$5:$S$1204,0),16))</f>
        <v/>
      </c>
      <c r="Q448" s="8" t="str">
        <f t="array" ref="Q448">IF(444&gt;$S$1204,"",INDEX($T$5:$AJ$1204,MATCH(444,$S$5:$S$1204,0),17))</f>
        <v/>
      </c>
      <c r="R448" s="17"/>
      <c r="S448" s="17">
        <f>S447+IF(M3_Silleteria!A52="",0,1)</f>
        <v>0</v>
      </c>
      <c r="T448" s="17" t="str">
        <f>IF(M3_Silleteria!A52="","",IF(M3_Silleteria!A52="","",M3_Silleteria!A52))</f>
        <v/>
      </c>
      <c r="U448" s="17" t="str">
        <f>IF(M3_Silleteria!A52="","",IF(M3_Silleteria!Q52="","",M3_Silleteria!Q52))</f>
        <v/>
      </c>
      <c r="V448" s="17" t="str">
        <f>IF(M3_Silleteria!A52="","",IF(M3_Silleteria!D52="","",M3_Silleteria!D52))</f>
        <v/>
      </c>
      <c r="W448" s="17" t="str">
        <f>IF(M3_Silleteria!A52="","",IF(M3_Silleteria!B52="","",M3_Silleteria!B52))</f>
        <v/>
      </c>
      <c r="X448" s="17" t="str">
        <f>IF(M3_Silleteria!A52="","",IF(M3_Silleteria!C52="","",M3_Silleteria!C52))</f>
        <v/>
      </c>
      <c r="Y448" s="17" t="str">
        <f>IF(M3_Silleteria!A52="","",IF(M3_Silleteria!E52="","",M3_Silleteria!E52))</f>
        <v/>
      </c>
      <c r="Z448" s="17" t="str">
        <f>IF(M3_Silleteria!A52="","",IF(M3_Silleteria!F52="","",M3_Silleteria!F52))</f>
        <v/>
      </c>
      <c r="AA448" s="17" t="str">
        <f>IF(M3_Silleteria!A52="","","M3 Silletería")</f>
        <v/>
      </c>
      <c r="AB448" s="17" t="str">
        <f>IF(M3_Silleteria!A52="","",IF(M3_Silleteria!G52="","",M3_Silleteria!G52))</f>
        <v/>
      </c>
      <c r="AC448" s="17" t="str">
        <f>IF(M3_Silleteria!A52="","",IF(M3_Silleteria!L52="","",M3_Silleteria!L52))</f>
        <v/>
      </c>
      <c r="AD448" s="17" t="str">
        <f>IF(M3_Silleteria!A52="","","CD")</f>
        <v/>
      </c>
      <c r="AE448" s="17" t="str">
        <f>IF(M3_Silleteria!A52="","",IF(M3_Silleteria!N52="","",M3_Silleteria!N52))</f>
        <v/>
      </c>
      <c r="AF448" s="17" t="str">
        <f>IF(M3_Silleteria!A52="","",IF(M3_Silleteria!O52="","",M3_Silleteria!O52))</f>
        <v/>
      </c>
      <c r="AG448" s="17" t="str">
        <f>IF(M3_Silleteria!A52="","",IF(M3_Silleteria!P52="","",M3_Silleteria!P52))</f>
        <v/>
      </c>
      <c r="AH448" s="17" t="str">
        <f>IF(M3_Silleteria!A52="","",IF(M3_Silleteria!H52="","",M3_Silleteria!H52))</f>
        <v/>
      </c>
      <c r="AI448" s="17" t="str">
        <f>IF(M3_Silleteria!A52="","","M3_Silleteria!52")</f>
        <v/>
      </c>
      <c r="AJ448" s="17" t="str">
        <f>IF(M3_Silleteria!A52="","",IF(M3_Silleteria!L52="","Pendiente de resultado","Disponible"))</f>
        <v/>
      </c>
    </row>
    <row r="449" spans="1:36" ht="55.5" customHeight="1">
      <c r="A449" s="6" t="str">
        <f t="array" ref="A449">IF(445&gt;$S$1204,"",INDEX($T$5:$AJ$1204,MATCH(445,$S$5:$S$1204,0),1))</f>
        <v/>
      </c>
      <c r="B449" s="8" t="str">
        <f t="array" ref="B449">IF(445&gt;$S$1204,"",INDEX($T$5:$AJ$1204,MATCH(445,$S$5:$S$1204,0),2))</f>
        <v/>
      </c>
      <c r="C449" s="10" t="str">
        <f t="array" ref="C449">IF(445&gt;$S$1204,"",INDEX($T$5:$AJ$1204,MATCH(445,$S$5:$S$1204,0),3))</f>
        <v/>
      </c>
      <c r="D449" s="8" t="str">
        <f t="array" ref="D449">IF(445&gt;$S$1204,"",INDEX($T$5:$AJ$1204,MATCH(445,$S$5:$S$1204,0),4))</f>
        <v/>
      </c>
      <c r="E449" s="8" t="str">
        <f t="array" ref="E449">IF(445&gt;$S$1204,"",INDEX($T$5:$AJ$1204,MATCH(445,$S$5:$S$1204,0),5))</f>
        <v/>
      </c>
      <c r="F449" s="8" t="str">
        <f t="array" ref="F449">IF(445&gt;$S$1204,"",INDEX($T$5:$AJ$1204,MATCH(445,$S$5:$S$1204,0),6))</f>
        <v/>
      </c>
      <c r="G449" s="8" t="str">
        <f t="array" ref="G449">IF(445&gt;$S$1204,"",INDEX($T$5:$AJ$1204,MATCH(445,$S$5:$S$1204,0),7))</f>
        <v/>
      </c>
      <c r="H449" s="8" t="str">
        <f t="array" ref="H449">IF(445&gt;$S$1204,"",INDEX($T$5:$AJ$1204,MATCH(445,$S$5:$S$1204,0),8))</f>
        <v/>
      </c>
      <c r="I449" s="8" t="str">
        <f t="array" ref="I449">IF(445&gt;$S$1204,"",INDEX($T$5:$AJ$1204,MATCH(445,$S$5:$S$1204,0),9))</f>
        <v/>
      </c>
      <c r="J449" s="14" t="str">
        <f t="array" ref="J449">IF(445&gt;$S$1204,"",INDEX($T$5:$AJ$1204,MATCH(445,$S$5:$S$1204,0),10))</f>
        <v/>
      </c>
      <c r="K449" s="8" t="str">
        <f t="array" ref="K449">IF(445&gt;$S$1204,"",INDEX($T$5:$AJ$1204,MATCH(445,$S$5:$S$1204,0),11))</f>
        <v/>
      </c>
      <c r="L449" s="8" t="str">
        <f t="array" ref="L449">IF(445&gt;$S$1204,"",INDEX($T$5:$AJ$1204,MATCH(445,$S$5:$S$1204,0),12))</f>
        <v/>
      </c>
      <c r="M449" s="8" t="str">
        <f t="array" ref="M449">IF(445&gt;$S$1204,"",INDEX($T$5:$AJ$1204,MATCH(445,$S$5:$S$1204,0),13))</f>
        <v/>
      </c>
      <c r="N449" s="8" t="str">
        <f t="array" ref="N449">IF(445&gt;$S$1204,"",INDEX($T$5:$AJ$1204,MATCH(445,$S$5:$S$1204,0),14))</f>
        <v/>
      </c>
      <c r="O449" s="15" t="str">
        <f t="array" ref="O449">IF(445&gt;$S$1204,"",INDEX($T$5:$AJ$1204,MATCH(445,$S$5:$S$1204,0),15))</f>
        <v/>
      </c>
      <c r="P449" s="8" t="str">
        <f t="array" ref="P449">IF(445&gt;$S$1204,"",INDEX($T$5:$AJ$1204,MATCH(445,$S$5:$S$1204,0),16))</f>
        <v/>
      </c>
      <c r="Q449" s="8" t="str">
        <f t="array" ref="Q449">IF(445&gt;$S$1204,"",INDEX($T$5:$AJ$1204,MATCH(445,$S$5:$S$1204,0),17))</f>
        <v/>
      </c>
      <c r="R449" s="17"/>
      <c r="S449" s="17">
        <f>S448+IF(M3_Silleteria!A53="",0,1)</f>
        <v>0</v>
      </c>
      <c r="T449" s="17" t="str">
        <f>IF(M3_Silleteria!A53="","",IF(M3_Silleteria!A53="","",M3_Silleteria!A53))</f>
        <v/>
      </c>
      <c r="U449" s="17" t="str">
        <f>IF(M3_Silleteria!A53="","",IF(M3_Silleteria!Q53="","",M3_Silleteria!Q53))</f>
        <v/>
      </c>
      <c r="V449" s="17" t="str">
        <f>IF(M3_Silleteria!A53="","",IF(M3_Silleteria!D53="","",M3_Silleteria!D53))</f>
        <v/>
      </c>
      <c r="W449" s="17" t="str">
        <f>IF(M3_Silleteria!A53="","",IF(M3_Silleteria!B53="","",M3_Silleteria!B53))</f>
        <v/>
      </c>
      <c r="X449" s="17" t="str">
        <f>IF(M3_Silleteria!A53="","",IF(M3_Silleteria!C53="","",M3_Silleteria!C53))</f>
        <v/>
      </c>
      <c r="Y449" s="17" t="str">
        <f>IF(M3_Silleteria!A53="","",IF(M3_Silleteria!E53="","",M3_Silleteria!E53))</f>
        <v/>
      </c>
      <c r="Z449" s="17" t="str">
        <f>IF(M3_Silleteria!A53="","",IF(M3_Silleteria!F53="","",M3_Silleteria!F53))</f>
        <v/>
      </c>
      <c r="AA449" s="17" t="str">
        <f>IF(M3_Silleteria!A53="","","M3 Silletería")</f>
        <v/>
      </c>
      <c r="AB449" s="17" t="str">
        <f>IF(M3_Silleteria!A53="","",IF(M3_Silleteria!G53="","",M3_Silleteria!G53))</f>
        <v/>
      </c>
      <c r="AC449" s="17" t="str">
        <f>IF(M3_Silleteria!A53="","",IF(M3_Silleteria!L53="","",M3_Silleteria!L53))</f>
        <v/>
      </c>
      <c r="AD449" s="17" t="str">
        <f>IF(M3_Silleteria!A53="","","CD")</f>
        <v/>
      </c>
      <c r="AE449" s="17" t="str">
        <f>IF(M3_Silleteria!A53="","",IF(M3_Silleteria!N53="","",M3_Silleteria!N53))</f>
        <v/>
      </c>
      <c r="AF449" s="17" t="str">
        <f>IF(M3_Silleteria!A53="","",IF(M3_Silleteria!O53="","",M3_Silleteria!O53))</f>
        <v/>
      </c>
      <c r="AG449" s="17" t="str">
        <f>IF(M3_Silleteria!A53="","",IF(M3_Silleteria!P53="","",M3_Silleteria!P53))</f>
        <v/>
      </c>
      <c r="AH449" s="17" t="str">
        <f>IF(M3_Silleteria!A53="","",IF(M3_Silleteria!H53="","",M3_Silleteria!H53))</f>
        <v/>
      </c>
      <c r="AI449" s="17" t="str">
        <f>IF(M3_Silleteria!A53="","","M3_Silleteria!53")</f>
        <v/>
      </c>
      <c r="AJ449" s="17" t="str">
        <f>IF(M3_Silleteria!A53="","",IF(M3_Silleteria!L53="","Pendiente de resultado","Disponible"))</f>
        <v/>
      </c>
    </row>
    <row r="450" spans="1:36" ht="55.5" customHeight="1">
      <c r="A450" s="6" t="str">
        <f t="array" ref="A450">IF(446&gt;$S$1204,"",INDEX($T$5:$AJ$1204,MATCH(446,$S$5:$S$1204,0),1))</f>
        <v/>
      </c>
      <c r="B450" s="8" t="str">
        <f t="array" ref="B450">IF(446&gt;$S$1204,"",INDEX($T$5:$AJ$1204,MATCH(446,$S$5:$S$1204,0),2))</f>
        <v/>
      </c>
      <c r="C450" s="10" t="str">
        <f t="array" ref="C450">IF(446&gt;$S$1204,"",INDEX($T$5:$AJ$1204,MATCH(446,$S$5:$S$1204,0),3))</f>
        <v/>
      </c>
      <c r="D450" s="8" t="str">
        <f t="array" ref="D450">IF(446&gt;$S$1204,"",INDEX($T$5:$AJ$1204,MATCH(446,$S$5:$S$1204,0),4))</f>
        <v/>
      </c>
      <c r="E450" s="8" t="str">
        <f t="array" ref="E450">IF(446&gt;$S$1204,"",INDEX($T$5:$AJ$1204,MATCH(446,$S$5:$S$1204,0),5))</f>
        <v/>
      </c>
      <c r="F450" s="8" t="str">
        <f t="array" ref="F450">IF(446&gt;$S$1204,"",INDEX($T$5:$AJ$1204,MATCH(446,$S$5:$S$1204,0),6))</f>
        <v/>
      </c>
      <c r="G450" s="8" t="str">
        <f t="array" ref="G450">IF(446&gt;$S$1204,"",INDEX($T$5:$AJ$1204,MATCH(446,$S$5:$S$1204,0),7))</f>
        <v/>
      </c>
      <c r="H450" s="8" t="str">
        <f t="array" ref="H450">IF(446&gt;$S$1204,"",INDEX($T$5:$AJ$1204,MATCH(446,$S$5:$S$1204,0),8))</f>
        <v/>
      </c>
      <c r="I450" s="8" t="str">
        <f t="array" ref="I450">IF(446&gt;$S$1204,"",INDEX($T$5:$AJ$1204,MATCH(446,$S$5:$S$1204,0),9))</f>
        <v/>
      </c>
      <c r="J450" s="14" t="str">
        <f t="array" ref="J450">IF(446&gt;$S$1204,"",INDEX($T$5:$AJ$1204,MATCH(446,$S$5:$S$1204,0),10))</f>
        <v/>
      </c>
      <c r="K450" s="8" t="str">
        <f t="array" ref="K450">IF(446&gt;$S$1204,"",INDEX($T$5:$AJ$1204,MATCH(446,$S$5:$S$1204,0),11))</f>
        <v/>
      </c>
      <c r="L450" s="8" t="str">
        <f t="array" ref="L450">IF(446&gt;$S$1204,"",INDEX($T$5:$AJ$1204,MATCH(446,$S$5:$S$1204,0),12))</f>
        <v/>
      </c>
      <c r="M450" s="8" t="str">
        <f t="array" ref="M450">IF(446&gt;$S$1204,"",INDEX($T$5:$AJ$1204,MATCH(446,$S$5:$S$1204,0),13))</f>
        <v/>
      </c>
      <c r="N450" s="8" t="str">
        <f t="array" ref="N450">IF(446&gt;$S$1204,"",INDEX($T$5:$AJ$1204,MATCH(446,$S$5:$S$1204,0),14))</f>
        <v/>
      </c>
      <c r="O450" s="15" t="str">
        <f t="array" ref="O450">IF(446&gt;$S$1204,"",INDEX($T$5:$AJ$1204,MATCH(446,$S$5:$S$1204,0),15))</f>
        <v/>
      </c>
      <c r="P450" s="8" t="str">
        <f t="array" ref="P450">IF(446&gt;$S$1204,"",INDEX($T$5:$AJ$1204,MATCH(446,$S$5:$S$1204,0),16))</f>
        <v/>
      </c>
      <c r="Q450" s="8" t="str">
        <f t="array" ref="Q450">IF(446&gt;$S$1204,"",INDEX($T$5:$AJ$1204,MATCH(446,$S$5:$S$1204,0),17))</f>
        <v/>
      </c>
      <c r="R450" s="17"/>
      <c r="S450" s="17">
        <f>S449+IF(M3_Silleteria!A54="",0,1)</f>
        <v>0</v>
      </c>
      <c r="T450" s="17" t="str">
        <f>IF(M3_Silleteria!A54="","",IF(M3_Silleteria!A54="","",M3_Silleteria!A54))</f>
        <v/>
      </c>
      <c r="U450" s="17" t="str">
        <f>IF(M3_Silleteria!A54="","",IF(M3_Silleteria!Q54="","",M3_Silleteria!Q54))</f>
        <v/>
      </c>
      <c r="V450" s="17" t="str">
        <f>IF(M3_Silleteria!A54="","",IF(M3_Silleteria!D54="","",M3_Silleteria!D54))</f>
        <v/>
      </c>
      <c r="W450" s="17" t="str">
        <f>IF(M3_Silleteria!A54="","",IF(M3_Silleteria!B54="","",M3_Silleteria!B54))</f>
        <v/>
      </c>
      <c r="X450" s="17" t="str">
        <f>IF(M3_Silleteria!A54="","",IF(M3_Silleteria!C54="","",M3_Silleteria!C54))</f>
        <v/>
      </c>
      <c r="Y450" s="17" t="str">
        <f>IF(M3_Silleteria!A54="","",IF(M3_Silleteria!E54="","",M3_Silleteria!E54))</f>
        <v/>
      </c>
      <c r="Z450" s="17" t="str">
        <f>IF(M3_Silleteria!A54="","",IF(M3_Silleteria!F54="","",M3_Silleteria!F54))</f>
        <v/>
      </c>
      <c r="AA450" s="17" t="str">
        <f>IF(M3_Silleteria!A54="","","M3 Silletería")</f>
        <v/>
      </c>
      <c r="AB450" s="17" t="str">
        <f>IF(M3_Silleteria!A54="","",IF(M3_Silleteria!G54="","",M3_Silleteria!G54))</f>
        <v/>
      </c>
      <c r="AC450" s="17" t="str">
        <f>IF(M3_Silleteria!A54="","",IF(M3_Silleteria!L54="","",M3_Silleteria!L54))</f>
        <v/>
      </c>
      <c r="AD450" s="17" t="str">
        <f>IF(M3_Silleteria!A54="","","CD")</f>
        <v/>
      </c>
      <c r="AE450" s="17" t="str">
        <f>IF(M3_Silleteria!A54="","",IF(M3_Silleteria!N54="","",M3_Silleteria!N54))</f>
        <v/>
      </c>
      <c r="AF450" s="17" t="str">
        <f>IF(M3_Silleteria!A54="","",IF(M3_Silleteria!O54="","",M3_Silleteria!O54))</f>
        <v/>
      </c>
      <c r="AG450" s="17" t="str">
        <f>IF(M3_Silleteria!A54="","",IF(M3_Silleteria!P54="","",M3_Silleteria!P54))</f>
        <v/>
      </c>
      <c r="AH450" s="17" t="str">
        <f>IF(M3_Silleteria!A54="","",IF(M3_Silleteria!H54="","",M3_Silleteria!H54))</f>
        <v/>
      </c>
      <c r="AI450" s="17" t="str">
        <f>IF(M3_Silleteria!A54="","","M3_Silleteria!54")</f>
        <v/>
      </c>
      <c r="AJ450" s="17" t="str">
        <f>IF(M3_Silleteria!A54="","",IF(M3_Silleteria!L54="","Pendiente de resultado","Disponible"))</f>
        <v/>
      </c>
    </row>
    <row r="451" spans="1:36" ht="55.5" customHeight="1">
      <c r="A451" s="6" t="str">
        <f t="array" ref="A451">IF(447&gt;$S$1204,"",INDEX($T$5:$AJ$1204,MATCH(447,$S$5:$S$1204,0),1))</f>
        <v/>
      </c>
      <c r="B451" s="8" t="str">
        <f t="array" ref="B451">IF(447&gt;$S$1204,"",INDEX($T$5:$AJ$1204,MATCH(447,$S$5:$S$1204,0),2))</f>
        <v/>
      </c>
      <c r="C451" s="10" t="str">
        <f t="array" ref="C451">IF(447&gt;$S$1204,"",INDEX($T$5:$AJ$1204,MATCH(447,$S$5:$S$1204,0),3))</f>
        <v/>
      </c>
      <c r="D451" s="8" t="str">
        <f t="array" ref="D451">IF(447&gt;$S$1204,"",INDEX($T$5:$AJ$1204,MATCH(447,$S$5:$S$1204,0),4))</f>
        <v/>
      </c>
      <c r="E451" s="8" t="str">
        <f t="array" ref="E451">IF(447&gt;$S$1204,"",INDEX($T$5:$AJ$1204,MATCH(447,$S$5:$S$1204,0),5))</f>
        <v/>
      </c>
      <c r="F451" s="8" t="str">
        <f t="array" ref="F451">IF(447&gt;$S$1204,"",INDEX($T$5:$AJ$1204,MATCH(447,$S$5:$S$1204,0),6))</f>
        <v/>
      </c>
      <c r="G451" s="8" t="str">
        <f t="array" ref="G451">IF(447&gt;$S$1204,"",INDEX($T$5:$AJ$1204,MATCH(447,$S$5:$S$1204,0),7))</f>
        <v/>
      </c>
      <c r="H451" s="8" t="str">
        <f t="array" ref="H451">IF(447&gt;$S$1204,"",INDEX($T$5:$AJ$1204,MATCH(447,$S$5:$S$1204,0),8))</f>
        <v/>
      </c>
      <c r="I451" s="8" t="str">
        <f t="array" ref="I451">IF(447&gt;$S$1204,"",INDEX($T$5:$AJ$1204,MATCH(447,$S$5:$S$1204,0),9))</f>
        <v/>
      </c>
      <c r="J451" s="14" t="str">
        <f t="array" ref="J451">IF(447&gt;$S$1204,"",INDEX($T$5:$AJ$1204,MATCH(447,$S$5:$S$1204,0),10))</f>
        <v/>
      </c>
      <c r="K451" s="8" t="str">
        <f t="array" ref="K451">IF(447&gt;$S$1204,"",INDEX($T$5:$AJ$1204,MATCH(447,$S$5:$S$1204,0),11))</f>
        <v/>
      </c>
      <c r="L451" s="8" t="str">
        <f t="array" ref="L451">IF(447&gt;$S$1204,"",INDEX($T$5:$AJ$1204,MATCH(447,$S$5:$S$1204,0),12))</f>
        <v/>
      </c>
      <c r="M451" s="8" t="str">
        <f t="array" ref="M451">IF(447&gt;$S$1204,"",INDEX($T$5:$AJ$1204,MATCH(447,$S$5:$S$1204,0),13))</f>
        <v/>
      </c>
      <c r="N451" s="8" t="str">
        <f t="array" ref="N451">IF(447&gt;$S$1204,"",INDEX($T$5:$AJ$1204,MATCH(447,$S$5:$S$1204,0),14))</f>
        <v/>
      </c>
      <c r="O451" s="15" t="str">
        <f t="array" ref="O451">IF(447&gt;$S$1204,"",INDEX($T$5:$AJ$1204,MATCH(447,$S$5:$S$1204,0),15))</f>
        <v/>
      </c>
      <c r="P451" s="8" t="str">
        <f t="array" ref="P451">IF(447&gt;$S$1204,"",INDEX($T$5:$AJ$1204,MATCH(447,$S$5:$S$1204,0),16))</f>
        <v/>
      </c>
      <c r="Q451" s="8" t="str">
        <f t="array" ref="Q451">IF(447&gt;$S$1204,"",INDEX($T$5:$AJ$1204,MATCH(447,$S$5:$S$1204,0),17))</f>
        <v/>
      </c>
      <c r="R451" s="17"/>
      <c r="S451" s="17">
        <f>S450+IF(M3_Silleteria!A55="",0,1)</f>
        <v>0</v>
      </c>
      <c r="T451" s="17" t="str">
        <f>IF(M3_Silleteria!A55="","",IF(M3_Silleteria!A55="","",M3_Silleteria!A55))</f>
        <v/>
      </c>
      <c r="U451" s="17" t="str">
        <f>IF(M3_Silleteria!A55="","",IF(M3_Silleteria!Q55="","",M3_Silleteria!Q55))</f>
        <v/>
      </c>
      <c r="V451" s="17" t="str">
        <f>IF(M3_Silleteria!A55="","",IF(M3_Silleteria!D55="","",M3_Silleteria!D55))</f>
        <v/>
      </c>
      <c r="W451" s="17" t="str">
        <f>IF(M3_Silleteria!A55="","",IF(M3_Silleteria!B55="","",M3_Silleteria!B55))</f>
        <v/>
      </c>
      <c r="X451" s="17" t="str">
        <f>IF(M3_Silleteria!A55="","",IF(M3_Silleteria!C55="","",M3_Silleteria!C55))</f>
        <v/>
      </c>
      <c r="Y451" s="17" t="str">
        <f>IF(M3_Silleteria!A55="","",IF(M3_Silleteria!E55="","",M3_Silleteria!E55))</f>
        <v/>
      </c>
      <c r="Z451" s="17" t="str">
        <f>IF(M3_Silleteria!A55="","",IF(M3_Silleteria!F55="","",M3_Silleteria!F55))</f>
        <v/>
      </c>
      <c r="AA451" s="17" t="str">
        <f>IF(M3_Silleteria!A55="","","M3 Silletería")</f>
        <v/>
      </c>
      <c r="AB451" s="17" t="str">
        <f>IF(M3_Silleteria!A55="","",IF(M3_Silleteria!G55="","",M3_Silleteria!G55))</f>
        <v/>
      </c>
      <c r="AC451" s="17" t="str">
        <f>IF(M3_Silleteria!A55="","",IF(M3_Silleteria!L55="","",M3_Silleteria!L55))</f>
        <v/>
      </c>
      <c r="AD451" s="17" t="str">
        <f>IF(M3_Silleteria!A55="","","CD")</f>
        <v/>
      </c>
      <c r="AE451" s="17" t="str">
        <f>IF(M3_Silleteria!A55="","",IF(M3_Silleteria!N55="","",M3_Silleteria!N55))</f>
        <v/>
      </c>
      <c r="AF451" s="17" t="str">
        <f>IF(M3_Silleteria!A55="","",IF(M3_Silleteria!O55="","",M3_Silleteria!O55))</f>
        <v/>
      </c>
      <c r="AG451" s="17" t="str">
        <f>IF(M3_Silleteria!A55="","",IF(M3_Silleteria!P55="","",M3_Silleteria!P55))</f>
        <v/>
      </c>
      <c r="AH451" s="17" t="str">
        <f>IF(M3_Silleteria!A55="","",IF(M3_Silleteria!H55="","",M3_Silleteria!H55))</f>
        <v/>
      </c>
      <c r="AI451" s="17" t="str">
        <f>IF(M3_Silleteria!A55="","","M3_Silleteria!55")</f>
        <v/>
      </c>
      <c r="AJ451" s="17" t="str">
        <f>IF(M3_Silleteria!A55="","",IF(M3_Silleteria!L55="","Pendiente de resultado","Disponible"))</f>
        <v/>
      </c>
    </row>
    <row r="452" spans="1:36" ht="55.5" customHeight="1">
      <c r="A452" s="6" t="str">
        <f t="array" ref="A452">IF(448&gt;$S$1204,"",INDEX($T$5:$AJ$1204,MATCH(448,$S$5:$S$1204,0),1))</f>
        <v/>
      </c>
      <c r="B452" s="8" t="str">
        <f t="array" ref="B452">IF(448&gt;$S$1204,"",INDEX($T$5:$AJ$1204,MATCH(448,$S$5:$S$1204,0),2))</f>
        <v/>
      </c>
      <c r="C452" s="10" t="str">
        <f t="array" ref="C452">IF(448&gt;$S$1204,"",INDEX($T$5:$AJ$1204,MATCH(448,$S$5:$S$1204,0),3))</f>
        <v/>
      </c>
      <c r="D452" s="8" t="str">
        <f t="array" ref="D452">IF(448&gt;$S$1204,"",INDEX($T$5:$AJ$1204,MATCH(448,$S$5:$S$1204,0),4))</f>
        <v/>
      </c>
      <c r="E452" s="8" t="str">
        <f t="array" ref="E452">IF(448&gt;$S$1204,"",INDEX($T$5:$AJ$1204,MATCH(448,$S$5:$S$1204,0),5))</f>
        <v/>
      </c>
      <c r="F452" s="8" t="str">
        <f t="array" ref="F452">IF(448&gt;$S$1204,"",INDEX($T$5:$AJ$1204,MATCH(448,$S$5:$S$1204,0),6))</f>
        <v/>
      </c>
      <c r="G452" s="8" t="str">
        <f t="array" ref="G452">IF(448&gt;$S$1204,"",INDEX($T$5:$AJ$1204,MATCH(448,$S$5:$S$1204,0),7))</f>
        <v/>
      </c>
      <c r="H452" s="8" t="str">
        <f t="array" ref="H452">IF(448&gt;$S$1204,"",INDEX($T$5:$AJ$1204,MATCH(448,$S$5:$S$1204,0),8))</f>
        <v/>
      </c>
      <c r="I452" s="8" t="str">
        <f t="array" ref="I452">IF(448&gt;$S$1204,"",INDEX($T$5:$AJ$1204,MATCH(448,$S$5:$S$1204,0),9))</f>
        <v/>
      </c>
      <c r="J452" s="14" t="str">
        <f t="array" ref="J452">IF(448&gt;$S$1204,"",INDEX($T$5:$AJ$1204,MATCH(448,$S$5:$S$1204,0),10))</f>
        <v/>
      </c>
      <c r="K452" s="8" t="str">
        <f t="array" ref="K452">IF(448&gt;$S$1204,"",INDEX($T$5:$AJ$1204,MATCH(448,$S$5:$S$1204,0),11))</f>
        <v/>
      </c>
      <c r="L452" s="8" t="str">
        <f t="array" ref="L452">IF(448&gt;$S$1204,"",INDEX($T$5:$AJ$1204,MATCH(448,$S$5:$S$1204,0),12))</f>
        <v/>
      </c>
      <c r="M452" s="8" t="str">
        <f t="array" ref="M452">IF(448&gt;$S$1204,"",INDEX($T$5:$AJ$1204,MATCH(448,$S$5:$S$1204,0),13))</f>
        <v/>
      </c>
      <c r="N452" s="8" t="str">
        <f t="array" ref="N452">IF(448&gt;$S$1204,"",INDEX($T$5:$AJ$1204,MATCH(448,$S$5:$S$1204,0),14))</f>
        <v/>
      </c>
      <c r="O452" s="15" t="str">
        <f t="array" ref="O452">IF(448&gt;$S$1204,"",INDEX($T$5:$AJ$1204,MATCH(448,$S$5:$S$1204,0),15))</f>
        <v/>
      </c>
      <c r="P452" s="8" t="str">
        <f t="array" ref="P452">IF(448&gt;$S$1204,"",INDEX($T$5:$AJ$1204,MATCH(448,$S$5:$S$1204,0),16))</f>
        <v/>
      </c>
      <c r="Q452" s="8" t="str">
        <f t="array" ref="Q452">IF(448&gt;$S$1204,"",INDEX($T$5:$AJ$1204,MATCH(448,$S$5:$S$1204,0),17))</f>
        <v/>
      </c>
      <c r="R452" s="17"/>
      <c r="S452" s="17">
        <f>S451+IF(M3_Silleteria!A56="",0,1)</f>
        <v>0</v>
      </c>
      <c r="T452" s="17" t="str">
        <f>IF(M3_Silleteria!A56="","",IF(M3_Silleteria!A56="","",M3_Silleteria!A56))</f>
        <v/>
      </c>
      <c r="U452" s="17" t="str">
        <f>IF(M3_Silleteria!A56="","",IF(M3_Silleteria!Q56="","",M3_Silleteria!Q56))</f>
        <v/>
      </c>
      <c r="V452" s="17" t="str">
        <f>IF(M3_Silleteria!A56="","",IF(M3_Silleteria!D56="","",M3_Silleteria!D56))</f>
        <v/>
      </c>
      <c r="W452" s="17" t="str">
        <f>IF(M3_Silleteria!A56="","",IF(M3_Silleteria!B56="","",M3_Silleteria!B56))</f>
        <v/>
      </c>
      <c r="X452" s="17" t="str">
        <f>IF(M3_Silleteria!A56="","",IF(M3_Silleteria!C56="","",M3_Silleteria!C56))</f>
        <v/>
      </c>
      <c r="Y452" s="17" t="str">
        <f>IF(M3_Silleteria!A56="","",IF(M3_Silleteria!E56="","",M3_Silleteria!E56))</f>
        <v/>
      </c>
      <c r="Z452" s="17" t="str">
        <f>IF(M3_Silleteria!A56="","",IF(M3_Silleteria!F56="","",M3_Silleteria!F56))</f>
        <v/>
      </c>
      <c r="AA452" s="17" t="str">
        <f>IF(M3_Silleteria!A56="","","M3 Silletería")</f>
        <v/>
      </c>
      <c r="AB452" s="17" t="str">
        <f>IF(M3_Silleteria!A56="","",IF(M3_Silleteria!G56="","",M3_Silleteria!G56))</f>
        <v/>
      </c>
      <c r="AC452" s="17" t="str">
        <f>IF(M3_Silleteria!A56="","",IF(M3_Silleteria!L56="","",M3_Silleteria!L56))</f>
        <v/>
      </c>
      <c r="AD452" s="17" t="str">
        <f>IF(M3_Silleteria!A56="","","CD")</f>
        <v/>
      </c>
      <c r="AE452" s="17" t="str">
        <f>IF(M3_Silleteria!A56="","",IF(M3_Silleteria!N56="","",M3_Silleteria!N56))</f>
        <v/>
      </c>
      <c r="AF452" s="17" t="str">
        <f>IF(M3_Silleteria!A56="","",IF(M3_Silleteria!O56="","",M3_Silleteria!O56))</f>
        <v/>
      </c>
      <c r="AG452" s="17" t="str">
        <f>IF(M3_Silleteria!A56="","",IF(M3_Silleteria!P56="","",M3_Silleteria!P56))</f>
        <v/>
      </c>
      <c r="AH452" s="17" t="str">
        <f>IF(M3_Silleteria!A56="","",IF(M3_Silleteria!H56="","",M3_Silleteria!H56))</f>
        <v/>
      </c>
      <c r="AI452" s="17" t="str">
        <f>IF(M3_Silleteria!A56="","","M3_Silleteria!56")</f>
        <v/>
      </c>
      <c r="AJ452" s="17" t="str">
        <f>IF(M3_Silleteria!A56="","",IF(M3_Silleteria!L56="","Pendiente de resultado","Disponible"))</f>
        <v/>
      </c>
    </row>
    <row r="453" spans="1:36" ht="55.5" customHeight="1">
      <c r="A453" s="6" t="str">
        <f t="array" ref="A453">IF(449&gt;$S$1204,"",INDEX($T$5:$AJ$1204,MATCH(449,$S$5:$S$1204,0),1))</f>
        <v/>
      </c>
      <c r="B453" s="8" t="str">
        <f t="array" ref="B453">IF(449&gt;$S$1204,"",INDEX($T$5:$AJ$1204,MATCH(449,$S$5:$S$1204,0),2))</f>
        <v/>
      </c>
      <c r="C453" s="10" t="str">
        <f t="array" ref="C453">IF(449&gt;$S$1204,"",INDEX($T$5:$AJ$1204,MATCH(449,$S$5:$S$1204,0),3))</f>
        <v/>
      </c>
      <c r="D453" s="8" t="str">
        <f t="array" ref="D453">IF(449&gt;$S$1204,"",INDEX($T$5:$AJ$1204,MATCH(449,$S$5:$S$1204,0),4))</f>
        <v/>
      </c>
      <c r="E453" s="8" t="str">
        <f t="array" ref="E453">IF(449&gt;$S$1204,"",INDEX($T$5:$AJ$1204,MATCH(449,$S$5:$S$1204,0),5))</f>
        <v/>
      </c>
      <c r="F453" s="8" t="str">
        <f t="array" ref="F453">IF(449&gt;$S$1204,"",INDEX($T$5:$AJ$1204,MATCH(449,$S$5:$S$1204,0),6))</f>
        <v/>
      </c>
      <c r="G453" s="8" t="str">
        <f t="array" ref="G453">IF(449&gt;$S$1204,"",INDEX($T$5:$AJ$1204,MATCH(449,$S$5:$S$1204,0),7))</f>
        <v/>
      </c>
      <c r="H453" s="8" t="str">
        <f t="array" ref="H453">IF(449&gt;$S$1204,"",INDEX($T$5:$AJ$1204,MATCH(449,$S$5:$S$1204,0),8))</f>
        <v/>
      </c>
      <c r="I453" s="8" t="str">
        <f t="array" ref="I453">IF(449&gt;$S$1204,"",INDEX($T$5:$AJ$1204,MATCH(449,$S$5:$S$1204,0),9))</f>
        <v/>
      </c>
      <c r="J453" s="14" t="str">
        <f t="array" ref="J453">IF(449&gt;$S$1204,"",INDEX($T$5:$AJ$1204,MATCH(449,$S$5:$S$1204,0),10))</f>
        <v/>
      </c>
      <c r="K453" s="8" t="str">
        <f t="array" ref="K453">IF(449&gt;$S$1204,"",INDEX($T$5:$AJ$1204,MATCH(449,$S$5:$S$1204,0),11))</f>
        <v/>
      </c>
      <c r="L453" s="8" t="str">
        <f t="array" ref="L453">IF(449&gt;$S$1204,"",INDEX($T$5:$AJ$1204,MATCH(449,$S$5:$S$1204,0),12))</f>
        <v/>
      </c>
      <c r="M453" s="8" t="str">
        <f t="array" ref="M453">IF(449&gt;$S$1204,"",INDEX($T$5:$AJ$1204,MATCH(449,$S$5:$S$1204,0),13))</f>
        <v/>
      </c>
      <c r="N453" s="8" t="str">
        <f t="array" ref="N453">IF(449&gt;$S$1204,"",INDEX($T$5:$AJ$1204,MATCH(449,$S$5:$S$1204,0),14))</f>
        <v/>
      </c>
      <c r="O453" s="15" t="str">
        <f t="array" ref="O453">IF(449&gt;$S$1204,"",INDEX($T$5:$AJ$1204,MATCH(449,$S$5:$S$1204,0),15))</f>
        <v/>
      </c>
      <c r="P453" s="8" t="str">
        <f t="array" ref="P453">IF(449&gt;$S$1204,"",INDEX($T$5:$AJ$1204,MATCH(449,$S$5:$S$1204,0),16))</f>
        <v/>
      </c>
      <c r="Q453" s="8" t="str">
        <f t="array" ref="Q453">IF(449&gt;$S$1204,"",INDEX($T$5:$AJ$1204,MATCH(449,$S$5:$S$1204,0),17))</f>
        <v/>
      </c>
      <c r="R453" s="17"/>
      <c r="S453" s="17">
        <f>S452+IF(M3_Silleteria!A57="",0,1)</f>
        <v>0</v>
      </c>
      <c r="T453" s="17" t="str">
        <f>IF(M3_Silleteria!A57="","",IF(M3_Silleteria!A57="","",M3_Silleteria!A57))</f>
        <v/>
      </c>
      <c r="U453" s="17" t="str">
        <f>IF(M3_Silleteria!A57="","",IF(M3_Silleteria!Q57="","",M3_Silleteria!Q57))</f>
        <v/>
      </c>
      <c r="V453" s="17" t="str">
        <f>IF(M3_Silleteria!A57="","",IF(M3_Silleteria!D57="","",M3_Silleteria!D57))</f>
        <v/>
      </c>
      <c r="W453" s="17" t="str">
        <f>IF(M3_Silleteria!A57="","",IF(M3_Silleteria!B57="","",M3_Silleteria!B57))</f>
        <v/>
      </c>
      <c r="X453" s="17" t="str">
        <f>IF(M3_Silleteria!A57="","",IF(M3_Silleteria!C57="","",M3_Silleteria!C57))</f>
        <v/>
      </c>
      <c r="Y453" s="17" t="str">
        <f>IF(M3_Silleteria!A57="","",IF(M3_Silleteria!E57="","",M3_Silleteria!E57))</f>
        <v/>
      </c>
      <c r="Z453" s="17" t="str">
        <f>IF(M3_Silleteria!A57="","",IF(M3_Silleteria!F57="","",M3_Silleteria!F57))</f>
        <v/>
      </c>
      <c r="AA453" s="17" t="str">
        <f>IF(M3_Silleteria!A57="","","M3 Silletería")</f>
        <v/>
      </c>
      <c r="AB453" s="17" t="str">
        <f>IF(M3_Silleteria!A57="","",IF(M3_Silleteria!G57="","",M3_Silleteria!G57))</f>
        <v/>
      </c>
      <c r="AC453" s="17" t="str">
        <f>IF(M3_Silleteria!A57="","",IF(M3_Silleteria!L57="","",M3_Silleteria!L57))</f>
        <v/>
      </c>
      <c r="AD453" s="17" t="str">
        <f>IF(M3_Silleteria!A57="","","CD")</f>
        <v/>
      </c>
      <c r="AE453" s="17" t="str">
        <f>IF(M3_Silleteria!A57="","",IF(M3_Silleteria!N57="","",M3_Silleteria!N57))</f>
        <v/>
      </c>
      <c r="AF453" s="17" t="str">
        <f>IF(M3_Silleteria!A57="","",IF(M3_Silleteria!O57="","",M3_Silleteria!O57))</f>
        <v/>
      </c>
      <c r="AG453" s="17" t="str">
        <f>IF(M3_Silleteria!A57="","",IF(M3_Silleteria!P57="","",M3_Silleteria!P57))</f>
        <v/>
      </c>
      <c r="AH453" s="17" t="str">
        <f>IF(M3_Silleteria!A57="","",IF(M3_Silleteria!H57="","",M3_Silleteria!H57))</f>
        <v/>
      </c>
      <c r="AI453" s="17" t="str">
        <f>IF(M3_Silleteria!A57="","","M3_Silleteria!57")</f>
        <v/>
      </c>
      <c r="AJ453" s="17" t="str">
        <f>IF(M3_Silleteria!A57="","",IF(M3_Silleteria!L57="","Pendiente de resultado","Disponible"))</f>
        <v/>
      </c>
    </row>
    <row r="454" spans="1:36" ht="55.5" customHeight="1">
      <c r="A454" s="6" t="str">
        <f t="array" ref="A454">IF(450&gt;$S$1204,"",INDEX($T$5:$AJ$1204,MATCH(450,$S$5:$S$1204,0),1))</f>
        <v/>
      </c>
      <c r="B454" s="8" t="str">
        <f t="array" ref="B454">IF(450&gt;$S$1204,"",INDEX($T$5:$AJ$1204,MATCH(450,$S$5:$S$1204,0),2))</f>
        <v/>
      </c>
      <c r="C454" s="10" t="str">
        <f t="array" ref="C454">IF(450&gt;$S$1204,"",INDEX($T$5:$AJ$1204,MATCH(450,$S$5:$S$1204,0),3))</f>
        <v/>
      </c>
      <c r="D454" s="8" t="str">
        <f t="array" ref="D454">IF(450&gt;$S$1204,"",INDEX($T$5:$AJ$1204,MATCH(450,$S$5:$S$1204,0),4))</f>
        <v/>
      </c>
      <c r="E454" s="8" t="str">
        <f t="array" ref="E454">IF(450&gt;$S$1204,"",INDEX($T$5:$AJ$1204,MATCH(450,$S$5:$S$1204,0),5))</f>
        <v/>
      </c>
      <c r="F454" s="8" t="str">
        <f t="array" ref="F454">IF(450&gt;$S$1204,"",INDEX($T$5:$AJ$1204,MATCH(450,$S$5:$S$1204,0),6))</f>
        <v/>
      </c>
      <c r="G454" s="8" t="str">
        <f t="array" ref="G454">IF(450&gt;$S$1204,"",INDEX($T$5:$AJ$1204,MATCH(450,$S$5:$S$1204,0),7))</f>
        <v/>
      </c>
      <c r="H454" s="8" t="str">
        <f t="array" ref="H454">IF(450&gt;$S$1204,"",INDEX($T$5:$AJ$1204,MATCH(450,$S$5:$S$1204,0),8))</f>
        <v/>
      </c>
      <c r="I454" s="8" t="str">
        <f t="array" ref="I454">IF(450&gt;$S$1204,"",INDEX($T$5:$AJ$1204,MATCH(450,$S$5:$S$1204,0),9))</f>
        <v/>
      </c>
      <c r="J454" s="14" t="str">
        <f t="array" ref="J454">IF(450&gt;$S$1204,"",INDEX($T$5:$AJ$1204,MATCH(450,$S$5:$S$1204,0),10))</f>
        <v/>
      </c>
      <c r="K454" s="8" t="str">
        <f t="array" ref="K454">IF(450&gt;$S$1204,"",INDEX($T$5:$AJ$1204,MATCH(450,$S$5:$S$1204,0),11))</f>
        <v/>
      </c>
      <c r="L454" s="8" t="str">
        <f t="array" ref="L454">IF(450&gt;$S$1204,"",INDEX($T$5:$AJ$1204,MATCH(450,$S$5:$S$1204,0),12))</f>
        <v/>
      </c>
      <c r="M454" s="8" t="str">
        <f t="array" ref="M454">IF(450&gt;$S$1204,"",INDEX($T$5:$AJ$1204,MATCH(450,$S$5:$S$1204,0),13))</f>
        <v/>
      </c>
      <c r="N454" s="8" t="str">
        <f t="array" ref="N454">IF(450&gt;$S$1204,"",INDEX($T$5:$AJ$1204,MATCH(450,$S$5:$S$1204,0),14))</f>
        <v/>
      </c>
      <c r="O454" s="15" t="str">
        <f t="array" ref="O454">IF(450&gt;$S$1204,"",INDEX($T$5:$AJ$1204,MATCH(450,$S$5:$S$1204,0),15))</f>
        <v/>
      </c>
      <c r="P454" s="8" t="str">
        <f t="array" ref="P454">IF(450&gt;$S$1204,"",INDEX($T$5:$AJ$1204,MATCH(450,$S$5:$S$1204,0),16))</f>
        <v/>
      </c>
      <c r="Q454" s="8" t="str">
        <f t="array" ref="Q454">IF(450&gt;$S$1204,"",INDEX($T$5:$AJ$1204,MATCH(450,$S$5:$S$1204,0),17))</f>
        <v/>
      </c>
      <c r="R454" s="17"/>
      <c r="S454" s="17">
        <f>S453+IF(M3_Silleteria!A58="",0,1)</f>
        <v>0</v>
      </c>
      <c r="T454" s="17" t="str">
        <f>IF(M3_Silleteria!A58="","",IF(M3_Silleteria!A58="","",M3_Silleteria!A58))</f>
        <v/>
      </c>
      <c r="U454" s="17" t="str">
        <f>IF(M3_Silleteria!A58="","",IF(M3_Silleteria!Q58="","",M3_Silleteria!Q58))</f>
        <v/>
      </c>
      <c r="V454" s="17" t="str">
        <f>IF(M3_Silleteria!A58="","",IF(M3_Silleteria!D58="","",M3_Silleteria!D58))</f>
        <v/>
      </c>
      <c r="W454" s="17" t="str">
        <f>IF(M3_Silleteria!A58="","",IF(M3_Silleteria!B58="","",M3_Silleteria!B58))</f>
        <v/>
      </c>
      <c r="X454" s="17" t="str">
        <f>IF(M3_Silleteria!A58="","",IF(M3_Silleteria!C58="","",M3_Silleteria!C58))</f>
        <v/>
      </c>
      <c r="Y454" s="17" t="str">
        <f>IF(M3_Silleteria!A58="","",IF(M3_Silleteria!E58="","",M3_Silleteria!E58))</f>
        <v/>
      </c>
      <c r="Z454" s="17" t="str">
        <f>IF(M3_Silleteria!A58="","",IF(M3_Silleteria!F58="","",M3_Silleteria!F58))</f>
        <v/>
      </c>
      <c r="AA454" s="17" t="str">
        <f>IF(M3_Silleteria!A58="","","M3 Silletería")</f>
        <v/>
      </c>
      <c r="AB454" s="17" t="str">
        <f>IF(M3_Silleteria!A58="","",IF(M3_Silleteria!G58="","",M3_Silleteria!G58))</f>
        <v/>
      </c>
      <c r="AC454" s="17" t="str">
        <f>IF(M3_Silleteria!A58="","",IF(M3_Silleteria!L58="","",M3_Silleteria!L58))</f>
        <v/>
      </c>
      <c r="AD454" s="17" t="str">
        <f>IF(M3_Silleteria!A58="","","CD")</f>
        <v/>
      </c>
      <c r="AE454" s="17" t="str">
        <f>IF(M3_Silleteria!A58="","",IF(M3_Silleteria!N58="","",M3_Silleteria!N58))</f>
        <v/>
      </c>
      <c r="AF454" s="17" t="str">
        <f>IF(M3_Silleteria!A58="","",IF(M3_Silleteria!O58="","",M3_Silleteria!O58))</f>
        <v/>
      </c>
      <c r="AG454" s="17" t="str">
        <f>IF(M3_Silleteria!A58="","",IF(M3_Silleteria!P58="","",M3_Silleteria!P58))</f>
        <v/>
      </c>
      <c r="AH454" s="17" t="str">
        <f>IF(M3_Silleteria!A58="","",IF(M3_Silleteria!H58="","",M3_Silleteria!H58))</f>
        <v/>
      </c>
      <c r="AI454" s="17" t="str">
        <f>IF(M3_Silleteria!A58="","","M3_Silleteria!58")</f>
        <v/>
      </c>
      <c r="AJ454" s="17" t="str">
        <f>IF(M3_Silleteria!A58="","",IF(M3_Silleteria!L58="","Pendiente de resultado","Disponible"))</f>
        <v/>
      </c>
    </row>
    <row r="455" spans="1:36" ht="55.5" customHeight="1">
      <c r="A455" s="6" t="str">
        <f t="array" ref="A455">IF(451&gt;$S$1204,"",INDEX($T$5:$AJ$1204,MATCH(451,$S$5:$S$1204,0),1))</f>
        <v/>
      </c>
      <c r="B455" s="8" t="str">
        <f t="array" ref="B455">IF(451&gt;$S$1204,"",INDEX($T$5:$AJ$1204,MATCH(451,$S$5:$S$1204,0),2))</f>
        <v/>
      </c>
      <c r="C455" s="10" t="str">
        <f t="array" ref="C455">IF(451&gt;$S$1204,"",INDEX($T$5:$AJ$1204,MATCH(451,$S$5:$S$1204,0),3))</f>
        <v/>
      </c>
      <c r="D455" s="8" t="str">
        <f t="array" ref="D455">IF(451&gt;$S$1204,"",INDEX($T$5:$AJ$1204,MATCH(451,$S$5:$S$1204,0),4))</f>
        <v/>
      </c>
      <c r="E455" s="8" t="str">
        <f t="array" ref="E455">IF(451&gt;$S$1204,"",INDEX($T$5:$AJ$1204,MATCH(451,$S$5:$S$1204,0),5))</f>
        <v/>
      </c>
      <c r="F455" s="8" t="str">
        <f t="array" ref="F455">IF(451&gt;$S$1204,"",INDEX($T$5:$AJ$1204,MATCH(451,$S$5:$S$1204,0),6))</f>
        <v/>
      </c>
      <c r="G455" s="8" t="str">
        <f t="array" ref="G455">IF(451&gt;$S$1204,"",INDEX($T$5:$AJ$1204,MATCH(451,$S$5:$S$1204,0),7))</f>
        <v/>
      </c>
      <c r="H455" s="8" t="str">
        <f t="array" ref="H455">IF(451&gt;$S$1204,"",INDEX($T$5:$AJ$1204,MATCH(451,$S$5:$S$1204,0),8))</f>
        <v/>
      </c>
      <c r="I455" s="8" t="str">
        <f t="array" ref="I455">IF(451&gt;$S$1204,"",INDEX($T$5:$AJ$1204,MATCH(451,$S$5:$S$1204,0),9))</f>
        <v/>
      </c>
      <c r="J455" s="14" t="str">
        <f t="array" ref="J455">IF(451&gt;$S$1204,"",INDEX($T$5:$AJ$1204,MATCH(451,$S$5:$S$1204,0),10))</f>
        <v/>
      </c>
      <c r="K455" s="8" t="str">
        <f t="array" ref="K455">IF(451&gt;$S$1204,"",INDEX($T$5:$AJ$1204,MATCH(451,$S$5:$S$1204,0),11))</f>
        <v/>
      </c>
      <c r="L455" s="8" t="str">
        <f t="array" ref="L455">IF(451&gt;$S$1204,"",INDEX($T$5:$AJ$1204,MATCH(451,$S$5:$S$1204,0),12))</f>
        <v/>
      </c>
      <c r="M455" s="8" t="str">
        <f t="array" ref="M455">IF(451&gt;$S$1204,"",INDEX($T$5:$AJ$1204,MATCH(451,$S$5:$S$1204,0),13))</f>
        <v/>
      </c>
      <c r="N455" s="8" t="str">
        <f t="array" ref="N455">IF(451&gt;$S$1204,"",INDEX($T$5:$AJ$1204,MATCH(451,$S$5:$S$1204,0),14))</f>
        <v/>
      </c>
      <c r="O455" s="15" t="str">
        <f t="array" ref="O455">IF(451&gt;$S$1204,"",INDEX($T$5:$AJ$1204,MATCH(451,$S$5:$S$1204,0),15))</f>
        <v/>
      </c>
      <c r="P455" s="8" t="str">
        <f t="array" ref="P455">IF(451&gt;$S$1204,"",INDEX($T$5:$AJ$1204,MATCH(451,$S$5:$S$1204,0),16))</f>
        <v/>
      </c>
      <c r="Q455" s="8" t="str">
        <f t="array" ref="Q455">IF(451&gt;$S$1204,"",INDEX($T$5:$AJ$1204,MATCH(451,$S$5:$S$1204,0),17))</f>
        <v/>
      </c>
      <c r="R455" s="17"/>
      <c r="S455" s="17">
        <f>S454+IF(M3_Silleteria!A59="",0,1)</f>
        <v>0</v>
      </c>
      <c r="T455" s="17" t="str">
        <f>IF(M3_Silleteria!A59="","",IF(M3_Silleteria!A59="","",M3_Silleteria!A59))</f>
        <v/>
      </c>
      <c r="U455" s="17" t="str">
        <f>IF(M3_Silleteria!A59="","",IF(M3_Silleteria!Q59="","",M3_Silleteria!Q59))</f>
        <v/>
      </c>
      <c r="V455" s="17" t="str">
        <f>IF(M3_Silleteria!A59="","",IF(M3_Silleteria!D59="","",M3_Silleteria!D59))</f>
        <v/>
      </c>
      <c r="W455" s="17" t="str">
        <f>IF(M3_Silleteria!A59="","",IF(M3_Silleteria!B59="","",M3_Silleteria!B59))</f>
        <v/>
      </c>
      <c r="X455" s="17" t="str">
        <f>IF(M3_Silleteria!A59="","",IF(M3_Silleteria!C59="","",M3_Silleteria!C59))</f>
        <v/>
      </c>
      <c r="Y455" s="17" t="str">
        <f>IF(M3_Silleteria!A59="","",IF(M3_Silleteria!E59="","",M3_Silleteria!E59))</f>
        <v/>
      </c>
      <c r="Z455" s="17" t="str">
        <f>IF(M3_Silleteria!A59="","",IF(M3_Silleteria!F59="","",M3_Silleteria!F59))</f>
        <v/>
      </c>
      <c r="AA455" s="17" t="str">
        <f>IF(M3_Silleteria!A59="","","M3 Silletería")</f>
        <v/>
      </c>
      <c r="AB455" s="17" t="str">
        <f>IF(M3_Silleteria!A59="","",IF(M3_Silleteria!G59="","",M3_Silleteria!G59))</f>
        <v/>
      </c>
      <c r="AC455" s="17" t="str">
        <f>IF(M3_Silleteria!A59="","",IF(M3_Silleteria!L59="","",M3_Silleteria!L59))</f>
        <v/>
      </c>
      <c r="AD455" s="17" t="str">
        <f>IF(M3_Silleteria!A59="","","CD")</f>
        <v/>
      </c>
      <c r="AE455" s="17" t="str">
        <f>IF(M3_Silleteria!A59="","",IF(M3_Silleteria!N59="","",M3_Silleteria!N59))</f>
        <v/>
      </c>
      <c r="AF455" s="17" t="str">
        <f>IF(M3_Silleteria!A59="","",IF(M3_Silleteria!O59="","",M3_Silleteria!O59))</f>
        <v/>
      </c>
      <c r="AG455" s="17" t="str">
        <f>IF(M3_Silleteria!A59="","",IF(M3_Silleteria!P59="","",M3_Silleteria!P59))</f>
        <v/>
      </c>
      <c r="AH455" s="17" t="str">
        <f>IF(M3_Silleteria!A59="","",IF(M3_Silleteria!H59="","",M3_Silleteria!H59))</f>
        <v/>
      </c>
      <c r="AI455" s="17" t="str">
        <f>IF(M3_Silleteria!A59="","","M3_Silleteria!59")</f>
        <v/>
      </c>
      <c r="AJ455" s="17" t="str">
        <f>IF(M3_Silleteria!A59="","",IF(M3_Silleteria!L59="","Pendiente de resultado","Disponible"))</f>
        <v/>
      </c>
    </row>
    <row r="456" spans="1:36" ht="55.5" customHeight="1">
      <c r="A456" s="6" t="str">
        <f t="array" ref="A456">IF(452&gt;$S$1204,"",INDEX($T$5:$AJ$1204,MATCH(452,$S$5:$S$1204,0),1))</f>
        <v/>
      </c>
      <c r="B456" s="8" t="str">
        <f t="array" ref="B456">IF(452&gt;$S$1204,"",INDEX($T$5:$AJ$1204,MATCH(452,$S$5:$S$1204,0),2))</f>
        <v/>
      </c>
      <c r="C456" s="10" t="str">
        <f t="array" ref="C456">IF(452&gt;$S$1204,"",INDEX($T$5:$AJ$1204,MATCH(452,$S$5:$S$1204,0),3))</f>
        <v/>
      </c>
      <c r="D456" s="8" t="str">
        <f t="array" ref="D456">IF(452&gt;$S$1204,"",INDEX($T$5:$AJ$1204,MATCH(452,$S$5:$S$1204,0),4))</f>
        <v/>
      </c>
      <c r="E456" s="8" t="str">
        <f t="array" ref="E456">IF(452&gt;$S$1204,"",INDEX($T$5:$AJ$1204,MATCH(452,$S$5:$S$1204,0),5))</f>
        <v/>
      </c>
      <c r="F456" s="8" t="str">
        <f t="array" ref="F456">IF(452&gt;$S$1204,"",INDEX($T$5:$AJ$1204,MATCH(452,$S$5:$S$1204,0),6))</f>
        <v/>
      </c>
      <c r="G456" s="8" t="str">
        <f t="array" ref="G456">IF(452&gt;$S$1204,"",INDEX($T$5:$AJ$1204,MATCH(452,$S$5:$S$1204,0),7))</f>
        <v/>
      </c>
      <c r="H456" s="8" t="str">
        <f t="array" ref="H456">IF(452&gt;$S$1204,"",INDEX($T$5:$AJ$1204,MATCH(452,$S$5:$S$1204,0),8))</f>
        <v/>
      </c>
      <c r="I456" s="8" t="str">
        <f t="array" ref="I456">IF(452&gt;$S$1204,"",INDEX($T$5:$AJ$1204,MATCH(452,$S$5:$S$1204,0),9))</f>
        <v/>
      </c>
      <c r="J456" s="14" t="str">
        <f t="array" ref="J456">IF(452&gt;$S$1204,"",INDEX($T$5:$AJ$1204,MATCH(452,$S$5:$S$1204,0),10))</f>
        <v/>
      </c>
      <c r="K456" s="8" t="str">
        <f t="array" ref="K456">IF(452&gt;$S$1204,"",INDEX($T$5:$AJ$1204,MATCH(452,$S$5:$S$1204,0),11))</f>
        <v/>
      </c>
      <c r="L456" s="8" t="str">
        <f t="array" ref="L456">IF(452&gt;$S$1204,"",INDEX($T$5:$AJ$1204,MATCH(452,$S$5:$S$1204,0),12))</f>
        <v/>
      </c>
      <c r="M456" s="8" t="str">
        <f t="array" ref="M456">IF(452&gt;$S$1204,"",INDEX($T$5:$AJ$1204,MATCH(452,$S$5:$S$1204,0),13))</f>
        <v/>
      </c>
      <c r="N456" s="8" t="str">
        <f t="array" ref="N456">IF(452&gt;$S$1204,"",INDEX($T$5:$AJ$1204,MATCH(452,$S$5:$S$1204,0),14))</f>
        <v/>
      </c>
      <c r="O456" s="15" t="str">
        <f t="array" ref="O456">IF(452&gt;$S$1204,"",INDEX($T$5:$AJ$1204,MATCH(452,$S$5:$S$1204,0),15))</f>
        <v/>
      </c>
      <c r="P456" s="8" t="str">
        <f t="array" ref="P456">IF(452&gt;$S$1204,"",INDEX($T$5:$AJ$1204,MATCH(452,$S$5:$S$1204,0),16))</f>
        <v/>
      </c>
      <c r="Q456" s="8" t="str">
        <f t="array" ref="Q456">IF(452&gt;$S$1204,"",INDEX($T$5:$AJ$1204,MATCH(452,$S$5:$S$1204,0),17))</f>
        <v/>
      </c>
      <c r="R456" s="17"/>
      <c r="S456" s="17">
        <f>S455+IF(M3_Silleteria!A60="",0,1)</f>
        <v>0</v>
      </c>
      <c r="T456" s="17" t="str">
        <f>IF(M3_Silleteria!A60="","",IF(M3_Silleteria!A60="","",M3_Silleteria!A60))</f>
        <v/>
      </c>
      <c r="U456" s="17" t="str">
        <f>IF(M3_Silleteria!A60="","",IF(M3_Silleteria!Q60="","",M3_Silleteria!Q60))</f>
        <v/>
      </c>
      <c r="V456" s="17" t="str">
        <f>IF(M3_Silleteria!A60="","",IF(M3_Silleteria!D60="","",M3_Silleteria!D60))</f>
        <v/>
      </c>
      <c r="W456" s="17" t="str">
        <f>IF(M3_Silleteria!A60="","",IF(M3_Silleteria!B60="","",M3_Silleteria!B60))</f>
        <v/>
      </c>
      <c r="X456" s="17" t="str">
        <f>IF(M3_Silleteria!A60="","",IF(M3_Silleteria!C60="","",M3_Silleteria!C60))</f>
        <v/>
      </c>
      <c r="Y456" s="17" t="str">
        <f>IF(M3_Silleteria!A60="","",IF(M3_Silleteria!E60="","",M3_Silleteria!E60))</f>
        <v/>
      </c>
      <c r="Z456" s="17" t="str">
        <f>IF(M3_Silleteria!A60="","",IF(M3_Silleteria!F60="","",M3_Silleteria!F60))</f>
        <v/>
      </c>
      <c r="AA456" s="17" t="str">
        <f>IF(M3_Silleteria!A60="","","M3 Silletería")</f>
        <v/>
      </c>
      <c r="AB456" s="17" t="str">
        <f>IF(M3_Silleteria!A60="","",IF(M3_Silleteria!G60="","",M3_Silleteria!G60))</f>
        <v/>
      </c>
      <c r="AC456" s="17" t="str">
        <f>IF(M3_Silleteria!A60="","",IF(M3_Silleteria!L60="","",M3_Silleteria!L60))</f>
        <v/>
      </c>
      <c r="AD456" s="17" t="str">
        <f>IF(M3_Silleteria!A60="","","CD")</f>
        <v/>
      </c>
      <c r="AE456" s="17" t="str">
        <f>IF(M3_Silleteria!A60="","",IF(M3_Silleteria!N60="","",M3_Silleteria!N60))</f>
        <v/>
      </c>
      <c r="AF456" s="17" t="str">
        <f>IF(M3_Silleteria!A60="","",IF(M3_Silleteria!O60="","",M3_Silleteria!O60))</f>
        <v/>
      </c>
      <c r="AG456" s="17" t="str">
        <f>IF(M3_Silleteria!A60="","",IF(M3_Silleteria!P60="","",M3_Silleteria!P60))</f>
        <v/>
      </c>
      <c r="AH456" s="17" t="str">
        <f>IF(M3_Silleteria!A60="","",IF(M3_Silleteria!H60="","",M3_Silleteria!H60))</f>
        <v/>
      </c>
      <c r="AI456" s="17" t="str">
        <f>IF(M3_Silleteria!A60="","","M3_Silleteria!60")</f>
        <v/>
      </c>
      <c r="AJ456" s="17" t="str">
        <f>IF(M3_Silleteria!A60="","",IF(M3_Silleteria!L60="","Pendiente de resultado","Disponible"))</f>
        <v/>
      </c>
    </row>
    <row r="457" spans="1:36" ht="55.5" customHeight="1">
      <c r="A457" s="6" t="str">
        <f t="array" ref="A457">IF(453&gt;$S$1204,"",INDEX($T$5:$AJ$1204,MATCH(453,$S$5:$S$1204,0),1))</f>
        <v/>
      </c>
      <c r="B457" s="8" t="str">
        <f t="array" ref="B457">IF(453&gt;$S$1204,"",INDEX($T$5:$AJ$1204,MATCH(453,$S$5:$S$1204,0),2))</f>
        <v/>
      </c>
      <c r="C457" s="10" t="str">
        <f t="array" ref="C457">IF(453&gt;$S$1204,"",INDEX($T$5:$AJ$1204,MATCH(453,$S$5:$S$1204,0),3))</f>
        <v/>
      </c>
      <c r="D457" s="8" t="str">
        <f t="array" ref="D457">IF(453&gt;$S$1204,"",INDEX($T$5:$AJ$1204,MATCH(453,$S$5:$S$1204,0),4))</f>
        <v/>
      </c>
      <c r="E457" s="8" t="str">
        <f t="array" ref="E457">IF(453&gt;$S$1204,"",INDEX($T$5:$AJ$1204,MATCH(453,$S$5:$S$1204,0),5))</f>
        <v/>
      </c>
      <c r="F457" s="8" t="str">
        <f t="array" ref="F457">IF(453&gt;$S$1204,"",INDEX($T$5:$AJ$1204,MATCH(453,$S$5:$S$1204,0),6))</f>
        <v/>
      </c>
      <c r="G457" s="8" t="str">
        <f t="array" ref="G457">IF(453&gt;$S$1204,"",INDEX($T$5:$AJ$1204,MATCH(453,$S$5:$S$1204,0),7))</f>
        <v/>
      </c>
      <c r="H457" s="8" t="str">
        <f t="array" ref="H457">IF(453&gt;$S$1204,"",INDEX($T$5:$AJ$1204,MATCH(453,$S$5:$S$1204,0),8))</f>
        <v/>
      </c>
      <c r="I457" s="8" t="str">
        <f t="array" ref="I457">IF(453&gt;$S$1204,"",INDEX($T$5:$AJ$1204,MATCH(453,$S$5:$S$1204,0),9))</f>
        <v/>
      </c>
      <c r="J457" s="14" t="str">
        <f t="array" ref="J457">IF(453&gt;$S$1204,"",INDEX($T$5:$AJ$1204,MATCH(453,$S$5:$S$1204,0),10))</f>
        <v/>
      </c>
      <c r="K457" s="8" t="str">
        <f t="array" ref="K457">IF(453&gt;$S$1204,"",INDEX($T$5:$AJ$1204,MATCH(453,$S$5:$S$1204,0),11))</f>
        <v/>
      </c>
      <c r="L457" s="8" t="str">
        <f t="array" ref="L457">IF(453&gt;$S$1204,"",INDEX($T$5:$AJ$1204,MATCH(453,$S$5:$S$1204,0),12))</f>
        <v/>
      </c>
      <c r="M457" s="8" t="str">
        <f t="array" ref="M457">IF(453&gt;$S$1204,"",INDEX($T$5:$AJ$1204,MATCH(453,$S$5:$S$1204,0),13))</f>
        <v/>
      </c>
      <c r="N457" s="8" t="str">
        <f t="array" ref="N457">IF(453&gt;$S$1204,"",INDEX($T$5:$AJ$1204,MATCH(453,$S$5:$S$1204,0),14))</f>
        <v/>
      </c>
      <c r="O457" s="15" t="str">
        <f t="array" ref="O457">IF(453&gt;$S$1204,"",INDEX($T$5:$AJ$1204,MATCH(453,$S$5:$S$1204,0),15))</f>
        <v/>
      </c>
      <c r="P457" s="8" t="str">
        <f t="array" ref="P457">IF(453&gt;$S$1204,"",INDEX($T$5:$AJ$1204,MATCH(453,$S$5:$S$1204,0),16))</f>
        <v/>
      </c>
      <c r="Q457" s="8" t="str">
        <f t="array" ref="Q457">IF(453&gt;$S$1204,"",INDEX($T$5:$AJ$1204,MATCH(453,$S$5:$S$1204,0),17))</f>
        <v/>
      </c>
      <c r="R457" s="17"/>
      <c r="S457" s="17">
        <f>S456+IF(M3_Silleteria!A61="",0,1)</f>
        <v>0</v>
      </c>
      <c r="T457" s="17" t="str">
        <f>IF(M3_Silleteria!A61="","",IF(M3_Silleteria!A61="","",M3_Silleteria!A61))</f>
        <v/>
      </c>
      <c r="U457" s="17" t="str">
        <f>IF(M3_Silleteria!A61="","",IF(M3_Silleteria!Q61="","",M3_Silleteria!Q61))</f>
        <v/>
      </c>
      <c r="V457" s="17" t="str">
        <f>IF(M3_Silleteria!A61="","",IF(M3_Silleteria!D61="","",M3_Silleteria!D61))</f>
        <v/>
      </c>
      <c r="W457" s="17" t="str">
        <f>IF(M3_Silleteria!A61="","",IF(M3_Silleteria!B61="","",M3_Silleteria!B61))</f>
        <v/>
      </c>
      <c r="X457" s="17" t="str">
        <f>IF(M3_Silleteria!A61="","",IF(M3_Silleteria!C61="","",M3_Silleteria!C61))</f>
        <v/>
      </c>
      <c r="Y457" s="17" t="str">
        <f>IF(M3_Silleteria!A61="","",IF(M3_Silleteria!E61="","",M3_Silleteria!E61))</f>
        <v/>
      </c>
      <c r="Z457" s="17" t="str">
        <f>IF(M3_Silleteria!A61="","",IF(M3_Silleteria!F61="","",M3_Silleteria!F61))</f>
        <v/>
      </c>
      <c r="AA457" s="17" t="str">
        <f>IF(M3_Silleteria!A61="","","M3 Silletería")</f>
        <v/>
      </c>
      <c r="AB457" s="17" t="str">
        <f>IF(M3_Silleteria!A61="","",IF(M3_Silleteria!G61="","",M3_Silleteria!G61))</f>
        <v/>
      </c>
      <c r="AC457" s="17" t="str">
        <f>IF(M3_Silleteria!A61="","",IF(M3_Silleteria!L61="","",M3_Silleteria!L61))</f>
        <v/>
      </c>
      <c r="AD457" s="17" t="str">
        <f>IF(M3_Silleteria!A61="","","CD")</f>
        <v/>
      </c>
      <c r="AE457" s="17" t="str">
        <f>IF(M3_Silleteria!A61="","",IF(M3_Silleteria!N61="","",M3_Silleteria!N61))</f>
        <v/>
      </c>
      <c r="AF457" s="17" t="str">
        <f>IF(M3_Silleteria!A61="","",IF(M3_Silleteria!O61="","",M3_Silleteria!O61))</f>
        <v/>
      </c>
      <c r="AG457" s="17" t="str">
        <f>IF(M3_Silleteria!A61="","",IF(M3_Silleteria!P61="","",M3_Silleteria!P61))</f>
        <v/>
      </c>
      <c r="AH457" s="17" t="str">
        <f>IF(M3_Silleteria!A61="","",IF(M3_Silleteria!H61="","",M3_Silleteria!H61))</f>
        <v/>
      </c>
      <c r="AI457" s="17" t="str">
        <f>IF(M3_Silleteria!A61="","","M3_Silleteria!61")</f>
        <v/>
      </c>
      <c r="AJ457" s="17" t="str">
        <f>IF(M3_Silleteria!A61="","",IF(M3_Silleteria!L61="","Pendiente de resultado","Disponible"))</f>
        <v/>
      </c>
    </row>
    <row r="458" spans="1:36" ht="55.5" customHeight="1">
      <c r="A458" s="6" t="str">
        <f t="array" ref="A458">IF(454&gt;$S$1204,"",INDEX($T$5:$AJ$1204,MATCH(454,$S$5:$S$1204,0),1))</f>
        <v/>
      </c>
      <c r="B458" s="8" t="str">
        <f t="array" ref="B458">IF(454&gt;$S$1204,"",INDEX($T$5:$AJ$1204,MATCH(454,$S$5:$S$1204,0),2))</f>
        <v/>
      </c>
      <c r="C458" s="10" t="str">
        <f t="array" ref="C458">IF(454&gt;$S$1204,"",INDEX($T$5:$AJ$1204,MATCH(454,$S$5:$S$1204,0),3))</f>
        <v/>
      </c>
      <c r="D458" s="8" t="str">
        <f t="array" ref="D458">IF(454&gt;$S$1204,"",INDEX($T$5:$AJ$1204,MATCH(454,$S$5:$S$1204,0),4))</f>
        <v/>
      </c>
      <c r="E458" s="8" t="str">
        <f t="array" ref="E458">IF(454&gt;$S$1204,"",INDEX($T$5:$AJ$1204,MATCH(454,$S$5:$S$1204,0),5))</f>
        <v/>
      </c>
      <c r="F458" s="8" t="str">
        <f t="array" ref="F458">IF(454&gt;$S$1204,"",INDEX($T$5:$AJ$1204,MATCH(454,$S$5:$S$1204,0),6))</f>
        <v/>
      </c>
      <c r="G458" s="8" t="str">
        <f t="array" ref="G458">IF(454&gt;$S$1204,"",INDEX($T$5:$AJ$1204,MATCH(454,$S$5:$S$1204,0),7))</f>
        <v/>
      </c>
      <c r="H458" s="8" t="str">
        <f t="array" ref="H458">IF(454&gt;$S$1204,"",INDEX($T$5:$AJ$1204,MATCH(454,$S$5:$S$1204,0),8))</f>
        <v/>
      </c>
      <c r="I458" s="8" t="str">
        <f t="array" ref="I458">IF(454&gt;$S$1204,"",INDEX($T$5:$AJ$1204,MATCH(454,$S$5:$S$1204,0),9))</f>
        <v/>
      </c>
      <c r="J458" s="14" t="str">
        <f t="array" ref="J458">IF(454&gt;$S$1204,"",INDEX($T$5:$AJ$1204,MATCH(454,$S$5:$S$1204,0),10))</f>
        <v/>
      </c>
      <c r="K458" s="8" t="str">
        <f t="array" ref="K458">IF(454&gt;$S$1204,"",INDEX($T$5:$AJ$1204,MATCH(454,$S$5:$S$1204,0),11))</f>
        <v/>
      </c>
      <c r="L458" s="8" t="str">
        <f t="array" ref="L458">IF(454&gt;$S$1204,"",INDEX($T$5:$AJ$1204,MATCH(454,$S$5:$S$1204,0),12))</f>
        <v/>
      </c>
      <c r="M458" s="8" t="str">
        <f t="array" ref="M458">IF(454&gt;$S$1204,"",INDEX($T$5:$AJ$1204,MATCH(454,$S$5:$S$1204,0),13))</f>
        <v/>
      </c>
      <c r="N458" s="8" t="str">
        <f t="array" ref="N458">IF(454&gt;$S$1204,"",INDEX($T$5:$AJ$1204,MATCH(454,$S$5:$S$1204,0),14))</f>
        <v/>
      </c>
      <c r="O458" s="15" t="str">
        <f t="array" ref="O458">IF(454&gt;$S$1204,"",INDEX($T$5:$AJ$1204,MATCH(454,$S$5:$S$1204,0),15))</f>
        <v/>
      </c>
      <c r="P458" s="8" t="str">
        <f t="array" ref="P458">IF(454&gt;$S$1204,"",INDEX($T$5:$AJ$1204,MATCH(454,$S$5:$S$1204,0),16))</f>
        <v/>
      </c>
      <c r="Q458" s="8" t="str">
        <f t="array" ref="Q458">IF(454&gt;$S$1204,"",INDEX($T$5:$AJ$1204,MATCH(454,$S$5:$S$1204,0),17))</f>
        <v/>
      </c>
      <c r="R458" s="17"/>
      <c r="S458" s="17">
        <f>S457+IF(M3_Silleteria!A62="",0,1)</f>
        <v>0</v>
      </c>
      <c r="T458" s="17" t="str">
        <f>IF(M3_Silleteria!A62="","",IF(M3_Silleteria!A62="","",M3_Silleteria!A62))</f>
        <v/>
      </c>
      <c r="U458" s="17" t="str">
        <f>IF(M3_Silleteria!A62="","",IF(M3_Silleteria!Q62="","",M3_Silleteria!Q62))</f>
        <v/>
      </c>
      <c r="V458" s="17" t="str">
        <f>IF(M3_Silleteria!A62="","",IF(M3_Silleteria!D62="","",M3_Silleteria!D62))</f>
        <v/>
      </c>
      <c r="W458" s="17" t="str">
        <f>IF(M3_Silleteria!A62="","",IF(M3_Silleteria!B62="","",M3_Silleteria!B62))</f>
        <v/>
      </c>
      <c r="X458" s="17" t="str">
        <f>IF(M3_Silleteria!A62="","",IF(M3_Silleteria!C62="","",M3_Silleteria!C62))</f>
        <v/>
      </c>
      <c r="Y458" s="17" t="str">
        <f>IF(M3_Silleteria!A62="","",IF(M3_Silleteria!E62="","",M3_Silleteria!E62))</f>
        <v/>
      </c>
      <c r="Z458" s="17" t="str">
        <f>IF(M3_Silleteria!A62="","",IF(M3_Silleteria!F62="","",M3_Silleteria!F62))</f>
        <v/>
      </c>
      <c r="AA458" s="17" t="str">
        <f>IF(M3_Silleteria!A62="","","M3 Silletería")</f>
        <v/>
      </c>
      <c r="AB458" s="17" t="str">
        <f>IF(M3_Silleteria!A62="","",IF(M3_Silleteria!G62="","",M3_Silleteria!G62))</f>
        <v/>
      </c>
      <c r="AC458" s="17" t="str">
        <f>IF(M3_Silleteria!A62="","",IF(M3_Silleteria!L62="","",M3_Silleteria!L62))</f>
        <v/>
      </c>
      <c r="AD458" s="17" t="str">
        <f>IF(M3_Silleteria!A62="","","CD")</f>
        <v/>
      </c>
      <c r="AE458" s="17" t="str">
        <f>IF(M3_Silleteria!A62="","",IF(M3_Silleteria!N62="","",M3_Silleteria!N62))</f>
        <v/>
      </c>
      <c r="AF458" s="17" t="str">
        <f>IF(M3_Silleteria!A62="","",IF(M3_Silleteria!O62="","",M3_Silleteria!O62))</f>
        <v/>
      </c>
      <c r="AG458" s="17" t="str">
        <f>IF(M3_Silleteria!A62="","",IF(M3_Silleteria!P62="","",M3_Silleteria!P62))</f>
        <v/>
      </c>
      <c r="AH458" s="17" t="str">
        <f>IF(M3_Silleteria!A62="","",IF(M3_Silleteria!H62="","",M3_Silleteria!H62))</f>
        <v/>
      </c>
      <c r="AI458" s="17" t="str">
        <f>IF(M3_Silleteria!A62="","","M3_Silleteria!62")</f>
        <v/>
      </c>
      <c r="AJ458" s="17" t="str">
        <f>IF(M3_Silleteria!A62="","",IF(M3_Silleteria!L62="","Pendiente de resultado","Disponible"))</f>
        <v/>
      </c>
    </row>
    <row r="459" spans="1:36" ht="55.5" customHeight="1">
      <c r="A459" s="6" t="str">
        <f t="array" ref="A459">IF(455&gt;$S$1204,"",INDEX($T$5:$AJ$1204,MATCH(455,$S$5:$S$1204,0),1))</f>
        <v/>
      </c>
      <c r="B459" s="8" t="str">
        <f t="array" ref="B459">IF(455&gt;$S$1204,"",INDEX($T$5:$AJ$1204,MATCH(455,$S$5:$S$1204,0),2))</f>
        <v/>
      </c>
      <c r="C459" s="10" t="str">
        <f t="array" ref="C459">IF(455&gt;$S$1204,"",INDEX($T$5:$AJ$1204,MATCH(455,$S$5:$S$1204,0),3))</f>
        <v/>
      </c>
      <c r="D459" s="8" t="str">
        <f t="array" ref="D459">IF(455&gt;$S$1204,"",INDEX($T$5:$AJ$1204,MATCH(455,$S$5:$S$1204,0),4))</f>
        <v/>
      </c>
      <c r="E459" s="8" t="str">
        <f t="array" ref="E459">IF(455&gt;$S$1204,"",INDEX($T$5:$AJ$1204,MATCH(455,$S$5:$S$1204,0),5))</f>
        <v/>
      </c>
      <c r="F459" s="8" t="str">
        <f t="array" ref="F459">IF(455&gt;$S$1204,"",INDEX($T$5:$AJ$1204,MATCH(455,$S$5:$S$1204,0),6))</f>
        <v/>
      </c>
      <c r="G459" s="8" t="str">
        <f t="array" ref="G459">IF(455&gt;$S$1204,"",INDEX($T$5:$AJ$1204,MATCH(455,$S$5:$S$1204,0),7))</f>
        <v/>
      </c>
      <c r="H459" s="8" t="str">
        <f t="array" ref="H459">IF(455&gt;$S$1204,"",INDEX($T$5:$AJ$1204,MATCH(455,$S$5:$S$1204,0),8))</f>
        <v/>
      </c>
      <c r="I459" s="8" t="str">
        <f t="array" ref="I459">IF(455&gt;$S$1204,"",INDEX($T$5:$AJ$1204,MATCH(455,$S$5:$S$1204,0),9))</f>
        <v/>
      </c>
      <c r="J459" s="14" t="str">
        <f t="array" ref="J459">IF(455&gt;$S$1204,"",INDEX($T$5:$AJ$1204,MATCH(455,$S$5:$S$1204,0),10))</f>
        <v/>
      </c>
      <c r="K459" s="8" t="str">
        <f t="array" ref="K459">IF(455&gt;$S$1204,"",INDEX($T$5:$AJ$1204,MATCH(455,$S$5:$S$1204,0),11))</f>
        <v/>
      </c>
      <c r="L459" s="8" t="str">
        <f t="array" ref="L459">IF(455&gt;$S$1204,"",INDEX($T$5:$AJ$1204,MATCH(455,$S$5:$S$1204,0),12))</f>
        <v/>
      </c>
      <c r="M459" s="8" t="str">
        <f t="array" ref="M459">IF(455&gt;$S$1204,"",INDEX($T$5:$AJ$1204,MATCH(455,$S$5:$S$1204,0),13))</f>
        <v/>
      </c>
      <c r="N459" s="8" t="str">
        <f t="array" ref="N459">IF(455&gt;$S$1204,"",INDEX($T$5:$AJ$1204,MATCH(455,$S$5:$S$1204,0),14))</f>
        <v/>
      </c>
      <c r="O459" s="15" t="str">
        <f t="array" ref="O459">IF(455&gt;$S$1204,"",INDEX($T$5:$AJ$1204,MATCH(455,$S$5:$S$1204,0),15))</f>
        <v/>
      </c>
      <c r="P459" s="8" t="str">
        <f t="array" ref="P459">IF(455&gt;$S$1204,"",INDEX($T$5:$AJ$1204,MATCH(455,$S$5:$S$1204,0),16))</f>
        <v/>
      </c>
      <c r="Q459" s="8" t="str">
        <f t="array" ref="Q459">IF(455&gt;$S$1204,"",INDEX($T$5:$AJ$1204,MATCH(455,$S$5:$S$1204,0),17))</f>
        <v/>
      </c>
      <c r="R459" s="17"/>
      <c r="S459" s="17">
        <f>S458+IF(M3_Silleteria!A63="",0,1)</f>
        <v>0</v>
      </c>
      <c r="T459" s="17" t="str">
        <f>IF(M3_Silleteria!A63="","",IF(M3_Silleteria!A63="","",M3_Silleteria!A63))</f>
        <v/>
      </c>
      <c r="U459" s="17" t="str">
        <f>IF(M3_Silleteria!A63="","",IF(M3_Silleteria!Q63="","",M3_Silleteria!Q63))</f>
        <v/>
      </c>
      <c r="V459" s="17" t="str">
        <f>IF(M3_Silleteria!A63="","",IF(M3_Silleteria!D63="","",M3_Silleteria!D63))</f>
        <v/>
      </c>
      <c r="W459" s="17" t="str">
        <f>IF(M3_Silleteria!A63="","",IF(M3_Silleteria!B63="","",M3_Silleteria!B63))</f>
        <v/>
      </c>
      <c r="X459" s="17" t="str">
        <f>IF(M3_Silleteria!A63="","",IF(M3_Silleteria!C63="","",M3_Silleteria!C63))</f>
        <v/>
      </c>
      <c r="Y459" s="17" t="str">
        <f>IF(M3_Silleteria!A63="","",IF(M3_Silleteria!E63="","",M3_Silleteria!E63))</f>
        <v/>
      </c>
      <c r="Z459" s="17" t="str">
        <f>IF(M3_Silleteria!A63="","",IF(M3_Silleteria!F63="","",M3_Silleteria!F63))</f>
        <v/>
      </c>
      <c r="AA459" s="17" t="str">
        <f>IF(M3_Silleteria!A63="","","M3 Silletería")</f>
        <v/>
      </c>
      <c r="AB459" s="17" t="str">
        <f>IF(M3_Silleteria!A63="","",IF(M3_Silleteria!G63="","",M3_Silleteria!G63))</f>
        <v/>
      </c>
      <c r="AC459" s="17" t="str">
        <f>IF(M3_Silleteria!A63="","",IF(M3_Silleteria!L63="","",M3_Silleteria!L63))</f>
        <v/>
      </c>
      <c r="AD459" s="17" t="str">
        <f>IF(M3_Silleteria!A63="","","CD")</f>
        <v/>
      </c>
      <c r="AE459" s="17" t="str">
        <f>IF(M3_Silleteria!A63="","",IF(M3_Silleteria!N63="","",M3_Silleteria!N63))</f>
        <v/>
      </c>
      <c r="AF459" s="17" t="str">
        <f>IF(M3_Silleteria!A63="","",IF(M3_Silleteria!O63="","",M3_Silleteria!O63))</f>
        <v/>
      </c>
      <c r="AG459" s="17" t="str">
        <f>IF(M3_Silleteria!A63="","",IF(M3_Silleteria!P63="","",M3_Silleteria!P63))</f>
        <v/>
      </c>
      <c r="AH459" s="17" t="str">
        <f>IF(M3_Silleteria!A63="","",IF(M3_Silleteria!H63="","",M3_Silleteria!H63))</f>
        <v/>
      </c>
      <c r="AI459" s="17" t="str">
        <f>IF(M3_Silleteria!A63="","","M3_Silleteria!63")</f>
        <v/>
      </c>
      <c r="AJ459" s="17" t="str">
        <f>IF(M3_Silleteria!A63="","",IF(M3_Silleteria!L63="","Pendiente de resultado","Disponible"))</f>
        <v/>
      </c>
    </row>
    <row r="460" spans="1:36" ht="55.5" customHeight="1">
      <c r="A460" s="6" t="str">
        <f t="array" ref="A460">IF(456&gt;$S$1204,"",INDEX($T$5:$AJ$1204,MATCH(456,$S$5:$S$1204,0),1))</f>
        <v/>
      </c>
      <c r="B460" s="8" t="str">
        <f t="array" ref="B460">IF(456&gt;$S$1204,"",INDEX($T$5:$AJ$1204,MATCH(456,$S$5:$S$1204,0),2))</f>
        <v/>
      </c>
      <c r="C460" s="10" t="str">
        <f t="array" ref="C460">IF(456&gt;$S$1204,"",INDEX($T$5:$AJ$1204,MATCH(456,$S$5:$S$1204,0),3))</f>
        <v/>
      </c>
      <c r="D460" s="8" t="str">
        <f t="array" ref="D460">IF(456&gt;$S$1204,"",INDEX($T$5:$AJ$1204,MATCH(456,$S$5:$S$1204,0),4))</f>
        <v/>
      </c>
      <c r="E460" s="8" t="str">
        <f t="array" ref="E460">IF(456&gt;$S$1204,"",INDEX($T$5:$AJ$1204,MATCH(456,$S$5:$S$1204,0),5))</f>
        <v/>
      </c>
      <c r="F460" s="8" t="str">
        <f t="array" ref="F460">IF(456&gt;$S$1204,"",INDEX($T$5:$AJ$1204,MATCH(456,$S$5:$S$1204,0),6))</f>
        <v/>
      </c>
      <c r="G460" s="8" t="str">
        <f t="array" ref="G460">IF(456&gt;$S$1204,"",INDEX($T$5:$AJ$1204,MATCH(456,$S$5:$S$1204,0),7))</f>
        <v/>
      </c>
      <c r="H460" s="8" t="str">
        <f t="array" ref="H460">IF(456&gt;$S$1204,"",INDEX($T$5:$AJ$1204,MATCH(456,$S$5:$S$1204,0),8))</f>
        <v/>
      </c>
      <c r="I460" s="8" t="str">
        <f t="array" ref="I460">IF(456&gt;$S$1204,"",INDEX($T$5:$AJ$1204,MATCH(456,$S$5:$S$1204,0),9))</f>
        <v/>
      </c>
      <c r="J460" s="14" t="str">
        <f t="array" ref="J460">IF(456&gt;$S$1204,"",INDEX($T$5:$AJ$1204,MATCH(456,$S$5:$S$1204,0),10))</f>
        <v/>
      </c>
      <c r="K460" s="8" t="str">
        <f t="array" ref="K460">IF(456&gt;$S$1204,"",INDEX($T$5:$AJ$1204,MATCH(456,$S$5:$S$1204,0),11))</f>
        <v/>
      </c>
      <c r="L460" s="8" t="str">
        <f t="array" ref="L460">IF(456&gt;$S$1204,"",INDEX($T$5:$AJ$1204,MATCH(456,$S$5:$S$1204,0),12))</f>
        <v/>
      </c>
      <c r="M460" s="8" t="str">
        <f t="array" ref="M460">IF(456&gt;$S$1204,"",INDEX($T$5:$AJ$1204,MATCH(456,$S$5:$S$1204,0),13))</f>
        <v/>
      </c>
      <c r="N460" s="8" t="str">
        <f t="array" ref="N460">IF(456&gt;$S$1204,"",INDEX($T$5:$AJ$1204,MATCH(456,$S$5:$S$1204,0),14))</f>
        <v/>
      </c>
      <c r="O460" s="15" t="str">
        <f t="array" ref="O460">IF(456&gt;$S$1204,"",INDEX($T$5:$AJ$1204,MATCH(456,$S$5:$S$1204,0),15))</f>
        <v/>
      </c>
      <c r="P460" s="8" t="str">
        <f t="array" ref="P460">IF(456&gt;$S$1204,"",INDEX($T$5:$AJ$1204,MATCH(456,$S$5:$S$1204,0),16))</f>
        <v/>
      </c>
      <c r="Q460" s="8" t="str">
        <f t="array" ref="Q460">IF(456&gt;$S$1204,"",INDEX($T$5:$AJ$1204,MATCH(456,$S$5:$S$1204,0),17))</f>
        <v/>
      </c>
      <c r="R460" s="17"/>
      <c r="S460" s="17">
        <f>S459+IF(M3_Silleteria!A64="",0,1)</f>
        <v>0</v>
      </c>
      <c r="T460" s="17" t="str">
        <f>IF(M3_Silleteria!A64="","",IF(M3_Silleteria!A64="","",M3_Silleteria!A64))</f>
        <v/>
      </c>
      <c r="U460" s="17" t="str">
        <f>IF(M3_Silleteria!A64="","",IF(M3_Silleteria!Q64="","",M3_Silleteria!Q64))</f>
        <v/>
      </c>
      <c r="V460" s="17" t="str">
        <f>IF(M3_Silleteria!A64="","",IF(M3_Silleteria!D64="","",M3_Silleteria!D64))</f>
        <v/>
      </c>
      <c r="W460" s="17" t="str">
        <f>IF(M3_Silleteria!A64="","",IF(M3_Silleteria!B64="","",M3_Silleteria!B64))</f>
        <v/>
      </c>
      <c r="X460" s="17" t="str">
        <f>IF(M3_Silleteria!A64="","",IF(M3_Silleteria!C64="","",M3_Silleteria!C64))</f>
        <v/>
      </c>
      <c r="Y460" s="17" t="str">
        <f>IF(M3_Silleteria!A64="","",IF(M3_Silleteria!E64="","",M3_Silleteria!E64))</f>
        <v/>
      </c>
      <c r="Z460" s="17" t="str">
        <f>IF(M3_Silleteria!A64="","",IF(M3_Silleteria!F64="","",M3_Silleteria!F64))</f>
        <v/>
      </c>
      <c r="AA460" s="17" t="str">
        <f>IF(M3_Silleteria!A64="","","M3 Silletería")</f>
        <v/>
      </c>
      <c r="AB460" s="17" t="str">
        <f>IF(M3_Silleteria!A64="","",IF(M3_Silleteria!G64="","",M3_Silleteria!G64))</f>
        <v/>
      </c>
      <c r="AC460" s="17" t="str">
        <f>IF(M3_Silleteria!A64="","",IF(M3_Silleteria!L64="","",M3_Silleteria!L64))</f>
        <v/>
      </c>
      <c r="AD460" s="17" t="str">
        <f>IF(M3_Silleteria!A64="","","CD")</f>
        <v/>
      </c>
      <c r="AE460" s="17" t="str">
        <f>IF(M3_Silleteria!A64="","",IF(M3_Silleteria!N64="","",M3_Silleteria!N64))</f>
        <v/>
      </c>
      <c r="AF460" s="17" t="str">
        <f>IF(M3_Silleteria!A64="","",IF(M3_Silleteria!O64="","",M3_Silleteria!O64))</f>
        <v/>
      </c>
      <c r="AG460" s="17" t="str">
        <f>IF(M3_Silleteria!A64="","",IF(M3_Silleteria!P64="","",M3_Silleteria!P64))</f>
        <v/>
      </c>
      <c r="AH460" s="17" t="str">
        <f>IF(M3_Silleteria!A64="","",IF(M3_Silleteria!H64="","",M3_Silleteria!H64))</f>
        <v/>
      </c>
      <c r="AI460" s="17" t="str">
        <f>IF(M3_Silleteria!A64="","","M3_Silleteria!64")</f>
        <v/>
      </c>
      <c r="AJ460" s="17" t="str">
        <f>IF(M3_Silleteria!A64="","",IF(M3_Silleteria!L64="","Pendiente de resultado","Disponible"))</f>
        <v/>
      </c>
    </row>
    <row r="461" spans="1:36" ht="55.5" customHeight="1">
      <c r="A461" s="6" t="str">
        <f t="array" ref="A461">IF(457&gt;$S$1204,"",INDEX($T$5:$AJ$1204,MATCH(457,$S$5:$S$1204,0),1))</f>
        <v/>
      </c>
      <c r="B461" s="8" t="str">
        <f t="array" ref="B461">IF(457&gt;$S$1204,"",INDEX($T$5:$AJ$1204,MATCH(457,$S$5:$S$1204,0),2))</f>
        <v/>
      </c>
      <c r="C461" s="10" t="str">
        <f t="array" ref="C461">IF(457&gt;$S$1204,"",INDEX($T$5:$AJ$1204,MATCH(457,$S$5:$S$1204,0),3))</f>
        <v/>
      </c>
      <c r="D461" s="8" t="str">
        <f t="array" ref="D461">IF(457&gt;$S$1204,"",INDEX($T$5:$AJ$1204,MATCH(457,$S$5:$S$1204,0),4))</f>
        <v/>
      </c>
      <c r="E461" s="8" t="str">
        <f t="array" ref="E461">IF(457&gt;$S$1204,"",INDEX($T$5:$AJ$1204,MATCH(457,$S$5:$S$1204,0),5))</f>
        <v/>
      </c>
      <c r="F461" s="8" t="str">
        <f t="array" ref="F461">IF(457&gt;$S$1204,"",INDEX($T$5:$AJ$1204,MATCH(457,$S$5:$S$1204,0),6))</f>
        <v/>
      </c>
      <c r="G461" s="8" t="str">
        <f t="array" ref="G461">IF(457&gt;$S$1204,"",INDEX($T$5:$AJ$1204,MATCH(457,$S$5:$S$1204,0),7))</f>
        <v/>
      </c>
      <c r="H461" s="8" t="str">
        <f t="array" ref="H461">IF(457&gt;$S$1204,"",INDEX($T$5:$AJ$1204,MATCH(457,$S$5:$S$1204,0),8))</f>
        <v/>
      </c>
      <c r="I461" s="8" t="str">
        <f t="array" ref="I461">IF(457&gt;$S$1204,"",INDEX($T$5:$AJ$1204,MATCH(457,$S$5:$S$1204,0),9))</f>
        <v/>
      </c>
      <c r="J461" s="14" t="str">
        <f t="array" ref="J461">IF(457&gt;$S$1204,"",INDEX($T$5:$AJ$1204,MATCH(457,$S$5:$S$1204,0),10))</f>
        <v/>
      </c>
      <c r="K461" s="8" t="str">
        <f t="array" ref="K461">IF(457&gt;$S$1204,"",INDEX($T$5:$AJ$1204,MATCH(457,$S$5:$S$1204,0),11))</f>
        <v/>
      </c>
      <c r="L461" s="8" t="str">
        <f t="array" ref="L461">IF(457&gt;$S$1204,"",INDEX($T$5:$AJ$1204,MATCH(457,$S$5:$S$1204,0),12))</f>
        <v/>
      </c>
      <c r="M461" s="8" t="str">
        <f t="array" ref="M461">IF(457&gt;$S$1204,"",INDEX($T$5:$AJ$1204,MATCH(457,$S$5:$S$1204,0),13))</f>
        <v/>
      </c>
      <c r="N461" s="8" t="str">
        <f t="array" ref="N461">IF(457&gt;$S$1204,"",INDEX($T$5:$AJ$1204,MATCH(457,$S$5:$S$1204,0),14))</f>
        <v/>
      </c>
      <c r="O461" s="15" t="str">
        <f t="array" ref="O461">IF(457&gt;$S$1204,"",INDEX($T$5:$AJ$1204,MATCH(457,$S$5:$S$1204,0),15))</f>
        <v/>
      </c>
      <c r="P461" s="8" t="str">
        <f t="array" ref="P461">IF(457&gt;$S$1204,"",INDEX($T$5:$AJ$1204,MATCH(457,$S$5:$S$1204,0),16))</f>
        <v/>
      </c>
      <c r="Q461" s="8" t="str">
        <f t="array" ref="Q461">IF(457&gt;$S$1204,"",INDEX($T$5:$AJ$1204,MATCH(457,$S$5:$S$1204,0),17))</f>
        <v/>
      </c>
      <c r="R461" s="17"/>
      <c r="S461" s="17">
        <f>S460+IF(M3_Silleteria!A65="",0,1)</f>
        <v>0</v>
      </c>
      <c r="T461" s="17" t="str">
        <f>IF(M3_Silleteria!A65="","",IF(M3_Silleteria!A65="","",M3_Silleteria!A65))</f>
        <v/>
      </c>
      <c r="U461" s="17" t="str">
        <f>IF(M3_Silleteria!A65="","",IF(M3_Silleteria!Q65="","",M3_Silleteria!Q65))</f>
        <v/>
      </c>
      <c r="V461" s="17" t="str">
        <f>IF(M3_Silleteria!A65="","",IF(M3_Silleteria!D65="","",M3_Silleteria!D65))</f>
        <v/>
      </c>
      <c r="W461" s="17" t="str">
        <f>IF(M3_Silleteria!A65="","",IF(M3_Silleteria!B65="","",M3_Silleteria!B65))</f>
        <v/>
      </c>
      <c r="X461" s="17" t="str">
        <f>IF(M3_Silleteria!A65="","",IF(M3_Silleteria!C65="","",M3_Silleteria!C65))</f>
        <v/>
      </c>
      <c r="Y461" s="17" t="str">
        <f>IF(M3_Silleteria!A65="","",IF(M3_Silleteria!E65="","",M3_Silleteria!E65))</f>
        <v/>
      </c>
      <c r="Z461" s="17" t="str">
        <f>IF(M3_Silleteria!A65="","",IF(M3_Silleteria!F65="","",M3_Silleteria!F65))</f>
        <v/>
      </c>
      <c r="AA461" s="17" t="str">
        <f>IF(M3_Silleteria!A65="","","M3 Silletería")</f>
        <v/>
      </c>
      <c r="AB461" s="17" t="str">
        <f>IF(M3_Silleteria!A65="","",IF(M3_Silleteria!G65="","",M3_Silleteria!G65))</f>
        <v/>
      </c>
      <c r="AC461" s="17" t="str">
        <f>IF(M3_Silleteria!A65="","",IF(M3_Silleteria!L65="","",M3_Silleteria!L65))</f>
        <v/>
      </c>
      <c r="AD461" s="17" t="str">
        <f>IF(M3_Silleteria!A65="","","CD")</f>
        <v/>
      </c>
      <c r="AE461" s="17" t="str">
        <f>IF(M3_Silleteria!A65="","",IF(M3_Silleteria!N65="","",M3_Silleteria!N65))</f>
        <v/>
      </c>
      <c r="AF461" s="17" t="str">
        <f>IF(M3_Silleteria!A65="","",IF(M3_Silleteria!O65="","",M3_Silleteria!O65))</f>
        <v/>
      </c>
      <c r="AG461" s="17" t="str">
        <f>IF(M3_Silleteria!A65="","",IF(M3_Silleteria!P65="","",M3_Silleteria!P65))</f>
        <v/>
      </c>
      <c r="AH461" s="17" t="str">
        <f>IF(M3_Silleteria!A65="","",IF(M3_Silleteria!H65="","",M3_Silleteria!H65))</f>
        <v/>
      </c>
      <c r="AI461" s="17" t="str">
        <f>IF(M3_Silleteria!A65="","","M3_Silleteria!65")</f>
        <v/>
      </c>
      <c r="AJ461" s="17" t="str">
        <f>IF(M3_Silleteria!A65="","",IF(M3_Silleteria!L65="","Pendiente de resultado","Disponible"))</f>
        <v/>
      </c>
    </row>
    <row r="462" spans="1:36" ht="55.5" customHeight="1">
      <c r="A462" s="6" t="str">
        <f t="array" ref="A462">IF(458&gt;$S$1204,"",INDEX($T$5:$AJ$1204,MATCH(458,$S$5:$S$1204,0),1))</f>
        <v/>
      </c>
      <c r="B462" s="8" t="str">
        <f t="array" ref="B462">IF(458&gt;$S$1204,"",INDEX($T$5:$AJ$1204,MATCH(458,$S$5:$S$1204,0),2))</f>
        <v/>
      </c>
      <c r="C462" s="10" t="str">
        <f t="array" ref="C462">IF(458&gt;$S$1204,"",INDEX($T$5:$AJ$1204,MATCH(458,$S$5:$S$1204,0),3))</f>
        <v/>
      </c>
      <c r="D462" s="8" t="str">
        <f t="array" ref="D462">IF(458&gt;$S$1204,"",INDEX($T$5:$AJ$1204,MATCH(458,$S$5:$S$1204,0),4))</f>
        <v/>
      </c>
      <c r="E462" s="8" t="str">
        <f t="array" ref="E462">IF(458&gt;$S$1204,"",INDEX($T$5:$AJ$1204,MATCH(458,$S$5:$S$1204,0),5))</f>
        <v/>
      </c>
      <c r="F462" s="8" t="str">
        <f t="array" ref="F462">IF(458&gt;$S$1204,"",INDEX($T$5:$AJ$1204,MATCH(458,$S$5:$S$1204,0),6))</f>
        <v/>
      </c>
      <c r="G462" s="8" t="str">
        <f t="array" ref="G462">IF(458&gt;$S$1204,"",INDEX($T$5:$AJ$1204,MATCH(458,$S$5:$S$1204,0),7))</f>
        <v/>
      </c>
      <c r="H462" s="8" t="str">
        <f t="array" ref="H462">IF(458&gt;$S$1204,"",INDEX($T$5:$AJ$1204,MATCH(458,$S$5:$S$1204,0),8))</f>
        <v/>
      </c>
      <c r="I462" s="8" t="str">
        <f t="array" ref="I462">IF(458&gt;$S$1204,"",INDEX($T$5:$AJ$1204,MATCH(458,$S$5:$S$1204,0),9))</f>
        <v/>
      </c>
      <c r="J462" s="14" t="str">
        <f t="array" ref="J462">IF(458&gt;$S$1204,"",INDEX($T$5:$AJ$1204,MATCH(458,$S$5:$S$1204,0),10))</f>
        <v/>
      </c>
      <c r="K462" s="8" t="str">
        <f t="array" ref="K462">IF(458&gt;$S$1204,"",INDEX($T$5:$AJ$1204,MATCH(458,$S$5:$S$1204,0),11))</f>
        <v/>
      </c>
      <c r="L462" s="8" t="str">
        <f t="array" ref="L462">IF(458&gt;$S$1204,"",INDEX($T$5:$AJ$1204,MATCH(458,$S$5:$S$1204,0),12))</f>
        <v/>
      </c>
      <c r="M462" s="8" t="str">
        <f t="array" ref="M462">IF(458&gt;$S$1204,"",INDEX($T$5:$AJ$1204,MATCH(458,$S$5:$S$1204,0),13))</f>
        <v/>
      </c>
      <c r="N462" s="8" t="str">
        <f t="array" ref="N462">IF(458&gt;$S$1204,"",INDEX($T$5:$AJ$1204,MATCH(458,$S$5:$S$1204,0),14))</f>
        <v/>
      </c>
      <c r="O462" s="15" t="str">
        <f t="array" ref="O462">IF(458&gt;$S$1204,"",INDEX($T$5:$AJ$1204,MATCH(458,$S$5:$S$1204,0),15))</f>
        <v/>
      </c>
      <c r="P462" s="8" t="str">
        <f t="array" ref="P462">IF(458&gt;$S$1204,"",INDEX($T$5:$AJ$1204,MATCH(458,$S$5:$S$1204,0),16))</f>
        <v/>
      </c>
      <c r="Q462" s="8" t="str">
        <f t="array" ref="Q462">IF(458&gt;$S$1204,"",INDEX($T$5:$AJ$1204,MATCH(458,$S$5:$S$1204,0),17))</f>
        <v/>
      </c>
      <c r="R462" s="17"/>
      <c r="S462" s="17">
        <f>S461+IF(M3_Silleteria!A66="",0,1)</f>
        <v>0</v>
      </c>
      <c r="T462" s="17" t="str">
        <f>IF(M3_Silleteria!A66="","",IF(M3_Silleteria!A66="","",M3_Silleteria!A66))</f>
        <v/>
      </c>
      <c r="U462" s="17" t="str">
        <f>IF(M3_Silleteria!A66="","",IF(M3_Silleteria!Q66="","",M3_Silleteria!Q66))</f>
        <v/>
      </c>
      <c r="V462" s="17" t="str">
        <f>IF(M3_Silleteria!A66="","",IF(M3_Silleteria!D66="","",M3_Silleteria!D66))</f>
        <v/>
      </c>
      <c r="W462" s="17" t="str">
        <f>IF(M3_Silleteria!A66="","",IF(M3_Silleteria!B66="","",M3_Silleteria!B66))</f>
        <v/>
      </c>
      <c r="X462" s="17" t="str">
        <f>IF(M3_Silleteria!A66="","",IF(M3_Silleteria!C66="","",M3_Silleteria!C66))</f>
        <v/>
      </c>
      <c r="Y462" s="17" t="str">
        <f>IF(M3_Silleteria!A66="","",IF(M3_Silleteria!E66="","",M3_Silleteria!E66))</f>
        <v/>
      </c>
      <c r="Z462" s="17" t="str">
        <f>IF(M3_Silleteria!A66="","",IF(M3_Silleteria!F66="","",M3_Silleteria!F66))</f>
        <v/>
      </c>
      <c r="AA462" s="17" t="str">
        <f>IF(M3_Silleteria!A66="","","M3 Silletería")</f>
        <v/>
      </c>
      <c r="AB462" s="17" t="str">
        <f>IF(M3_Silleteria!A66="","",IF(M3_Silleteria!G66="","",M3_Silleteria!G66))</f>
        <v/>
      </c>
      <c r="AC462" s="17" t="str">
        <f>IF(M3_Silleteria!A66="","",IF(M3_Silleteria!L66="","",M3_Silleteria!L66))</f>
        <v/>
      </c>
      <c r="AD462" s="17" t="str">
        <f>IF(M3_Silleteria!A66="","","CD")</f>
        <v/>
      </c>
      <c r="AE462" s="17" t="str">
        <f>IF(M3_Silleteria!A66="","",IF(M3_Silleteria!N66="","",M3_Silleteria!N66))</f>
        <v/>
      </c>
      <c r="AF462" s="17" t="str">
        <f>IF(M3_Silleteria!A66="","",IF(M3_Silleteria!O66="","",M3_Silleteria!O66))</f>
        <v/>
      </c>
      <c r="AG462" s="17" t="str">
        <f>IF(M3_Silleteria!A66="","",IF(M3_Silleteria!P66="","",M3_Silleteria!P66))</f>
        <v/>
      </c>
      <c r="AH462" s="17" t="str">
        <f>IF(M3_Silleteria!A66="","",IF(M3_Silleteria!H66="","",M3_Silleteria!H66))</f>
        <v/>
      </c>
      <c r="AI462" s="17" t="str">
        <f>IF(M3_Silleteria!A66="","","M3_Silleteria!66")</f>
        <v/>
      </c>
      <c r="AJ462" s="17" t="str">
        <f>IF(M3_Silleteria!A66="","",IF(M3_Silleteria!L66="","Pendiente de resultado","Disponible"))</f>
        <v/>
      </c>
    </row>
    <row r="463" spans="1:36" ht="55.5" customHeight="1">
      <c r="A463" s="6" t="str">
        <f t="array" ref="A463">IF(459&gt;$S$1204,"",INDEX($T$5:$AJ$1204,MATCH(459,$S$5:$S$1204,0),1))</f>
        <v/>
      </c>
      <c r="B463" s="8" t="str">
        <f t="array" ref="B463">IF(459&gt;$S$1204,"",INDEX($T$5:$AJ$1204,MATCH(459,$S$5:$S$1204,0),2))</f>
        <v/>
      </c>
      <c r="C463" s="10" t="str">
        <f t="array" ref="C463">IF(459&gt;$S$1204,"",INDEX($T$5:$AJ$1204,MATCH(459,$S$5:$S$1204,0),3))</f>
        <v/>
      </c>
      <c r="D463" s="8" t="str">
        <f t="array" ref="D463">IF(459&gt;$S$1204,"",INDEX($T$5:$AJ$1204,MATCH(459,$S$5:$S$1204,0),4))</f>
        <v/>
      </c>
      <c r="E463" s="8" t="str">
        <f t="array" ref="E463">IF(459&gt;$S$1204,"",INDEX($T$5:$AJ$1204,MATCH(459,$S$5:$S$1204,0),5))</f>
        <v/>
      </c>
      <c r="F463" s="8" t="str">
        <f t="array" ref="F463">IF(459&gt;$S$1204,"",INDEX($T$5:$AJ$1204,MATCH(459,$S$5:$S$1204,0),6))</f>
        <v/>
      </c>
      <c r="G463" s="8" t="str">
        <f t="array" ref="G463">IF(459&gt;$S$1204,"",INDEX($T$5:$AJ$1204,MATCH(459,$S$5:$S$1204,0),7))</f>
        <v/>
      </c>
      <c r="H463" s="8" t="str">
        <f t="array" ref="H463">IF(459&gt;$S$1204,"",INDEX($T$5:$AJ$1204,MATCH(459,$S$5:$S$1204,0),8))</f>
        <v/>
      </c>
      <c r="I463" s="8" t="str">
        <f t="array" ref="I463">IF(459&gt;$S$1204,"",INDEX($T$5:$AJ$1204,MATCH(459,$S$5:$S$1204,0),9))</f>
        <v/>
      </c>
      <c r="J463" s="14" t="str">
        <f t="array" ref="J463">IF(459&gt;$S$1204,"",INDEX($T$5:$AJ$1204,MATCH(459,$S$5:$S$1204,0),10))</f>
        <v/>
      </c>
      <c r="K463" s="8" t="str">
        <f t="array" ref="K463">IF(459&gt;$S$1204,"",INDEX($T$5:$AJ$1204,MATCH(459,$S$5:$S$1204,0),11))</f>
        <v/>
      </c>
      <c r="L463" s="8" t="str">
        <f t="array" ref="L463">IF(459&gt;$S$1204,"",INDEX($T$5:$AJ$1204,MATCH(459,$S$5:$S$1204,0),12))</f>
        <v/>
      </c>
      <c r="M463" s="8" t="str">
        <f t="array" ref="M463">IF(459&gt;$S$1204,"",INDEX($T$5:$AJ$1204,MATCH(459,$S$5:$S$1204,0),13))</f>
        <v/>
      </c>
      <c r="N463" s="8" t="str">
        <f t="array" ref="N463">IF(459&gt;$S$1204,"",INDEX($T$5:$AJ$1204,MATCH(459,$S$5:$S$1204,0),14))</f>
        <v/>
      </c>
      <c r="O463" s="15" t="str">
        <f t="array" ref="O463">IF(459&gt;$S$1204,"",INDEX($T$5:$AJ$1204,MATCH(459,$S$5:$S$1204,0),15))</f>
        <v/>
      </c>
      <c r="P463" s="8" t="str">
        <f t="array" ref="P463">IF(459&gt;$S$1204,"",INDEX($T$5:$AJ$1204,MATCH(459,$S$5:$S$1204,0),16))</f>
        <v/>
      </c>
      <c r="Q463" s="8" t="str">
        <f t="array" ref="Q463">IF(459&gt;$S$1204,"",INDEX($T$5:$AJ$1204,MATCH(459,$S$5:$S$1204,0),17))</f>
        <v/>
      </c>
      <c r="R463" s="17"/>
      <c r="S463" s="17">
        <f>S462+IF(M3_Silleteria!A67="",0,1)</f>
        <v>0</v>
      </c>
      <c r="T463" s="17" t="str">
        <f>IF(M3_Silleteria!A67="","",IF(M3_Silleteria!A67="","",M3_Silleteria!A67))</f>
        <v/>
      </c>
      <c r="U463" s="17" t="str">
        <f>IF(M3_Silleteria!A67="","",IF(M3_Silleteria!Q67="","",M3_Silleteria!Q67))</f>
        <v/>
      </c>
      <c r="V463" s="17" t="str">
        <f>IF(M3_Silleteria!A67="","",IF(M3_Silleteria!D67="","",M3_Silleteria!D67))</f>
        <v/>
      </c>
      <c r="W463" s="17" t="str">
        <f>IF(M3_Silleteria!A67="","",IF(M3_Silleteria!B67="","",M3_Silleteria!B67))</f>
        <v/>
      </c>
      <c r="X463" s="17" t="str">
        <f>IF(M3_Silleteria!A67="","",IF(M3_Silleteria!C67="","",M3_Silleteria!C67))</f>
        <v/>
      </c>
      <c r="Y463" s="17" t="str">
        <f>IF(M3_Silleteria!A67="","",IF(M3_Silleteria!E67="","",M3_Silleteria!E67))</f>
        <v/>
      </c>
      <c r="Z463" s="17" t="str">
        <f>IF(M3_Silleteria!A67="","",IF(M3_Silleteria!F67="","",M3_Silleteria!F67))</f>
        <v/>
      </c>
      <c r="AA463" s="17" t="str">
        <f>IF(M3_Silleteria!A67="","","M3 Silletería")</f>
        <v/>
      </c>
      <c r="AB463" s="17" t="str">
        <f>IF(M3_Silleteria!A67="","",IF(M3_Silleteria!G67="","",M3_Silleteria!G67))</f>
        <v/>
      </c>
      <c r="AC463" s="17" t="str">
        <f>IF(M3_Silleteria!A67="","",IF(M3_Silleteria!L67="","",M3_Silleteria!L67))</f>
        <v/>
      </c>
      <c r="AD463" s="17" t="str">
        <f>IF(M3_Silleteria!A67="","","CD")</f>
        <v/>
      </c>
      <c r="AE463" s="17" t="str">
        <f>IF(M3_Silleteria!A67="","",IF(M3_Silleteria!N67="","",M3_Silleteria!N67))</f>
        <v/>
      </c>
      <c r="AF463" s="17" t="str">
        <f>IF(M3_Silleteria!A67="","",IF(M3_Silleteria!O67="","",M3_Silleteria!O67))</f>
        <v/>
      </c>
      <c r="AG463" s="17" t="str">
        <f>IF(M3_Silleteria!A67="","",IF(M3_Silleteria!P67="","",M3_Silleteria!P67))</f>
        <v/>
      </c>
      <c r="AH463" s="17" t="str">
        <f>IF(M3_Silleteria!A67="","",IF(M3_Silleteria!H67="","",M3_Silleteria!H67))</f>
        <v/>
      </c>
      <c r="AI463" s="17" t="str">
        <f>IF(M3_Silleteria!A67="","","M3_Silleteria!67")</f>
        <v/>
      </c>
      <c r="AJ463" s="17" t="str">
        <f>IF(M3_Silleteria!A67="","",IF(M3_Silleteria!L67="","Pendiente de resultado","Disponible"))</f>
        <v/>
      </c>
    </row>
    <row r="464" spans="1:36" ht="55.5" customHeight="1">
      <c r="A464" s="6" t="str">
        <f t="array" ref="A464">IF(460&gt;$S$1204,"",INDEX($T$5:$AJ$1204,MATCH(460,$S$5:$S$1204,0),1))</f>
        <v/>
      </c>
      <c r="B464" s="8" t="str">
        <f t="array" ref="B464">IF(460&gt;$S$1204,"",INDEX($T$5:$AJ$1204,MATCH(460,$S$5:$S$1204,0),2))</f>
        <v/>
      </c>
      <c r="C464" s="10" t="str">
        <f t="array" ref="C464">IF(460&gt;$S$1204,"",INDEX($T$5:$AJ$1204,MATCH(460,$S$5:$S$1204,0),3))</f>
        <v/>
      </c>
      <c r="D464" s="8" t="str">
        <f t="array" ref="D464">IF(460&gt;$S$1204,"",INDEX($T$5:$AJ$1204,MATCH(460,$S$5:$S$1204,0),4))</f>
        <v/>
      </c>
      <c r="E464" s="8" t="str">
        <f t="array" ref="E464">IF(460&gt;$S$1204,"",INDEX($T$5:$AJ$1204,MATCH(460,$S$5:$S$1204,0),5))</f>
        <v/>
      </c>
      <c r="F464" s="8" t="str">
        <f t="array" ref="F464">IF(460&gt;$S$1204,"",INDEX($T$5:$AJ$1204,MATCH(460,$S$5:$S$1204,0),6))</f>
        <v/>
      </c>
      <c r="G464" s="8" t="str">
        <f t="array" ref="G464">IF(460&gt;$S$1204,"",INDEX($T$5:$AJ$1204,MATCH(460,$S$5:$S$1204,0),7))</f>
        <v/>
      </c>
      <c r="H464" s="8" t="str">
        <f t="array" ref="H464">IF(460&gt;$S$1204,"",INDEX($T$5:$AJ$1204,MATCH(460,$S$5:$S$1204,0),8))</f>
        <v/>
      </c>
      <c r="I464" s="8" t="str">
        <f t="array" ref="I464">IF(460&gt;$S$1204,"",INDEX($T$5:$AJ$1204,MATCH(460,$S$5:$S$1204,0),9))</f>
        <v/>
      </c>
      <c r="J464" s="14" t="str">
        <f t="array" ref="J464">IF(460&gt;$S$1204,"",INDEX($T$5:$AJ$1204,MATCH(460,$S$5:$S$1204,0),10))</f>
        <v/>
      </c>
      <c r="K464" s="8" t="str">
        <f t="array" ref="K464">IF(460&gt;$S$1204,"",INDEX($T$5:$AJ$1204,MATCH(460,$S$5:$S$1204,0),11))</f>
        <v/>
      </c>
      <c r="L464" s="8" t="str">
        <f t="array" ref="L464">IF(460&gt;$S$1204,"",INDEX($T$5:$AJ$1204,MATCH(460,$S$5:$S$1204,0),12))</f>
        <v/>
      </c>
      <c r="M464" s="8" t="str">
        <f t="array" ref="M464">IF(460&gt;$S$1204,"",INDEX($T$5:$AJ$1204,MATCH(460,$S$5:$S$1204,0),13))</f>
        <v/>
      </c>
      <c r="N464" s="8" t="str">
        <f t="array" ref="N464">IF(460&gt;$S$1204,"",INDEX($T$5:$AJ$1204,MATCH(460,$S$5:$S$1204,0),14))</f>
        <v/>
      </c>
      <c r="O464" s="15" t="str">
        <f t="array" ref="O464">IF(460&gt;$S$1204,"",INDEX($T$5:$AJ$1204,MATCH(460,$S$5:$S$1204,0),15))</f>
        <v/>
      </c>
      <c r="P464" s="8" t="str">
        <f t="array" ref="P464">IF(460&gt;$S$1204,"",INDEX($T$5:$AJ$1204,MATCH(460,$S$5:$S$1204,0),16))</f>
        <v/>
      </c>
      <c r="Q464" s="8" t="str">
        <f t="array" ref="Q464">IF(460&gt;$S$1204,"",INDEX($T$5:$AJ$1204,MATCH(460,$S$5:$S$1204,0),17))</f>
        <v/>
      </c>
      <c r="R464" s="17"/>
      <c r="S464" s="17">
        <f>S463+IF(M3_Silleteria!A68="",0,1)</f>
        <v>0</v>
      </c>
      <c r="T464" s="17" t="str">
        <f>IF(M3_Silleteria!A68="","",IF(M3_Silleteria!A68="","",M3_Silleteria!A68))</f>
        <v/>
      </c>
      <c r="U464" s="17" t="str">
        <f>IF(M3_Silleteria!A68="","",IF(M3_Silleteria!Q68="","",M3_Silleteria!Q68))</f>
        <v/>
      </c>
      <c r="V464" s="17" t="str">
        <f>IF(M3_Silleteria!A68="","",IF(M3_Silleteria!D68="","",M3_Silleteria!D68))</f>
        <v/>
      </c>
      <c r="W464" s="17" t="str">
        <f>IF(M3_Silleteria!A68="","",IF(M3_Silleteria!B68="","",M3_Silleteria!B68))</f>
        <v/>
      </c>
      <c r="X464" s="17" t="str">
        <f>IF(M3_Silleteria!A68="","",IF(M3_Silleteria!C68="","",M3_Silleteria!C68))</f>
        <v/>
      </c>
      <c r="Y464" s="17" t="str">
        <f>IF(M3_Silleteria!A68="","",IF(M3_Silleteria!E68="","",M3_Silleteria!E68))</f>
        <v/>
      </c>
      <c r="Z464" s="17" t="str">
        <f>IF(M3_Silleteria!A68="","",IF(M3_Silleteria!F68="","",M3_Silleteria!F68))</f>
        <v/>
      </c>
      <c r="AA464" s="17" t="str">
        <f>IF(M3_Silleteria!A68="","","M3 Silletería")</f>
        <v/>
      </c>
      <c r="AB464" s="17" t="str">
        <f>IF(M3_Silleteria!A68="","",IF(M3_Silleteria!G68="","",M3_Silleteria!G68))</f>
        <v/>
      </c>
      <c r="AC464" s="17" t="str">
        <f>IF(M3_Silleteria!A68="","",IF(M3_Silleteria!L68="","",M3_Silleteria!L68))</f>
        <v/>
      </c>
      <c r="AD464" s="17" t="str">
        <f>IF(M3_Silleteria!A68="","","CD")</f>
        <v/>
      </c>
      <c r="AE464" s="17" t="str">
        <f>IF(M3_Silleteria!A68="","",IF(M3_Silleteria!N68="","",M3_Silleteria!N68))</f>
        <v/>
      </c>
      <c r="AF464" s="17" t="str">
        <f>IF(M3_Silleteria!A68="","",IF(M3_Silleteria!O68="","",M3_Silleteria!O68))</f>
        <v/>
      </c>
      <c r="AG464" s="17" t="str">
        <f>IF(M3_Silleteria!A68="","",IF(M3_Silleteria!P68="","",M3_Silleteria!P68))</f>
        <v/>
      </c>
      <c r="AH464" s="17" t="str">
        <f>IF(M3_Silleteria!A68="","",IF(M3_Silleteria!H68="","",M3_Silleteria!H68))</f>
        <v/>
      </c>
      <c r="AI464" s="17" t="str">
        <f>IF(M3_Silleteria!A68="","","M3_Silleteria!68")</f>
        <v/>
      </c>
      <c r="AJ464" s="17" t="str">
        <f>IF(M3_Silleteria!A68="","",IF(M3_Silleteria!L68="","Pendiente de resultado","Disponible"))</f>
        <v/>
      </c>
    </row>
    <row r="465" spans="1:36" ht="55.5" customHeight="1">
      <c r="A465" s="6" t="str">
        <f t="array" ref="A465">IF(461&gt;$S$1204,"",INDEX($T$5:$AJ$1204,MATCH(461,$S$5:$S$1204,0),1))</f>
        <v/>
      </c>
      <c r="B465" s="8" t="str">
        <f t="array" ref="B465">IF(461&gt;$S$1204,"",INDEX($T$5:$AJ$1204,MATCH(461,$S$5:$S$1204,0),2))</f>
        <v/>
      </c>
      <c r="C465" s="10" t="str">
        <f t="array" ref="C465">IF(461&gt;$S$1204,"",INDEX($T$5:$AJ$1204,MATCH(461,$S$5:$S$1204,0),3))</f>
        <v/>
      </c>
      <c r="D465" s="8" t="str">
        <f t="array" ref="D465">IF(461&gt;$S$1204,"",INDEX($T$5:$AJ$1204,MATCH(461,$S$5:$S$1204,0),4))</f>
        <v/>
      </c>
      <c r="E465" s="8" t="str">
        <f t="array" ref="E465">IF(461&gt;$S$1204,"",INDEX($T$5:$AJ$1204,MATCH(461,$S$5:$S$1204,0),5))</f>
        <v/>
      </c>
      <c r="F465" s="8" t="str">
        <f t="array" ref="F465">IF(461&gt;$S$1204,"",INDEX($T$5:$AJ$1204,MATCH(461,$S$5:$S$1204,0),6))</f>
        <v/>
      </c>
      <c r="G465" s="8" t="str">
        <f t="array" ref="G465">IF(461&gt;$S$1204,"",INDEX($T$5:$AJ$1204,MATCH(461,$S$5:$S$1204,0),7))</f>
        <v/>
      </c>
      <c r="H465" s="8" t="str">
        <f t="array" ref="H465">IF(461&gt;$S$1204,"",INDEX($T$5:$AJ$1204,MATCH(461,$S$5:$S$1204,0),8))</f>
        <v/>
      </c>
      <c r="I465" s="8" t="str">
        <f t="array" ref="I465">IF(461&gt;$S$1204,"",INDEX($T$5:$AJ$1204,MATCH(461,$S$5:$S$1204,0),9))</f>
        <v/>
      </c>
      <c r="J465" s="14" t="str">
        <f t="array" ref="J465">IF(461&gt;$S$1204,"",INDEX($T$5:$AJ$1204,MATCH(461,$S$5:$S$1204,0),10))</f>
        <v/>
      </c>
      <c r="K465" s="8" t="str">
        <f t="array" ref="K465">IF(461&gt;$S$1204,"",INDEX($T$5:$AJ$1204,MATCH(461,$S$5:$S$1204,0),11))</f>
        <v/>
      </c>
      <c r="L465" s="8" t="str">
        <f t="array" ref="L465">IF(461&gt;$S$1204,"",INDEX($T$5:$AJ$1204,MATCH(461,$S$5:$S$1204,0),12))</f>
        <v/>
      </c>
      <c r="M465" s="8" t="str">
        <f t="array" ref="M465">IF(461&gt;$S$1204,"",INDEX($T$5:$AJ$1204,MATCH(461,$S$5:$S$1204,0),13))</f>
        <v/>
      </c>
      <c r="N465" s="8" t="str">
        <f t="array" ref="N465">IF(461&gt;$S$1204,"",INDEX($T$5:$AJ$1204,MATCH(461,$S$5:$S$1204,0),14))</f>
        <v/>
      </c>
      <c r="O465" s="15" t="str">
        <f t="array" ref="O465">IF(461&gt;$S$1204,"",INDEX($T$5:$AJ$1204,MATCH(461,$S$5:$S$1204,0),15))</f>
        <v/>
      </c>
      <c r="P465" s="8" t="str">
        <f t="array" ref="P465">IF(461&gt;$S$1204,"",INDEX($T$5:$AJ$1204,MATCH(461,$S$5:$S$1204,0),16))</f>
        <v/>
      </c>
      <c r="Q465" s="8" t="str">
        <f t="array" ref="Q465">IF(461&gt;$S$1204,"",INDEX($T$5:$AJ$1204,MATCH(461,$S$5:$S$1204,0),17))</f>
        <v/>
      </c>
      <c r="R465" s="17"/>
      <c r="S465" s="17">
        <f>S464+IF(M3_Silleteria!A69="",0,1)</f>
        <v>0</v>
      </c>
      <c r="T465" s="17" t="str">
        <f>IF(M3_Silleteria!A69="","",IF(M3_Silleteria!A69="","",M3_Silleteria!A69))</f>
        <v/>
      </c>
      <c r="U465" s="17" t="str">
        <f>IF(M3_Silleteria!A69="","",IF(M3_Silleteria!Q69="","",M3_Silleteria!Q69))</f>
        <v/>
      </c>
      <c r="V465" s="17" t="str">
        <f>IF(M3_Silleteria!A69="","",IF(M3_Silleteria!D69="","",M3_Silleteria!D69))</f>
        <v/>
      </c>
      <c r="W465" s="17" t="str">
        <f>IF(M3_Silleteria!A69="","",IF(M3_Silleteria!B69="","",M3_Silleteria!B69))</f>
        <v/>
      </c>
      <c r="X465" s="17" t="str">
        <f>IF(M3_Silleteria!A69="","",IF(M3_Silleteria!C69="","",M3_Silleteria!C69))</f>
        <v/>
      </c>
      <c r="Y465" s="17" t="str">
        <f>IF(M3_Silleteria!A69="","",IF(M3_Silleteria!E69="","",M3_Silleteria!E69))</f>
        <v/>
      </c>
      <c r="Z465" s="17" t="str">
        <f>IF(M3_Silleteria!A69="","",IF(M3_Silleteria!F69="","",M3_Silleteria!F69))</f>
        <v/>
      </c>
      <c r="AA465" s="17" t="str">
        <f>IF(M3_Silleteria!A69="","","M3 Silletería")</f>
        <v/>
      </c>
      <c r="AB465" s="17" t="str">
        <f>IF(M3_Silleteria!A69="","",IF(M3_Silleteria!G69="","",M3_Silleteria!G69))</f>
        <v/>
      </c>
      <c r="AC465" s="17" t="str">
        <f>IF(M3_Silleteria!A69="","",IF(M3_Silleteria!L69="","",M3_Silleteria!L69))</f>
        <v/>
      </c>
      <c r="AD465" s="17" t="str">
        <f>IF(M3_Silleteria!A69="","","CD")</f>
        <v/>
      </c>
      <c r="AE465" s="17" t="str">
        <f>IF(M3_Silleteria!A69="","",IF(M3_Silleteria!N69="","",M3_Silleteria!N69))</f>
        <v/>
      </c>
      <c r="AF465" s="17" t="str">
        <f>IF(M3_Silleteria!A69="","",IF(M3_Silleteria!O69="","",M3_Silleteria!O69))</f>
        <v/>
      </c>
      <c r="AG465" s="17" t="str">
        <f>IF(M3_Silleteria!A69="","",IF(M3_Silleteria!P69="","",M3_Silleteria!P69))</f>
        <v/>
      </c>
      <c r="AH465" s="17" t="str">
        <f>IF(M3_Silleteria!A69="","",IF(M3_Silleteria!H69="","",M3_Silleteria!H69))</f>
        <v/>
      </c>
      <c r="AI465" s="17" t="str">
        <f>IF(M3_Silleteria!A69="","","M3_Silleteria!69")</f>
        <v/>
      </c>
      <c r="AJ465" s="17" t="str">
        <f>IF(M3_Silleteria!A69="","",IF(M3_Silleteria!L69="","Pendiente de resultado","Disponible"))</f>
        <v/>
      </c>
    </row>
    <row r="466" spans="1:36" ht="55.5" customHeight="1">
      <c r="A466" s="6" t="str">
        <f t="array" ref="A466">IF(462&gt;$S$1204,"",INDEX($T$5:$AJ$1204,MATCH(462,$S$5:$S$1204,0),1))</f>
        <v/>
      </c>
      <c r="B466" s="8" t="str">
        <f t="array" ref="B466">IF(462&gt;$S$1204,"",INDEX($T$5:$AJ$1204,MATCH(462,$S$5:$S$1204,0),2))</f>
        <v/>
      </c>
      <c r="C466" s="10" t="str">
        <f t="array" ref="C466">IF(462&gt;$S$1204,"",INDEX($T$5:$AJ$1204,MATCH(462,$S$5:$S$1204,0),3))</f>
        <v/>
      </c>
      <c r="D466" s="8" t="str">
        <f t="array" ref="D466">IF(462&gt;$S$1204,"",INDEX($T$5:$AJ$1204,MATCH(462,$S$5:$S$1204,0),4))</f>
        <v/>
      </c>
      <c r="E466" s="8" t="str">
        <f t="array" ref="E466">IF(462&gt;$S$1204,"",INDEX($T$5:$AJ$1204,MATCH(462,$S$5:$S$1204,0),5))</f>
        <v/>
      </c>
      <c r="F466" s="8" t="str">
        <f t="array" ref="F466">IF(462&gt;$S$1204,"",INDEX($T$5:$AJ$1204,MATCH(462,$S$5:$S$1204,0),6))</f>
        <v/>
      </c>
      <c r="G466" s="8" t="str">
        <f t="array" ref="G466">IF(462&gt;$S$1204,"",INDEX($T$5:$AJ$1204,MATCH(462,$S$5:$S$1204,0),7))</f>
        <v/>
      </c>
      <c r="H466" s="8" t="str">
        <f t="array" ref="H466">IF(462&gt;$S$1204,"",INDEX($T$5:$AJ$1204,MATCH(462,$S$5:$S$1204,0),8))</f>
        <v/>
      </c>
      <c r="I466" s="8" t="str">
        <f t="array" ref="I466">IF(462&gt;$S$1204,"",INDEX($T$5:$AJ$1204,MATCH(462,$S$5:$S$1204,0),9))</f>
        <v/>
      </c>
      <c r="J466" s="14" t="str">
        <f t="array" ref="J466">IF(462&gt;$S$1204,"",INDEX($T$5:$AJ$1204,MATCH(462,$S$5:$S$1204,0),10))</f>
        <v/>
      </c>
      <c r="K466" s="8" t="str">
        <f t="array" ref="K466">IF(462&gt;$S$1204,"",INDEX($T$5:$AJ$1204,MATCH(462,$S$5:$S$1204,0),11))</f>
        <v/>
      </c>
      <c r="L466" s="8" t="str">
        <f t="array" ref="L466">IF(462&gt;$S$1204,"",INDEX($T$5:$AJ$1204,MATCH(462,$S$5:$S$1204,0),12))</f>
        <v/>
      </c>
      <c r="M466" s="8" t="str">
        <f t="array" ref="M466">IF(462&gt;$S$1204,"",INDEX($T$5:$AJ$1204,MATCH(462,$S$5:$S$1204,0),13))</f>
        <v/>
      </c>
      <c r="N466" s="8" t="str">
        <f t="array" ref="N466">IF(462&gt;$S$1204,"",INDEX($T$5:$AJ$1204,MATCH(462,$S$5:$S$1204,0),14))</f>
        <v/>
      </c>
      <c r="O466" s="15" t="str">
        <f t="array" ref="O466">IF(462&gt;$S$1204,"",INDEX($T$5:$AJ$1204,MATCH(462,$S$5:$S$1204,0),15))</f>
        <v/>
      </c>
      <c r="P466" s="8" t="str">
        <f t="array" ref="P466">IF(462&gt;$S$1204,"",INDEX($T$5:$AJ$1204,MATCH(462,$S$5:$S$1204,0),16))</f>
        <v/>
      </c>
      <c r="Q466" s="8" t="str">
        <f t="array" ref="Q466">IF(462&gt;$S$1204,"",INDEX($T$5:$AJ$1204,MATCH(462,$S$5:$S$1204,0),17))</f>
        <v/>
      </c>
      <c r="R466" s="17"/>
      <c r="S466" s="17">
        <f>S465+IF(M3_Silleteria!A70="",0,1)</f>
        <v>0</v>
      </c>
      <c r="T466" s="17" t="str">
        <f>IF(M3_Silleteria!A70="","",IF(M3_Silleteria!A70="","",M3_Silleteria!A70))</f>
        <v/>
      </c>
      <c r="U466" s="17" t="str">
        <f>IF(M3_Silleteria!A70="","",IF(M3_Silleteria!Q70="","",M3_Silleteria!Q70))</f>
        <v/>
      </c>
      <c r="V466" s="17" t="str">
        <f>IF(M3_Silleteria!A70="","",IF(M3_Silleteria!D70="","",M3_Silleteria!D70))</f>
        <v/>
      </c>
      <c r="W466" s="17" t="str">
        <f>IF(M3_Silleteria!A70="","",IF(M3_Silleteria!B70="","",M3_Silleteria!B70))</f>
        <v/>
      </c>
      <c r="X466" s="17" t="str">
        <f>IF(M3_Silleteria!A70="","",IF(M3_Silleteria!C70="","",M3_Silleteria!C70))</f>
        <v/>
      </c>
      <c r="Y466" s="17" t="str">
        <f>IF(M3_Silleteria!A70="","",IF(M3_Silleteria!E70="","",M3_Silleteria!E70))</f>
        <v/>
      </c>
      <c r="Z466" s="17" t="str">
        <f>IF(M3_Silleteria!A70="","",IF(M3_Silleteria!F70="","",M3_Silleteria!F70))</f>
        <v/>
      </c>
      <c r="AA466" s="17" t="str">
        <f>IF(M3_Silleteria!A70="","","M3 Silletería")</f>
        <v/>
      </c>
      <c r="AB466" s="17" t="str">
        <f>IF(M3_Silleteria!A70="","",IF(M3_Silleteria!G70="","",M3_Silleteria!G70))</f>
        <v/>
      </c>
      <c r="AC466" s="17" t="str">
        <f>IF(M3_Silleteria!A70="","",IF(M3_Silleteria!L70="","",M3_Silleteria!L70))</f>
        <v/>
      </c>
      <c r="AD466" s="17" t="str">
        <f>IF(M3_Silleteria!A70="","","CD")</f>
        <v/>
      </c>
      <c r="AE466" s="17" t="str">
        <f>IF(M3_Silleteria!A70="","",IF(M3_Silleteria!N70="","",M3_Silleteria!N70))</f>
        <v/>
      </c>
      <c r="AF466" s="17" t="str">
        <f>IF(M3_Silleteria!A70="","",IF(M3_Silleteria!O70="","",M3_Silleteria!O70))</f>
        <v/>
      </c>
      <c r="AG466" s="17" t="str">
        <f>IF(M3_Silleteria!A70="","",IF(M3_Silleteria!P70="","",M3_Silleteria!P70))</f>
        <v/>
      </c>
      <c r="AH466" s="17" t="str">
        <f>IF(M3_Silleteria!A70="","",IF(M3_Silleteria!H70="","",M3_Silleteria!H70))</f>
        <v/>
      </c>
      <c r="AI466" s="17" t="str">
        <f>IF(M3_Silleteria!A70="","","M3_Silleteria!70")</f>
        <v/>
      </c>
      <c r="AJ466" s="17" t="str">
        <f>IF(M3_Silleteria!A70="","",IF(M3_Silleteria!L70="","Pendiente de resultado","Disponible"))</f>
        <v/>
      </c>
    </row>
    <row r="467" spans="1:36" ht="55.5" customHeight="1">
      <c r="A467" s="6" t="str">
        <f t="array" ref="A467">IF(463&gt;$S$1204,"",INDEX($T$5:$AJ$1204,MATCH(463,$S$5:$S$1204,0),1))</f>
        <v/>
      </c>
      <c r="B467" s="8" t="str">
        <f t="array" ref="B467">IF(463&gt;$S$1204,"",INDEX($T$5:$AJ$1204,MATCH(463,$S$5:$S$1204,0),2))</f>
        <v/>
      </c>
      <c r="C467" s="10" t="str">
        <f t="array" ref="C467">IF(463&gt;$S$1204,"",INDEX($T$5:$AJ$1204,MATCH(463,$S$5:$S$1204,0),3))</f>
        <v/>
      </c>
      <c r="D467" s="8" t="str">
        <f t="array" ref="D467">IF(463&gt;$S$1204,"",INDEX($T$5:$AJ$1204,MATCH(463,$S$5:$S$1204,0),4))</f>
        <v/>
      </c>
      <c r="E467" s="8" t="str">
        <f t="array" ref="E467">IF(463&gt;$S$1204,"",INDEX($T$5:$AJ$1204,MATCH(463,$S$5:$S$1204,0),5))</f>
        <v/>
      </c>
      <c r="F467" s="8" t="str">
        <f t="array" ref="F467">IF(463&gt;$S$1204,"",INDEX($T$5:$AJ$1204,MATCH(463,$S$5:$S$1204,0),6))</f>
        <v/>
      </c>
      <c r="G467" s="8" t="str">
        <f t="array" ref="G467">IF(463&gt;$S$1204,"",INDEX($T$5:$AJ$1204,MATCH(463,$S$5:$S$1204,0),7))</f>
        <v/>
      </c>
      <c r="H467" s="8" t="str">
        <f t="array" ref="H467">IF(463&gt;$S$1204,"",INDEX($T$5:$AJ$1204,MATCH(463,$S$5:$S$1204,0),8))</f>
        <v/>
      </c>
      <c r="I467" s="8" t="str">
        <f t="array" ref="I467">IF(463&gt;$S$1204,"",INDEX($T$5:$AJ$1204,MATCH(463,$S$5:$S$1204,0),9))</f>
        <v/>
      </c>
      <c r="J467" s="14" t="str">
        <f t="array" ref="J467">IF(463&gt;$S$1204,"",INDEX($T$5:$AJ$1204,MATCH(463,$S$5:$S$1204,0),10))</f>
        <v/>
      </c>
      <c r="K467" s="8" t="str">
        <f t="array" ref="K467">IF(463&gt;$S$1204,"",INDEX($T$5:$AJ$1204,MATCH(463,$S$5:$S$1204,0),11))</f>
        <v/>
      </c>
      <c r="L467" s="8" t="str">
        <f t="array" ref="L467">IF(463&gt;$S$1204,"",INDEX($T$5:$AJ$1204,MATCH(463,$S$5:$S$1204,0),12))</f>
        <v/>
      </c>
      <c r="M467" s="8" t="str">
        <f t="array" ref="M467">IF(463&gt;$S$1204,"",INDEX($T$5:$AJ$1204,MATCH(463,$S$5:$S$1204,0),13))</f>
        <v/>
      </c>
      <c r="N467" s="8" t="str">
        <f t="array" ref="N467">IF(463&gt;$S$1204,"",INDEX($T$5:$AJ$1204,MATCH(463,$S$5:$S$1204,0),14))</f>
        <v/>
      </c>
      <c r="O467" s="15" t="str">
        <f t="array" ref="O467">IF(463&gt;$S$1204,"",INDEX($T$5:$AJ$1204,MATCH(463,$S$5:$S$1204,0),15))</f>
        <v/>
      </c>
      <c r="P467" s="8" t="str">
        <f t="array" ref="P467">IF(463&gt;$S$1204,"",INDEX($T$5:$AJ$1204,MATCH(463,$S$5:$S$1204,0),16))</f>
        <v/>
      </c>
      <c r="Q467" s="8" t="str">
        <f t="array" ref="Q467">IF(463&gt;$S$1204,"",INDEX($T$5:$AJ$1204,MATCH(463,$S$5:$S$1204,0),17))</f>
        <v/>
      </c>
      <c r="R467" s="17"/>
      <c r="S467" s="17">
        <f>S466+IF(M3_Silleteria!A71="",0,1)</f>
        <v>0</v>
      </c>
      <c r="T467" s="17" t="str">
        <f>IF(M3_Silleteria!A71="","",IF(M3_Silleteria!A71="","",M3_Silleteria!A71))</f>
        <v/>
      </c>
      <c r="U467" s="17" t="str">
        <f>IF(M3_Silleteria!A71="","",IF(M3_Silleteria!Q71="","",M3_Silleteria!Q71))</f>
        <v/>
      </c>
      <c r="V467" s="17" t="str">
        <f>IF(M3_Silleteria!A71="","",IF(M3_Silleteria!D71="","",M3_Silleteria!D71))</f>
        <v/>
      </c>
      <c r="W467" s="17" t="str">
        <f>IF(M3_Silleteria!A71="","",IF(M3_Silleteria!B71="","",M3_Silleteria!B71))</f>
        <v/>
      </c>
      <c r="X467" s="17" t="str">
        <f>IF(M3_Silleteria!A71="","",IF(M3_Silleteria!C71="","",M3_Silleteria!C71))</f>
        <v/>
      </c>
      <c r="Y467" s="17" t="str">
        <f>IF(M3_Silleteria!A71="","",IF(M3_Silleteria!E71="","",M3_Silleteria!E71))</f>
        <v/>
      </c>
      <c r="Z467" s="17" t="str">
        <f>IF(M3_Silleteria!A71="","",IF(M3_Silleteria!F71="","",M3_Silleteria!F71))</f>
        <v/>
      </c>
      <c r="AA467" s="17" t="str">
        <f>IF(M3_Silleteria!A71="","","M3 Silletería")</f>
        <v/>
      </c>
      <c r="AB467" s="17" t="str">
        <f>IF(M3_Silleteria!A71="","",IF(M3_Silleteria!G71="","",M3_Silleteria!G71))</f>
        <v/>
      </c>
      <c r="AC467" s="17" t="str">
        <f>IF(M3_Silleteria!A71="","",IF(M3_Silleteria!L71="","",M3_Silleteria!L71))</f>
        <v/>
      </c>
      <c r="AD467" s="17" t="str">
        <f>IF(M3_Silleteria!A71="","","CD")</f>
        <v/>
      </c>
      <c r="AE467" s="17" t="str">
        <f>IF(M3_Silleteria!A71="","",IF(M3_Silleteria!N71="","",M3_Silleteria!N71))</f>
        <v/>
      </c>
      <c r="AF467" s="17" t="str">
        <f>IF(M3_Silleteria!A71="","",IF(M3_Silleteria!O71="","",M3_Silleteria!O71))</f>
        <v/>
      </c>
      <c r="AG467" s="17" t="str">
        <f>IF(M3_Silleteria!A71="","",IF(M3_Silleteria!P71="","",M3_Silleteria!P71))</f>
        <v/>
      </c>
      <c r="AH467" s="17" t="str">
        <f>IF(M3_Silleteria!A71="","",IF(M3_Silleteria!H71="","",M3_Silleteria!H71))</f>
        <v/>
      </c>
      <c r="AI467" s="17" t="str">
        <f>IF(M3_Silleteria!A71="","","M3_Silleteria!71")</f>
        <v/>
      </c>
      <c r="AJ467" s="17" t="str">
        <f>IF(M3_Silleteria!A71="","",IF(M3_Silleteria!L71="","Pendiente de resultado","Disponible"))</f>
        <v/>
      </c>
    </row>
    <row r="468" spans="1:36" ht="55.5" customHeight="1">
      <c r="A468" s="6" t="str">
        <f t="array" ref="A468">IF(464&gt;$S$1204,"",INDEX($T$5:$AJ$1204,MATCH(464,$S$5:$S$1204,0),1))</f>
        <v/>
      </c>
      <c r="B468" s="8" t="str">
        <f t="array" ref="B468">IF(464&gt;$S$1204,"",INDEX($T$5:$AJ$1204,MATCH(464,$S$5:$S$1204,0),2))</f>
        <v/>
      </c>
      <c r="C468" s="10" t="str">
        <f t="array" ref="C468">IF(464&gt;$S$1204,"",INDEX($T$5:$AJ$1204,MATCH(464,$S$5:$S$1204,0),3))</f>
        <v/>
      </c>
      <c r="D468" s="8" t="str">
        <f t="array" ref="D468">IF(464&gt;$S$1204,"",INDEX($T$5:$AJ$1204,MATCH(464,$S$5:$S$1204,0),4))</f>
        <v/>
      </c>
      <c r="E468" s="8" t="str">
        <f t="array" ref="E468">IF(464&gt;$S$1204,"",INDEX($T$5:$AJ$1204,MATCH(464,$S$5:$S$1204,0),5))</f>
        <v/>
      </c>
      <c r="F468" s="8" t="str">
        <f t="array" ref="F468">IF(464&gt;$S$1204,"",INDEX($T$5:$AJ$1204,MATCH(464,$S$5:$S$1204,0),6))</f>
        <v/>
      </c>
      <c r="G468" s="8" t="str">
        <f t="array" ref="G468">IF(464&gt;$S$1204,"",INDEX($T$5:$AJ$1204,MATCH(464,$S$5:$S$1204,0),7))</f>
        <v/>
      </c>
      <c r="H468" s="8" t="str">
        <f t="array" ref="H468">IF(464&gt;$S$1204,"",INDEX($T$5:$AJ$1204,MATCH(464,$S$5:$S$1204,0),8))</f>
        <v/>
      </c>
      <c r="I468" s="8" t="str">
        <f t="array" ref="I468">IF(464&gt;$S$1204,"",INDEX($T$5:$AJ$1204,MATCH(464,$S$5:$S$1204,0),9))</f>
        <v/>
      </c>
      <c r="J468" s="14" t="str">
        <f t="array" ref="J468">IF(464&gt;$S$1204,"",INDEX($T$5:$AJ$1204,MATCH(464,$S$5:$S$1204,0),10))</f>
        <v/>
      </c>
      <c r="K468" s="8" t="str">
        <f t="array" ref="K468">IF(464&gt;$S$1204,"",INDEX($T$5:$AJ$1204,MATCH(464,$S$5:$S$1204,0),11))</f>
        <v/>
      </c>
      <c r="L468" s="8" t="str">
        <f t="array" ref="L468">IF(464&gt;$S$1204,"",INDEX($T$5:$AJ$1204,MATCH(464,$S$5:$S$1204,0),12))</f>
        <v/>
      </c>
      <c r="M468" s="8" t="str">
        <f t="array" ref="M468">IF(464&gt;$S$1204,"",INDEX($T$5:$AJ$1204,MATCH(464,$S$5:$S$1204,0),13))</f>
        <v/>
      </c>
      <c r="N468" s="8" t="str">
        <f t="array" ref="N468">IF(464&gt;$S$1204,"",INDEX($T$5:$AJ$1204,MATCH(464,$S$5:$S$1204,0),14))</f>
        <v/>
      </c>
      <c r="O468" s="15" t="str">
        <f t="array" ref="O468">IF(464&gt;$S$1204,"",INDEX($T$5:$AJ$1204,MATCH(464,$S$5:$S$1204,0),15))</f>
        <v/>
      </c>
      <c r="P468" s="8" t="str">
        <f t="array" ref="P468">IF(464&gt;$S$1204,"",INDEX($T$5:$AJ$1204,MATCH(464,$S$5:$S$1204,0),16))</f>
        <v/>
      </c>
      <c r="Q468" s="8" t="str">
        <f t="array" ref="Q468">IF(464&gt;$S$1204,"",INDEX($T$5:$AJ$1204,MATCH(464,$S$5:$S$1204,0),17))</f>
        <v/>
      </c>
      <c r="R468" s="17"/>
      <c r="S468" s="17">
        <f>S467+IF(M3_Silleteria!A72="",0,1)</f>
        <v>0</v>
      </c>
      <c r="T468" s="17" t="str">
        <f>IF(M3_Silleteria!A72="","",IF(M3_Silleteria!A72="","",M3_Silleteria!A72))</f>
        <v/>
      </c>
      <c r="U468" s="17" t="str">
        <f>IF(M3_Silleteria!A72="","",IF(M3_Silleteria!Q72="","",M3_Silleteria!Q72))</f>
        <v/>
      </c>
      <c r="V468" s="17" t="str">
        <f>IF(M3_Silleteria!A72="","",IF(M3_Silleteria!D72="","",M3_Silleteria!D72))</f>
        <v/>
      </c>
      <c r="W468" s="17" t="str">
        <f>IF(M3_Silleteria!A72="","",IF(M3_Silleteria!B72="","",M3_Silleteria!B72))</f>
        <v/>
      </c>
      <c r="X468" s="17" t="str">
        <f>IF(M3_Silleteria!A72="","",IF(M3_Silleteria!C72="","",M3_Silleteria!C72))</f>
        <v/>
      </c>
      <c r="Y468" s="17" t="str">
        <f>IF(M3_Silleteria!A72="","",IF(M3_Silleteria!E72="","",M3_Silleteria!E72))</f>
        <v/>
      </c>
      <c r="Z468" s="17" t="str">
        <f>IF(M3_Silleteria!A72="","",IF(M3_Silleteria!F72="","",M3_Silleteria!F72))</f>
        <v/>
      </c>
      <c r="AA468" s="17" t="str">
        <f>IF(M3_Silleteria!A72="","","M3 Silletería")</f>
        <v/>
      </c>
      <c r="AB468" s="17" t="str">
        <f>IF(M3_Silleteria!A72="","",IF(M3_Silleteria!G72="","",M3_Silleteria!G72))</f>
        <v/>
      </c>
      <c r="AC468" s="17" t="str">
        <f>IF(M3_Silleteria!A72="","",IF(M3_Silleteria!L72="","",M3_Silleteria!L72))</f>
        <v/>
      </c>
      <c r="AD468" s="17" t="str">
        <f>IF(M3_Silleteria!A72="","","CD")</f>
        <v/>
      </c>
      <c r="AE468" s="17" t="str">
        <f>IF(M3_Silleteria!A72="","",IF(M3_Silleteria!N72="","",M3_Silleteria!N72))</f>
        <v/>
      </c>
      <c r="AF468" s="17" t="str">
        <f>IF(M3_Silleteria!A72="","",IF(M3_Silleteria!O72="","",M3_Silleteria!O72))</f>
        <v/>
      </c>
      <c r="AG468" s="17" t="str">
        <f>IF(M3_Silleteria!A72="","",IF(M3_Silleteria!P72="","",M3_Silleteria!P72))</f>
        <v/>
      </c>
      <c r="AH468" s="17" t="str">
        <f>IF(M3_Silleteria!A72="","",IF(M3_Silleteria!H72="","",M3_Silleteria!H72))</f>
        <v/>
      </c>
      <c r="AI468" s="17" t="str">
        <f>IF(M3_Silleteria!A72="","","M3_Silleteria!72")</f>
        <v/>
      </c>
      <c r="AJ468" s="17" t="str">
        <f>IF(M3_Silleteria!A72="","",IF(M3_Silleteria!L72="","Pendiente de resultado","Disponible"))</f>
        <v/>
      </c>
    </row>
    <row r="469" spans="1:36" ht="55.5" customHeight="1">
      <c r="A469" s="6" t="str">
        <f t="array" ref="A469">IF(465&gt;$S$1204,"",INDEX($T$5:$AJ$1204,MATCH(465,$S$5:$S$1204,0),1))</f>
        <v/>
      </c>
      <c r="B469" s="8" t="str">
        <f t="array" ref="B469">IF(465&gt;$S$1204,"",INDEX($T$5:$AJ$1204,MATCH(465,$S$5:$S$1204,0),2))</f>
        <v/>
      </c>
      <c r="C469" s="10" t="str">
        <f t="array" ref="C469">IF(465&gt;$S$1204,"",INDEX($T$5:$AJ$1204,MATCH(465,$S$5:$S$1204,0),3))</f>
        <v/>
      </c>
      <c r="D469" s="8" t="str">
        <f t="array" ref="D469">IF(465&gt;$S$1204,"",INDEX($T$5:$AJ$1204,MATCH(465,$S$5:$S$1204,0),4))</f>
        <v/>
      </c>
      <c r="E469" s="8" t="str">
        <f t="array" ref="E469">IF(465&gt;$S$1204,"",INDEX($T$5:$AJ$1204,MATCH(465,$S$5:$S$1204,0),5))</f>
        <v/>
      </c>
      <c r="F469" s="8" t="str">
        <f t="array" ref="F469">IF(465&gt;$S$1204,"",INDEX($T$5:$AJ$1204,MATCH(465,$S$5:$S$1204,0),6))</f>
        <v/>
      </c>
      <c r="G469" s="8" t="str">
        <f t="array" ref="G469">IF(465&gt;$S$1204,"",INDEX($T$5:$AJ$1204,MATCH(465,$S$5:$S$1204,0),7))</f>
        <v/>
      </c>
      <c r="H469" s="8" t="str">
        <f t="array" ref="H469">IF(465&gt;$S$1204,"",INDEX($T$5:$AJ$1204,MATCH(465,$S$5:$S$1204,0),8))</f>
        <v/>
      </c>
      <c r="I469" s="8" t="str">
        <f t="array" ref="I469">IF(465&gt;$S$1204,"",INDEX($T$5:$AJ$1204,MATCH(465,$S$5:$S$1204,0),9))</f>
        <v/>
      </c>
      <c r="J469" s="14" t="str">
        <f t="array" ref="J469">IF(465&gt;$S$1204,"",INDEX($T$5:$AJ$1204,MATCH(465,$S$5:$S$1204,0),10))</f>
        <v/>
      </c>
      <c r="K469" s="8" t="str">
        <f t="array" ref="K469">IF(465&gt;$S$1204,"",INDEX($T$5:$AJ$1204,MATCH(465,$S$5:$S$1204,0),11))</f>
        <v/>
      </c>
      <c r="L469" s="8" t="str">
        <f t="array" ref="L469">IF(465&gt;$S$1204,"",INDEX($T$5:$AJ$1204,MATCH(465,$S$5:$S$1204,0),12))</f>
        <v/>
      </c>
      <c r="M469" s="8" t="str">
        <f t="array" ref="M469">IF(465&gt;$S$1204,"",INDEX($T$5:$AJ$1204,MATCH(465,$S$5:$S$1204,0),13))</f>
        <v/>
      </c>
      <c r="N469" s="8" t="str">
        <f t="array" ref="N469">IF(465&gt;$S$1204,"",INDEX($T$5:$AJ$1204,MATCH(465,$S$5:$S$1204,0),14))</f>
        <v/>
      </c>
      <c r="O469" s="15" t="str">
        <f t="array" ref="O469">IF(465&gt;$S$1204,"",INDEX($T$5:$AJ$1204,MATCH(465,$S$5:$S$1204,0),15))</f>
        <v/>
      </c>
      <c r="P469" s="8" t="str">
        <f t="array" ref="P469">IF(465&gt;$S$1204,"",INDEX($T$5:$AJ$1204,MATCH(465,$S$5:$S$1204,0),16))</f>
        <v/>
      </c>
      <c r="Q469" s="8" t="str">
        <f t="array" ref="Q469">IF(465&gt;$S$1204,"",INDEX($T$5:$AJ$1204,MATCH(465,$S$5:$S$1204,0),17))</f>
        <v/>
      </c>
      <c r="R469" s="17"/>
      <c r="S469" s="17">
        <f>S468+IF(M3_Silleteria!A73="",0,1)</f>
        <v>0</v>
      </c>
      <c r="T469" s="17" t="str">
        <f>IF(M3_Silleteria!A73="","",IF(M3_Silleteria!A73="","",M3_Silleteria!A73))</f>
        <v/>
      </c>
      <c r="U469" s="17" t="str">
        <f>IF(M3_Silleteria!A73="","",IF(M3_Silleteria!Q73="","",M3_Silleteria!Q73))</f>
        <v/>
      </c>
      <c r="V469" s="17" t="str">
        <f>IF(M3_Silleteria!A73="","",IF(M3_Silleteria!D73="","",M3_Silleteria!D73))</f>
        <v/>
      </c>
      <c r="W469" s="17" t="str">
        <f>IF(M3_Silleteria!A73="","",IF(M3_Silleteria!B73="","",M3_Silleteria!B73))</f>
        <v/>
      </c>
      <c r="X469" s="17" t="str">
        <f>IF(M3_Silleteria!A73="","",IF(M3_Silleteria!C73="","",M3_Silleteria!C73))</f>
        <v/>
      </c>
      <c r="Y469" s="17" t="str">
        <f>IF(M3_Silleteria!A73="","",IF(M3_Silleteria!E73="","",M3_Silleteria!E73))</f>
        <v/>
      </c>
      <c r="Z469" s="17" t="str">
        <f>IF(M3_Silleteria!A73="","",IF(M3_Silleteria!F73="","",M3_Silleteria!F73))</f>
        <v/>
      </c>
      <c r="AA469" s="17" t="str">
        <f>IF(M3_Silleteria!A73="","","M3 Silletería")</f>
        <v/>
      </c>
      <c r="AB469" s="17" t="str">
        <f>IF(M3_Silleteria!A73="","",IF(M3_Silleteria!G73="","",M3_Silleteria!G73))</f>
        <v/>
      </c>
      <c r="AC469" s="17" t="str">
        <f>IF(M3_Silleteria!A73="","",IF(M3_Silleteria!L73="","",M3_Silleteria!L73))</f>
        <v/>
      </c>
      <c r="AD469" s="17" t="str">
        <f>IF(M3_Silleteria!A73="","","CD")</f>
        <v/>
      </c>
      <c r="AE469" s="17" t="str">
        <f>IF(M3_Silleteria!A73="","",IF(M3_Silleteria!N73="","",M3_Silleteria!N73))</f>
        <v/>
      </c>
      <c r="AF469" s="17" t="str">
        <f>IF(M3_Silleteria!A73="","",IF(M3_Silleteria!O73="","",M3_Silleteria!O73))</f>
        <v/>
      </c>
      <c r="AG469" s="17" t="str">
        <f>IF(M3_Silleteria!A73="","",IF(M3_Silleteria!P73="","",M3_Silleteria!P73))</f>
        <v/>
      </c>
      <c r="AH469" s="17" t="str">
        <f>IF(M3_Silleteria!A73="","",IF(M3_Silleteria!H73="","",M3_Silleteria!H73))</f>
        <v/>
      </c>
      <c r="AI469" s="17" t="str">
        <f>IF(M3_Silleteria!A73="","","M3_Silleteria!73")</f>
        <v/>
      </c>
      <c r="AJ469" s="17" t="str">
        <f>IF(M3_Silleteria!A73="","",IF(M3_Silleteria!L73="","Pendiente de resultado","Disponible"))</f>
        <v/>
      </c>
    </row>
    <row r="470" spans="1:36" ht="55.5" customHeight="1">
      <c r="A470" s="6" t="str">
        <f t="array" ref="A470">IF(466&gt;$S$1204,"",INDEX($T$5:$AJ$1204,MATCH(466,$S$5:$S$1204,0),1))</f>
        <v/>
      </c>
      <c r="B470" s="8" t="str">
        <f t="array" ref="B470">IF(466&gt;$S$1204,"",INDEX($T$5:$AJ$1204,MATCH(466,$S$5:$S$1204,0),2))</f>
        <v/>
      </c>
      <c r="C470" s="10" t="str">
        <f t="array" ref="C470">IF(466&gt;$S$1204,"",INDEX($T$5:$AJ$1204,MATCH(466,$S$5:$S$1204,0),3))</f>
        <v/>
      </c>
      <c r="D470" s="8" t="str">
        <f t="array" ref="D470">IF(466&gt;$S$1204,"",INDEX($T$5:$AJ$1204,MATCH(466,$S$5:$S$1204,0),4))</f>
        <v/>
      </c>
      <c r="E470" s="8" t="str">
        <f t="array" ref="E470">IF(466&gt;$S$1204,"",INDEX($T$5:$AJ$1204,MATCH(466,$S$5:$S$1204,0),5))</f>
        <v/>
      </c>
      <c r="F470" s="8" t="str">
        <f t="array" ref="F470">IF(466&gt;$S$1204,"",INDEX($T$5:$AJ$1204,MATCH(466,$S$5:$S$1204,0),6))</f>
        <v/>
      </c>
      <c r="G470" s="8" t="str">
        <f t="array" ref="G470">IF(466&gt;$S$1204,"",INDEX($T$5:$AJ$1204,MATCH(466,$S$5:$S$1204,0),7))</f>
        <v/>
      </c>
      <c r="H470" s="8" t="str">
        <f t="array" ref="H470">IF(466&gt;$S$1204,"",INDEX($T$5:$AJ$1204,MATCH(466,$S$5:$S$1204,0),8))</f>
        <v/>
      </c>
      <c r="I470" s="8" t="str">
        <f t="array" ref="I470">IF(466&gt;$S$1204,"",INDEX($T$5:$AJ$1204,MATCH(466,$S$5:$S$1204,0),9))</f>
        <v/>
      </c>
      <c r="J470" s="14" t="str">
        <f t="array" ref="J470">IF(466&gt;$S$1204,"",INDEX($T$5:$AJ$1204,MATCH(466,$S$5:$S$1204,0),10))</f>
        <v/>
      </c>
      <c r="K470" s="8" t="str">
        <f t="array" ref="K470">IF(466&gt;$S$1204,"",INDEX($T$5:$AJ$1204,MATCH(466,$S$5:$S$1204,0),11))</f>
        <v/>
      </c>
      <c r="L470" s="8" t="str">
        <f t="array" ref="L470">IF(466&gt;$S$1204,"",INDEX($T$5:$AJ$1204,MATCH(466,$S$5:$S$1204,0),12))</f>
        <v/>
      </c>
      <c r="M470" s="8" t="str">
        <f t="array" ref="M470">IF(466&gt;$S$1204,"",INDEX($T$5:$AJ$1204,MATCH(466,$S$5:$S$1204,0),13))</f>
        <v/>
      </c>
      <c r="N470" s="8" t="str">
        <f t="array" ref="N470">IF(466&gt;$S$1204,"",INDEX($T$5:$AJ$1204,MATCH(466,$S$5:$S$1204,0),14))</f>
        <v/>
      </c>
      <c r="O470" s="15" t="str">
        <f t="array" ref="O470">IF(466&gt;$S$1204,"",INDEX($T$5:$AJ$1204,MATCH(466,$S$5:$S$1204,0),15))</f>
        <v/>
      </c>
      <c r="P470" s="8" t="str">
        <f t="array" ref="P470">IF(466&gt;$S$1204,"",INDEX($T$5:$AJ$1204,MATCH(466,$S$5:$S$1204,0),16))</f>
        <v/>
      </c>
      <c r="Q470" s="8" t="str">
        <f t="array" ref="Q470">IF(466&gt;$S$1204,"",INDEX($T$5:$AJ$1204,MATCH(466,$S$5:$S$1204,0),17))</f>
        <v/>
      </c>
      <c r="R470" s="17"/>
      <c r="S470" s="17">
        <f>S469+IF(M3_Silleteria!A74="",0,1)</f>
        <v>0</v>
      </c>
      <c r="T470" s="17" t="str">
        <f>IF(M3_Silleteria!A74="","",IF(M3_Silleteria!A74="","",M3_Silleteria!A74))</f>
        <v/>
      </c>
      <c r="U470" s="17" t="str">
        <f>IF(M3_Silleteria!A74="","",IF(M3_Silleteria!Q74="","",M3_Silleteria!Q74))</f>
        <v/>
      </c>
      <c r="V470" s="17" t="str">
        <f>IF(M3_Silleteria!A74="","",IF(M3_Silleteria!D74="","",M3_Silleteria!D74))</f>
        <v/>
      </c>
      <c r="W470" s="17" t="str">
        <f>IF(M3_Silleteria!A74="","",IF(M3_Silleteria!B74="","",M3_Silleteria!B74))</f>
        <v/>
      </c>
      <c r="X470" s="17" t="str">
        <f>IF(M3_Silleteria!A74="","",IF(M3_Silleteria!C74="","",M3_Silleteria!C74))</f>
        <v/>
      </c>
      <c r="Y470" s="17" t="str">
        <f>IF(M3_Silleteria!A74="","",IF(M3_Silleteria!E74="","",M3_Silleteria!E74))</f>
        <v/>
      </c>
      <c r="Z470" s="17" t="str">
        <f>IF(M3_Silleteria!A74="","",IF(M3_Silleteria!F74="","",M3_Silleteria!F74))</f>
        <v/>
      </c>
      <c r="AA470" s="17" t="str">
        <f>IF(M3_Silleteria!A74="","","M3 Silletería")</f>
        <v/>
      </c>
      <c r="AB470" s="17" t="str">
        <f>IF(M3_Silleteria!A74="","",IF(M3_Silleteria!G74="","",M3_Silleteria!G74))</f>
        <v/>
      </c>
      <c r="AC470" s="17" t="str">
        <f>IF(M3_Silleteria!A74="","",IF(M3_Silleteria!L74="","",M3_Silleteria!L74))</f>
        <v/>
      </c>
      <c r="AD470" s="17" t="str">
        <f>IF(M3_Silleteria!A74="","","CD")</f>
        <v/>
      </c>
      <c r="AE470" s="17" t="str">
        <f>IF(M3_Silleteria!A74="","",IF(M3_Silleteria!N74="","",M3_Silleteria!N74))</f>
        <v/>
      </c>
      <c r="AF470" s="17" t="str">
        <f>IF(M3_Silleteria!A74="","",IF(M3_Silleteria!O74="","",M3_Silleteria!O74))</f>
        <v/>
      </c>
      <c r="AG470" s="17" t="str">
        <f>IF(M3_Silleteria!A74="","",IF(M3_Silleteria!P74="","",M3_Silleteria!P74))</f>
        <v/>
      </c>
      <c r="AH470" s="17" t="str">
        <f>IF(M3_Silleteria!A74="","",IF(M3_Silleteria!H74="","",M3_Silleteria!H74))</f>
        <v/>
      </c>
      <c r="AI470" s="17" t="str">
        <f>IF(M3_Silleteria!A74="","","M3_Silleteria!74")</f>
        <v/>
      </c>
      <c r="AJ470" s="17" t="str">
        <f>IF(M3_Silleteria!A74="","",IF(M3_Silleteria!L74="","Pendiente de resultado","Disponible"))</f>
        <v/>
      </c>
    </row>
    <row r="471" spans="1:36" ht="55.5" customHeight="1">
      <c r="A471" s="6" t="str">
        <f t="array" ref="A471">IF(467&gt;$S$1204,"",INDEX($T$5:$AJ$1204,MATCH(467,$S$5:$S$1204,0),1))</f>
        <v/>
      </c>
      <c r="B471" s="8" t="str">
        <f t="array" ref="B471">IF(467&gt;$S$1204,"",INDEX($T$5:$AJ$1204,MATCH(467,$S$5:$S$1204,0),2))</f>
        <v/>
      </c>
      <c r="C471" s="10" t="str">
        <f t="array" ref="C471">IF(467&gt;$S$1204,"",INDEX($T$5:$AJ$1204,MATCH(467,$S$5:$S$1204,0),3))</f>
        <v/>
      </c>
      <c r="D471" s="8" t="str">
        <f t="array" ref="D471">IF(467&gt;$S$1204,"",INDEX($T$5:$AJ$1204,MATCH(467,$S$5:$S$1204,0),4))</f>
        <v/>
      </c>
      <c r="E471" s="8" t="str">
        <f t="array" ref="E471">IF(467&gt;$S$1204,"",INDEX($T$5:$AJ$1204,MATCH(467,$S$5:$S$1204,0),5))</f>
        <v/>
      </c>
      <c r="F471" s="8" t="str">
        <f t="array" ref="F471">IF(467&gt;$S$1204,"",INDEX($T$5:$AJ$1204,MATCH(467,$S$5:$S$1204,0),6))</f>
        <v/>
      </c>
      <c r="G471" s="8" t="str">
        <f t="array" ref="G471">IF(467&gt;$S$1204,"",INDEX($T$5:$AJ$1204,MATCH(467,$S$5:$S$1204,0),7))</f>
        <v/>
      </c>
      <c r="H471" s="8" t="str">
        <f t="array" ref="H471">IF(467&gt;$S$1204,"",INDEX($T$5:$AJ$1204,MATCH(467,$S$5:$S$1204,0),8))</f>
        <v/>
      </c>
      <c r="I471" s="8" t="str">
        <f t="array" ref="I471">IF(467&gt;$S$1204,"",INDEX($T$5:$AJ$1204,MATCH(467,$S$5:$S$1204,0),9))</f>
        <v/>
      </c>
      <c r="J471" s="14" t="str">
        <f t="array" ref="J471">IF(467&gt;$S$1204,"",INDEX($T$5:$AJ$1204,MATCH(467,$S$5:$S$1204,0),10))</f>
        <v/>
      </c>
      <c r="K471" s="8" t="str">
        <f t="array" ref="K471">IF(467&gt;$S$1204,"",INDEX($T$5:$AJ$1204,MATCH(467,$S$5:$S$1204,0),11))</f>
        <v/>
      </c>
      <c r="L471" s="8" t="str">
        <f t="array" ref="L471">IF(467&gt;$S$1204,"",INDEX($T$5:$AJ$1204,MATCH(467,$S$5:$S$1204,0),12))</f>
        <v/>
      </c>
      <c r="M471" s="8" t="str">
        <f t="array" ref="M471">IF(467&gt;$S$1204,"",INDEX($T$5:$AJ$1204,MATCH(467,$S$5:$S$1204,0),13))</f>
        <v/>
      </c>
      <c r="N471" s="8" t="str">
        <f t="array" ref="N471">IF(467&gt;$S$1204,"",INDEX($T$5:$AJ$1204,MATCH(467,$S$5:$S$1204,0),14))</f>
        <v/>
      </c>
      <c r="O471" s="15" t="str">
        <f t="array" ref="O471">IF(467&gt;$S$1204,"",INDEX($T$5:$AJ$1204,MATCH(467,$S$5:$S$1204,0),15))</f>
        <v/>
      </c>
      <c r="P471" s="8" t="str">
        <f t="array" ref="P471">IF(467&gt;$S$1204,"",INDEX($T$5:$AJ$1204,MATCH(467,$S$5:$S$1204,0),16))</f>
        <v/>
      </c>
      <c r="Q471" s="8" t="str">
        <f t="array" ref="Q471">IF(467&gt;$S$1204,"",INDEX($T$5:$AJ$1204,MATCH(467,$S$5:$S$1204,0),17))</f>
        <v/>
      </c>
      <c r="R471" s="17"/>
      <c r="S471" s="17">
        <f>S470+IF(M3_Silleteria!A75="",0,1)</f>
        <v>0</v>
      </c>
      <c r="T471" s="17" t="str">
        <f>IF(M3_Silleteria!A75="","",IF(M3_Silleteria!A75="","",M3_Silleteria!A75))</f>
        <v/>
      </c>
      <c r="U471" s="17" t="str">
        <f>IF(M3_Silleteria!A75="","",IF(M3_Silleteria!Q75="","",M3_Silleteria!Q75))</f>
        <v/>
      </c>
      <c r="V471" s="17" t="str">
        <f>IF(M3_Silleteria!A75="","",IF(M3_Silleteria!D75="","",M3_Silleteria!D75))</f>
        <v/>
      </c>
      <c r="W471" s="17" t="str">
        <f>IF(M3_Silleteria!A75="","",IF(M3_Silleteria!B75="","",M3_Silleteria!B75))</f>
        <v/>
      </c>
      <c r="X471" s="17" t="str">
        <f>IF(M3_Silleteria!A75="","",IF(M3_Silleteria!C75="","",M3_Silleteria!C75))</f>
        <v/>
      </c>
      <c r="Y471" s="17" t="str">
        <f>IF(M3_Silleteria!A75="","",IF(M3_Silleteria!E75="","",M3_Silleteria!E75))</f>
        <v/>
      </c>
      <c r="Z471" s="17" t="str">
        <f>IF(M3_Silleteria!A75="","",IF(M3_Silleteria!F75="","",M3_Silleteria!F75))</f>
        <v/>
      </c>
      <c r="AA471" s="17" t="str">
        <f>IF(M3_Silleteria!A75="","","M3 Silletería")</f>
        <v/>
      </c>
      <c r="AB471" s="17" t="str">
        <f>IF(M3_Silleteria!A75="","",IF(M3_Silleteria!G75="","",M3_Silleteria!G75))</f>
        <v/>
      </c>
      <c r="AC471" s="17" t="str">
        <f>IF(M3_Silleteria!A75="","",IF(M3_Silleteria!L75="","",M3_Silleteria!L75))</f>
        <v/>
      </c>
      <c r="AD471" s="17" t="str">
        <f>IF(M3_Silleteria!A75="","","CD")</f>
        <v/>
      </c>
      <c r="AE471" s="17" t="str">
        <f>IF(M3_Silleteria!A75="","",IF(M3_Silleteria!N75="","",M3_Silleteria!N75))</f>
        <v/>
      </c>
      <c r="AF471" s="17" t="str">
        <f>IF(M3_Silleteria!A75="","",IF(M3_Silleteria!O75="","",M3_Silleteria!O75))</f>
        <v/>
      </c>
      <c r="AG471" s="17" t="str">
        <f>IF(M3_Silleteria!A75="","",IF(M3_Silleteria!P75="","",M3_Silleteria!P75))</f>
        <v/>
      </c>
      <c r="AH471" s="17" t="str">
        <f>IF(M3_Silleteria!A75="","",IF(M3_Silleteria!H75="","",M3_Silleteria!H75))</f>
        <v/>
      </c>
      <c r="AI471" s="17" t="str">
        <f>IF(M3_Silleteria!A75="","","M3_Silleteria!75")</f>
        <v/>
      </c>
      <c r="AJ471" s="17" t="str">
        <f>IF(M3_Silleteria!A75="","",IF(M3_Silleteria!L75="","Pendiente de resultado","Disponible"))</f>
        <v/>
      </c>
    </row>
    <row r="472" spans="1:36" ht="55.5" customHeight="1">
      <c r="A472" s="6" t="str">
        <f t="array" ref="A472">IF(468&gt;$S$1204,"",INDEX($T$5:$AJ$1204,MATCH(468,$S$5:$S$1204,0),1))</f>
        <v/>
      </c>
      <c r="B472" s="8" t="str">
        <f t="array" ref="B472">IF(468&gt;$S$1204,"",INDEX($T$5:$AJ$1204,MATCH(468,$S$5:$S$1204,0),2))</f>
        <v/>
      </c>
      <c r="C472" s="10" t="str">
        <f t="array" ref="C472">IF(468&gt;$S$1204,"",INDEX($T$5:$AJ$1204,MATCH(468,$S$5:$S$1204,0),3))</f>
        <v/>
      </c>
      <c r="D472" s="8" t="str">
        <f t="array" ref="D472">IF(468&gt;$S$1204,"",INDEX($T$5:$AJ$1204,MATCH(468,$S$5:$S$1204,0),4))</f>
        <v/>
      </c>
      <c r="E472" s="8" t="str">
        <f t="array" ref="E472">IF(468&gt;$S$1204,"",INDEX($T$5:$AJ$1204,MATCH(468,$S$5:$S$1204,0),5))</f>
        <v/>
      </c>
      <c r="F472" s="8" t="str">
        <f t="array" ref="F472">IF(468&gt;$S$1204,"",INDEX($T$5:$AJ$1204,MATCH(468,$S$5:$S$1204,0),6))</f>
        <v/>
      </c>
      <c r="G472" s="8" t="str">
        <f t="array" ref="G472">IF(468&gt;$S$1204,"",INDEX($T$5:$AJ$1204,MATCH(468,$S$5:$S$1204,0),7))</f>
        <v/>
      </c>
      <c r="H472" s="8" t="str">
        <f t="array" ref="H472">IF(468&gt;$S$1204,"",INDEX($T$5:$AJ$1204,MATCH(468,$S$5:$S$1204,0),8))</f>
        <v/>
      </c>
      <c r="I472" s="8" t="str">
        <f t="array" ref="I472">IF(468&gt;$S$1204,"",INDEX($T$5:$AJ$1204,MATCH(468,$S$5:$S$1204,0),9))</f>
        <v/>
      </c>
      <c r="J472" s="14" t="str">
        <f t="array" ref="J472">IF(468&gt;$S$1204,"",INDEX($T$5:$AJ$1204,MATCH(468,$S$5:$S$1204,0),10))</f>
        <v/>
      </c>
      <c r="K472" s="8" t="str">
        <f t="array" ref="K472">IF(468&gt;$S$1204,"",INDEX($T$5:$AJ$1204,MATCH(468,$S$5:$S$1204,0),11))</f>
        <v/>
      </c>
      <c r="L472" s="8" t="str">
        <f t="array" ref="L472">IF(468&gt;$S$1204,"",INDEX($T$5:$AJ$1204,MATCH(468,$S$5:$S$1204,0),12))</f>
        <v/>
      </c>
      <c r="M472" s="8" t="str">
        <f t="array" ref="M472">IF(468&gt;$S$1204,"",INDEX($T$5:$AJ$1204,MATCH(468,$S$5:$S$1204,0),13))</f>
        <v/>
      </c>
      <c r="N472" s="8" t="str">
        <f t="array" ref="N472">IF(468&gt;$S$1204,"",INDEX($T$5:$AJ$1204,MATCH(468,$S$5:$S$1204,0),14))</f>
        <v/>
      </c>
      <c r="O472" s="15" t="str">
        <f t="array" ref="O472">IF(468&gt;$S$1204,"",INDEX($T$5:$AJ$1204,MATCH(468,$S$5:$S$1204,0),15))</f>
        <v/>
      </c>
      <c r="P472" s="8" t="str">
        <f t="array" ref="P472">IF(468&gt;$S$1204,"",INDEX($T$5:$AJ$1204,MATCH(468,$S$5:$S$1204,0),16))</f>
        <v/>
      </c>
      <c r="Q472" s="8" t="str">
        <f t="array" ref="Q472">IF(468&gt;$S$1204,"",INDEX($T$5:$AJ$1204,MATCH(468,$S$5:$S$1204,0),17))</f>
        <v/>
      </c>
      <c r="R472" s="17"/>
      <c r="S472" s="17">
        <f>S471+IF(M3_Silleteria!A76="",0,1)</f>
        <v>0</v>
      </c>
      <c r="T472" s="17" t="str">
        <f>IF(M3_Silleteria!A76="","",IF(M3_Silleteria!A76="","",M3_Silleteria!A76))</f>
        <v/>
      </c>
      <c r="U472" s="17" t="str">
        <f>IF(M3_Silleteria!A76="","",IF(M3_Silleteria!Q76="","",M3_Silleteria!Q76))</f>
        <v/>
      </c>
      <c r="V472" s="17" t="str">
        <f>IF(M3_Silleteria!A76="","",IF(M3_Silleteria!D76="","",M3_Silleteria!D76))</f>
        <v/>
      </c>
      <c r="W472" s="17" t="str">
        <f>IF(M3_Silleteria!A76="","",IF(M3_Silleteria!B76="","",M3_Silleteria!B76))</f>
        <v/>
      </c>
      <c r="X472" s="17" t="str">
        <f>IF(M3_Silleteria!A76="","",IF(M3_Silleteria!C76="","",M3_Silleteria!C76))</f>
        <v/>
      </c>
      <c r="Y472" s="17" t="str">
        <f>IF(M3_Silleteria!A76="","",IF(M3_Silleteria!E76="","",M3_Silleteria!E76))</f>
        <v/>
      </c>
      <c r="Z472" s="17" t="str">
        <f>IF(M3_Silleteria!A76="","",IF(M3_Silleteria!F76="","",M3_Silleteria!F76))</f>
        <v/>
      </c>
      <c r="AA472" s="17" t="str">
        <f>IF(M3_Silleteria!A76="","","M3 Silletería")</f>
        <v/>
      </c>
      <c r="AB472" s="17" t="str">
        <f>IF(M3_Silleteria!A76="","",IF(M3_Silleteria!G76="","",M3_Silleteria!G76))</f>
        <v/>
      </c>
      <c r="AC472" s="17" t="str">
        <f>IF(M3_Silleteria!A76="","",IF(M3_Silleteria!L76="","",M3_Silleteria!L76))</f>
        <v/>
      </c>
      <c r="AD472" s="17" t="str">
        <f>IF(M3_Silleteria!A76="","","CD")</f>
        <v/>
      </c>
      <c r="AE472" s="17" t="str">
        <f>IF(M3_Silleteria!A76="","",IF(M3_Silleteria!N76="","",M3_Silleteria!N76))</f>
        <v/>
      </c>
      <c r="AF472" s="17" t="str">
        <f>IF(M3_Silleteria!A76="","",IF(M3_Silleteria!O76="","",M3_Silleteria!O76))</f>
        <v/>
      </c>
      <c r="AG472" s="17" t="str">
        <f>IF(M3_Silleteria!A76="","",IF(M3_Silleteria!P76="","",M3_Silleteria!P76))</f>
        <v/>
      </c>
      <c r="AH472" s="17" t="str">
        <f>IF(M3_Silleteria!A76="","",IF(M3_Silleteria!H76="","",M3_Silleteria!H76))</f>
        <v/>
      </c>
      <c r="AI472" s="17" t="str">
        <f>IF(M3_Silleteria!A76="","","M3_Silleteria!76")</f>
        <v/>
      </c>
      <c r="AJ472" s="17" t="str">
        <f>IF(M3_Silleteria!A76="","",IF(M3_Silleteria!L76="","Pendiente de resultado","Disponible"))</f>
        <v/>
      </c>
    </row>
    <row r="473" spans="1:36" ht="55.5" customHeight="1">
      <c r="A473" s="6" t="str">
        <f t="array" ref="A473">IF(469&gt;$S$1204,"",INDEX($T$5:$AJ$1204,MATCH(469,$S$5:$S$1204,0),1))</f>
        <v/>
      </c>
      <c r="B473" s="8" t="str">
        <f t="array" ref="B473">IF(469&gt;$S$1204,"",INDEX($T$5:$AJ$1204,MATCH(469,$S$5:$S$1204,0),2))</f>
        <v/>
      </c>
      <c r="C473" s="10" t="str">
        <f t="array" ref="C473">IF(469&gt;$S$1204,"",INDEX($T$5:$AJ$1204,MATCH(469,$S$5:$S$1204,0),3))</f>
        <v/>
      </c>
      <c r="D473" s="8" t="str">
        <f t="array" ref="D473">IF(469&gt;$S$1204,"",INDEX($T$5:$AJ$1204,MATCH(469,$S$5:$S$1204,0),4))</f>
        <v/>
      </c>
      <c r="E473" s="8" t="str">
        <f t="array" ref="E473">IF(469&gt;$S$1204,"",INDEX($T$5:$AJ$1204,MATCH(469,$S$5:$S$1204,0),5))</f>
        <v/>
      </c>
      <c r="F473" s="8" t="str">
        <f t="array" ref="F473">IF(469&gt;$S$1204,"",INDEX($T$5:$AJ$1204,MATCH(469,$S$5:$S$1204,0),6))</f>
        <v/>
      </c>
      <c r="G473" s="8" t="str">
        <f t="array" ref="G473">IF(469&gt;$S$1204,"",INDEX($T$5:$AJ$1204,MATCH(469,$S$5:$S$1204,0),7))</f>
        <v/>
      </c>
      <c r="H473" s="8" t="str">
        <f t="array" ref="H473">IF(469&gt;$S$1204,"",INDEX($T$5:$AJ$1204,MATCH(469,$S$5:$S$1204,0),8))</f>
        <v/>
      </c>
      <c r="I473" s="8" t="str">
        <f t="array" ref="I473">IF(469&gt;$S$1204,"",INDEX($T$5:$AJ$1204,MATCH(469,$S$5:$S$1204,0),9))</f>
        <v/>
      </c>
      <c r="J473" s="14" t="str">
        <f t="array" ref="J473">IF(469&gt;$S$1204,"",INDEX($T$5:$AJ$1204,MATCH(469,$S$5:$S$1204,0),10))</f>
        <v/>
      </c>
      <c r="K473" s="8" t="str">
        <f t="array" ref="K473">IF(469&gt;$S$1204,"",INDEX($T$5:$AJ$1204,MATCH(469,$S$5:$S$1204,0),11))</f>
        <v/>
      </c>
      <c r="L473" s="8" t="str">
        <f t="array" ref="L473">IF(469&gt;$S$1204,"",INDEX($T$5:$AJ$1204,MATCH(469,$S$5:$S$1204,0),12))</f>
        <v/>
      </c>
      <c r="M473" s="8" t="str">
        <f t="array" ref="M473">IF(469&gt;$S$1204,"",INDEX($T$5:$AJ$1204,MATCH(469,$S$5:$S$1204,0),13))</f>
        <v/>
      </c>
      <c r="N473" s="8" t="str">
        <f t="array" ref="N473">IF(469&gt;$S$1204,"",INDEX($T$5:$AJ$1204,MATCH(469,$S$5:$S$1204,0),14))</f>
        <v/>
      </c>
      <c r="O473" s="15" t="str">
        <f t="array" ref="O473">IF(469&gt;$S$1204,"",INDEX($T$5:$AJ$1204,MATCH(469,$S$5:$S$1204,0),15))</f>
        <v/>
      </c>
      <c r="P473" s="8" t="str">
        <f t="array" ref="P473">IF(469&gt;$S$1204,"",INDEX($T$5:$AJ$1204,MATCH(469,$S$5:$S$1204,0),16))</f>
        <v/>
      </c>
      <c r="Q473" s="8" t="str">
        <f t="array" ref="Q473">IF(469&gt;$S$1204,"",INDEX($T$5:$AJ$1204,MATCH(469,$S$5:$S$1204,0),17))</f>
        <v/>
      </c>
      <c r="R473" s="17"/>
      <c r="S473" s="17">
        <f>S472+IF(M3_Silleteria!A77="",0,1)</f>
        <v>0</v>
      </c>
      <c r="T473" s="17" t="str">
        <f>IF(M3_Silleteria!A77="","",IF(M3_Silleteria!A77="","",M3_Silleteria!A77))</f>
        <v/>
      </c>
      <c r="U473" s="17" t="str">
        <f>IF(M3_Silleteria!A77="","",IF(M3_Silleteria!Q77="","",M3_Silleteria!Q77))</f>
        <v/>
      </c>
      <c r="V473" s="17" t="str">
        <f>IF(M3_Silleteria!A77="","",IF(M3_Silleteria!D77="","",M3_Silleteria!D77))</f>
        <v/>
      </c>
      <c r="W473" s="17" t="str">
        <f>IF(M3_Silleteria!A77="","",IF(M3_Silleteria!B77="","",M3_Silleteria!B77))</f>
        <v/>
      </c>
      <c r="X473" s="17" t="str">
        <f>IF(M3_Silleteria!A77="","",IF(M3_Silleteria!C77="","",M3_Silleteria!C77))</f>
        <v/>
      </c>
      <c r="Y473" s="17" t="str">
        <f>IF(M3_Silleteria!A77="","",IF(M3_Silleteria!E77="","",M3_Silleteria!E77))</f>
        <v/>
      </c>
      <c r="Z473" s="17" t="str">
        <f>IF(M3_Silleteria!A77="","",IF(M3_Silleteria!F77="","",M3_Silleteria!F77))</f>
        <v/>
      </c>
      <c r="AA473" s="17" t="str">
        <f>IF(M3_Silleteria!A77="","","M3 Silletería")</f>
        <v/>
      </c>
      <c r="AB473" s="17" t="str">
        <f>IF(M3_Silleteria!A77="","",IF(M3_Silleteria!G77="","",M3_Silleteria!G77))</f>
        <v/>
      </c>
      <c r="AC473" s="17" t="str">
        <f>IF(M3_Silleteria!A77="","",IF(M3_Silleteria!L77="","",M3_Silleteria!L77))</f>
        <v/>
      </c>
      <c r="AD473" s="17" t="str">
        <f>IF(M3_Silleteria!A77="","","CD")</f>
        <v/>
      </c>
      <c r="AE473" s="17" t="str">
        <f>IF(M3_Silleteria!A77="","",IF(M3_Silleteria!N77="","",M3_Silleteria!N77))</f>
        <v/>
      </c>
      <c r="AF473" s="17" t="str">
        <f>IF(M3_Silleteria!A77="","",IF(M3_Silleteria!O77="","",M3_Silleteria!O77))</f>
        <v/>
      </c>
      <c r="AG473" s="17" t="str">
        <f>IF(M3_Silleteria!A77="","",IF(M3_Silleteria!P77="","",M3_Silleteria!P77))</f>
        <v/>
      </c>
      <c r="AH473" s="17" t="str">
        <f>IF(M3_Silleteria!A77="","",IF(M3_Silleteria!H77="","",M3_Silleteria!H77))</f>
        <v/>
      </c>
      <c r="AI473" s="17" t="str">
        <f>IF(M3_Silleteria!A77="","","M3_Silleteria!77")</f>
        <v/>
      </c>
      <c r="AJ473" s="17" t="str">
        <f>IF(M3_Silleteria!A77="","",IF(M3_Silleteria!L77="","Pendiente de resultado","Disponible"))</f>
        <v/>
      </c>
    </row>
    <row r="474" spans="1:36" ht="55.5" customHeight="1">
      <c r="A474" s="6" t="str">
        <f t="array" ref="A474">IF(470&gt;$S$1204,"",INDEX($T$5:$AJ$1204,MATCH(470,$S$5:$S$1204,0),1))</f>
        <v/>
      </c>
      <c r="B474" s="8" t="str">
        <f t="array" ref="B474">IF(470&gt;$S$1204,"",INDEX($T$5:$AJ$1204,MATCH(470,$S$5:$S$1204,0),2))</f>
        <v/>
      </c>
      <c r="C474" s="10" t="str">
        <f t="array" ref="C474">IF(470&gt;$S$1204,"",INDEX($T$5:$AJ$1204,MATCH(470,$S$5:$S$1204,0),3))</f>
        <v/>
      </c>
      <c r="D474" s="8" t="str">
        <f t="array" ref="D474">IF(470&gt;$S$1204,"",INDEX($T$5:$AJ$1204,MATCH(470,$S$5:$S$1204,0),4))</f>
        <v/>
      </c>
      <c r="E474" s="8" t="str">
        <f t="array" ref="E474">IF(470&gt;$S$1204,"",INDEX($T$5:$AJ$1204,MATCH(470,$S$5:$S$1204,0),5))</f>
        <v/>
      </c>
      <c r="F474" s="8" t="str">
        <f t="array" ref="F474">IF(470&gt;$S$1204,"",INDEX($T$5:$AJ$1204,MATCH(470,$S$5:$S$1204,0),6))</f>
        <v/>
      </c>
      <c r="G474" s="8" t="str">
        <f t="array" ref="G474">IF(470&gt;$S$1204,"",INDEX($T$5:$AJ$1204,MATCH(470,$S$5:$S$1204,0),7))</f>
        <v/>
      </c>
      <c r="H474" s="8" t="str">
        <f t="array" ref="H474">IF(470&gt;$S$1204,"",INDEX($T$5:$AJ$1204,MATCH(470,$S$5:$S$1204,0),8))</f>
        <v/>
      </c>
      <c r="I474" s="8" t="str">
        <f t="array" ref="I474">IF(470&gt;$S$1204,"",INDEX($T$5:$AJ$1204,MATCH(470,$S$5:$S$1204,0),9))</f>
        <v/>
      </c>
      <c r="J474" s="14" t="str">
        <f t="array" ref="J474">IF(470&gt;$S$1204,"",INDEX($T$5:$AJ$1204,MATCH(470,$S$5:$S$1204,0),10))</f>
        <v/>
      </c>
      <c r="K474" s="8" t="str">
        <f t="array" ref="K474">IF(470&gt;$S$1204,"",INDEX($T$5:$AJ$1204,MATCH(470,$S$5:$S$1204,0),11))</f>
        <v/>
      </c>
      <c r="L474" s="8" t="str">
        <f t="array" ref="L474">IF(470&gt;$S$1204,"",INDEX($T$5:$AJ$1204,MATCH(470,$S$5:$S$1204,0),12))</f>
        <v/>
      </c>
      <c r="M474" s="8" t="str">
        <f t="array" ref="M474">IF(470&gt;$S$1204,"",INDEX($T$5:$AJ$1204,MATCH(470,$S$5:$S$1204,0),13))</f>
        <v/>
      </c>
      <c r="N474" s="8" t="str">
        <f t="array" ref="N474">IF(470&gt;$S$1204,"",INDEX($T$5:$AJ$1204,MATCH(470,$S$5:$S$1204,0),14))</f>
        <v/>
      </c>
      <c r="O474" s="15" t="str">
        <f t="array" ref="O474">IF(470&gt;$S$1204,"",INDEX($T$5:$AJ$1204,MATCH(470,$S$5:$S$1204,0),15))</f>
        <v/>
      </c>
      <c r="P474" s="8" t="str">
        <f t="array" ref="P474">IF(470&gt;$S$1204,"",INDEX($T$5:$AJ$1204,MATCH(470,$S$5:$S$1204,0),16))</f>
        <v/>
      </c>
      <c r="Q474" s="8" t="str">
        <f t="array" ref="Q474">IF(470&gt;$S$1204,"",INDEX($T$5:$AJ$1204,MATCH(470,$S$5:$S$1204,0),17))</f>
        <v/>
      </c>
      <c r="R474" s="17"/>
      <c r="S474" s="17">
        <f>S473+IF(M3_Silleteria!A78="",0,1)</f>
        <v>0</v>
      </c>
      <c r="T474" s="17" t="str">
        <f>IF(M3_Silleteria!A78="","",IF(M3_Silleteria!A78="","",M3_Silleteria!A78))</f>
        <v/>
      </c>
      <c r="U474" s="17" t="str">
        <f>IF(M3_Silleteria!A78="","",IF(M3_Silleteria!Q78="","",M3_Silleteria!Q78))</f>
        <v/>
      </c>
      <c r="V474" s="17" t="str">
        <f>IF(M3_Silleteria!A78="","",IF(M3_Silleteria!D78="","",M3_Silleteria!D78))</f>
        <v/>
      </c>
      <c r="W474" s="17" t="str">
        <f>IF(M3_Silleteria!A78="","",IF(M3_Silleteria!B78="","",M3_Silleteria!B78))</f>
        <v/>
      </c>
      <c r="X474" s="17" t="str">
        <f>IF(M3_Silleteria!A78="","",IF(M3_Silleteria!C78="","",M3_Silleteria!C78))</f>
        <v/>
      </c>
      <c r="Y474" s="17" t="str">
        <f>IF(M3_Silleteria!A78="","",IF(M3_Silleteria!E78="","",M3_Silleteria!E78))</f>
        <v/>
      </c>
      <c r="Z474" s="17" t="str">
        <f>IF(M3_Silleteria!A78="","",IF(M3_Silleteria!F78="","",M3_Silleteria!F78))</f>
        <v/>
      </c>
      <c r="AA474" s="17" t="str">
        <f>IF(M3_Silleteria!A78="","","M3 Silletería")</f>
        <v/>
      </c>
      <c r="AB474" s="17" t="str">
        <f>IF(M3_Silleteria!A78="","",IF(M3_Silleteria!G78="","",M3_Silleteria!G78))</f>
        <v/>
      </c>
      <c r="AC474" s="17" t="str">
        <f>IF(M3_Silleteria!A78="","",IF(M3_Silleteria!L78="","",M3_Silleteria!L78))</f>
        <v/>
      </c>
      <c r="AD474" s="17" t="str">
        <f>IF(M3_Silleteria!A78="","","CD")</f>
        <v/>
      </c>
      <c r="AE474" s="17" t="str">
        <f>IF(M3_Silleteria!A78="","",IF(M3_Silleteria!N78="","",M3_Silleteria!N78))</f>
        <v/>
      </c>
      <c r="AF474" s="17" t="str">
        <f>IF(M3_Silleteria!A78="","",IF(M3_Silleteria!O78="","",M3_Silleteria!O78))</f>
        <v/>
      </c>
      <c r="AG474" s="17" t="str">
        <f>IF(M3_Silleteria!A78="","",IF(M3_Silleteria!P78="","",M3_Silleteria!P78))</f>
        <v/>
      </c>
      <c r="AH474" s="17" t="str">
        <f>IF(M3_Silleteria!A78="","",IF(M3_Silleteria!H78="","",M3_Silleteria!H78))</f>
        <v/>
      </c>
      <c r="AI474" s="17" t="str">
        <f>IF(M3_Silleteria!A78="","","M3_Silleteria!78")</f>
        <v/>
      </c>
      <c r="AJ474" s="17" t="str">
        <f>IF(M3_Silleteria!A78="","",IF(M3_Silleteria!L78="","Pendiente de resultado","Disponible"))</f>
        <v/>
      </c>
    </row>
    <row r="475" spans="1:36" ht="55.5" customHeight="1">
      <c r="A475" s="6" t="str">
        <f t="array" ref="A475">IF(471&gt;$S$1204,"",INDEX($T$5:$AJ$1204,MATCH(471,$S$5:$S$1204,0),1))</f>
        <v/>
      </c>
      <c r="B475" s="8" t="str">
        <f t="array" ref="B475">IF(471&gt;$S$1204,"",INDEX($T$5:$AJ$1204,MATCH(471,$S$5:$S$1204,0),2))</f>
        <v/>
      </c>
      <c r="C475" s="10" t="str">
        <f t="array" ref="C475">IF(471&gt;$S$1204,"",INDEX($T$5:$AJ$1204,MATCH(471,$S$5:$S$1204,0),3))</f>
        <v/>
      </c>
      <c r="D475" s="8" t="str">
        <f t="array" ref="D475">IF(471&gt;$S$1204,"",INDEX($T$5:$AJ$1204,MATCH(471,$S$5:$S$1204,0),4))</f>
        <v/>
      </c>
      <c r="E475" s="8" t="str">
        <f t="array" ref="E475">IF(471&gt;$S$1204,"",INDEX($T$5:$AJ$1204,MATCH(471,$S$5:$S$1204,0),5))</f>
        <v/>
      </c>
      <c r="F475" s="8" t="str">
        <f t="array" ref="F475">IF(471&gt;$S$1204,"",INDEX($T$5:$AJ$1204,MATCH(471,$S$5:$S$1204,0),6))</f>
        <v/>
      </c>
      <c r="G475" s="8" t="str">
        <f t="array" ref="G475">IF(471&gt;$S$1204,"",INDEX($T$5:$AJ$1204,MATCH(471,$S$5:$S$1204,0),7))</f>
        <v/>
      </c>
      <c r="H475" s="8" t="str">
        <f t="array" ref="H475">IF(471&gt;$S$1204,"",INDEX($T$5:$AJ$1204,MATCH(471,$S$5:$S$1204,0),8))</f>
        <v/>
      </c>
      <c r="I475" s="8" t="str">
        <f t="array" ref="I475">IF(471&gt;$S$1204,"",INDEX($T$5:$AJ$1204,MATCH(471,$S$5:$S$1204,0),9))</f>
        <v/>
      </c>
      <c r="J475" s="14" t="str">
        <f t="array" ref="J475">IF(471&gt;$S$1204,"",INDEX($T$5:$AJ$1204,MATCH(471,$S$5:$S$1204,0),10))</f>
        <v/>
      </c>
      <c r="K475" s="8" t="str">
        <f t="array" ref="K475">IF(471&gt;$S$1204,"",INDEX($T$5:$AJ$1204,MATCH(471,$S$5:$S$1204,0),11))</f>
        <v/>
      </c>
      <c r="L475" s="8" t="str">
        <f t="array" ref="L475">IF(471&gt;$S$1204,"",INDEX($T$5:$AJ$1204,MATCH(471,$S$5:$S$1204,0),12))</f>
        <v/>
      </c>
      <c r="M475" s="8" t="str">
        <f t="array" ref="M475">IF(471&gt;$S$1204,"",INDEX($T$5:$AJ$1204,MATCH(471,$S$5:$S$1204,0),13))</f>
        <v/>
      </c>
      <c r="N475" s="8" t="str">
        <f t="array" ref="N475">IF(471&gt;$S$1204,"",INDEX($T$5:$AJ$1204,MATCH(471,$S$5:$S$1204,0),14))</f>
        <v/>
      </c>
      <c r="O475" s="15" t="str">
        <f t="array" ref="O475">IF(471&gt;$S$1204,"",INDEX($T$5:$AJ$1204,MATCH(471,$S$5:$S$1204,0),15))</f>
        <v/>
      </c>
      <c r="P475" s="8" t="str">
        <f t="array" ref="P475">IF(471&gt;$S$1204,"",INDEX($T$5:$AJ$1204,MATCH(471,$S$5:$S$1204,0),16))</f>
        <v/>
      </c>
      <c r="Q475" s="8" t="str">
        <f t="array" ref="Q475">IF(471&gt;$S$1204,"",INDEX($T$5:$AJ$1204,MATCH(471,$S$5:$S$1204,0),17))</f>
        <v/>
      </c>
      <c r="R475" s="17"/>
      <c r="S475" s="17">
        <f>S474+IF(M3_Silleteria!A79="",0,1)</f>
        <v>0</v>
      </c>
      <c r="T475" s="17" t="str">
        <f>IF(M3_Silleteria!A79="","",IF(M3_Silleteria!A79="","",M3_Silleteria!A79))</f>
        <v/>
      </c>
      <c r="U475" s="17" t="str">
        <f>IF(M3_Silleteria!A79="","",IF(M3_Silleteria!Q79="","",M3_Silleteria!Q79))</f>
        <v/>
      </c>
      <c r="V475" s="17" t="str">
        <f>IF(M3_Silleteria!A79="","",IF(M3_Silleteria!D79="","",M3_Silleteria!D79))</f>
        <v/>
      </c>
      <c r="W475" s="17" t="str">
        <f>IF(M3_Silleteria!A79="","",IF(M3_Silleteria!B79="","",M3_Silleteria!B79))</f>
        <v/>
      </c>
      <c r="X475" s="17" t="str">
        <f>IF(M3_Silleteria!A79="","",IF(M3_Silleteria!C79="","",M3_Silleteria!C79))</f>
        <v/>
      </c>
      <c r="Y475" s="17" t="str">
        <f>IF(M3_Silleteria!A79="","",IF(M3_Silleteria!E79="","",M3_Silleteria!E79))</f>
        <v/>
      </c>
      <c r="Z475" s="17" t="str">
        <f>IF(M3_Silleteria!A79="","",IF(M3_Silleteria!F79="","",M3_Silleteria!F79))</f>
        <v/>
      </c>
      <c r="AA475" s="17" t="str">
        <f>IF(M3_Silleteria!A79="","","M3 Silletería")</f>
        <v/>
      </c>
      <c r="AB475" s="17" t="str">
        <f>IF(M3_Silleteria!A79="","",IF(M3_Silleteria!G79="","",M3_Silleteria!G79))</f>
        <v/>
      </c>
      <c r="AC475" s="17" t="str">
        <f>IF(M3_Silleteria!A79="","",IF(M3_Silleteria!L79="","",M3_Silleteria!L79))</f>
        <v/>
      </c>
      <c r="AD475" s="17" t="str">
        <f>IF(M3_Silleteria!A79="","","CD")</f>
        <v/>
      </c>
      <c r="AE475" s="17" t="str">
        <f>IF(M3_Silleteria!A79="","",IF(M3_Silleteria!N79="","",M3_Silleteria!N79))</f>
        <v/>
      </c>
      <c r="AF475" s="17" t="str">
        <f>IF(M3_Silleteria!A79="","",IF(M3_Silleteria!O79="","",M3_Silleteria!O79))</f>
        <v/>
      </c>
      <c r="AG475" s="17" t="str">
        <f>IF(M3_Silleteria!A79="","",IF(M3_Silleteria!P79="","",M3_Silleteria!P79))</f>
        <v/>
      </c>
      <c r="AH475" s="17" t="str">
        <f>IF(M3_Silleteria!A79="","",IF(M3_Silleteria!H79="","",M3_Silleteria!H79))</f>
        <v/>
      </c>
      <c r="AI475" s="17" t="str">
        <f>IF(M3_Silleteria!A79="","","M3_Silleteria!79")</f>
        <v/>
      </c>
      <c r="AJ475" s="17" t="str">
        <f>IF(M3_Silleteria!A79="","",IF(M3_Silleteria!L79="","Pendiente de resultado","Disponible"))</f>
        <v/>
      </c>
    </row>
    <row r="476" spans="1:36" ht="55.5" customHeight="1">
      <c r="A476" s="6" t="str">
        <f t="array" ref="A476">IF(472&gt;$S$1204,"",INDEX($T$5:$AJ$1204,MATCH(472,$S$5:$S$1204,0),1))</f>
        <v/>
      </c>
      <c r="B476" s="8" t="str">
        <f t="array" ref="B476">IF(472&gt;$S$1204,"",INDEX($T$5:$AJ$1204,MATCH(472,$S$5:$S$1204,0),2))</f>
        <v/>
      </c>
      <c r="C476" s="10" t="str">
        <f t="array" ref="C476">IF(472&gt;$S$1204,"",INDEX($T$5:$AJ$1204,MATCH(472,$S$5:$S$1204,0),3))</f>
        <v/>
      </c>
      <c r="D476" s="8" t="str">
        <f t="array" ref="D476">IF(472&gt;$S$1204,"",INDEX($T$5:$AJ$1204,MATCH(472,$S$5:$S$1204,0),4))</f>
        <v/>
      </c>
      <c r="E476" s="8" t="str">
        <f t="array" ref="E476">IF(472&gt;$S$1204,"",INDEX($T$5:$AJ$1204,MATCH(472,$S$5:$S$1204,0),5))</f>
        <v/>
      </c>
      <c r="F476" s="8" t="str">
        <f t="array" ref="F476">IF(472&gt;$S$1204,"",INDEX($T$5:$AJ$1204,MATCH(472,$S$5:$S$1204,0),6))</f>
        <v/>
      </c>
      <c r="G476" s="8" t="str">
        <f t="array" ref="G476">IF(472&gt;$S$1204,"",INDEX($T$5:$AJ$1204,MATCH(472,$S$5:$S$1204,0),7))</f>
        <v/>
      </c>
      <c r="H476" s="8" t="str">
        <f t="array" ref="H476">IF(472&gt;$S$1204,"",INDEX($T$5:$AJ$1204,MATCH(472,$S$5:$S$1204,0),8))</f>
        <v/>
      </c>
      <c r="I476" s="8" t="str">
        <f t="array" ref="I476">IF(472&gt;$S$1204,"",INDEX($T$5:$AJ$1204,MATCH(472,$S$5:$S$1204,0),9))</f>
        <v/>
      </c>
      <c r="J476" s="14" t="str">
        <f t="array" ref="J476">IF(472&gt;$S$1204,"",INDEX($T$5:$AJ$1204,MATCH(472,$S$5:$S$1204,0),10))</f>
        <v/>
      </c>
      <c r="K476" s="8" t="str">
        <f t="array" ref="K476">IF(472&gt;$S$1204,"",INDEX($T$5:$AJ$1204,MATCH(472,$S$5:$S$1204,0),11))</f>
        <v/>
      </c>
      <c r="L476" s="8" t="str">
        <f t="array" ref="L476">IF(472&gt;$S$1204,"",INDEX($T$5:$AJ$1204,MATCH(472,$S$5:$S$1204,0),12))</f>
        <v/>
      </c>
      <c r="M476" s="8" t="str">
        <f t="array" ref="M476">IF(472&gt;$S$1204,"",INDEX($T$5:$AJ$1204,MATCH(472,$S$5:$S$1204,0),13))</f>
        <v/>
      </c>
      <c r="N476" s="8" t="str">
        <f t="array" ref="N476">IF(472&gt;$S$1204,"",INDEX($T$5:$AJ$1204,MATCH(472,$S$5:$S$1204,0),14))</f>
        <v/>
      </c>
      <c r="O476" s="15" t="str">
        <f t="array" ref="O476">IF(472&gt;$S$1204,"",INDEX($T$5:$AJ$1204,MATCH(472,$S$5:$S$1204,0),15))</f>
        <v/>
      </c>
      <c r="P476" s="8" t="str">
        <f t="array" ref="P476">IF(472&gt;$S$1204,"",INDEX($T$5:$AJ$1204,MATCH(472,$S$5:$S$1204,0),16))</f>
        <v/>
      </c>
      <c r="Q476" s="8" t="str">
        <f t="array" ref="Q476">IF(472&gt;$S$1204,"",INDEX($T$5:$AJ$1204,MATCH(472,$S$5:$S$1204,0),17))</f>
        <v/>
      </c>
      <c r="R476" s="17"/>
      <c r="S476" s="17">
        <f>S475+IF(M3_Silleteria!A80="",0,1)</f>
        <v>0</v>
      </c>
      <c r="T476" s="17" t="str">
        <f>IF(M3_Silleteria!A80="","",IF(M3_Silleteria!A80="","",M3_Silleteria!A80))</f>
        <v/>
      </c>
      <c r="U476" s="17" t="str">
        <f>IF(M3_Silleteria!A80="","",IF(M3_Silleteria!Q80="","",M3_Silleteria!Q80))</f>
        <v/>
      </c>
      <c r="V476" s="17" t="str">
        <f>IF(M3_Silleteria!A80="","",IF(M3_Silleteria!D80="","",M3_Silleteria!D80))</f>
        <v/>
      </c>
      <c r="W476" s="17" t="str">
        <f>IF(M3_Silleteria!A80="","",IF(M3_Silleteria!B80="","",M3_Silleteria!B80))</f>
        <v/>
      </c>
      <c r="X476" s="17" t="str">
        <f>IF(M3_Silleteria!A80="","",IF(M3_Silleteria!C80="","",M3_Silleteria!C80))</f>
        <v/>
      </c>
      <c r="Y476" s="17" t="str">
        <f>IF(M3_Silleteria!A80="","",IF(M3_Silleteria!E80="","",M3_Silleteria!E80))</f>
        <v/>
      </c>
      <c r="Z476" s="17" t="str">
        <f>IF(M3_Silleteria!A80="","",IF(M3_Silleteria!F80="","",M3_Silleteria!F80))</f>
        <v/>
      </c>
      <c r="AA476" s="17" t="str">
        <f>IF(M3_Silleteria!A80="","","M3 Silletería")</f>
        <v/>
      </c>
      <c r="AB476" s="17" t="str">
        <f>IF(M3_Silleteria!A80="","",IF(M3_Silleteria!G80="","",M3_Silleteria!G80))</f>
        <v/>
      </c>
      <c r="AC476" s="17" t="str">
        <f>IF(M3_Silleteria!A80="","",IF(M3_Silleteria!L80="","",M3_Silleteria!L80))</f>
        <v/>
      </c>
      <c r="AD476" s="17" t="str">
        <f>IF(M3_Silleteria!A80="","","CD")</f>
        <v/>
      </c>
      <c r="AE476" s="17" t="str">
        <f>IF(M3_Silleteria!A80="","",IF(M3_Silleteria!N80="","",M3_Silleteria!N80))</f>
        <v/>
      </c>
      <c r="AF476" s="17" t="str">
        <f>IF(M3_Silleteria!A80="","",IF(M3_Silleteria!O80="","",M3_Silleteria!O80))</f>
        <v/>
      </c>
      <c r="AG476" s="17" t="str">
        <f>IF(M3_Silleteria!A80="","",IF(M3_Silleteria!P80="","",M3_Silleteria!P80))</f>
        <v/>
      </c>
      <c r="AH476" s="17" t="str">
        <f>IF(M3_Silleteria!A80="","",IF(M3_Silleteria!H80="","",M3_Silleteria!H80))</f>
        <v/>
      </c>
      <c r="AI476" s="17" t="str">
        <f>IF(M3_Silleteria!A80="","","M3_Silleteria!80")</f>
        <v/>
      </c>
      <c r="AJ476" s="17" t="str">
        <f>IF(M3_Silleteria!A80="","",IF(M3_Silleteria!L80="","Pendiente de resultado","Disponible"))</f>
        <v/>
      </c>
    </row>
    <row r="477" spans="1:36" ht="55.5" customHeight="1">
      <c r="A477" s="6" t="str">
        <f t="array" ref="A477">IF(473&gt;$S$1204,"",INDEX($T$5:$AJ$1204,MATCH(473,$S$5:$S$1204,0),1))</f>
        <v/>
      </c>
      <c r="B477" s="8" t="str">
        <f t="array" ref="B477">IF(473&gt;$S$1204,"",INDEX($T$5:$AJ$1204,MATCH(473,$S$5:$S$1204,0),2))</f>
        <v/>
      </c>
      <c r="C477" s="10" t="str">
        <f t="array" ref="C477">IF(473&gt;$S$1204,"",INDEX($T$5:$AJ$1204,MATCH(473,$S$5:$S$1204,0),3))</f>
        <v/>
      </c>
      <c r="D477" s="8" t="str">
        <f t="array" ref="D477">IF(473&gt;$S$1204,"",INDEX($T$5:$AJ$1204,MATCH(473,$S$5:$S$1204,0),4))</f>
        <v/>
      </c>
      <c r="E477" s="8" t="str">
        <f t="array" ref="E477">IF(473&gt;$S$1204,"",INDEX($T$5:$AJ$1204,MATCH(473,$S$5:$S$1204,0),5))</f>
        <v/>
      </c>
      <c r="F477" s="8" t="str">
        <f t="array" ref="F477">IF(473&gt;$S$1204,"",INDEX($T$5:$AJ$1204,MATCH(473,$S$5:$S$1204,0),6))</f>
        <v/>
      </c>
      <c r="G477" s="8" t="str">
        <f t="array" ref="G477">IF(473&gt;$S$1204,"",INDEX($T$5:$AJ$1204,MATCH(473,$S$5:$S$1204,0),7))</f>
        <v/>
      </c>
      <c r="H477" s="8" t="str">
        <f t="array" ref="H477">IF(473&gt;$S$1204,"",INDEX($T$5:$AJ$1204,MATCH(473,$S$5:$S$1204,0),8))</f>
        <v/>
      </c>
      <c r="I477" s="8" t="str">
        <f t="array" ref="I477">IF(473&gt;$S$1204,"",INDEX($T$5:$AJ$1204,MATCH(473,$S$5:$S$1204,0),9))</f>
        <v/>
      </c>
      <c r="J477" s="14" t="str">
        <f t="array" ref="J477">IF(473&gt;$S$1204,"",INDEX($T$5:$AJ$1204,MATCH(473,$S$5:$S$1204,0),10))</f>
        <v/>
      </c>
      <c r="K477" s="8" t="str">
        <f t="array" ref="K477">IF(473&gt;$S$1204,"",INDEX($T$5:$AJ$1204,MATCH(473,$S$5:$S$1204,0),11))</f>
        <v/>
      </c>
      <c r="L477" s="8" t="str">
        <f t="array" ref="L477">IF(473&gt;$S$1204,"",INDEX($T$5:$AJ$1204,MATCH(473,$S$5:$S$1204,0),12))</f>
        <v/>
      </c>
      <c r="M477" s="8" t="str">
        <f t="array" ref="M477">IF(473&gt;$S$1204,"",INDEX($T$5:$AJ$1204,MATCH(473,$S$5:$S$1204,0),13))</f>
        <v/>
      </c>
      <c r="N477" s="8" t="str">
        <f t="array" ref="N477">IF(473&gt;$S$1204,"",INDEX($T$5:$AJ$1204,MATCH(473,$S$5:$S$1204,0),14))</f>
        <v/>
      </c>
      <c r="O477" s="15" t="str">
        <f t="array" ref="O477">IF(473&gt;$S$1204,"",INDEX($T$5:$AJ$1204,MATCH(473,$S$5:$S$1204,0),15))</f>
        <v/>
      </c>
      <c r="P477" s="8" t="str">
        <f t="array" ref="P477">IF(473&gt;$S$1204,"",INDEX($T$5:$AJ$1204,MATCH(473,$S$5:$S$1204,0),16))</f>
        <v/>
      </c>
      <c r="Q477" s="8" t="str">
        <f t="array" ref="Q477">IF(473&gt;$S$1204,"",INDEX($T$5:$AJ$1204,MATCH(473,$S$5:$S$1204,0),17))</f>
        <v/>
      </c>
      <c r="R477" s="17"/>
      <c r="S477" s="17">
        <f>S476+IF(M3_Silleteria!A81="",0,1)</f>
        <v>0</v>
      </c>
      <c r="T477" s="17" t="str">
        <f>IF(M3_Silleteria!A81="","",IF(M3_Silleteria!A81="","",M3_Silleteria!A81))</f>
        <v/>
      </c>
      <c r="U477" s="17" t="str">
        <f>IF(M3_Silleteria!A81="","",IF(M3_Silleteria!Q81="","",M3_Silleteria!Q81))</f>
        <v/>
      </c>
      <c r="V477" s="17" t="str">
        <f>IF(M3_Silleteria!A81="","",IF(M3_Silleteria!D81="","",M3_Silleteria!D81))</f>
        <v/>
      </c>
      <c r="W477" s="17" t="str">
        <f>IF(M3_Silleteria!A81="","",IF(M3_Silleteria!B81="","",M3_Silleteria!B81))</f>
        <v/>
      </c>
      <c r="X477" s="17" t="str">
        <f>IF(M3_Silleteria!A81="","",IF(M3_Silleteria!C81="","",M3_Silleteria!C81))</f>
        <v/>
      </c>
      <c r="Y477" s="17" t="str">
        <f>IF(M3_Silleteria!A81="","",IF(M3_Silleteria!E81="","",M3_Silleteria!E81))</f>
        <v/>
      </c>
      <c r="Z477" s="17" t="str">
        <f>IF(M3_Silleteria!A81="","",IF(M3_Silleteria!F81="","",M3_Silleteria!F81))</f>
        <v/>
      </c>
      <c r="AA477" s="17" t="str">
        <f>IF(M3_Silleteria!A81="","","M3 Silletería")</f>
        <v/>
      </c>
      <c r="AB477" s="17" t="str">
        <f>IF(M3_Silleteria!A81="","",IF(M3_Silleteria!G81="","",M3_Silleteria!G81))</f>
        <v/>
      </c>
      <c r="AC477" s="17" t="str">
        <f>IF(M3_Silleteria!A81="","",IF(M3_Silleteria!L81="","",M3_Silleteria!L81))</f>
        <v/>
      </c>
      <c r="AD477" s="17" t="str">
        <f>IF(M3_Silleteria!A81="","","CD")</f>
        <v/>
      </c>
      <c r="AE477" s="17" t="str">
        <f>IF(M3_Silleteria!A81="","",IF(M3_Silleteria!N81="","",M3_Silleteria!N81))</f>
        <v/>
      </c>
      <c r="AF477" s="17" t="str">
        <f>IF(M3_Silleteria!A81="","",IF(M3_Silleteria!O81="","",M3_Silleteria!O81))</f>
        <v/>
      </c>
      <c r="AG477" s="17" t="str">
        <f>IF(M3_Silleteria!A81="","",IF(M3_Silleteria!P81="","",M3_Silleteria!P81))</f>
        <v/>
      </c>
      <c r="AH477" s="17" t="str">
        <f>IF(M3_Silleteria!A81="","",IF(M3_Silleteria!H81="","",M3_Silleteria!H81))</f>
        <v/>
      </c>
      <c r="AI477" s="17" t="str">
        <f>IF(M3_Silleteria!A81="","","M3_Silleteria!81")</f>
        <v/>
      </c>
      <c r="AJ477" s="17" t="str">
        <f>IF(M3_Silleteria!A81="","",IF(M3_Silleteria!L81="","Pendiente de resultado","Disponible"))</f>
        <v/>
      </c>
    </row>
    <row r="478" spans="1:36" ht="55.5" customHeight="1">
      <c r="A478" s="6" t="str">
        <f t="array" ref="A478">IF(474&gt;$S$1204,"",INDEX($T$5:$AJ$1204,MATCH(474,$S$5:$S$1204,0),1))</f>
        <v/>
      </c>
      <c r="B478" s="8" t="str">
        <f t="array" ref="B478">IF(474&gt;$S$1204,"",INDEX($T$5:$AJ$1204,MATCH(474,$S$5:$S$1204,0),2))</f>
        <v/>
      </c>
      <c r="C478" s="10" t="str">
        <f t="array" ref="C478">IF(474&gt;$S$1204,"",INDEX($T$5:$AJ$1204,MATCH(474,$S$5:$S$1204,0),3))</f>
        <v/>
      </c>
      <c r="D478" s="8" t="str">
        <f t="array" ref="D478">IF(474&gt;$S$1204,"",INDEX($T$5:$AJ$1204,MATCH(474,$S$5:$S$1204,0),4))</f>
        <v/>
      </c>
      <c r="E478" s="8" t="str">
        <f t="array" ref="E478">IF(474&gt;$S$1204,"",INDEX($T$5:$AJ$1204,MATCH(474,$S$5:$S$1204,0),5))</f>
        <v/>
      </c>
      <c r="F478" s="8" t="str">
        <f t="array" ref="F478">IF(474&gt;$S$1204,"",INDEX($T$5:$AJ$1204,MATCH(474,$S$5:$S$1204,0),6))</f>
        <v/>
      </c>
      <c r="G478" s="8" t="str">
        <f t="array" ref="G478">IF(474&gt;$S$1204,"",INDEX($T$5:$AJ$1204,MATCH(474,$S$5:$S$1204,0),7))</f>
        <v/>
      </c>
      <c r="H478" s="8" t="str">
        <f t="array" ref="H478">IF(474&gt;$S$1204,"",INDEX($T$5:$AJ$1204,MATCH(474,$S$5:$S$1204,0),8))</f>
        <v/>
      </c>
      <c r="I478" s="8" t="str">
        <f t="array" ref="I478">IF(474&gt;$S$1204,"",INDEX($T$5:$AJ$1204,MATCH(474,$S$5:$S$1204,0),9))</f>
        <v/>
      </c>
      <c r="J478" s="14" t="str">
        <f t="array" ref="J478">IF(474&gt;$S$1204,"",INDEX($T$5:$AJ$1204,MATCH(474,$S$5:$S$1204,0),10))</f>
        <v/>
      </c>
      <c r="K478" s="8" t="str">
        <f t="array" ref="K478">IF(474&gt;$S$1204,"",INDEX($T$5:$AJ$1204,MATCH(474,$S$5:$S$1204,0),11))</f>
        <v/>
      </c>
      <c r="L478" s="8" t="str">
        <f t="array" ref="L478">IF(474&gt;$S$1204,"",INDEX($T$5:$AJ$1204,MATCH(474,$S$5:$S$1204,0),12))</f>
        <v/>
      </c>
      <c r="M478" s="8" t="str">
        <f t="array" ref="M478">IF(474&gt;$S$1204,"",INDEX($T$5:$AJ$1204,MATCH(474,$S$5:$S$1204,0),13))</f>
        <v/>
      </c>
      <c r="N478" s="8" t="str">
        <f t="array" ref="N478">IF(474&gt;$S$1204,"",INDEX($T$5:$AJ$1204,MATCH(474,$S$5:$S$1204,0),14))</f>
        <v/>
      </c>
      <c r="O478" s="15" t="str">
        <f t="array" ref="O478">IF(474&gt;$S$1204,"",INDEX($T$5:$AJ$1204,MATCH(474,$S$5:$S$1204,0),15))</f>
        <v/>
      </c>
      <c r="P478" s="8" t="str">
        <f t="array" ref="P478">IF(474&gt;$S$1204,"",INDEX($T$5:$AJ$1204,MATCH(474,$S$5:$S$1204,0),16))</f>
        <v/>
      </c>
      <c r="Q478" s="8" t="str">
        <f t="array" ref="Q478">IF(474&gt;$S$1204,"",INDEX($T$5:$AJ$1204,MATCH(474,$S$5:$S$1204,0),17))</f>
        <v/>
      </c>
      <c r="R478" s="17"/>
      <c r="S478" s="17">
        <f>S477+IF(M3_Silleteria!A82="",0,1)</f>
        <v>0</v>
      </c>
      <c r="T478" s="17" t="str">
        <f>IF(M3_Silleteria!A82="","",IF(M3_Silleteria!A82="","",M3_Silleteria!A82))</f>
        <v/>
      </c>
      <c r="U478" s="17" t="str">
        <f>IF(M3_Silleteria!A82="","",IF(M3_Silleteria!Q82="","",M3_Silleteria!Q82))</f>
        <v/>
      </c>
      <c r="V478" s="17" t="str">
        <f>IF(M3_Silleteria!A82="","",IF(M3_Silleteria!D82="","",M3_Silleteria!D82))</f>
        <v/>
      </c>
      <c r="W478" s="17" t="str">
        <f>IF(M3_Silleteria!A82="","",IF(M3_Silleteria!B82="","",M3_Silleteria!B82))</f>
        <v/>
      </c>
      <c r="X478" s="17" t="str">
        <f>IF(M3_Silleteria!A82="","",IF(M3_Silleteria!C82="","",M3_Silleteria!C82))</f>
        <v/>
      </c>
      <c r="Y478" s="17" t="str">
        <f>IF(M3_Silleteria!A82="","",IF(M3_Silleteria!E82="","",M3_Silleteria!E82))</f>
        <v/>
      </c>
      <c r="Z478" s="17" t="str">
        <f>IF(M3_Silleteria!A82="","",IF(M3_Silleteria!F82="","",M3_Silleteria!F82))</f>
        <v/>
      </c>
      <c r="AA478" s="17" t="str">
        <f>IF(M3_Silleteria!A82="","","M3 Silletería")</f>
        <v/>
      </c>
      <c r="AB478" s="17" t="str">
        <f>IF(M3_Silleteria!A82="","",IF(M3_Silleteria!G82="","",M3_Silleteria!G82))</f>
        <v/>
      </c>
      <c r="AC478" s="17" t="str">
        <f>IF(M3_Silleteria!A82="","",IF(M3_Silleteria!L82="","",M3_Silleteria!L82))</f>
        <v/>
      </c>
      <c r="AD478" s="17" t="str">
        <f>IF(M3_Silleteria!A82="","","CD")</f>
        <v/>
      </c>
      <c r="AE478" s="17" t="str">
        <f>IF(M3_Silleteria!A82="","",IF(M3_Silleteria!N82="","",M3_Silleteria!N82))</f>
        <v/>
      </c>
      <c r="AF478" s="17" t="str">
        <f>IF(M3_Silleteria!A82="","",IF(M3_Silleteria!O82="","",M3_Silleteria!O82))</f>
        <v/>
      </c>
      <c r="AG478" s="17" t="str">
        <f>IF(M3_Silleteria!A82="","",IF(M3_Silleteria!P82="","",M3_Silleteria!P82))</f>
        <v/>
      </c>
      <c r="AH478" s="17" t="str">
        <f>IF(M3_Silleteria!A82="","",IF(M3_Silleteria!H82="","",M3_Silleteria!H82))</f>
        <v/>
      </c>
      <c r="AI478" s="17" t="str">
        <f>IF(M3_Silleteria!A82="","","M3_Silleteria!82")</f>
        <v/>
      </c>
      <c r="AJ478" s="17" t="str">
        <f>IF(M3_Silleteria!A82="","",IF(M3_Silleteria!L82="","Pendiente de resultado","Disponible"))</f>
        <v/>
      </c>
    </row>
    <row r="479" spans="1:36" ht="55.5" customHeight="1">
      <c r="A479" s="6" t="str">
        <f t="array" ref="A479">IF(475&gt;$S$1204,"",INDEX($T$5:$AJ$1204,MATCH(475,$S$5:$S$1204,0),1))</f>
        <v/>
      </c>
      <c r="B479" s="8" t="str">
        <f t="array" ref="B479">IF(475&gt;$S$1204,"",INDEX($T$5:$AJ$1204,MATCH(475,$S$5:$S$1204,0),2))</f>
        <v/>
      </c>
      <c r="C479" s="10" t="str">
        <f t="array" ref="C479">IF(475&gt;$S$1204,"",INDEX($T$5:$AJ$1204,MATCH(475,$S$5:$S$1204,0),3))</f>
        <v/>
      </c>
      <c r="D479" s="8" t="str">
        <f t="array" ref="D479">IF(475&gt;$S$1204,"",INDEX($T$5:$AJ$1204,MATCH(475,$S$5:$S$1204,0),4))</f>
        <v/>
      </c>
      <c r="E479" s="8" t="str">
        <f t="array" ref="E479">IF(475&gt;$S$1204,"",INDEX($T$5:$AJ$1204,MATCH(475,$S$5:$S$1204,0),5))</f>
        <v/>
      </c>
      <c r="F479" s="8" t="str">
        <f t="array" ref="F479">IF(475&gt;$S$1204,"",INDEX($T$5:$AJ$1204,MATCH(475,$S$5:$S$1204,0),6))</f>
        <v/>
      </c>
      <c r="G479" s="8" t="str">
        <f t="array" ref="G479">IF(475&gt;$S$1204,"",INDEX($T$5:$AJ$1204,MATCH(475,$S$5:$S$1204,0),7))</f>
        <v/>
      </c>
      <c r="H479" s="8" t="str">
        <f t="array" ref="H479">IF(475&gt;$S$1204,"",INDEX($T$5:$AJ$1204,MATCH(475,$S$5:$S$1204,0),8))</f>
        <v/>
      </c>
      <c r="I479" s="8" t="str">
        <f t="array" ref="I479">IF(475&gt;$S$1204,"",INDEX($T$5:$AJ$1204,MATCH(475,$S$5:$S$1204,0),9))</f>
        <v/>
      </c>
      <c r="J479" s="14" t="str">
        <f t="array" ref="J479">IF(475&gt;$S$1204,"",INDEX($T$5:$AJ$1204,MATCH(475,$S$5:$S$1204,0),10))</f>
        <v/>
      </c>
      <c r="K479" s="8" t="str">
        <f t="array" ref="K479">IF(475&gt;$S$1204,"",INDEX($T$5:$AJ$1204,MATCH(475,$S$5:$S$1204,0),11))</f>
        <v/>
      </c>
      <c r="L479" s="8" t="str">
        <f t="array" ref="L479">IF(475&gt;$S$1204,"",INDEX($T$5:$AJ$1204,MATCH(475,$S$5:$S$1204,0),12))</f>
        <v/>
      </c>
      <c r="M479" s="8" t="str">
        <f t="array" ref="M479">IF(475&gt;$S$1204,"",INDEX($T$5:$AJ$1204,MATCH(475,$S$5:$S$1204,0),13))</f>
        <v/>
      </c>
      <c r="N479" s="8" t="str">
        <f t="array" ref="N479">IF(475&gt;$S$1204,"",INDEX($T$5:$AJ$1204,MATCH(475,$S$5:$S$1204,0),14))</f>
        <v/>
      </c>
      <c r="O479" s="15" t="str">
        <f t="array" ref="O479">IF(475&gt;$S$1204,"",INDEX($T$5:$AJ$1204,MATCH(475,$S$5:$S$1204,0),15))</f>
        <v/>
      </c>
      <c r="P479" s="8" t="str">
        <f t="array" ref="P479">IF(475&gt;$S$1204,"",INDEX($T$5:$AJ$1204,MATCH(475,$S$5:$S$1204,0),16))</f>
        <v/>
      </c>
      <c r="Q479" s="8" t="str">
        <f t="array" ref="Q479">IF(475&gt;$S$1204,"",INDEX($T$5:$AJ$1204,MATCH(475,$S$5:$S$1204,0),17))</f>
        <v/>
      </c>
      <c r="R479" s="17"/>
      <c r="S479" s="17">
        <f>S478+IF(M3_Silleteria!A83="",0,1)</f>
        <v>0</v>
      </c>
      <c r="T479" s="17" t="str">
        <f>IF(M3_Silleteria!A83="","",IF(M3_Silleteria!A83="","",M3_Silleteria!A83))</f>
        <v/>
      </c>
      <c r="U479" s="17" t="str">
        <f>IF(M3_Silleteria!A83="","",IF(M3_Silleteria!Q83="","",M3_Silleteria!Q83))</f>
        <v/>
      </c>
      <c r="V479" s="17" t="str">
        <f>IF(M3_Silleteria!A83="","",IF(M3_Silleteria!D83="","",M3_Silleteria!D83))</f>
        <v/>
      </c>
      <c r="W479" s="17" t="str">
        <f>IF(M3_Silleteria!A83="","",IF(M3_Silleteria!B83="","",M3_Silleteria!B83))</f>
        <v/>
      </c>
      <c r="X479" s="17" t="str">
        <f>IF(M3_Silleteria!A83="","",IF(M3_Silleteria!C83="","",M3_Silleteria!C83))</f>
        <v/>
      </c>
      <c r="Y479" s="17" t="str">
        <f>IF(M3_Silleteria!A83="","",IF(M3_Silleteria!E83="","",M3_Silleteria!E83))</f>
        <v/>
      </c>
      <c r="Z479" s="17" t="str">
        <f>IF(M3_Silleteria!A83="","",IF(M3_Silleteria!F83="","",M3_Silleteria!F83))</f>
        <v/>
      </c>
      <c r="AA479" s="17" t="str">
        <f>IF(M3_Silleteria!A83="","","M3 Silletería")</f>
        <v/>
      </c>
      <c r="AB479" s="17" t="str">
        <f>IF(M3_Silleteria!A83="","",IF(M3_Silleteria!G83="","",M3_Silleteria!G83))</f>
        <v/>
      </c>
      <c r="AC479" s="17" t="str">
        <f>IF(M3_Silleteria!A83="","",IF(M3_Silleteria!L83="","",M3_Silleteria!L83))</f>
        <v/>
      </c>
      <c r="AD479" s="17" t="str">
        <f>IF(M3_Silleteria!A83="","","CD")</f>
        <v/>
      </c>
      <c r="AE479" s="17" t="str">
        <f>IF(M3_Silleteria!A83="","",IF(M3_Silleteria!N83="","",M3_Silleteria!N83))</f>
        <v/>
      </c>
      <c r="AF479" s="17" t="str">
        <f>IF(M3_Silleteria!A83="","",IF(M3_Silleteria!O83="","",M3_Silleteria!O83))</f>
        <v/>
      </c>
      <c r="AG479" s="17" t="str">
        <f>IF(M3_Silleteria!A83="","",IF(M3_Silleteria!P83="","",M3_Silleteria!P83))</f>
        <v/>
      </c>
      <c r="AH479" s="17" t="str">
        <f>IF(M3_Silleteria!A83="","",IF(M3_Silleteria!H83="","",M3_Silleteria!H83))</f>
        <v/>
      </c>
      <c r="AI479" s="17" t="str">
        <f>IF(M3_Silleteria!A83="","","M3_Silleteria!83")</f>
        <v/>
      </c>
      <c r="AJ479" s="17" t="str">
        <f>IF(M3_Silleteria!A83="","",IF(M3_Silleteria!L83="","Pendiente de resultado","Disponible"))</f>
        <v/>
      </c>
    </row>
    <row r="480" spans="1:36" ht="55.5" customHeight="1">
      <c r="A480" s="6" t="str">
        <f t="array" ref="A480">IF(476&gt;$S$1204,"",INDEX($T$5:$AJ$1204,MATCH(476,$S$5:$S$1204,0),1))</f>
        <v/>
      </c>
      <c r="B480" s="8" t="str">
        <f t="array" ref="B480">IF(476&gt;$S$1204,"",INDEX($T$5:$AJ$1204,MATCH(476,$S$5:$S$1204,0),2))</f>
        <v/>
      </c>
      <c r="C480" s="10" t="str">
        <f t="array" ref="C480">IF(476&gt;$S$1204,"",INDEX($T$5:$AJ$1204,MATCH(476,$S$5:$S$1204,0),3))</f>
        <v/>
      </c>
      <c r="D480" s="8" t="str">
        <f t="array" ref="D480">IF(476&gt;$S$1204,"",INDEX($T$5:$AJ$1204,MATCH(476,$S$5:$S$1204,0),4))</f>
        <v/>
      </c>
      <c r="E480" s="8" t="str">
        <f t="array" ref="E480">IF(476&gt;$S$1204,"",INDEX($T$5:$AJ$1204,MATCH(476,$S$5:$S$1204,0),5))</f>
        <v/>
      </c>
      <c r="F480" s="8" t="str">
        <f t="array" ref="F480">IF(476&gt;$S$1204,"",INDEX($T$5:$AJ$1204,MATCH(476,$S$5:$S$1204,0),6))</f>
        <v/>
      </c>
      <c r="G480" s="8" t="str">
        <f t="array" ref="G480">IF(476&gt;$S$1204,"",INDEX($T$5:$AJ$1204,MATCH(476,$S$5:$S$1204,0),7))</f>
        <v/>
      </c>
      <c r="H480" s="8" t="str">
        <f t="array" ref="H480">IF(476&gt;$S$1204,"",INDEX($T$5:$AJ$1204,MATCH(476,$S$5:$S$1204,0),8))</f>
        <v/>
      </c>
      <c r="I480" s="8" t="str">
        <f t="array" ref="I480">IF(476&gt;$S$1204,"",INDEX($T$5:$AJ$1204,MATCH(476,$S$5:$S$1204,0),9))</f>
        <v/>
      </c>
      <c r="J480" s="14" t="str">
        <f t="array" ref="J480">IF(476&gt;$S$1204,"",INDEX($T$5:$AJ$1204,MATCH(476,$S$5:$S$1204,0),10))</f>
        <v/>
      </c>
      <c r="K480" s="8" t="str">
        <f t="array" ref="K480">IF(476&gt;$S$1204,"",INDEX($T$5:$AJ$1204,MATCH(476,$S$5:$S$1204,0),11))</f>
        <v/>
      </c>
      <c r="L480" s="8" t="str">
        <f t="array" ref="L480">IF(476&gt;$S$1204,"",INDEX($T$5:$AJ$1204,MATCH(476,$S$5:$S$1204,0),12))</f>
        <v/>
      </c>
      <c r="M480" s="8" t="str">
        <f t="array" ref="M480">IF(476&gt;$S$1204,"",INDEX($T$5:$AJ$1204,MATCH(476,$S$5:$S$1204,0),13))</f>
        <v/>
      </c>
      <c r="N480" s="8" t="str">
        <f t="array" ref="N480">IF(476&gt;$S$1204,"",INDEX($T$5:$AJ$1204,MATCH(476,$S$5:$S$1204,0),14))</f>
        <v/>
      </c>
      <c r="O480" s="15" t="str">
        <f t="array" ref="O480">IF(476&gt;$S$1204,"",INDEX($T$5:$AJ$1204,MATCH(476,$S$5:$S$1204,0),15))</f>
        <v/>
      </c>
      <c r="P480" s="8" t="str">
        <f t="array" ref="P480">IF(476&gt;$S$1204,"",INDEX($T$5:$AJ$1204,MATCH(476,$S$5:$S$1204,0),16))</f>
        <v/>
      </c>
      <c r="Q480" s="8" t="str">
        <f t="array" ref="Q480">IF(476&gt;$S$1204,"",INDEX($T$5:$AJ$1204,MATCH(476,$S$5:$S$1204,0),17))</f>
        <v/>
      </c>
      <c r="R480" s="17"/>
      <c r="S480" s="17">
        <f>S479+IF(M3_Silleteria!A84="",0,1)</f>
        <v>0</v>
      </c>
      <c r="T480" s="17" t="str">
        <f>IF(M3_Silleteria!A84="","",IF(M3_Silleteria!A84="","",M3_Silleteria!A84))</f>
        <v/>
      </c>
      <c r="U480" s="17" t="str">
        <f>IF(M3_Silleteria!A84="","",IF(M3_Silleteria!Q84="","",M3_Silleteria!Q84))</f>
        <v/>
      </c>
      <c r="V480" s="17" t="str">
        <f>IF(M3_Silleteria!A84="","",IF(M3_Silleteria!D84="","",M3_Silleteria!D84))</f>
        <v/>
      </c>
      <c r="W480" s="17" t="str">
        <f>IF(M3_Silleteria!A84="","",IF(M3_Silleteria!B84="","",M3_Silleteria!B84))</f>
        <v/>
      </c>
      <c r="X480" s="17" t="str">
        <f>IF(M3_Silleteria!A84="","",IF(M3_Silleteria!C84="","",M3_Silleteria!C84))</f>
        <v/>
      </c>
      <c r="Y480" s="17" t="str">
        <f>IF(M3_Silleteria!A84="","",IF(M3_Silleteria!E84="","",M3_Silleteria!E84))</f>
        <v/>
      </c>
      <c r="Z480" s="17" t="str">
        <f>IF(M3_Silleteria!A84="","",IF(M3_Silleteria!F84="","",M3_Silleteria!F84))</f>
        <v/>
      </c>
      <c r="AA480" s="17" t="str">
        <f>IF(M3_Silleteria!A84="","","M3 Silletería")</f>
        <v/>
      </c>
      <c r="AB480" s="17" t="str">
        <f>IF(M3_Silleteria!A84="","",IF(M3_Silleteria!G84="","",M3_Silleteria!G84))</f>
        <v/>
      </c>
      <c r="AC480" s="17" t="str">
        <f>IF(M3_Silleteria!A84="","",IF(M3_Silleteria!L84="","",M3_Silleteria!L84))</f>
        <v/>
      </c>
      <c r="AD480" s="17" t="str">
        <f>IF(M3_Silleteria!A84="","","CD")</f>
        <v/>
      </c>
      <c r="AE480" s="17" t="str">
        <f>IF(M3_Silleteria!A84="","",IF(M3_Silleteria!N84="","",M3_Silleteria!N84))</f>
        <v/>
      </c>
      <c r="AF480" s="17" t="str">
        <f>IF(M3_Silleteria!A84="","",IF(M3_Silleteria!O84="","",M3_Silleteria!O84))</f>
        <v/>
      </c>
      <c r="AG480" s="17" t="str">
        <f>IF(M3_Silleteria!A84="","",IF(M3_Silleteria!P84="","",M3_Silleteria!P84))</f>
        <v/>
      </c>
      <c r="AH480" s="17" t="str">
        <f>IF(M3_Silleteria!A84="","",IF(M3_Silleteria!H84="","",M3_Silleteria!H84))</f>
        <v/>
      </c>
      <c r="AI480" s="17" t="str">
        <f>IF(M3_Silleteria!A84="","","M3_Silleteria!84")</f>
        <v/>
      </c>
      <c r="AJ480" s="17" t="str">
        <f>IF(M3_Silleteria!A84="","",IF(M3_Silleteria!L84="","Pendiente de resultado","Disponible"))</f>
        <v/>
      </c>
    </row>
    <row r="481" spans="1:36" ht="55.5" customHeight="1">
      <c r="A481" s="6" t="str">
        <f t="array" ref="A481">IF(477&gt;$S$1204,"",INDEX($T$5:$AJ$1204,MATCH(477,$S$5:$S$1204,0),1))</f>
        <v/>
      </c>
      <c r="B481" s="8" t="str">
        <f t="array" ref="B481">IF(477&gt;$S$1204,"",INDEX($T$5:$AJ$1204,MATCH(477,$S$5:$S$1204,0),2))</f>
        <v/>
      </c>
      <c r="C481" s="10" t="str">
        <f t="array" ref="C481">IF(477&gt;$S$1204,"",INDEX($T$5:$AJ$1204,MATCH(477,$S$5:$S$1204,0),3))</f>
        <v/>
      </c>
      <c r="D481" s="8" t="str">
        <f t="array" ref="D481">IF(477&gt;$S$1204,"",INDEX($T$5:$AJ$1204,MATCH(477,$S$5:$S$1204,0),4))</f>
        <v/>
      </c>
      <c r="E481" s="8" t="str">
        <f t="array" ref="E481">IF(477&gt;$S$1204,"",INDEX($T$5:$AJ$1204,MATCH(477,$S$5:$S$1204,0),5))</f>
        <v/>
      </c>
      <c r="F481" s="8" t="str">
        <f t="array" ref="F481">IF(477&gt;$S$1204,"",INDEX($T$5:$AJ$1204,MATCH(477,$S$5:$S$1204,0),6))</f>
        <v/>
      </c>
      <c r="G481" s="8" t="str">
        <f t="array" ref="G481">IF(477&gt;$S$1204,"",INDEX($T$5:$AJ$1204,MATCH(477,$S$5:$S$1204,0),7))</f>
        <v/>
      </c>
      <c r="H481" s="8" t="str">
        <f t="array" ref="H481">IF(477&gt;$S$1204,"",INDEX($T$5:$AJ$1204,MATCH(477,$S$5:$S$1204,0),8))</f>
        <v/>
      </c>
      <c r="I481" s="8" t="str">
        <f t="array" ref="I481">IF(477&gt;$S$1204,"",INDEX($T$5:$AJ$1204,MATCH(477,$S$5:$S$1204,0),9))</f>
        <v/>
      </c>
      <c r="J481" s="14" t="str">
        <f t="array" ref="J481">IF(477&gt;$S$1204,"",INDEX($T$5:$AJ$1204,MATCH(477,$S$5:$S$1204,0),10))</f>
        <v/>
      </c>
      <c r="K481" s="8" t="str">
        <f t="array" ref="K481">IF(477&gt;$S$1204,"",INDEX($T$5:$AJ$1204,MATCH(477,$S$5:$S$1204,0),11))</f>
        <v/>
      </c>
      <c r="L481" s="8" t="str">
        <f t="array" ref="L481">IF(477&gt;$S$1204,"",INDEX($T$5:$AJ$1204,MATCH(477,$S$5:$S$1204,0),12))</f>
        <v/>
      </c>
      <c r="M481" s="8" t="str">
        <f t="array" ref="M481">IF(477&gt;$S$1204,"",INDEX($T$5:$AJ$1204,MATCH(477,$S$5:$S$1204,0),13))</f>
        <v/>
      </c>
      <c r="N481" s="8" t="str">
        <f t="array" ref="N481">IF(477&gt;$S$1204,"",INDEX($T$5:$AJ$1204,MATCH(477,$S$5:$S$1204,0),14))</f>
        <v/>
      </c>
      <c r="O481" s="15" t="str">
        <f t="array" ref="O481">IF(477&gt;$S$1204,"",INDEX($T$5:$AJ$1204,MATCH(477,$S$5:$S$1204,0),15))</f>
        <v/>
      </c>
      <c r="P481" s="8" t="str">
        <f t="array" ref="P481">IF(477&gt;$S$1204,"",INDEX($T$5:$AJ$1204,MATCH(477,$S$5:$S$1204,0),16))</f>
        <v/>
      </c>
      <c r="Q481" s="8" t="str">
        <f t="array" ref="Q481">IF(477&gt;$S$1204,"",INDEX($T$5:$AJ$1204,MATCH(477,$S$5:$S$1204,0),17))</f>
        <v/>
      </c>
      <c r="R481" s="17"/>
      <c r="S481" s="17">
        <f>S480+IF(M3_Silleteria!A85="",0,1)</f>
        <v>0</v>
      </c>
      <c r="T481" s="17" t="str">
        <f>IF(M3_Silleteria!A85="","",IF(M3_Silleteria!A85="","",M3_Silleteria!A85))</f>
        <v/>
      </c>
      <c r="U481" s="17" t="str">
        <f>IF(M3_Silleteria!A85="","",IF(M3_Silleteria!Q85="","",M3_Silleteria!Q85))</f>
        <v/>
      </c>
      <c r="V481" s="17" t="str">
        <f>IF(M3_Silleteria!A85="","",IF(M3_Silleteria!D85="","",M3_Silleteria!D85))</f>
        <v/>
      </c>
      <c r="W481" s="17" t="str">
        <f>IF(M3_Silleteria!A85="","",IF(M3_Silleteria!B85="","",M3_Silleteria!B85))</f>
        <v/>
      </c>
      <c r="X481" s="17" t="str">
        <f>IF(M3_Silleteria!A85="","",IF(M3_Silleteria!C85="","",M3_Silleteria!C85))</f>
        <v/>
      </c>
      <c r="Y481" s="17" t="str">
        <f>IF(M3_Silleteria!A85="","",IF(M3_Silleteria!E85="","",M3_Silleteria!E85))</f>
        <v/>
      </c>
      <c r="Z481" s="17" t="str">
        <f>IF(M3_Silleteria!A85="","",IF(M3_Silleteria!F85="","",M3_Silleteria!F85))</f>
        <v/>
      </c>
      <c r="AA481" s="17" t="str">
        <f>IF(M3_Silleteria!A85="","","M3 Silletería")</f>
        <v/>
      </c>
      <c r="AB481" s="17" t="str">
        <f>IF(M3_Silleteria!A85="","",IF(M3_Silleteria!G85="","",M3_Silleteria!G85))</f>
        <v/>
      </c>
      <c r="AC481" s="17" t="str">
        <f>IF(M3_Silleteria!A85="","",IF(M3_Silleteria!L85="","",M3_Silleteria!L85))</f>
        <v/>
      </c>
      <c r="AD481" s="17" t="str">
        <f>IF(M3_Silleteria!A85="","","CD")</f>
        <v/>
      </c>
      <c r="AE481" s="17" t="str">
        <f>IF(M3_Silleteria!A85="","",IF(M3_Silleteria!N85="","",M3_Silleteria!N85))</f>
        <v/>
      </c>
      <c r="AF481" s="17" t="str">
        <f>IF(M3_Silleteria!A85="","",IF(M3_Silleteria!O85="","",M3_Silleteria!O85))</f>
        <v/>
      </c>
      <c r="AG481" s="17" t="str">
        <f>IF(M3_Silleteria!A85="","",IF(M3_Silleteria!P85="","",M3_Silleteria!P85))</f>
        <v/>
      </c>
      <c r="AH481" s="17" t="str">
        <f>IF(M3_Silleteria!A85="","",IF(M3_Silleteria!H85="","",M3_Silleteria!H85))</f>
        <v/>
      </c>
      <c r="AI481" s="17" t="str">
        <f>IF(M3_Silleteria!A85="","","M3_Silleteria!85")</f>
        <v/>
      </c>
      <c r="AJ481" s="17" t="str">
        <f>IF(M3_Silleteria!A85="","",IF(M3_Silleteria!L85="","Pendiente de resultado","Disponible"))</f>
        <v/>
      </c>
    </row>
    <row r="482" spans="1:36" ht="55.5" customHeight="1">
      <c r="A482" s="6" t="str">
        <f t="array" ref="A482">IF(478&gt;$S$1204,"",INDEX($T$5:$AJ$1204,MATCH(478,$S$5:$S$1204,0),1))</f>
        <v/>
      </c>
      <c r="B482" s="8" t="str">
        <f t="array" ref="B482">IF(478&gt;$S$1204,"",INDEX($T$5:$AJ$1204,MATCH(478,$S$5:$S$1204,0),2))</f>
        <v/>
      </c>
      <c r="C482" s="10" t="str">
        <f t="array" ref="C482">IF(478&gt;$S$1204,"",INDEX($T$5:$AJ$1204,MATCH(478,$S$5:$S$1204,0),3))</f>
        <v/>
      </c>
      <c r="D482" s="8" t="str">
        <f t="array" ref="D482">IF(478&gt;$S$1204,"",INDEX($T$5:$AJ$1204,MATCH(478,$S$5:$S$1204,0),4))</f>
        <v/>
      </c>
      <c r="E482" s="8" t="str">
        <f t="array" ref="E482">IF(478&gt;$S$1204,"",INDEX($T$5:$AJ$1204,MATCH(478,$S$5:$S$1204,0),5))</f>
        <v/>
      </c>
      <c r="F482" s="8" t="str">
        <f t="array" ref="F482">IF(478&gt;$S$1204,"",INDEX($T$5:$AJ$1204,MATCH(478,$S$5:$S$1204,0),6))</f>
        <v/>
      </c>
      <c r="G482" s="8" t="str">
        <f t="array" ref="G482">IF(478&gt;$S$1204,"",INDEX($T$5:$AJ$1204,MATCH(478,$S$5:$S$1204,0),7))</f>
        <v/>
      </c>
      <c r="H482" s="8" t="str">
        <f t="array" ref="H482">IF(478&gt;$S$1204,"",INDEX($T$5:$AJ$1204,MATCH(478,$S$5:$S$1204,0),8))</f>
        <v/>
      </c>
      <c r="I482" s="8" t="str">
        <f t="array" ref="I482">IF(478&gt;$S$1204,"",INDEX($T$5:$AJ$1204,MATCH(478,$S$5:$S$1204,0),9))</f>
        <v/>
      </c>
      <c r="J482" s="14" t="str">
        <f t="array" ref="J482">IF(478&gt;$S$1204,"",INDEX($T$5:$AJ$1204,MATCH(478,$S$5:$S$1204,0),10))</f>
        <v/>
      </c>
      <c r="K482" s="8" t="str">
        <f t="array" ref="K482">IF(478&gt;$S$1204,"",INDEX($T$5:$AJ$1204,MATCH(478,$S$5:$S$1204,0),11))</f>
        <v/>
      </c>
      <c r="L482" s="8" t="str">
        <f t="array" ref="L482">IF(478&gt;$S$1204,"",INDEX($T$5:$AJ$1204,MATCH(478,$S$5:$S$1204,0),12))</f>
        <v/>
      </c>
      <c r="M482" s="8" t="str">
        <f t="array" ref="M482">IF(478&gt;$S$1204,"",INDEX($T$5:$AJ$1204,MATCH(478,$S$5:$S$1204,0),13))</f>
        <v/>
      </c>
      <c r="N482" s="8" t="str">
        <f t="array" ref="N482">IF(478&gt;$S$1204,"",INDEX($T$5:$AJ$1204,MATCH(478,$S$5:$S$1204,0),14))</f>
        <v/>
      </c>
      <c r="O482" s="15" t="str">
        <f t="array" ref="O482">IF(478&gt;$S$1204,"",INDEX($T$5:$AJ$1204,MATCH(478,$S$5:$S$1204,0),15))</f>
        <v/>
      </c>
      <c r="P482" s="8" t="str">
        <f t="array" ref="P482">IF(478&gt;$S$1204,"",INDEX($T$5:$AJ$1204,MATCH(478,$S$5:$S$1204,0),16))</f>
        <v/>
      </c>
      <c r="Q482" s="8" t="str">
        <f t="array" ref="Q482">IF(478&gt;$S$1204,"",INDEX($T$5:$AJ$1204,MATCH(478,$S$5:$S$1204,0),17))</f>
        <v/>
      </c>
      <c r="R482" s="17"/>
      <c r="S482" s="17">
        <f>S481+IF(M3_Silleteria!A86="",0,1)</f>
        <v>0</v>
      </c>
      <c r="T482" s="17" t="str">
        <f>IF(M3_Silleteria!A86="","",IF(M3_Silleteria!A86="","",M3_Silleteria!A86))</f>
        <v/>
      </c>
      <c r="U482" s="17" t="str">
        <f>IF(M3_Silleteria!A86="","",IF(M3_Silleteria!Q86="","",M3_Silleteria!Q86))</f>
        <v/>
      </c>
      <c r="V482" s="17" t="str">
        <f>IF(M3_Silleteria!A86="","",IF(M3_Silleteria!D86="","",M3_Silleteria!D86))</f>
        <v/>
      </c>
      <c r="W482" s="17" t="str">
        <f>IF(M3_Silleteria!A86="","",IF(M3_Silleteria!B86="","",M3_Silleteria!B86))</f>
        <v/>
      </c>
      <c r="X482" s="17" t="str">
        <f>IF(M3_Silleteria!A86="","",IF(M3_Silleteria!C86="","",M3_Silleteria!C86))</f>
        <v/>
      </c>
      <c r="Y482" s="17" t="str">
        <f>IF(M3_Silleteria!A86="","",IF(M3_Silleteria!E86="","",M3_Silleteria!E86))</f>
        <v/>
      </c>
      <c r="Z482" s="17" t="str">
        <f>IF(M3_Silleteria!A86="","",IF(M3_Silleteria!F86="","",M3_Silleteria!F86))</f>
        <v/>
      </c>
      <c r="AA482" s="17" t="str">
        <f>IF(M3_Silleteria!A86="","","M3 Silletería")</f>
        <v/>
      </c>
      <c r="AB482" s="17" t="str">
        <f>IF(M3_Silleteria!A86="","",IF(M3_Silleteria!G86="","",M3_Silleteria!G86))</f>
        <v/>
      </c>
      <c r="AC482" s="17" t="str">
        <f>IF(M3_Silleteria!A86="","",IF(M3_Silleteria!L86="","",M3_Silleteria!L86))</f>
        <v/>
      </c>
      <c r="AD482" s="17" t="str">
        <f>IF(M3_Silleteria!A86="","","CD")</f>
        <v/>
      </c>
      <c r="AE482" s="17" t="str">
        <f>IF(M3_Silleteria!A86="","",IF(M3_Silleteria!N86="","",M3_Silleteria!N86))</f>
        <v/>
      </c>
      <c r="AF482" s="17" t="str">
        <f>IF(M3_Silleteria!A86="","",IF(M3_Silleteria!O86="","",M3_Silleteria!O86))</f>
        <v/>
      </c>
      <c r="AG482" s="17" t="str">
        <f>IF(M3_Silleteria!A86="","",IF(M3_Silleteria!P86="","",M3_Silleteria!P86))</f>
        <v/>
      </c>
      <c r="AH482" s="17" t="str">
        <f>IF(M3_Silleteria!A86="","",IF(M3_Silleteria!H86="","",M3_Silleteria!H86))</f>
        <v/>
      </c>
      <c r="AI482" s="17" t="str">
        <f>IF(M3_Silleteria!A86="","","M3_Silleteria!86")</f>
        <v/>
      </c>
      <c r="AJ482" s="17" t="str">
        <f>IF(M3_Silleteria!A86="","",IF(M3_Silleteria!L86="","Pendiente de resultado","Disponible"))</f>
        <v/>
      </c>
    </row>
    <row r="483" spans="1:36" ht="55.5" customHeight="1">
      <c r="A483" s="6" t="str">
        <f t="array" ref="A483">IF(479&gt;$S$1204,"",INDEX($T$5:$AJ$1204,MATCH(479,$S$5:$S$1204,0),1))</f>
        <v/>
      </c>
      <c r="B483" s="8" t="str">
        <f t="array" ref="B483">IF(479&gt;$S$1204,"",INDEX($T$5:$AJ$1204,MATCH(479,$S$5:$S$1204,0),2))</f>
        <v/>
      </c>
      <c r="C483" s="10" t="str">
        <f t="array" ref="C483">IF(479&gt;$S$1204,"",INDEX($T$5:$AJ$1204,MATCH(479,$S$5:$S$1204,0),3))</f>
        <v/>
      </c>
      <c r="D483" s="8" t="str">
        <f t="array" ref="D483">IF(479&gt;$S$1204,"",INDEX($T$5:$AJ$1204,MATCH(479,$S$5:$S$1204,0),4))</f>
        <v/>
      </c>
      <c r="E483" s="8" t="str">
        <f t="array" ref="E483">IF(479&gt;$S$1204,"",INDEX($T$5:$AJ$1204,MATCH(479,$S$5:$S$1204,0),5))</f>
        <v/>
      </c>
      <c r="F483" s="8" t="str">
        <f t="array" ref="F483">IF(479&gt;$S$1204,"",INDEX($T$5:$AJ$1204,MATCH(479,$S$5:$S$1204,0),6))</f>
        <v/>
      </c>
      <c r="G483" s="8" t="str">
        <f t="array" ref="G483">IF(479&gt;$S$1204,"",INDEX($T$5:$AJ$1204,MATCH(479,$S$5:$S$1204,0),7))</f>
        <v/>
      </c>
      <c r="H483" s="8" t="str">
        <f t="array" ref="H483">IF(479&gt;$S$1204,"",INDEX($T$5:$AJ$1204,MATCH(479,$S$5:$S$1204,0),8))</f>
        <v/>
      </c>
      <c r="I483" s="8" t="str">
        <f t="array" ref="I483">IF(479&gt;$S$1204,"",INDEX($T$5:$AJ$1204,MATCH(479,$S$5:$S$1204,0),9))</f>
        <v/>
      </c>
      <c r="J483" s="14" t="str">
        <f t="array" ref="J483">IF(479&gt;$S$1204,"",INDEX($T$5:$AJ$1204,MATCH(479,$S$5:$S$1204,0),10))</f>
        <v/>
      </c>
      <c r="K483" s="8" t="str">
        <f t="array" ref="K483">IF(479&gt;$S$1204,"",INDEX($T$5:$AJ$1204,MATCH(479,$S$5:$S$1204,0),11))</f>
        <v/>
      </c>
      <c r="L483" s="8" t="str">
        <f t="array" ref="L483">IF(479&gt;$S$1204,"",INDEX($T$5:$AJ$1204,MATCH(479,$S$5:$S$1204,0),12))</f>
        <v/>
      </c>
      <c r="M483" s="8" t="str">
        <f t="array" ref="M483">IF(479&gt;$S$1204,"",INDEX($T$5:$AJ$1204,MATCH(479,$S$5:$S$1204,0),13))</f>
        <v/>
      </c>
      <c r="N483" s="8" t="str">
        <f t="array" ref="N483">IF(479&gt;$S$1204,"",INDEX($T$5:$AJ$1204,MATCH(479,$S$5:$S$1204,0),14))</f>
        <v/>
      </c>
      <c r="O483" s="15" t="str">
        <f t="array" ref="O483">IF(479&gt;$S$1204,"",INDEX($T$5:$AJ$1204,MATCH(479,$S$5:$S$1204,0),15))</f>
        <v/>
      </c>
      <c r="P483" s="8" t="str">
        <f t="array" ref="P483">IF(479&gt;$S$1204,"",INDEX($T$5:$AJ$1204,MATCH(479,$S$5:$S$1204,0),16))</f>
        <v/>
      </c>
      <c r="Q483" s="8" t="str">
        <f t="array" ref="Q483">IF(479&gt;$S$1204,"",INDEX($T$5:$AJ$1204,MATCH(479,$S$5:$S$1204,0),17))</f>
        <v/>
      </c>
      <c r="R483" s="17"/>
      <c r="S483" s="17">
        <f>S482+IF(M3_Silleteria!A87="",0,1)</f>
        <v>0</v>
      </c>
      <c r="T483" s="17" t="str">
        <f>IF(M3_Silleteria!A87="","",IF(M3_Silleteria!A87="","",M3_Silleteria!A87))</f>
        <v/>
      </c>
      <c r="U483" s="17" t="str">
        <f>IF(M3_Silleteria!A87="","",IF(M3_Silleteria!Q87="","",M3_Silleteria!Q87))</f>
        <v/>
      </c>
      <c r="V483" s="17" t="str">
        <f>IF(M3_Silleteria!A87="","",IF(M3_Silleteria!D87="","",M3_Silleteria!D87))</f>
        <v/>
      </c>
      <c r="W483" s="17" t="str">
        <f>IF(M3_Silleteria!A87="","",IF(M3_Silleteria!B87="","",M3_Silleteria!B87))</f>
        <v/>
      </c>
      <c r="X483" s="17" t="str">
        <f>IF(M3_Silleteria!A87="","",IF(M3_Silleteria!C87="","",M3_Silleteria!C87))</f>
        <v/>
      </c>
      <c r="Y483" s="17" t="str">
        <f>IF(M3_Silleteria!A87="","",IF(M3_Silleteria!E87="","",M3_Silleteria!E87))</f>
        <v/>
      </c>
      <c r="Z483" s="17" t="str">
        <f>IF(M3_Silleteria!A87="","",IF(M3_Silleteria!F87="","",M3_Silleteria!F87))</f>
        <v/>
      </c>
      <c r="AA483" s="17" t="str">
        <f>IF(M3_Silleteria!A87="","","M3 Silletería")</f>
        <v/>
      </c>
      <c r="AB483" s="17" t="str">
        <f>IF(M3_Silleteria!A87="","",IF(M3_Silleteria!G87="","",M3_Silleteria!G87))</f>
        <v/>
      </c>
      <c r="AC483" s="17" t="str">
        <f>IF(M3_Silleteria!A87="","",IF(M3_Silleteria!L87="","",M3_Silleteria!L87))</f>
        <v/>
      </c>
      <c r="AD483" s="17" t="str">
        <f>IF(M3_Silleteria!A87="","","CD")</f>
        <v/>
      </c>
      <c r="AE483" s="17" t="str">
        <f>IF(M3_Silleteria!A87="","",IF(M3_Silleteria!N87="","",M3_Silleteria!N87))</f>
        <v/>
      </c>
      <c r="AF483" s="17" t="str">
        <f>IF(M3_Silleteria!A87="","",IF(M3_Silleteria!O87="","",M3_Silleteria!O87))</f>
        <v/>
      </c>
      <c r="AG483" s="17" t="str">
        <f>IF(M3_Silleteria!A87="","",IF(M3_Silleteria!P87="","",M3_Silleteria!P87))</f>
        <v/>
      </c>
      <c r="AH483" s="17" t="str">
        <f>IF(M3_Silleteria!A87="","",IF(M3_Silleteria!H87="","",M3_Silleteria!H87))</f>
        <v/>
      </c>
      <c r="AI483" s="17" t="str">
        <f>IF(M3_Silleteria!A87="","","M3_Silleteria!87")</f>
        <v/>
      </c>
      <c r="AJ483" s="17" t="str">
        <f>IF(M3_Silleteria!A87="","",IF(M3_Silleteria!L87="","Pendiente de resultado","Disponible"))</f>
        <v/>
      </c>
    </row>
    <row r="484" spans="1:36" ht="55.5" customHeight="1">
      <c r="A484" s="6" t="str">
        <f t="array" ref="A484">IF(480&gt;$S$1204,"",INDEX($T$5:$AJ$1204,MATCH(480,$S$5:$S$1204,0),1))</f>
        <v/>
      </c>
      <c r="B484" s="8" t="str">
        <f t="array" ref="B484">IF(480&gt;$S$1204,"",INDEX($T$5:$AJ$1204,MATCH(480,$S$5:$S$1204,0),2))</f>
        <v/>
      </c>
      <c r="C484" s="10" t="str">
        <f t="array" ref="C484">IF(480&gt;$S$1204,"",INDEX($T$5:$AJ$1204,MATCH(480,$S$5:$S$1204,0),3))</f>
        <v/>
      </c>
      <c r="D484" s="8" t="str">
        <f t="array" ref="D484">IF(480&gt;$S$1204,"",INDEX($T$5:$AJ$1204,MATCH(480,$S$5:$S$1204,0),4))</f>
        <v/>
      </c>
      <c r="E484" s="8" t="str">
        <f t="array" ref="E484">IF(480&gt;$S$1204,"",INDEX($T$5:$AJ$1204,MATCH(480,$S$5:$S$1204,0),5))</f>
        <v/>
      </c>
      <c r="F484" s="8" t="str">
        <f t="array" ref="F484">IF(480&gt;$S$1204,"",INDEX($T$5:$AJ$1204,MATCH(480,$S$5:$S$1204,0),6))</f>
        <v/>
      </c>
      <c r="G484" s="8" t="str">
        <f t="array" ref="G484">IF(480&gt;$S$1204,"",INDEX($T$5:$AJ$1204,MATCH(480,$S$5:$S$1204,0),7))</f>
        <v/>
      </c>
      <c r="H484" s="8" t="str">
        <f t="array" ref="H484">IF(480&gt;$S$1204,"",INDEX($T$5:$AJ$1204,MATCH(480,$S$5:$S$1204,0),8))</f>
        <v/>
      </c>
      <c r="I484" s="8" t="str">
        <f t="array" ref="I484">IF(480&gt;$S$1204,"",INDEX($T$5:$AJ$1204,MATCH(480,$S$5:$S$1204,0),9))</f>
        <v/>
      </c>
      <c r="J484" s="14" t="str">
        <f t="array" ref="J484">IF(480&gt;$S$1204,"",INDEX($T$5:$AJ$1204,MATCH(480,$S$5:$S$1204,0),10))</f>
        <v/>
      </c>
      <c r="K484" s="8" t="str">
        <f t="array" ref="K484">IF(480&gt;$S$1204,"",INDEX($T$5:$AJ$1204,MATCH(480,$S$5:$S$1204,0),11))</f>
        <v/>
      </c>
      <c r="L484" s="8" t="str">
        <f t="array" ref="L484">IF(480&gt;$S$1204,"",INDEX($T$5:$AJ$1204,MATCH(480,$S$5:$S$1204,0),12))</f>
        <v/>
      </c>
      <c r="M484" s="8" t="str">
        <f t="array" ref="M484">IF(480&gt;$S$1204,"",INDEX($T$5:$AJ$1204,MATCH(480,$S$5:$S$1204,0),13))</f>
        <v/>
      </c>
      <c r="N484" s="8" t="str">
        <f t="array" ref="N484">IF(480&gt;$S$1204,"",INDEX($T$5:$AJ$1204,MATCH(480,$S$5:$S$1204,0),14))</f>
        <v/>
      </c>
      <c r="O484" s="15" t="str">
        <f t="array" ref="O484">IF(480&gt;$S$1204,"",INDEX($T$5:$AJ$1204,MATCH(480,$S$5:$S$1204,0),15))</f>
        <v/>
      </c>
      <c r="P484" s="8" t="str">
        <f t="array" ref="P484">IF(480&gt;$S$1204,"",INDEX($T$5:$AJ$1204,MATCH(480,$S$5:$S$1204,0),16))</f>
        <v/>
      </c>
      <c r="Q484" s="8" t="str">
        <f t="array" ref="Q484">IF(480&gt;$S$1204,"",INDEX($T$5:$AJ$1204,MATCH(480,$S$5:$S$1204,0),17))</f>
        <v/>
      </c>
      <c r="R484" s="17"/>
      <c r="S484" s="17">
        <f>S483+IF(M3_Silleteria!A88="",0,1)</f>
        <v>0</v>
      </c>
      <c r="T484" s="17" t="str">
        <f>IF(M3_Silleteria!A88="","",IF(M3_Silleteria!A88="","",M3_Silleteria!A88))</f>
        <v/>
      </c>
      <c r="U484" s="17" t="str">
        <f>IF(M3_Silleteria!A88="","",IF(M3_Silleteria!Q88="","",M3_Silleteria!Q88))</f>
        <v/>
      </c>
      <c r="V484" s="17" t="str">
        <f>IF(M3_Silleteria!A88="","",IF(M3_Silleteria!D88="","",M3_Silleteria!D88))</f>
        <v/>
      </c>
      <c r="W484" s="17" t="str">
        <f>IF(M3_Silleteria!A88="","",IF(M3_Silleteria!B88="","",M3_Silleteria!B88))</f>
        <v/>
      </c>
      <c r="X484" s="17" t="str">
        <f>IF(M3_Silleteria!A88="","",IF(M3_Silleteria!C88="","",M3_Silleteria!C88))</f>
        <v/>
      </c>
      <c r="Y484" s="17" t="str">
        <f>IF(M3_Silleteria!A88="","",IF(M3_Silleteria!E88="","",M3_Silleteria!E88))</f>
        <v/>
      </c>
      <c r="Z484" s="17" t="str">
        <f>IF(M3_Silleteria!A88="","",IF(M3_Silleteria!F88="","",M3_Silleteria!F88))</f>
        <v/>
      </c>
      <c r="AA484" s="17" t="str">
        <f>IF(M3_Silleteria!A88="","","M3 Silletería")</f>
        <v/>
      </c>
      <c r="AB484" s="17" t="str">
        <f>IF(M3_Silleteria!A88="","",IF(M3_Silleteria!G88="","",M3_Silleteria!G88))</f>
        <v/>
      </c>
      <c r="AC484" s="17" t="str">
        <f>IF(M3_Silleteria!A88="","",IF(M3_Silleteria!L88="","",M3_Silleteria!L88))</f>
        <v/>
      </c>
      <c r="AD484" s="17" t="str">
        <f>IF(M3_Silleteria!A88="","","CD")</f>
        <v/>
      </c>
      <c r="AE484" s="17" t="str">
        <f>IF(M3_Silleteria!A88="","",IF(M3_Silleteria!N88="","",M3_Silleteria!N88))</f>
        <v/>
      </c>
      <c r="AF484" s="17" t="str">
        <f>IF(M3_Silleteria!A88="","",IF(M3_Silleteria!O88="","",M3_Silleteria!O88))</f>
        <v/>
      </c>
      <c r="AG484" s="17" t="str">
        <f>IF(M3_Silleteria!A88="","",IF(M3_Silleteria!P88="","",M3_Silleteria!P88))</f>
        <v/>
      </c>
      <c r="AH484" s="17" t="str">
        <f>IF(M3_Silleteria!A88="","",IF(M3_Silleteria!H88="","",M3_Silleteria!H88))</f>
        <v/>
      </c>
      <c r="AI484" s="17" t="str">
        <f>IF(M3_Silleteria!A88="","","M3_Silleteria!88")</f>
        <v/>
      </c>
      <c r="AJ484" s="17" t="str">
        <f>IF(M3_Silleteria!A88="","",IF(M3_Silleteria!L88="","Pendiente de resultado","Disponible"))</f>
        <v/>
      </c>
    </row>
    <row r="485" spans="1:36" ht="55.5" customHeight="1">
      <c r="A485" s="6" t="str">
        <f t="array" ref="A485">IF(481&gt;$S$1204,"",INDEX($T$5:$AJ$1204,MATCH(481,$S$5:$S$1204,0),1))</f>
        <v/>
      </c>
      <c r="B485" s="8" t="str">
        <f t="array" ref="B485">IF(481&gt;$S$1204,"",INDEX($T$5:$AJ$1204,MATCH(481,$S$5:$S$1204,0),2))</f>
        <v/>
      </c>
      <c r="C485" s="10" t="str">
        <f t="array" ref="C485">IF(481&gt;$S$1204,"",INDEX($T$5:$AJ$1204,MATCH(481,$S$5:$S$1204,0),3))</f>
        <v/>
      </c>
      <c r="D485" s="8" t="str">
        <f t="array" ref="D485">IF(481&gt;$S$1204,"",INDEX($T$5:$AJ$1204,MATCH(481,$S$5:$S$1204,0),4))</f>
        <v/>
      </c>
      <c r="E485" s="8" t="str">
        <f t="array" ref="E485">IF(481&gt;$S$1204,"",INDEX($T$5:$AJ$1204,MATCH(481,$S$5:$S$1204,0),5))</f>
        <v/>
      </c>
      <c r="F485" s="8" t="str">
        <f t="array" ref="F485">IF(481&gt;$S$1204,"",INDEX($T$5:$AJ$1204,MATCH(481,$S$5:$S$1204,0),6))</f>
        <v/>
      </c>
      <c r="G485" s="8" t="str">
        <f t="array" ref="G485">IF(481&gt;$S$1204,"",INDEX($T$5:$AJ$1204,MATCH(481,$S$5:$S$1204,0),7))</f>
        <v/>
      </c>
      <c r="H485" s="8" t="str">
        <f t="array" ref="H485">IF(481&gt;$S$1204,"",INDEX($T$5:$AJ$1204,MATCH(481,$S$5:$S$1204,0),8))</f>
        <v/>
      </c>
      <c r="I485" s="8" t="str">
        <f t="array" ref="I485">IF(481&gt;$S$1204,"",INDEX($T$5:$AJ$1204,MATCH(481,$S$5:$S$1204,0),9))</f>
        <v/>
      </c>
      <c r="J485" s="14" t="str">
        <f t="array" ref="J485">IF(481&gt;$S$1204,"",INDEX($T$5:$AJ$1204,MATCH(481,$S$5:$S$1204,0),10))</f>
        <v/>
      </c>
      <c r="K485" s="8" t="str">
        <f t="array" ref="K485">IF(481&gt;$S$1204,"",INDEX($T$5:$AJ$1204,MATCH(481,$S$5:$S$1204,0),11))</f>
        <v/>
      </c>
      <c r="L485" s="8" t="str">
        <f t="array" ref="L485">IF(481&gt;$S$1204,"",INDEX($T$5:$AJ$1204,MATCH(481,$S$5:$S$1204,0),12))</f>
        <v/>
      </c>
      <c r="M485" s="8" t="str">
        <f t="array" ref="M485">IF(481&gt;$S$1204,"",INDEX($T$5:$AJ$1204,MATCH(481,$S$5:$S$1204,0),13))</f>
        <v/>
      </c>
      <c r="N485" s="8" t="str">
        <f t="array" ref="N485">IF(481&gt;$S$1204,"",INDEX($T$5:$AJ$1204,MATCH(481,$S$5:$S$1204,0),14))</f>
        <v/>
      </c>
      <c r="O485" s="15" t="str">
        <f t="array" ref="O485">IF(481&gt;$S$1204,"",INDEX($T$5:$AJ$1204,MATCH(481,$S$5:$S$1204,0),15))</f>
        <v/>
      </c>
      <c r="P485" s="8" t="str">
        <f t="array" ref="P485">IF(481&gt;$S$1204,"",INDEX($T$5:$AJ$1204,MATCH(481,$S$5:$S$1204,0),16))</f>
        <v/>
      </c>
      <c r="Q485" s="8" t="str">
        <f t="array" ref="Q485">IF(481&gt;$S$1204,"",INDEX($T$5:$AJ$1204,MATCH(481,$S$5:$S$1204,0),17))</f>
        <v/>
      </c>
      <c r="R485" s="17"/>
      <c r="S485" s="17">
        <f>S484+IF(M3_Silleteria!A89="",0,1)</f>
        <v>0</v>
      </c>
      <c r="T485" s="17" t="str">
        <f>IF(M3_Silleteria!A89="","",IF(M3_Silleteria!A89="","",M3_Silleteria!A89))</f>
        <v/>
      </c>
      <c r="U485" s="17" t="str">
        <f>IF(M3_Silleteria!A89="","",IF(M3_Silleteria!Q89="","",M3_Silleteria!Q89))</f>
        <v/>
      </c>
      <c r="V485" s="17" t="str">
        <f>IF(M3_Silleteria!A89="","",IF(M3_Silleteria!D89="","",M3_Silleteria!D89))</f>
        <v/>
      </c>
      <c r="W485" s="17" t="str">
        <f>IF(M3_Silleteria!A89="","",IF(M3_Silleteria!B89="","",M3_Silleteria!B89))</f>
        <v/>
      </c>
      <c r="X485" s="17" t="str">
        <f>IF(M3_Silleteria!A89="","",IF(M3_Silleteria!C89="","",M3_Silleteria!C89))</f>
        <v/>
      </c>
      <c r="Y485" s="17" t="str">
        <f>IF(M3_Silleteria!A89="","",IF(M3_Silleteria!E89="","",M3_Silleteria!E89))</f>
        <v/>
      </c>
      <c r="Z485" s="17" t="str">
        <f>IF(M3_Silleteria!A89="","",IF(M3_Silleteria!F89="","",M3_Silleteria!F89))</f>
        <v/>
      </c>
      <c r="AA485" s="17" t="str">
        <f>IF(M3_Silleteria!A89="","","M3 Silletería")</f>
        <v/>
      </c>
      <c r="AB485" s="17" t="str">
        <f>IF(M3_Silleteria!A89="","",IF(M3_Silleteria!G89="","",M3_Silleteria!G89))</f>
        <v/>
      </c>
      <c r="AC485" s="17" t="str">
        <f>IF(M3_Silleteria!A89="","",IF(M3_Silleteria!L89="","",M3_Silleteria!L89))</f>
        <v/>
      </c>
      <c r="AD485" s="17" t="str">
        <f>IF(M3_Silleteria!A89="","","CD")</f>
        <v/>
      </c>
      <c r="AE485" s="17" t="str">
        <f>IF(M3_Silleteria!A89="","",IF(M3_Silleteria!N89="","",M3_Silleteria!N89))</f>
        <v/>
      </c>
      <c r="AF485" s="17" t="str">
        <f>IF(M3_Silleteria!A89="","",IF(M3_Silleteria!O89="","",M3_Silleteria!O89))</f>
        <v/>
      </c>
      <c r="AG485" s="17" t="str">
        <f>IF(M3_Silleteria!A89="","",IF(M3_Silleteria!P89="","",M3_Silleteria!P89))</f>
        <v/>
      </c>
      <c r="AH485" s="17" t="str">
        <f>IF(M3_Silleteria!A89="","",IF(M3_Silleteria!H89="","",M3_Silleteria!H89))</f>
        <v/>
      </c>
      <c r="AI485" s="17" t="str">
        <f>IF(M3_Silleteria!A89="","","M3_Silleteria!89")</f>
        <v/>
      </c>
      <c r="AJ485" s="17" t="str">
        <f>IF(M3_Silleteria!A89="","",IF(M3_Silleteria!L89="","Pendiente de resultado","Disponible"))</f>
        <v/>
      </c>
    </row>
    <row r="486" spans="1:36" ht="55.5" customHeight="1">
      <c r="A486" s="6" t="str">
        <f t="array" ref="A486">IF(482&gt;$S$1204,"",INDEX($T$5:$AJ$1204,MATCH(482,$S$5:$S$1204,0),1))</f>
        <v/>
      </c>
      <c r="B486" s="8" t="str">
        <f t="array" ref="B486">IF(482&gt;$S$1204,"",INDEX($T$5:$AJ$1204,MATCH(482,$S$5:$S$1204,0),2))</f>
        <v/>
      </c>
      <c r="C486" s="10" t="str">
        <f t="array" ref="C486">IF(482&gt;$S$1204,"",INDEX($T$5:$AJ$1204,MATCH(482,$S$5:$S$1204,0),3))</f>
        <v/>
      </c>
      <c r="D486" s="8" t="str">
        <f t="array" ref="D486">IF(482&gt;$S$1204,"",INDEX($T$5:$AJ$1204,MATCH(482,$S$5:$S$1204,0),4))</f>
        <v/>
      </c>
      <c r="E486" s="8" t="str">
        <f t="array" ref="E486">IF(482&gt;$S$1204,"",INDEX($T$5:$AJ$1204,MATCH(482,$S$5:$S$1204,0),5))</f>
        <v/>
      </c>
      <c r="F486" s="8" t="str">
        <f t="array" ref="F486">IF(482&gt;$S$1204,"",INDEX($T$5:$AJ$1204,MATCH(482,$S$5:$S$1204,0),6))</f>
        <v/>
      </c>
      <c r="G486" s="8" t="str">
        <f t="array" ref="G486">IF(482&gt;$S$1204,"",INDEX($T$5:$AJ$1204,MATCH(482,$S$5:$S$1204,0),7))</f>
        <v/>
      </c>
      <c r="H486" s="8" t="str">
        <f t="array" ref="H486">IF(482&gt;$S$1204,"",INDEX($T$5:$AJ$1204,MATCH(482,$S$5:$S$1204,0),8))</f>
        <v/>
      </c>
      <c r="I486" s="8" t="str">
        <f t="array" ref="I486">IF(482&gt;$S$1204,"",INDEX($T$5:$AJ$1204,MATCH(482,$S$5:$S$1204,0),9))</f>
        <v/>
      </c>
      <c r="J486" s="14" t="str">
        <f t="array" ref="J486">IF(482&gt;$S$1204,"",INDEX($T$5:$AJ$1204,MATCH(482,$S$5:$S$1204,0),10))</f>
        <v/>
      </c>
      <c r="K486" s="8" t="str">
        <f t="array" ref="K486">IF(482&gt;$S$1204,"",INDEX($T$5:$AJ$1204,MATCH(482,$S$5:$S$1204,0),11))</f>
        <v/>
      </c>
      <c r="L486" s="8" t="str">
        <f t="array" ref="L486">IF(482&gt;$S$1204,"",INDEX($T$5:$AJ$1204,MATCH(482,$S$5:$S$1204,0),12))</f>
        <v/>
      </c>
      <c r="M486" s="8" t="str">
        <f t="array" ref="M486">IF(482&gt;$S$1204,"",INDEX($T$5:$AJ$1204,MATCH(482,$S$5:$S$1204,0),13))</f>
        <v/>
      </c>
      <c r="N486" s="8" t="str">
        <f t="array" ref="N486">IF(482&gt;$S$1204,"",INDEX($T$5:$AJ$1204,MATCH(482,$S$5:$S$1204,0),14))</f>
        <v/>
      </c>
      <c r="O486" s="15" t="str">
        <f t="array" ref="O486">IF(482&gt;$S$1204,"",INDEX($T$5:$AJ$1204,MATCH(482,$S$5:$S$1204,0),15))</f>
        <v/>
      </c>
      <c r="P486" s="8" t="str">
        <f t="array" ref="P486">IF(482&gt;$S$1204,"",INDEX($T$5:$AJ$1204,MATCH(482,$S$5:$S$1204,0),16))</f>
        <v/>
      </c>
      <c r="Q486" s="8" t="str">
        <f t="array" ref="Q486">IF(482&gt;$S$1204,"",INDEX($T$5:$AJ$1204,MATCH(482,$S$5:$S$1204,0),17))</f>
        <v/>
      </c>
      <c r="R486" s="17"/>
      <c r="S486" s="17">
        <f>S485+IF(M3_Silleteria!A90="",0,1)</f>
        <v>0</v>
      </c>
      <c r="T486" s="17" t="str">
        <f>IF(M3_Silleteria!A90="","",IF(M3_Silleteria!A90="","",M3_Silleteria!A90))</f>
        <v/>
      </c>
      <c r="U486" s="17" t="str">
        <f>IF(M3_Silleteria!A90="","",IF(M3_Silleteria!Q90="","",M3_Silleteria!Q90))</f>
        <v/>
      </c>
      <c r="V486" s="17" t="str">
        <f>IF(M3_Silleteria!A90="","",IF(M3_Silleteria!D90="","",M3_Silleteria!D90))</f>
        <v/>
      </c>
      <c r="W486" s="17" t="str">
        <f>IF(M3_Silleteria!A90="","",IF(M3_Silleteria!B90="","",M3_Silleteria!B90))</f>
        <v/>
      </c>
      <c r="X486" s="17" t="str">
        <f>IF(M3_Silleteria!A90="","",IF(M3_Silleteria!C90="","",M3_Silleteria!C90))</f>
        <v/>
      </c>
      <c r="Y486" s="17" t="str">
        <f>IF(M3_Silleteria!A90="","",IF(M3_Silleteria!E90="","",M3_Silleteria!E90))</f>
        <v/>
      </c>
      <c r="Z486" s="17" t="str">
        <f>IF(M3_Silleteria!A90="","",IF(M3_Silleteria!F90="","",M3_Silleteria!F90))</f>
        <v/>
      </c>
      <c r="AA486" s="17" t="str">
        <f>IF(M3_Silleteria!A90="","","M3 Silletería")</f>
        <v/>
      </c>
      <c r="AB486" s="17" t="str">
        <f>IF(M3_Silleteria!A90="","",IF(M3_Silleteria!G90="","",M3_Silleteria!G90))</f>
        <v/>
      </c>
      <c r="AC486" s="17" t="str">
        <f>IF(M3_Silleteria!A90="","",IF(M3_Silleteria!L90="","",M3_Silleteria!L90))</f>
        <v/>
      </c>
      <c r="AD486" s="17" t="str">
        <f>IF(M3_Silleteria!A90="","","CD")</f>
        <v/>
      </c>
      <c r="AE486" s="17" t="str">
        <f>IF(M3_Silleteria!A90="","",IF(M3_Silleteria!N90="","",M3_Silleteria!N90))</f>
        <v/>
      </c>
      <c r="AF486" s="17" t="str">
        <f>IF(M3_Silleteria!A90="","",IF(M3_Silleteria!O90="","",M3_Silleteria!O90))</f>
        <v/>
      </c>
      <c r="AG486" s="17" t="str">
        <f>IF(M3_Silleteria!A90="","",IF(M3_Silleteria!P90="","",M3_Silleteria!P90))</f>
        <v/>
      </c>
      <c r="AH486" s="17" t="str">
        <f>IF(M3_Silleteria!A90="","",IF(M3_Silleteria!H90="","",M3_Silleteria!H90))</f>
        <v/>
      </c>
      <c r="AI486" s="17" t="str">
        <f>IF(M3_Silleteria!A90="","","M3_Silleteria!90")</f>
        <v/>
      </c>
      <c r="AJ486" s="17" t="str">
        <f>IF(M3_Silleteria!A90="","",IF(M3_Silleteria!L90="","Pendiente de resultado","Disponible"))</f>
        <v/>
      </c>
    </row>
    <row r="487" spans="1:36" ht="55.5" customHeight="1">
      <c r="A487" s="6" t="str">
        <f t="array" ref="A487">IF(483&gt;$S$1204,"",INDEX($T$5:$AJ$1204,MATCH(483,$S$5:$S$1204,0),1))</f>
        <v/>
      </c>
      <c r="B487" s="8" t="str">
        <f t="array" ref="B487">IF(483&gt;$S$1204,"",INDEX($T$5:$AJ$1204,MATCH(483,$S$5:$S$1204,0),2))</f>
        <v/>
      </c>
      <c r="C487" s="10" t="str">
        <f t="array" ref="C487">IF(483&gt;$S$1204,"",INDEX($T$5:$AJ$1204,MATCH(483,$S$5:$S$1204,0),3))</f>
        <v/>
      </c>
      <c r="D487" s="8" t="str">
        <f t="array" ref="D487">IF(483&gt;$S$1204,"",INDEX($T$5:$AJ$1204,MATCH(483,$S$5:$S$1204,0),4))</f>
        <v/>
      </c>
      <c r="E487" s="8" t="str">
        <f t="array" ref="E487">IF(483&gt;$S$1204,"",INDEX($T$5:$AJ$1204,MATCH(483,$S$5:$S$1204,0),5))</f>
        <v/>
      </c>
      <c r="F487" s="8" t="str">
        <f t="array" ref="F487">IF(483&gt;$S$1204,"",INDEX($T$5:$AJ$1204,MATCH(483,$S$5:$S$1204,0),6))</f>
        <v/>
      </c>
      <c r="G487" s="8" t="str">
        <f t="array" ref="G487">IF(483&gt;$S$1204,"",INDEX($T$5:$AJ$1204,MATCH(483,$S$5:$S$1204,0),7))</f>
        <v/>
      </c>
      <c r="H487" s="8" t="str">
        <f t="array" ref="H487">IF(483&gt;$S$1204,"",INDEX($T$5:$AJ$1204,MATCH(483,$S$5:$S$1204,0),8))</f>
        <v/>
      </c>
      <c r="I487" s="8" t="str">
        <f t="array" ref="I487">IF(483&gt;$S$1204,"",INDEX($T$5:$AJ$1204,MATCH(483,$S$5:$S$1204,0),9))</f>
        <v/>
      </c>
      <c r="J487" s="14" t="str">
        <f t="array" ref="J487">IF(483&gt;$S$1204,"",INDEX($T$5:$AJ$1204,MATCH(483,$S$5:$S$1204,0),10))</f>
        <v/>
      </c>
      <c r="K487" s="8" t="str">
        <f t="array" ref="K487">IF(483&gt;$S$1204,"",INDEX($T$5:$AJ$1204,MATCH(483,$S$5:$S$1204,0),11))</f>
        <v/>
      </c>
      <c r="L487" s="8" t="str">
        <f t="array" ref="L487">IF(483&gt;$S$1204,"",INDEX($T$5:$AJ$1204,MATCH(483,$S$5:$S$1204,0),12))</f>
        <v/>
      </c>
      <c r="M487" s="8" t="str">
        <f t="array" ref="M487">IF(483&gt;$S$1204,"",INDEX($T$5:$AJ$1204,MATCH(483,$S$5:$S$1204,0),13))</f>
        <v/>
      </c>
      <c r="N487" s="8" t="str">
        <f t="array" ref="N487">IF(483&gt;$S$1204,"",INDEX($T$5:$AJ$1204,MATCH(483,$S$5:$S$1204,0),14))</f>
        <v/>
      </c>
      <c r="O487" s="15" t="str">
        <f t="array" ref="O487">IF(483&gt;$S$1204,"",INDEX($T$5:$AJ$1204,MATCH(483,$S$5:$S$1204,0),15))</f>
        <v/>
      </c>
      <c r="P487" s="8" t="str">
        <f t="array" ref="P487">IF(483&gt;$S$1204,"",INDEX($T$5:$AJ$1204,MATCH(483,$S$5:$S$1204,0),16))</f>
        <v/>
      </c>
      <c r="Q487" s="8" t="str">
        <f t="array" ref="Q487">IF(483&gt;$S$1204,"",INDEX($T$5:$AJ$1204,MATCH(483,$S$5:$S$1204,0),17))</f>
        <v/>
      </c>
      <c r="R487" s="17"/>
      <c r="S487" s="17">
        <f>S486+IF(M3_Silleteria!A91="",0,1)</f>
        <v>0</v>
      </c>
      <c r="T487" s="17" t="str">
        <f>IF(M3_Silleteria!A91="","",IF(M3_Silleteria!A91="","",M3_Silleteria!A91))</f>
        <v/>
      </c>
      <c r="U487" s="17" t="str">
        <f>IF(M3_Silleteria!A91="","",IF(M3_Silleteria!Q91="","",M3_Silleteria!Q91))</f>
        <v/>
      </c>
      <c r="V487" s="17" t="str">
        <f>IF(M3_Silleteria!A91="","",IF(M3_Silleteria!D91="","",M3_Silleteria!D91))</f>
        <v/>
      </c>
      <c r="W487" s="17" t="str">
        <f>IF(M3_Silleteria!A91="","",IF(M3_Silleteria!B91="","",M3_Silleteria!B91))</f>
        <v/>
      </c>
      <c r="X487" s="17" t="str">
        <f>IF(M3_Silleteria!A91="","",IF(M3_Silleteria!C91="","",M3_Silleteria!C91))</f>
        <v/>
      </c>
      <c r="Y487" s="17" t="str">
        <f>IF(M3_Silleteria!A91="","",IF(M3_Silleteria!E91="","",M3_Silleteria!E91))</f>
        <v/>
      </c>
      <c r="Z487" s="17" t="str">
        <f>IF(M3_Silleteria!A91="","",IF(M3_Silleteria!F91="","",M3_Silleteria!F91))</f>
        <v/>
      </c>
      <c r="AA487" s="17" t="str">
        <f>IF(M3_Silleteria!A91="","","M3 Silletería")</f>
        <v/>
      </c>
      <c r="AB487" s="17" t="str">
        <f>IF(M3_Silleteria!A91="","",IF(M3_Silleteria!G91="","",M3_Silleteria!G91))</f>
        <v/>
      </c>
      <c r="AC487" s="17" t="str">
        <f>IF(M3_Silleteria!A91="","",IF(M3_Silleteria!L91="","",M3_Silleteria!L91))</f>
        <v/>
      </c>
      <c r="AD487" s="17" t="str">
        <f>IF(M3_Silleteria!A91="","","CD")</f>
        <v/>
      </c>
      <c r="AE487" s="17" t="str">
        <f>IF(M3_Silleteria!A91="","",IF(M3_Silleteria!N91="","",M3_Silleteria!N91))</f>
        <v/>
      </c>
      <c r="AF487" s="17" t="str">
        <f>IF(M3_Silleteria!A91="","",IF(M3_Silleteria!O91="","",M3_Silleteria!O91))</f>
        <v/>
      </c>
      <c r="AG487" s="17" t="str">
        <f>IF(M3_Silleteria!A91="","",IF(M3_Silleteria!P91="","",M3_Silleteria!P91))</f>
        <v/>
      </c>
      <c r="AH487" s="17" t="str">
        <f>IF(M3_Silleteria!A91="","",IF(M3_Silleteria!H91="","",M3_Silleteria!H91))</f>
        <v/>
      </c>
      <c r="AI487" s="17" t="str">
        <f>IF(M3_Silleteria!A91="","","M3_Silleteria!91")</f>
        <v/>
      </c>
      <c r="AJ487" s="17" t="str">
        <f>IF(M3_Silleteria!A91="","",IF(M3_Silleteria!L91="","Pendiente de resultado","Disponible"))</f>
        <v/>
      </c>
    </row>
    <row r="488" spans="1:36" ht="55.5" customHeight="1">
      <c r="A488" s="6" t="str">
        <f t="array" ref="A488">IF(484&gt;$S$1204,"",INDEX($T$5:$AJ$1204,MATCH(484,$S$5:$S$1204,0),1))</f>
        <v/>
      </c>
      <c r="B488" s="8" t="str">
        <f t="array" ref="B488">IF(484&gt;$S$1204,"",INDEX($T$5:$AJ$1204,MATCH(484,$S$5:$S$1204,0),2))</f>
        <v/>
      </c>
      <c r="C488" s="10" t="str">
        <f t="array" ref="C488">IF(484&gt;$S$1204,"",INDEX($T$5:$AJ$1204,MATCH(484,$S$5:$S$1204,0),3))</f>
        <v/>
      </c>
      <c r="D488" s="8" t="str">
        <f t="array" ref="D488">IF(484&gt;$S$1204,"",INDEX($T$5:$AJ$1204,MATCH(484,$S$5:$S$1204,0),4))</f>
        <v/>
      </c>
      <c r="E488" s="8" t="str">
        <f t="array" ref="E488">IF(484&gt;$S$1204,"",INDEX($T$5:$AJ$1204,MATCH(484,$S$5:$S$1204,0),5))</f>
        <v/>
      </c>
      <c r="F488" s="8" t="str">
        <f t="array" ref="F488">IF(484&gt;$S$1204,"",INDEX($T$5:$AJ$1204,MATCH(484,$S$5:$S$1204,0),6))</f>
        <v/>
      </c>
      <c r="G488" s="8" t="str">
        <f t="array" ref="G488">IF(484&gt;$S$1204,"",INDEX($T$5:$AJ$1204,MATCH(484,$S$5:$S$1204,0),7))</f>
        <v/>
      </c>
      <c r="H488" s="8" t="str">
        <f t="array" ref="H488">IF(484&gt;$S$1204,"",INDEX($T$5:$AJ$1204,MATCH(484,$S$5:$S$1204,0),8))</f>
        <v/>
      </c>
      <c r="I488" s="8" t="str">
        <f t="array" ref="I488">IF(484&gt;$S$1204,"",INDEX($T$5:$AJ$1204,MATCH(484,$S$5:$S$1204,0),9))</f>
        <v/>
      </c>
      <c r="J488" s="14" t="str">
        <f t="array" ref="J488">IF(484&gt;$S$1204,"",INDEX($T$5:$AJ$1204,MATCH(484,$S$5:$S$1204,0),10))</f>
        <v/>
      </c>
      <c r="K488" s="8" t="str">
        <f t="array" ref="K488">IF(484&gt;$S$1204,"",INDEX($T$5:$AJ$1204,MATCH(484,$S$5:$S$1204,0),11))</f>
        <v/>
      </c>
      <c r="L488" s="8" t="str">
        <f t="array" ref="L488">IF(484&gt;$S$1204,"",INDEX($T$5:$AJ$1204,MATCH(484,$S$5:$S$1204,0),12))</f>
        <v/>
      </c>
      <c r="M488" s="8" t="str">
        <f t="array" ref="M488">IF(484&gt;$S$1204,"",INDEX($T$5:$AJ$1204,MATCH(484,$S$5:$S$1204,0),13))</f>
        <v/>
      </c>
      <c r="N488" s="8" t="str">
        <f t="array" ref="N488">IF(484&gt;$S$1204,"",INDEX($T$5:$AJ$1204,MATCH(484,$S$5:$S$1204,0),14))</f>
        <v/>
      </c>
      <c r="O488" s="15" t="str">
        <f t="array" ref="O488">IF(484&gt;$S$1204,"",INDEX($T$5:$AJ$1204,MATCH(484,$S$5:$S$1204,0),15))</f>
        <v/>
      </c>
      <c r="P488" s="8" t="str">
        <f t="array" ref="P488">IF(484&gt;$S$1204,"",INDEX($T$5:$AJ$1204,MATCH(484,$S$5:$S$1204,0),16))</f>
        <v/>
      </c>
      <c r="Q488" s="8" t="str">
        <f t="array" ref="Q488">IF(484&gt;$S$1204,"",INDEX($T$5:$AJ$1204,MATCH(484,$S$5:$S$1204,0),17))</f>
        <v/>
      </c>
      <c r="R488" s="17"/>
      <c r="S488" s="17">
        <f>S487+IF(M3_Silleteria!A92="",0,1)</f>
        <v>0</v>
      </c>
      <c r="T488" s="17" t="str">
        <f>IF(M3_Silleteria!A92="","",IF(M3_Silleteria!A92="","",M3_Silleteria!A92))</f>
        <v/>
      </c>
      <c r="U488" s="17" t="str">
        <f>IF(M3_Silleteria!A92="","",IF(M3_Silleteria!Q92="","",M3_Silleteria!Q92))</f>
        <v/>
      </c>
      <c r="V488" s="17" t="str">
        <f>IF(M3_Silleteria!A92="","",IF(M3_Silleteria!D92="","",M3_Silleteria!D92))</f>
        <v/>
      </c>
      <c r="W488" s="17" t="str">
        <f>IF(M3_Silleteria!A92="","",IF(M3_Silleteria!B92="","",M3_Silleteria!B92))</f>
        <v/>
      </c>
      <c r="X488" s="17" t="str">
        <f>IF(M3_Silleteria!A92="","",IF(M3_Silleteria!C92="","",M3_Silleteria!C92))</f>
        <v/>
      </c>
      <c r="Y488" s="17" t="str">
        <f>IF(M3_Silleteria!A92="","",IF(M3_Silleteria!E92="","",M3_Silleteria!E92))</f>
        <v/>
      </c>
      <c r="Z488" s="17" t="str">
        <f>IF(M3_Silleteria!A92="","",IF(M3_Silleteria!F92="","",M3_Silleteria!F92))</f>
        <v/>
      </c>
      <c r="AA488" s="17" t="str">
        <f>IF(M3_Silleteria!A92="","","M3 Silletería")</f>
        <v/>
      </c>
      <c r="AB488" s="17" t="str">
        <f>IF(M3_Silleteria!A92="","",IF(M3_Silleteria!G92="","",M3_Silleteria!G92))</f>
        <v/>
      </c>
      <c r="AC488" s="17" t="str">
        <f>IF(M3_Silleteria!A92="","",IF(M3_Silleteria!L92="","",M3_Silleteria!L92))</f>
        <v/>
      </c>
      <c r="AD488" s="17" t="str">
        <f>IF(M3_Silleteria!A92="","","CD")</f>
        <v/>
      </c>
      <c r="AE488" s="17" t="str">
        <f>IF(M3_Silleteria!A92="","",IF(M3_Silleteria!N92="","",M3_Silleteria!N92))</f>
        <v/>
      </c>
      <c r="AF488" s="17" t="str">
        <f>IF(M3_Silleteria!A92="","",IF(M3_Silleteria!O92="","",M3_Silleteria!O92))</f>
        <v/>
      </c>
      <c r="AG488" s="17" t="str">
        <f>IF(M3_Silleteria!A92="","",IF(M3_Silleteria!P92="","",M3_Silleteria!P92))</f>
        <v/>
      </c>
      <c r="AH488" s="17" t="str">
        <f>IF(M3_Silleteria!A92="","",IF(M3_Silleteria!H92="","",M3_Silleteria!H92))</f>
        <v/>
      </c>
      <c r="AI488" s="17" t="str">
        <f>IF(M3_Silleteria!A92="","","M3_Silleteria!92")</f>
        <v/>
      </c>
      <c r="AJ488" s="17" t="str">
        <f>IF(M3_Silleteria!A92="","",IF(M3_Silleteria!L92="","Pendiente de resultado","Disponible"))</f>
        <v/>
      </c>
    </row>
    <row r="489" spans="1:36" ht="55.5" customHeight="1">
      <c r="A489" s="6" t="str">
        <f t="array" ref="A489">IF(485&gt;$S$1204,"",INDEX($T$5:$AJ$1204,MATCH(485,$S$5:$S$1204,0),1))</f>
        <v/>
      </c>
      <c r="B489" s="8" t="str">
        <f t="array" ref="B489">IF(485&gt;$S$1204,"",INDEX($T$5:$AJ$1204,MATCH(485,$S$5:$S$1204,0),2))</f>
        <v/>
      </c>
      <c r="C489" s="10" t="str">
        <f t="array" ref="C489">IF(485&gt;$S$1204,"",INDEX($T$5:$AJ$1204,MATCH(485,$S$5:$S$1204,0),3))</f>
        <v/>
      </c>
      <c r="D489" s="8" t="str">
        <f t="array" ref="D489">IF(485&gt;$S$1204,"",INDEX($T$5:$AJ$1204,MATCH(485,$S$5:$S$1204,0),4))</f>
        <v/>
      </c>
      <c r="E489" s="8" t="str">
        <f t="array" ref="E489">IF(485&gt;$S$1204,"",INDEX($T$5:$AJ$1204,MATCH(485,$S$5:$S$1204,0),5))</f>
        <v/>
      </c>
      <c r="F489" s="8" t="str">
        <f t="array" ref="F489">IF(485&gt;$S$1204,"",INDEX($T$5:$AJ$1204,MATCH(485,$S$5:$S$1204,0),6))</f>
        <v/>
      </c>
      <c r="G489" s="8" t="str">
        <f t="array" ref="G489">IF(485&gt;$S$1204,"",INDEX($T$5:$AJ$1204,MATCH(485,$S$5:$S$1204,0),7))</f>
        <v/>
      </c>
      <c r="H489" s="8" t="str">
        <f t="array" ref="H489">IF(485&gt;$S$1204,"",INDEX($T$5:$AJ$1204,MATCH(485,$S$5:$S$1204,0),8))</f>
        <v/>
      </c>
      <c r="I489" s="8" t="str">
        <f t="array" ref="I489">IF(485&gt;$S$1204,"",INDEX($T$5:$AJ$1204,MATCH(485,$S$5:$S$1204,0),9))</f>
        <v/>
      </c>
      <c r="J489" s="14" t="str">
        <f t="array" ref="J489">IF(485&gt;$S$1204,"",INDEX($T$5:$AJ$1204,MATCH(485,$S$5:$S$1204,0),10))</f>
        <v/>
      </c>
      <c r="K489" s="8" t="str">
        <f t="array" ref="K489">IF(485&gt;$S$1204,"",INDEX($T$5:$AJ$1204,MATCH(485,$S$5:$S$1204,0),11))</f>
        <v/>
      </c>
      <c r="L489" s="8" t="str">
        <f t="array" ref="L489">IF(485&gt;$S$1204,"",INDEX($T$5:$AJ$1204,MATCH(485,$S$5:$S$1204,0),12))</f>
        <v/>
      </c>
      <c r="M489" s="8" t="str">
        <f t="array" ref="M489">IF(485&gt;$S$1204,"",INDEX($T$5:$AJ$1204,MATCH(485,$S$5:$S$1204,0),13))</f>
        <v/>
      </c>
      <c r="N489" s="8" t="str">
        <f t="array" ref="N489">IF(485&gt;$S$1204,"",INDEX($T$5:$AJ$1204,MATCH(485,$S$5:$S$1204,0),14))</f>
        <v/>
      </c>
      <c r="O489" s="15" t="str">
        <f t="array" ref="O489">IF(485&gt;$S$1204,"",INDEX($T$5:$AJ$1204,MATCH(485,$S$5:$S$1204,0),15))</f>
        <v/>
      </c>
      <c r="P489" s="8" t="str">
        <f t="array" ref="P489">IF(485&gt;$S$1204,"",INDEX($T$5:$AJ$1204,MATCH(485,$S$5:$S$1204,0),16))</f>
        <v/>
      </c>
      <c r="Q489" s="8" t="str">
        <f t="array" ref="Q489">IF(485&gt;$S$1204,"",INDEX($T$5:$AJ$1204,MATCH(485,$S$5:$S$1204,0),17))</f>
        <v/>
      </c>
      <c r="R489" s="17"/>
      <c r="S489" s="17">
        <f>S488+IF(M3_Silleteria!A93="",0,1)</f>
        <v>0</v>
      </c>
      <c r="T489" s="17" t="str">
        <f>IF(M3_Silleteria!A93="","",IF(M3_Silleteria!A93="","",M3_Silleteria!A93))</f>
        <v/>
      </c>
      <c r="U489" s="17" t="str">
        <f>IF(M3_Silleteria!A93="","",IF(M3_Silleteria!Q93="","",M3_Silleteria!Q93))</f>
        <v/>
      </c>
      <c r="V489" s="17" t="str">
        <f>IF(M3_Silleteria!A93="","",IF(M3_Silleteria!D93="","",M3_Silleteria!D93))</f>
        <v/>
      </c>
      <c r="W489" s="17" t="str">
        <f>IF(M3_Silleteria!A93="","",IF(M3_Silleteria!B93="","",M3_Silleteria!B93))</f>
        <v/>
      </c>
      <c r="X489" s="17" t="str">
        <f>IF(M3_Silleteria!A93="","",IF(M3_Silleteria!C93="","",M3_Silleteria!C93))</f>
        <v/>
      </c>
      <c r="Y489" s="17" t="str">
        <f>IF(M3_Silleteria!A93="","",IF(M3_Silleteria!E93="","",M3_Silleteria!E93))</f>
        <v/>
      </c>
      <c r="Z489" s="17" t="str">
        <f>IF(M3_Silleteria!A93="","",IF(M3_Silleteria!F93="","",M3_Silleteria!F93))</f>
        <v/>
      </c>
      <c r="AA489" s="17" t="str">
        <f>IF(M3_Silleteria!A93="","","M3 Silletería")</f>
        <v/>
      </c>
      <c r="AB489" s="17" t="str">
        <f>IF(M3_Silleteria!A93="","",IF(M3_Silleteria!G93="","",M3_Silleteria!G93))</f>
        <v/>
      </c>
      <c r="AC489" s="17" t="str">
        <f>IF(M3_Silleteria!A93="","",IF(M3_Silleteria!L93="","",M3_Silleteria!L93))</f>
        <v/>
      </c>
      <c r="AD489" s="17" t="str">
        <f>IF(M3_Silleteria!A93="","","CD")</f>
        <v/>
      </c>
      <c r="AE489" s="17" t="str">
        <f>IF(M3_Silleteria!A93="","",IF(M3_Silleteria!N93="","",M3_Silleteria!N93))</f>
        <v/>
      </c>
      <c r="AF489" s="17" t="str">
        <f>IF(M3_Silleteria!A93="","",IF(M3_Silleteria!O93="","",M3_Silleteria!O93))</f>
        <v/>
      </c>
      <c r="AG489" s="17" t="str">
        <f>IF(M3_Silleteria!A93="","",IF(M3_Silleteria!P93="","",M3_Silleteria!P93))</f>
        <v/>
      </c>
      <c r="AH489" s="17" t="str">
        <f>IF(M3_Silleteria!A93="","",IF(M3_Silleteria!H93="","",M3_Silleteria!H93))</f>
        <v/>
      </c>
      <c r="AI489" s="17" t="str">
        <f>IF(M3_Silleteria!A93="","","M3_Silleteria!93")</f>
        <v/>
      </c>
      <c r="AJ489" s="17" t="str">
        <f>IF(M3_Silleteria!A93="","",IF(M3_Silleteria!L93="","Pendiente de resultado","Disponible"))</f>
        <v/>
      </c>
    </row>
    <row r="490" spans="1:36" ht="55.5" customHeight="1">
      <c r="A490" s="6" t="str">
        <f t="array" ref="A490">IF(486&gt;$S$1204,"",INDEX($T$5:$AJ$1204,MATCH(486,$S$5:$S$1204,0),1))</f>
        <v/>
      </c>
      <c r="B490" s="8" t="str">
        <f t="array" ref="B490">IF(486&gt;$S$1204,"",INDEX($T$5:$AJ$1204,MATCH(486,$S$5:$S$1204,0),2))</f>
        <v/>
      </c>
      <c r="C490" s="10" t="str">
        <f t="array" ref="C490">IF(486&gt;$S$1204,"",INDEX($T$5:$AJ$1204,MATCH(486,$S$5:$S$1204,0),3))</f>
        <v/>
      </c>
      <c r="D490" s="8" t="str">
        <f t="array" ref="D490">IF(486&gt;$S$1204,"",INDEX($T$5:$AJ$1204,MATCH(486,$S$5:$S$1204,0),4))</f>
        <v/>
      </c>
      <c r="E490" s="8" t="str">
        <f t="array" ref="E490">IF(486&gt;$S$1204,"",INDEX($T$5:$AJ$1204,MATCH(486,$S$5:$S$1204,0),5))</f>
        <v/>
      </c>
      <c r="F490" s="8" t="str">
        <f t="array" ref="F490">IF(486&gt;$S$1204,"",INDEX($T$5:$AJ$1204,MATCH(486,$S$5:$S$1204,0),6))</f>
        <v/>
      </c>
      <c r="G490" s="8" t="str">
        <f t="array" ref="G490">IF(486&gt;$S$1204,"",INDEX($T$5:$AJ$1204,MATCH(486,$S$5:$S$1204,0),7))</f>
        <v/>
      </c>
      <c r="H490" s="8" t="str">
        <f t="array" ref="H490">IF(486&gt;$S$1204,"",INDEX($T$5:$AJ$1204,MATCH(486,$S$5:$S$1204,0),8))</f>
        <v/>
      </c>
      <c r="I490" s="8" t="str">
        <f t="array" ref="I490">IF(486&gt;$S$1204,"",INDEX($T$5:$AJ$1204,MATCH(486,$S$5:$S$1204,0),9))</f>
        <v/>
      </c>
      <c r="J490" s="14" t="str">
        <f t="array" ref="J490">IF(486&gt;$S$1204,"",INDEX($T$5:$AJ$1204,MATCH(486,$S$5:$S$1204,0),10))</f>
        <v/>
      </c>
      <c r="K490" s="8" t="str">
        <f t="array" ref="K490">IF(486&gt;$S$1204,"",INDEX($T$5:$AJ$1204,MATCH(486,$S$5:$S$1204,0),11))</f>
        <v/>
      </c>
      <c r="L490" s="8" t="str">
        <f t="array" ref="L490">IF(486&gt;$S$1204,"",INDEX($T$5:$AJ$1204,MATCH(486,$S$5:$S$1204,0),12))</f>
        <v/>
      </c>
      <c r="M490" s="8" t="str">
        <f t="array" ref="M490">IF(486&gt;$S$1204,"",INDEX($T$5:$AJ$1204,MATCH(486,$S$5:$S$1204,0),13))</f>
        <v/>
      </c>
      <c r="N490" s="8" t="str">
        <f t="array" ref="N490">IF(486&gt;$S$1204,"",INDEX($T$5:$AJ$1204,MATCH(486,$S$5:$S$1204,0),14))</f>
        <v/>
      </c>
      <c r="O490" s="15" t="str">
        <f t="array" ref="O490">IF(486&gt;$S$1204,"",INDEX($T$5:$AJ$1204,MATCH(486,$S$5:$S$1204,0),15))</f>
        <v/>
      </c>
      <c r="P490" s="8" t="str">
        <f t="array" ref="P490">IF(486&gt;$S$1204,"",INDEX($T$5:$AJ$1204,MATCH(486,$S$5:$S$1204,0),16))</f>
        <v/>
      </c>
      <c r="Q490" s="8" t="str">
        <f t="array" ref="Q490">IF(486&gt;$S$1204,"",INDEX($T$5:$AJ$1204,MATCH(486,$S$5:$S$1204,0),17))</f>
        <v/>
      </c>
      <c r="R490" s="17"/>
      <c r="S490" s="17">
        <f>S489+IF(M3_Silleteria!A94="",0,1)</f>
        <v>0</v>
      </c>
      <c r="T490" s="17" t="str">
        <f>IF(M3_Silleteria!A94="","",IF(M3_Silleteria!A94="","",M3_Silleteria!A94))</f>
        <v/>
      </c>
      <c r="U490" s="17" t="str">
        <f>IF(M3_Silleteria!A94="","",IF(M3_Silleteria!Q94="","",M3_Silleteria!Q94))</f>
        <v/>
      </c>
      <c r="V490" s="17" t="str">
        <f>IF(M3_Silleteria!A94="","",IF(M3_Silleteria!D94="","",M3_Silleteria!D94))</f>
        <v/>
      </c>
      <c r="W490" s="17" t="str">
        <f>IF(M3_Silleteria!A94="","",IF(M3_Silleteria!B94="","",M3_Silleteria!B94))</f>
        <v/>
      </c>
      <c r="X490" s="17" t="str">
        <f>IF(M3_Silleteria!A94="","",IF(M3_Silleteria!C94="","",M3_Silleteria!C94))</f>
        <v/>
      </c>
      <c r="Y490" s="17" t="str">
        <f>IF(M3_Silleteria!A94="","",IF(M3_Silleteria!E94="","",M3_Silleteria!E94))</f>
        <v/>
      </c>
      <c r="Z490" s="17" t="str">
        <f>IF(M3_Silleteria!A94="","",IF(M3_Silleteria!F94="","",M3_Silleteria!F94))</f>
        <v/>
      </c>
      <c r="AA490" s="17" t="str">
        <f>IF(M3_Silleteria!A94="","","M3 Silletería")</f>
        <v/>
      </c>
      <c r="AB490" s="17" t="str">
        <f>IF(M3_Silleteria!A94="","",IF(M3_Silleteria!G94="","",M3_Silleteria!G94))</f>
        <v/>
      </c>
      <c r="AC490" s="17" t="str">
        <f>IF(M3_Silleteria!A94="","",IF(M3_Silleteria!L94="","",M3_Silleteria!L94))</f>
        <v/>
      </c>
      <c r="AD490" s="17" t="str">
        <f>IF(M3_Silleteria!A94="","","CD")</f>
        <v/>
      </c>
      <c r="AE490" s="17" t="str">
        <f>IF(M3_Silleteria!A94="","",IF(M3_Silleteria!N94="","",M3_Silleteria!N94))</f>
        <v/>
      </c>
      <c r="AF490" s="17" t="str">
        <f>IF(M3_Silleteria!A94="","",IF(M3_Silleteria!O94="","",M3_Silleteria!O94))</f>
        <v/>
      </c>
      <c r="AG490" s="17" t="str">
        <f>IF(M3_Silleteria!A94="","",IF(M3_Silleteria!P94="","",M3_Silleteria!P94))</f>
        <v/>
      </c>
      <c r="AH490" s="17" t="str">
        <f>IF(M3_Silleteria!A94="","",IF(M3_Silleteria!H94="","",M3_Silleteria!H94))</f>
        <v/>
      </c>
      <c r="AI490" s="17" t="str">
        <f>IF(M3_Silleteria!A94="","","M3_Silleteria!94")</f>
        <v/>
      </c>
      <c r="AJ490" s="17" t="str">
        <f>IF(M3_Silleteria!A94="","",IF(M3_Silleteria!L94="","Pendiente de resultado","Disponible"))</f>
        <v/>
      </c>
    </row>
    <row r="491" spans="1:36" ht="55.5" customHeight="1">
      <c r="A491" s="6" t="str">
        <f t="array" ref="A491">IF(487&gt;$S$1204,"",INDEX($T$5:$AJ$1204,MATCH(487,$S$5:$S$1204,0),1))</f>
        <v/>
      </c>
      <c r="B491" s="8" t="str">
        <f t="array" ref="B491">IF(487&gt;$S$1204,"",INDEX($T$5:$AJ$1204,MATCH(487,$S$5:$S$1204,0),2))</f>
        <v/>
      </c>
      <c r="C491" s="10" t="str">
        <f t="array" ref="C491">IF(487&gt;$S$1204,"",INDEX($T$5:$AJ$1204,MATCH(487,$S$5:$S$1204,0),3))</f>
        <v/>
      </c>
      <c r="D491" s="8" t="str">
        <f t="array" ref="D491">IF(487&gt;$S$1204,"",INDEX($T$5:$AJ$1204,MATCH(487,$S$5:$S$1204,0),4))</f>
        <v/>
      </c>
      <c r="E491" s="8" t="str">
        <f t="array" ref="E491">IF(487&gt;$S$1204,"",INDEX($T$5:$AJ$1204,MATCH(487,$S$5:$S$1204,0),5))</f>
        <v/>
      </c>
      <c r="F491" s="8" t="str">
        <f t="array" ref="F491">IF(487&gt;$S$1204,"",INDEX($T$5:$AJ$1204,MATCH(487,$S$5:$S$1204,0),6))</f>
        <v/>
      </c>
      <c r="G491" s="8" t="str">
        <f t="array" ref="G491">IF(487&gt;$S$1204,"",INDEX($T$5:$AJ$1204,MATCH(487,$S$5:$S$1204,0),7))</f>
        <v/>
      </c>
      <c r="H491" s="8" t="str">
        <f t="array" ref="H491">IF(487&gt;$S$1204,"",INDEX($T$5:$AJ$1204,MATCH(487,$S$5:$S$1204,0),8))</f>
        <v/>
      </c>
      <c r="I491" s="8" t="str">
        <f t="array" ref="I491">IF(487&gt;$S$1204,"",INDEX($T$5:$AJ$1204,MATCH(487,$S$5:$S$1204,0),9))</f>
        <v/>
      </c>
      <c r="J491" s="14" t="str">
        <f t="array" ref="J491">IF(487&gt;$S$1204,"",INDEX($T$5:$AJ$1204,MATCH(487,$S$5:$S$1204,0),10))</f>
        <v/>
      </c>
      <c r="K491" s="8" t="str">
        <f t="array" ref="K491">IF(487&gt;$S$1204,"",INDEX($T$5:$AJ$1204,MATCH(487,$S$5:$S$1204,0),11))</f>
        <v/>
      </c>
      <c r="L491" s="8" t="str">
        <f t="array" ref="L491">IF(487&gt;$S$1204,"",INDEX($T$5:$AJ$1204,MATCH(487,$S$5:$S$1204,0),12))</f>
        <v/>
      </c>
      <c r="M491" s="8" t="str">
        <f t="array" ref="M491">IF(487&gt;$S$1204,"",INDEX($T$5:$AJ$1204,MATCH(487,$S$5:$S$1204,0),13))</f>
        <v/>
      </c>
      <c r="N491" s="8" t="str">
        <f t="array" ref="N491">IF(487&gt;$S$1204,"",INDEX($T$5:$AJ$1204,MATCH(487,$S$5:$S$1204,0),14))</f>
        <v/>
      </c>
      <c r="O491" s="15" t="str">
        <f t="array" ref="O491">IF(487&gt;$S$1204,"",INDEX($T$5:$AJ$1204,MATCH(487,$S$5:$S$1204,0),15))</f>
        <v/>
      </c>
      <c r="P491" s="8" t="str">
        <f t="array" ref="P491">IF(487&gt;$S$1204,"",INDEX($T$5:$AJ$1204,MATCH(487,$S$5:$S$1204,0),16))</f>
        <v/>
      </c>
      <c r="Q491" s="8" t="str">
        <f t="array" ref="Q491">IF(487&gt;$S$1204,"",INDEX($T$5:$AJ$1204,MATCH(487,$S$5:$S$1204,0),17))</f>
        <v/>
      </c>
      <c r="R491" s="17"/>
      <c r="S491" s="17">
        <f>S490+IF(M3_Silleteria!A95="",0,1)</f>
        <v>0</v>
      </c>
      <c r="T491" s="17" t="str">
        <f>IF(M3_Silleteria!A95="","",IF(M3_Silleteria!A95="","",M3_Silleteria!A95))</f>
        <v/>
      </c>
      <c r="U491" s="17" t="str">
        <f>IF(M3_Silleteria!A95="","",IF(M3_Silleteria!Q95="","",M3_Silleteria!Q95))</f>
        <v/>
      </c>
      <c r="V491" s="17" t="str">
        <f>IF(M3_Silleteria!A95="","",IF(M3_Silleteria!D95="","",M3_Silleteria!D95))</f>
        <v/>
      </c>
      <c r="W491" s="17" t="str">
        <f>IF(M3_Silleteria!A95="","",IF(M3_Silleteria!B95="","",M3_Silleteria!B95))</f>
        <v/>
      </c>
      <c r="X491" s="17" t="str">
        <f>IF(M3_Silleteria!A95="","",IF(M3_Silleteria!C95="","",M3_Silleteria!C95))</f>
        <v/>
      </c>
      <c r="Y491" s="17" t="str">
        <f>IF(M3_Silleteria!A95="","",IF(M3_Silleteria!E95="","",M3_Silleteria!E95))</f>
        <v/>
      </c>
      <c r="Z491" s="17" t="str">
        <f>IF(M3_Silleteria!A95="","",IF(M3_Silleteria!F95="","",M3_Silleteria!F95))</f>
        <v/>
      </c>
      <c r="AA491" s="17" t="str">
        <f>IF(M3_Silleteria!A95="","","M3 Silletería")</f>
        <v/>
      </c>
      <c r="AB491" s="17" t="str">
        <f>IF(M3_Silleteria!A95="","",IF(M3_Silleteria!G95="","",M3_Silleteria!G95))</f>
        <v/>
      </c>
      <c r="AC491" s="17" t="str">
        <f>IF(M3_Silleteria!A95="","",IF(M3_Silleteria!L95="","",M3_Silleteria!L95))</f>
        <v/>
      </c>
      <c r="AD491" s="17" t="str">
        <f>IF(M3_Silleteria!A95="","","CD")</f>
        <v/>
      </c>
      <c r="AE491" s="17" t="str">
        <f>IF(M3_Silleteria!A95="","",IF(M3_Silleteria!N95="","",M3_Silleteria!N95))</f>
        <v/>
      </c>
      <c r="AF491" s="17" t="str">
        <f>IF(M3_Silleteria!A95="","",IF(M3_Silleteria!O95="","",M3_Silleteria!O95))</f>
        <v/>
      </c>
      <c r="AG491" s="17" t="str">
        <f>IF(M3_Silleteria!A95="","",IF(M3_Silleteria!P95="","",M3_Silleteria!P95))</f>
        <v/>
      </c>
      <c r="AH491" s="17" t="str">
        <f>IF(M3_Silleteria!A95="","",IF(M3_Silleteria!H95="","",M3_Silleteria!H95))</f>
        <v/>
      </c>
      <c r="AI491" s="17" t="str">
        <f>IF(M3_Silleteria!A95="","","M3_Silleteria!95")</f>
        <v/>
      </c>
      <c r="AJ491" s="17" t="str">
        <f>IF(M3_Silleteria!A95="","",IF(M3_Silleteria!L95="","Pendiente de resultado","Disponible"))</f>
        <v/>
      </c>
    </row>
    <row r="492" spans="1:36" ht="55.5" customHeight="1">
      <c r="A492" s="6" t="str">
        <f t="array" ref="A492">IF(488&gt;$S$1204,"",INDEX($T$5:$AJ$1204,MATCH(488,$S$5:$S$1204,0),1))</f>
        <v/>
      </c>
      <c r="B492" s="8" t="str">
        <f t="array" ref="B492">IF(488&gt;$S$1204,"",INDEX($T$5:$AJ$1204,MATCH(488,$S$5:$S$1204,0),2))</f>
        <v/>
      </c>
      <c r="C492" s="10" t="str">
        <f t="array" ref="C492">IF(488&gt;$S$1204,"",INDEX($T$5:$AJ$1204,MATCH(488,$S$5:$S$1204,0),3))</f>
        <v/>
      </c>
      <c r="D492" s="8" t="str">
        <f t="array" ref="D492">IF(488&gt;$S$1204,"",INDEX($T$5:$AJ$1204,MATCH(488,$S$5:$S$1204,0),4))</f>
        <v/>
      </c>
      <c r="E492" s="8" t="str">
        <f t="array" ref="E492">IF(488&gt;$S$1204,"",INDEX($T$5:$AJ$1204,MATCH(488,$S$5:$S$1204,0),5))</f>
        <v/>
      </c>
      <c r="F492" s="8" t="str">
        <f t="array" ref="F492">IF(488&gt;$S$1204,"",INDEX($T$5:$AJ$1204,MATCH(488,$S$5:$S$1204,0),6))</f>
        <v/>
      </c>
      <c r="G492" s="8" t="str">
        <f t="array" ref="G492">IF(488&gt;$S$1204,"",INDEX($T$5:$AJ$1204,MATCH(488,$S$5:$S$1204,0),7))</f>
        <v/>
      </c>
      <c r="H492" s="8" t="str">
        <f t="array" ref="H492">IF(488&gt;$S$1204,"",INDEX($T$5:$AJ$1204,MATCH(488,$S$5:$S$1204,0),8))</f>
        <v/>
      </c>
      <c r="I492" s="8" t="str">
        <f t="array" ref="I492">IF(488&gt;$S$1204,"",INDEX($T$5:$AJ$1204,MATCH(488,$S$5:$S$1204,0),9))</f>
        <v/>
      </c>
      <c r="J492" s="14" t="str">
        <f t="array" ref="J492">IF(488&gt;$S$1204,"",INDEX($T$5:$AJ$1204,MATCH(488,$S$5:$S$1204,0),10))</f>
        <v/>
      </c>
      <c r="K492" s="8" t="str">
        <f t="array" ref="K492">IF(488&gt;$S$1204,"",INDEX($T$5:$AJ$1204,MATCH(488,$S$5:$S$1204,0),11))</f>
        <v/>
      </c>
      <c r="L492" s="8" t="str">
        <f t="array" ref="L492">IF(488&gt;$S$1204,"",INDEX($T$5:$AJ$1204,MATCH(488,$S$5:$S$1204,0),12))</f>
        <v/>
      </c>
      <c r="M492" s="8" t="str">
        <f t="array" ref="M492">IF(488&gt;$S$1204,"",INDEX($T$5:$AJ$1204,MATCH(488,$S$5:$S$1204,0),13))</f>
        <v/>
      </c>
      <c r="N492" s="8" t="str">
        <f t="array" ref="N492">IF(488&gt;$S$1204,"",INDEX($T$5:$AJ$1204,MATCH(488,$S$5:$S$1204,0),14))</f>
        <v/>
      </c>
      <c r="O492" s="15" t="str">
        <f t="array" ref="O492">IF(488&gt;$S$1204,"",INDEX($T$5:$AJ$1204,MATCH(488,$S$5:$S$1204,0),15))</f>
        <v/>
      </c>
      <c r="P492" s="8" t="str">
        <f t="array" ref="P492">IF(488&gt;$S$1204,"",INDEX($T$5:$AJ$1204,MATCH(488,$S$5:$S$1204,0),16))</f>
        <v/>
      </c>
      <c r="Q492" s="8" t="str">
        <f t="array" ref="Q492">IF(488&gt;$S$1204,"",INDEX($T$5:$AJ$1204,MATCH(488,$S$5:$S$1204,0),17))</f>
        <v/>
      </c>
      <c r="R492" s="17"/>
      <c r="S492" s="17">
        <f>S491+IF(M3_Silleteria!A96="",0,1)</f>
        <v>0</v>
      </c>
      <c r="T492" s="17" t="str">
        <f>IF(M3_Silleteria!A96="","",IF(M3_Silleteria!A96="","",M3_Silleteria!A96))</f>
        <v/>
      </c>
      <c r="U492" s="17" t="str">
        <f>IF(M3_Silleteria!A96="","",IF(M3_Silleteria!Q96="","",M3_Silleteria!Q96))</f>
        <v/>
      </c>
      <c r="V492" s="17" t="str">
        <f>IF(M3_Silleteria!A96="","",IF(M3_Silleteria!D96="","",M3_Silleteria!D96))</f>
        <v/>
      </c>
      <c r="W492" s="17" t="str">
        <f>IF(M3_Silleteria!A96="","",IF(M3_Silleteria!B96="","",M3_Silleteria!B96))</f>
        <v/>
      </c>
      <c r="X492" s="17" t="str">
        <f>IF(M3_Silleteria!A96="","",IF(M3_Silleteria!C96="","",M3_Silleteria!C96))</f>
        <v/>
      </c>
      <c r="Y492" s="17" t="str">
        <f>IF(M3_Silleteria!A96="","",IF(M3_Silleteria!E96="","",M3_Silleteria!E96))</f>
        <v/>
      </c>
      <c r="Z492" s="17" t="str">
        <f>IF(M3_Silleteria!A96="","",IF(M3_Silleteria!F96="","",M3_Silleteria!F96))</f>
        <v/>
      </c>
      <c r="AA492" s="17" t="str">
        <f>IF(M3_Silleteria!A96="","","M3 Silletería")</f>
        <v/>
      </c>
      <c r="AB492" s="17" t="str">
        <f>IF(M3_Silleteria!A96="","",IF(M3_Silleteria!G96="","",M3_Silleteria!G96))</f>
        <v/>
      </c>
      <c r="AC492" s="17" t="str">
        <f>IF(M3_Silleteria!A96="","",IF(M3_Silleteria!L96="","",M3_Silleteria!L96))</f>
        <v/>
      </c>
      <c r="AD492" s="17" t="str">
        <f>IF(M3_Silleteria!A96="","","CD")</f>
        <v/>
      </c>
      <c r="AE492" s="17" t="str">
        <f>IF(M3_Silleteria!A96="","",IF(M3_Silleteria!N96="","",M3_Silleteria!N96))</f>
        <v/>
      </c>
      <c r="AF492" s="17" t="str">
        <f>IF(M3_Silleteria!A96="","",IF(M3_Silleteria!O96="","",M3_Silleteria!O96))</f>
        <v/>
      </c>
      <c r="AG492" s="17" t="str">
        <f>IF(M3_Silleteria!A96="","",IF(M3_Silleteria!P96="","",M3_Silleteria!P96))</f>
        <v/>
      </c>
      <c r="AH492" s="17" t="str">
        <f>IF(M3_Silleteria!A96="","",IF(M3_Silleteria!H96="","",M3_Silleteria!H96))</f>
        <v/>
      </c>
      <c r="AI492" s="17" t="str">
        <f>IF(M3_Silleteria!A96="","","M3_Silleteria!96")</f>
        <v/>
      </c>
      <c r="AJ492" s="17" t="str">
        <f>IF(M3_Silleteria!A96="","",IF(M3_Silleteria!L96="","Pendiente de resultado","Disponible"))</f>
        <v/>
      </c>
    </row>
    <row r="493" spans="1:36" ht="55.5" customHeight="1">
      <c r="A493" s="6" t="str">
        <f t="array" ref="A493">IF(489&gt;$S$1204,"",INDEX($T$5:$AJ$1204,MATCH(489,$S$5:$S$1204,0),1))</f>
        <v/>
      </c>
      <c r="B493" s="8" t="str">
        <f t="array" ref="B493">IF(489&gt;$S$1204,"",INDEX($T$5:$AJ$1204,MATCH(489,$S$5:$S$1204,0),2))</f>
        <v/>
      </c>
      <c r="C493" s="10" t="str">
        <f t="array" ref="C493">IF(489&gt;$S$1204,"",INDEX($T$5:$AJ$1204,MATCH(489,$S$5:$S$1204,0),3))</f>
        <v/>
      </c>
      <c r="D493" s="8" t="str">
        <f t="array" ref="D493">IF(489&gt;$S$1204,"",INDEX($T$5:$AJ$1204,MATCH(489,$S$5:$S$1204,0),4))</f>
        <v/>
      </c>
      <c r="E493" s="8" t="str">
        <f t="array" ref="E493">IF(489&gt;$S$1204,"",INDEX($T$5:$AJ$1204,MATCH(489,$S$5:$S$1204,0),5))</f>
        <v/>
      </c>
      <c r="F493" s="8" t="str">
        <f t="array" ref="F493">IF(489&gt;$S$1204,"",INDEX($T$5:$AJ$1204,MATCH(489,$S$5:$S$1204,0),6))</f>
        <v/>
      </c>
      <c r="G493" s="8" t="str">
        <f t="array" ref="G493">IF(489&gt;$S$1204,"",INDEX($T$5:$AJ$1204,MATCH(489,$S$5:$S$1204,0),7))</f>
        <v/>
      </c>
      <c r="H493" s="8" t="str">
        <f t="array" ref="H493">IF(489&gt;$S$1204,"",INDEX($T$5:$AJ$1204,MATCH(489,$S$5:$S$1204,0),8))</f>
        <v/>
      </c>
      <c r="I493" s="8" t="str">
        <f t="array" ref="I493">IF(489&gt;$S$1204,"",INDEX($T$5:$AJ$1204,MATCH(489,$S$5:$S$1204,0),9))</f>
        <v/>
      </c>
      <c r="J493" s="14" t="str">
        <f t="array" ref="J493">IF(489&gt;$S$1204,"",INDEX($T$5:$AJ$1204,MATCH(489,$S$5:$S$1204,0),10))</f>
        <v/>
      </c>
      <c r="K493" s="8" t="str">
        <f t="array" ref="K493">IF(489&gt;$S$1204,"",INDEX($T$5:$AJ$1204,MATCH(489,$S$5:$S$1204,0),11))</f>
        <v/>
      </c>
      <c r="L493" s="8" t="str">
        <f t="array" ref="L493">IF(489&gt;$S$1204,"",INDEX($T$5:$AJ$1204,MATCH(489,$S$5:$S$1204,0),12))</f>
        <v/>
      </c>
      <c r="M493" s="8" t="str">
        <f t="array" ref="M493">IF(489&gt;$S$1204,"",INDEX($T$5:$AJ$1204,MATCH(489,$S$5:$S$1204,0),13))</f>
        <v/>
      </c>
      <c r="N493" s="8" t="str">
        <f t="array" ref="N493">IF(489&gt;$S$1204,"",INDEX($T$5:$AJ$1204,MATCH(489,$S$5:$S$1204,0),14))</f>
        <v/>
      </c>
      <c r="O493" s="15" t="str">
        <f t="array" ref="O493">IF(489&gt;$S$1204,"",INDEX($T$5:$AJ$1204,MATCH(489,$S$5:$S$1204,0),15))</f>
        <v/>
      </c>
      <c r="P493" s="8" t="str">
        <f t="array" ref="P493">IF(489&gt;$S$1204,"",INDEX($T$5:$AJ$1204,MATCH(489,$S$5:$S$1204,0),16))</f>
        <v/>
      </c>
      <c r="Q493" s="8" t="str">
        <f t="array" ref="Q493">IF(489&gt;$S$1204,"",INDEX($T$5:$AJ$1204,MATCH(489,$S$5:$S$1204,0),17))</f>
        <v/>
      </c>
      <c r="R493" s="17"/>
      <c r="S493" s="17">
        <f>S492+IF(M3_Silleteria!A97="",0,1)</f>
        <v>0</v>
      </c>
      <c r="T493" s="17" t="str">
        <f>IF(M3_Silleteria!A97="","",IF(M3_Silleteria!A97="","",M3_Silleteria!A97))</f>
        <v/>
      </c>
      <c r="U493" s="17" t="str">
        <f>IF(M3_Silleteria!A97="","",IF(M3_Silleteria!Q97="","",M3_Silleteria!Q97))</f>
        <v/>
      </c>
      <c r="V493" s="17" t="str">
        <f>IF(M3_Silleteria!A97="","",IF(M3_Silleteria!D97="","",M3_Silleteria!D97))</f>
        <v/>
      </c>
      <c r="W493" s="17" t="str">
        <f>IF(M3_Silleteria!A97="","",IF(M3_Silleteria!B97="","",M3_Silleteria!B97))</f>
        <v/>
      </c>
      <c r="X493" s="17" t="str">
        <f>IF(M3_Silleteria!A97="","",IF(M3_Silleteria!C97="","",M3_Silleteria!C97))</f>
        <v/>
      </c>
      <c r="Y493" s="17" t="str">
        <f>IF(M3_Silleteria!A97="","",IF(M3_Silleteria!E97="","",M3_Silleteria!E97))</f>
        <v/>
      </c>
      <c r="Z493" s="17" t="str">
        <f>IF(M3_Silleteria!A97="","",IF(M3_Silleteria!F97="","",M3_Silleteria!F97))</f>
        <v/>
      </c>
      <c r="AA493" s="17" t="str">
        <f>IF(M3_Silleteria!A97="","","M3 Silletería")</f>
        <v/>
      </c>
      <c r="AB493" s="17" t="str">
        <f>IF(M3_Silleteria!A97="","",IF(M3_Silleteria!G97="","",M3_Silleteria!G97))</f>
        <v/>
      </c>
      <c r="AC493" s="17" t="str">
        <f>IF(M3_Silleteria!A97="","",IF(M3_Silleteria!L97="","",M3_Silleteria!L97))</f>
        <v/>
      </c>
      <c r="AD493" s="17" t="str">
        <f>IF(M3_Silleteria!A97="","","CD")</f>
        <v/>
      </c>
      <c r="AE493" s="17" t="str">
        <f>IF(M3_Silleteria!A97="","",IF(M3_Silleteria!N97="","",M3_Silleteria!N97))</f>
        <v/>
      </c>
      <c r="AF493" s="17" t="str">
        <f>IF(M3_Silleteria!A97="","",IF(M3_Silleteria!O97="","",M3_Silleteria!O97))</f>
        <v/>
      </c>
      <c r="AG493" s="17" t="str">
        <f>IF(M3_Silleteria!A97="","",IF(M3_Silleteria!P97="","",M3_Silleteria!P97))</f>
        <v/>
      </c>
      <c r="AH493" s="17" t="str">
        <f>IF(M3_Silleteria!A97="","",IF(M3_Silleteria!H97="","",M3_Silleteria!H97))</f>
        <v/>
      </c>
      <c r="AI493" s="17" t="str">
        <f>IF(M3_Silleteria!A97="","","M3_Silleteria!97")</f>
        <v/>
      </c>
      <c r="AJ493" s="17" t="str">
        <f>IF(M3_Silleteria!A97="","",IF(M3_Silleteria!L97="","Pendiente de resultado","Disponible"))</f>
        <v/>
      </c>
    </row>
    <row r="494" spans="1:36" ht="55.5" customHeight="1">
      <c r="A494" s="6" t="str">
        <f t="array" ref="A494">IF(490&gt;$S$1204,"",INDEX($T$5:$AJ$1204,MATCH(490,$S$5:$S$1204,0),1))</f>
        <v/>
      </c>
      <c r="B494" s="8" t="str">
        <f t="array" ref="B494">IF(490&gt;$S$1204,"",INDEX($T$5:$AJ$1204,MATCH(490,$S$5:$S$1204,0),2))</f>
        <v/>
      </c>
      <c r="C494" s="10" t="str">
        <f t="array" ref="C494">IF(490&gt;$S$1204,"",INDEX($T$5:$AJ$1204,MATCH(490,$S$5:$S$1204,0),3))</f>
        <v/>
      </c>
      <c r="D494" s="8" t="str">
        <f t="array" ref="D494">IF(490&gt;$S$1204,"",INDEX($T$5:$AJ$1204,MATCH(490,$S$5:$S$1204,0),4))</f>
        <v/>
      </c>
      <c r="E494" s="8" t="str">
        <f t="array" ref="E494">IF(490&gt;$S$1204,"",INDEX($T$5:$AJ$1204,MATCH(490,$S$5:$S$1204,0),5))</f>
        <v/>
      </c>
      <c r="F494" s="8" t="str">
        <f t="array" ref="F494">IF(490&gt;$S$1204,"",INDEX($T$5:$AJ$1204,MATCH(490,$S$5:$S$1204,0),6))</f>
        <v/>
      </c>
      <c r="G494" s="8" t="str">
        <f t="array" ref="G494">IF(490&gt;$S$1204,"",INDEX($T$5:$AJ$1204,MATCH(490,$S$5:$S$1204,0),7))</f>
        <v/>
      </c>
      <c r="H494" s="8" t="str">
        <f t="array" ref="H494">IF(490&gt;$S$1204,"",INDEX($T$5:$AJ$1204,MATCH(490,$S$5:$S$1204,0),8))</f>
        <v/>
      </c>
      <c r="I494" s="8" t="str">
        <f t="array" ref="I494">IF(490&gt;$S$1204,"",INDEX($T$5:$AJ$1204,MATCH(490,$S$5:$S$1204,0),9))</f>
        <v/>
      </c>
      <c r="J494" s="14" t="str">
        <f t="array" ref="J494">IF(490&gt;$S$1204,"",INDEX($T$5:$AJ$1204,MATCH(490,$S$5:$S$1204,0),10))</f>
        <v/>
      </c>
      <c r="K494" s="8" t="str">
        <f t="array" ref="K494">IF(490&gt;$S$1204,"",INDEX($T$5:$AJ$1204,MATCH(490,$S$5:$S$1204,0),11))</f>
        <v/>
      </c>
      <c r="L494" s="8" t="str">
        <f t="array" ref="L494">IF(490&gt;$S$1204,"",INDEX($T$5:$AJ$1204,MATCH(490,$S$5:$S$1204,0),12))</f>
        <v/>
      </c>
      <c r="M494" s="8" t="str">
        <f t="array" ref="M494">IF(490&gt;$S$1204,"",INDEX($T$5:$AJ$1204,MATCH(490,$S$5:$S$1204,0),13))</f>
        <v/>
      </c>
      <c r="N494" s="8" t="str">
        <f t="array" ref="N494">IF(490&gt;$S$1204,"",INDEX($T$5:$AJ$1204,MATCH(490,$S$5:$S$1204,0),14))</f>
        <v/>
      </c>
      <c r="O494" s="15" t="str">
        <f t="array" ref="O494">IF(490&gt;$S$1204,"",INDEX($T$5:$AJ$1204,MATCH(490,$S$5:$S$1204,0),15))</f>
        <v/>
      </c>
      <c r="P494" s="8" t="str">
        <f t="array" ref="P494">IF(490&gt;$S$1204,"",INDEX($T$5:$AJ$1204,MATCH(490,$S$5:$S$1204,0),16))</f>
        <v/>
      </c>
      <c r="Q494" s="8" t="str">
        <f t="array" ref="Q494">IF(490&gt;$S$1204,"",INDEX($T$5:$AJ$1204,MATCH(490,$S$5:$S$1204,0),17))</f>
        <v/>
      </c>
      <c r="R494" s="17"/>
      <c r="S494" s="17">
        <f>S493+IF(M3_Silleteria!A98="",0,1)</f>
        <v>0</v>
      </c>
      <c r="T494" s="17" t="str">
        <f>IF(M3_Silleteria!A98="","",IF(M3_Silleteria!A98="","",M3_Silleteria!A98))</f>
        <v/>
      </c>
      <c r="U494" s="17" t="str">
        <f>IF(M3_Silleteria!A98="","",IF(M3_Silleteria!Q98="","",M3_Silleteria!Q98))</f>
        <v/>
      </c>
      <c r="V494" s="17" t="str">
        <f>IF(M3_Silleteria!A98="","",IF(M3_Silleteria!D98="","",M3_Silleteria!D98))</f>
        <v/>
      </c>
      <c r="W494" s="17" t="str">
        <f>IF(M3_Silleteria!A98="","",IF(M3_Silleteria!B98="","",M3_Silleteria!B98))</f>
        <v/>
      </c>
      <c r="X494" s="17" t="str">
        <f>IF(M3_Silleteria!A98="","",IF(M3_Silleteria!C98="","",M3_Silleteria!C98))</f>
        <v/>
      </c>
      <c r="Y494" s="17" t="str">
        <f>IF(M3_Silleteria!A98="","",IF(M3_Silleteria!E98="","",M3_Silleteria!E98))</f>
        <v/>
      </c>
      <c r="Z494" s="17" t="str">
        <f>IF(M3_Silleteria!A98="","",IF(M3_Silleteria!F98="","",M3_Silleteria!F98))</f>
        <v/>
      </c>
      <c r="AA494" s="17" t="str">
        <f>IF(M3_Silleteria!A98="","","M3 Silletería")</f>
        <v/>
      </c>
      <c r="AB494" s="17" t="str">
        <f>IF(M3_Silleteria!A98="","",IF(M3_Silleteria!G98="","",M3_Silleteria!G98))</f>
        <v/>
      </c>
      <c r="AC494" s="17" t="str">
        <f>IF(M3_Silleteria!A98="","",IF(M3_Silleteria!L98="","",M3_Silleteria!L98))</f>
        <v/>
      </c>
      <c r="AD494" s="17" t="str">
        <f>IF(M3_Silleteria!A98="","","CD")</f>
        <v/>
      </c>
      <c r="AE494" s="17" t="str">
        <f>IF(M3_Silleteria!A98="","",IF(M3_Silleteria!N98="","",M3_Silleteria!N98))</f>
        <v/>
      </c>
      <c r="AF494" s="17" t="str">
        <f>IF(M3_Silleteria!A98="","",IF(M3_Silleteria!O98="","",M3_Silleteria!O98))</f>
        <v/>
      </c>
      <c r="AG494" s="17" t="str">
        <f>IF(M3_Silleteria!A98="","",IF(M3_Silleteria!P98="","",M3_Silleteria!P98))</f>
        <v/>
      </c>
      <c r="AH494" s="17" t="str">
        <f>IF(M3_Silleteria!A98="","",IF(M3_Silleteria!H98="","",M3_Silleteria!H98))</f>
        <v/>
      </c>
      <c r="AI494" s="17" t="str">
        <f>IF(M3_Silleteria!A98="","","M3_Silleteria!98")</f>
        <v/>
      </c>
      <c r="AJ494" s="17" t="str">
        <f>IF(M3_Silleteria!A98="","",IF(M3_Silleteria!L98="","Pendiente de resultado","Disponible"))</f>
        <v/>
      </c>
    </row>
    <row r="495" spans="1:36" ht="55.5" customHeight="1">
      <c r="A495" s="6" t="str">
        <f t="array" ref="A495">IF(491&gt;$S$1204,"",INDEX($T$5:$AJ$1204,MATCH(491,$S$5:$S$1204,0),1))</f>
        <v/>
      </c>
      <c r="B495" s="8" t="str">
        <f t="array" ref="B495">IF(491&gt;$S$1204,"",INDEX($T$5:$AJ$1204,MATCH(491,$S$5:$S$1204,0),2))</f>
        <v/>
      </c>
      <c r="C495" s="10" t="str">
        <f t="array" ref="C495">IF(491&gt;$S$1204,"",INDEX($T$5:$AJ$1204,MATCH(491,$S$5:$S$1204,0),3))</f>
        <v/>
      </c>
      <c r="D495" s="8" t="str">
        <f t="array" ref="D495">IF(491&gt;$S$1204,"",INDEX($T$5:$AJ$1204,MATCH(491,$S$5:$S$1204,0),4))</f>
        <v/>
      </c>
      <c r="E495" s="8" t="str">
        <f t="array" ref="E495">IF(491&gt;$S$1204,"",INDEX($T$5:$AJ$1204,MATCH(491,$S$5:$S$1204,0),5))</f>
        <v/>
      </c>
      <c r="F495" s="8" t="str">
        <f t="array" ref="F495">IF(491&gt;$S$1204,"",INDEX($T$5:$AJ$1204,MATCH(491,$S$5:$S$1204,0),6))</f>
        <v/>
      </c>
      <c r="G495" s="8" t="str">
        <f t="array" ref="G495">IF(491&gt;$S$1204,"",INDEX($T$5:$AJ$1204,MATCH(491,$S$5:$S$1204,0),7))</f>
        <v/>
      </c>
      <c r="H495" s="8" t="str">
        <f t="array" ref="H495">IF(491&gt;$S$1204,"",INDEX($T$5:$AJ$1204,MATCH(491,$S$5:$S$1204,0),8))</f>
        <v/>
      </c>
      <c r="I495" s="8" t="str">
        <f t="array" ref="I495">IF(491&gt;$S$1204,"",INDEX($T$5:$AJ$1204,MATCH(491,$S$5:$S$1204,0),9))</f>
        <v/>
      </c>
      <c r="J495" s="14" t="str">
        <f t="array" ref="J495">IF(491&gt;$S$1204,"",INDEX($T$5:$AJ$1204,MATCH(491,$S$5:$S$1204,0),10))</f>
        <v/>
      </c>
      <c r="K495" s="8" t="str">
        <f t="array" ref="K495">IF(491&gt;$S$1204,"",INDEX($T$5:$AJ$1204,MATCH(491,$S$5:$S$1204,0),11))</f>
        <v/>
      </c>
      <c r="L495" s="8" t="str">
        <f t="array" ref="L495">IF(491&gt;$S$1204,"",INDEX($T$5:$AJ$1204,MATCH(491,$S$5:$S$1204,0),12))</f>
        <v/>
      </c>
      <c r="M495" s="8" t="str">
        <f t="array" ref="M495">IF(491&gt;$S$1204,"",INDEX($T$5:$AJ$1204,MATCH(491,$S$5:$S$1204,0),13))</f>
        <v/>
      </c>
      <c r="N495" s="8" t="str">
        <f t="array" ref="N495">IF(491&gt;$S$1204,"",INDEX($T$5:$AJ$1204,MATCH(491,$S$5:$S$1204,0),14))</f>
        <v/>
      </c>
      <c r="O495" s="15" t="str">
        <f t="array" ref="O495">IF(491&gt;$S$1204,"",INDEX($T$5:$AJ$1204,MATCH(491,$S$5:$S$1204,0),15))</f>
        <v/>
      </c>
      <c r="P495" s="8" t="str">
        <f t="array" ref="P495">IF(491&gt;$S$1204,"",INDEX($T$5:$AJ$1204,MATCH(491,$S$5:$S$1204,0),16))</f>
        <v/>
      </c>
      <c r="Q495" s="8" t="str">
        <f t="array" ref="Q495">IF(491&gt;$S$1204,"",INDEX($T$5:$AJ$1204,MATCH(491,$S$5:$S$1204,0),17))</f>
        <v/>
      </c>
      <c r="R495" s="17"/>
      <c r="S495" s="17">
        <f>S494+IF(M3_Silleteria!A99="",0,1)</f>
        <v>0</v>
      </c>
      <c r="T495" s="17" t="str">
        <f>IF(M3_Silleteria!A99="","",IF(M3_Silleteria!A99="","",M3_Silleteria!A99))</f>
        <v/>
      </c>
      <c r="U495" s="17" t="str">
        <f>IF(M3_Silleteria!A99="","",IF(M3_Silleteria!Q99="","",M3_Silleteria!Q99))</f>
        <v/>
      </c>
      <c r="V495" s="17" t="str">
        <f>IF(M3_Silleteria!A99="","",IF(M3_Silleteria!D99="","",M3_Silleteria!D99))</f>
        <v/>
      </c>
      <c r="W495" s="17" t="str">
        <f>IF(M3_Silleteria!A99="","",IF(M3_Silleteria!B99="","",M3_Silleteria!B99))</f>
        <v/>
      </c>
      <c r="X495" s="17" t="str">
        <f>IF(M3_Silleteria!A99="","",IF(M3_Silleteria!C99="","",M3_Silleteria!C99))</f>
        <v/>
      </c>
      <c r="Y495" s="17" t="str">
        <f>IF(M3_Silleteria!A99="","",IF(M3_Silleteria!E99="","",M3_Silleteria!E99))</f>
        <v/>
      </c>
      <c r="Z495" s="17" t="str">
        <f>IF(M3_Silleteria!A99="","",IF(M3_Silleteria!F99="","",M3_Silleteria!F99))</f>
        <v/>
      </c>
      <c r="AA495" s="17" t="str">
        <f>IF(M3_Silleteria!A99="","","M3 Silletería")</f>
        <v/>
      </c>
      <c r="AB495" s="17" t="str">
        <f>IF(M3_Silleteria!A99="","",IF(M3_Silleteria!G99="","",M3_Silleteria!G99))</f>
        <v/>
      </c>
      <c r="AC495" s="17" t="str">
        <f>IF(M3_Silleteria!A99="","",IF(M3_Silleteria!L99="","",M3_Silleteria!L99))</f>
        <v/>
      </c>
      <c r="AD495" s="17" t="str">
        <f>IF(M3_Silleteria!A99="","","CD")</f>
        <v/>
      </c>
      <c r="AE495" s="17" t="str">
        <f>IF(M3_Silleteria!A99="","",IF(M3_Silleteria!N99="","",M3_Silleteria!N99))</f>
        <v/>
      </c>
      <c r="AF495" s="17" t="str">
        <f>IF(M3_Silleteria!A99="","",IF(M3_Silleteria!O99="","",M3_Silleteria!O99))</f>
        <v/>
      </c>
      <c r="AG495" s="17" t="str">
        <f>IF(M3_Silleteria!A99="","",IF(M3_Silleteria!P99="","",M3_Silleteria!P99))</f>
        <v/>
      </c>
      <c r="AH495" s="17" t="str">
        <f>IF(M3_Silleteria!A99="","",IF(M3_Silleteria!H99="","",M3_Silleteria!H99))</f>
        <v/>
      </c>
      <c r="AI495" s="17" t="str">
        <f>IF(M3_Silleteria!A99="","","M3_Silleteria!99")</f>
        <v/>
      </c>
      <c r="AJ495" s="17" t="str">
        <f>IF(M3_Silleteria!A99="","",IF(M3_Silleteria!L99="","Pendiente de resultado","Disponible"))</f>
        <v/>
      </c>
    </row>
    <row r="496" spans="1:36" ht="55.5" customHeight="1">
      <c r="A496" s="6" t="str">
        <f t="array" ref="A496">IF(492&gt;$S$1204,"",INDEX($T$5:$AJ$1204,MATCH(492,$S$5:$S$1204,0),1))</f>
        <v/>
      </c>
      <c r="B496" s="8" t="str">
        <f t="array" ref="B496">IF(492&gt;$S$1204,"",INDEX($T$5:$AJ$1204,MATCH(492,$S$5:$S$1204,0),2))</f>
        <v/>
      </c>
      <c r="C496" s="10" t="str">
        <f t="array" ref="C496">IF(492&gt;$S$1204,"",INDEX($T$5:$AJ$1204,MATCH(492,$S$5:$S$1204,0),3))</f>
        <v/>
      </c>
      <c r="D496" s="8" t="str">
        <f t="array" ref="D496">IF(492&gt;$S$1204,"",INDEX($T$5:$AJ$1204,MATCH(492,$S$5:$S$1204,0),4))</f>
        <v/>
      </c>
      <c r="E496" s="8" t="str">
        <f t="array" ref="E496">IF(492&gt;$S$1204,"",INDEX($T$5:$AJ$1204,MATCH(492,$S$5:$S$1204,0),5))</f>
        <v/>
      </c>
      <c r="F496" s="8" t="str">
        <f t="array" ref="F496">IF(492&gt;$S$1204,"",INDEX($T$5:$AJ$1204,MATCH(492,$S$5:$S$1204,0),6))</f>
        <v/>
      </c>
      <c r="G496" s="8" t="str">
        <f t="array" ref="G496">IF(492&gt;$S$1204,"",INDEX($T$5:$AJ$1204,MATCH(492,$S$5:$S$1204,0),7))</f>
        <v/>
      </c>
      <c r="H496" s="8" t="str">
        <f t="array" ref="H496">IF(492&gt;$S$1204,"",INDEX($T$5:$AJ$1204,MATCH(492,$S$5:$S$1204,0),8))</f>
        <v/>
      </c>
      <c r="I496" s="8" t="str">
        <f t="array" ref="I496">IF(492&gt;$S$1204,"",INDEX($T$5:$AJ$1204,MATCH(492,$S$5:$S$1204,0),9))</f>
        <v/>
      </c>
      <c r="J496" s="14" t="str">
        <f t="array" ref="J496">IF(492&gt;$S$1204,"",INDEX($T$5:$AJ$1204,MATCH(492,$S$5:$S$1204,0),10))</f>
        <v/>
      </c>
      <c r="K496" s="8" t="str">
        <f t="array" ref="K496">IF(492&gt;$S$1204,"",INDEX($T$5:$AJ$1204,MATCH(492,$S$5:$S$1204,0),11))</f>
        <v/>
      </c>
      <c r="L496" s="8" t="str">
        <f t="array" ref="L496">IF(492&gt;$S$1204,"",INDEX($T$5:$AJ$1204,MATCH(492,$S$5:$S$1204,0),12))</f>
        <v/>
      </c>
      <c r="M496" s="8" t="str">
        <f t="array" ref="M496">IF(492&gt;$S$1204,"",INDEX($T$5:$AJ$1204,MATCH(492,$S$5:$S$1204,0),13))</f>
        <v/>
      </c>
      <c r="N496" s="8" t="str">
        <f t="array" ref="N496">IF(492&gt;$S$1204,"",INDEX($T$5:$AJ$1204,MATCH(492,$S$5:$S$1204,0),14))</f>
        <v/>
      </c>
      <c r="O496" s="15" t="str">
        <f t="array" ref="O496">IF(492&gt;$S$1204,"",INDEX($T$5:$AJ$1204,MATCH(492,$S$5:$S$1204,0),15))</f>
        <v/>
      </c>
      <c r="P496" s="8" t="str">
        <f t="array" ref="P496">IF(492&gt;$S$1204,"",INDEX($T$5:$AJ$1204,MATCH(492,$S$5:$S$1204,0),16))</f>
        <v/>
      </c>
      <c r="Q496" s="8" t="str">
        <f t="array" ref="Q496">IF(492&gt;$S$1204,"",INDEX($T$5:$AJ$1204,MATCH(492,$S$5:$S$1204,0),17))</f>
        <v/>
      </c>
      <c r="R496" s="17"/>
      <c r="S496" s="17">
        <f>S495+IF(M3_Silleteria!A100="",0,1)</f>
        <v>0</v>
      </c>
      <c r="T496" s="17" t="str">
        <f>IF(M3_Silleteria!A100="","",IF(M3_Silleteria!A100="","",M3_Silleteria!A100))</f>
        <v/>
      </c>
      <c r="U496" s="17" t="str">
        <f>IF(M3_Silleteria!A100="","",IF(M3_Silleteria!Q100="","",M3_Silleteria!Q100))</f>
        <v/>
      </c>
      <c r="V496" s="17" t="str">
        <f>IF(M3_Silleteria!A100="","",IF(M3_Silleteria!D100="","",M3_Silleteria!D100))</f>
        <v/>
      </c>
      <c r="W496" s="17" t="str">
        <f>IF(M3_Silleteria!A100="","",IF(M3_Silleteria!B100="","",M3_Silleteria!B100))</f>
        <v/>
      </c>
      <c r="X496" s="17" t="str">
        <f>IF(M3_Silleteria!A100="","",IF(M3_Silleteria!C100="","",M3_Silleteria!C100))</f>
        <v/>
      </c>
      <c r="Y496" s="17" t="str">
        <f>IF(M3_Silleteria!A100="","",IF(M3_Silleteria!E100="","",M3_Silleteria!E100))</f>
        <v/>
      </c>
      <c r="Z496" s="17" t="str">
        <f>IF(M3_Silleteria!A100="","",IF(M3_Silleteria!F100="","",M3_Silleteria!F100))</f>
        <v/>
      </c>
      <c r="AA496" s="17" t="str">
        <f>IF(M3_Silleteria!A100="","","M3 Silletería")</f>
        <v/>
      </c>
      <c r="AB496" s="17" t="str">
        <f>IF(M3_Silleteria!A100="","",IF(M3_Silleteria!G100="","",M3_Silleteria!G100))</f>
        <v/>
      </c>
      <c r="AC496" s="17" t="str">
        <f>IF(M3_Silleteria!A100="","",IF(M3_Silleteria!L100="","",M3_Silleteria!L100))</f>
        <v/>
      </c>
      <c r="AD496" s="17" t="str">
        <f>IF(M3_Silleteria!A100="","","CD")</f>
        <v/>
      </c>
      <c r="AE496" s="17" t="str">
        <f>IF(M3_Silleteria!A100="","",IF(M3_Silleteria!N100="","",M3_Silleteria!N100))</f>
        <v/>
      </c>
      <c r="AF496" s="17" t="str">
        <f>IF(M3_Silleteria!A100="","",IF(M3_Silleteria!O100="","",M3_Silleteria!O100))</f>
        <v/>
      </c>
      <c r="AG496" s="17" t="str">
        <f>IF(M3_Silleteria!A100="","",IF(M3_Silleteria!P100="","",M3_Silleteria!P100))</f>
        <v/>
      </c>
      <c r="AH496" s="17" t="str">
        <f>IF(M3_Silleteria!A100="","",IF(M3_Silleteria!H100="","",M3_Silleteria!H100))</f>
        <v/>
      </c>
      <c r="AI496" s="17" t="str">
        <f>IF(M3_Silleteria!A100="","","M3_Silleteria!100")</f>
        <v/>
      </c>
      <c r="AJ496" s="17" t="str">
        <f>IF(M3_Silleteria!A100="","",IF(M3_Silleteria!L100="","Pendiente de resultado","Disponible"))</f>
        <v/>
      </c>
    </row>
    <row r="497" spans="1:36" ht="55.5" customHeight="1">
      <c r="A497" s="6" t="str">
        <f t="array" ref="A497">IF(493&gt;$S$1204,"",INDEX($T$5:$AJ$1204,MATCH(493,$S$5:$S$1204,0),1))</f>
        <v/>
      </c>
      <c r="B497" s="8" t="str">
        <f t="array" ref="B497">IF(493&gt;$S$1204,"",INDEX($T$5:$AJ$1204,MATCH(493,$S$5:$S$1204,0),2))</f>
        <v/>
      </c>
      <c r="C497" s="10" t="str">
        <f t="array" ref="C497">IF(493&gt;$S$1204,"",INDEX($T$5:$AJ$1204,MATCH(493,$S$5:$S$1204,0),3))</f>
        <v/>
      </c>
      <c r="D497" s="8" t="str">
        <f t="array" ref="D497">IF(493&gt;$S$1204,"",INDEX($T$5:$AJ$1204,MATCH(493,$S$5:$S$1204,0),4))</f>
        <v/>
      </c>
      <c r="E497" s="8" t="str">
        <f t="array" ref="E497">IF(493&gt;$S$1204,"",INDEX($T$5:$AJ$1204,MATCH(493,$S$5:$S$1204,0),5))</f>
        <v/>
      </c>
      <c r="F497" s="8" t="str">
        <f t="array" ref="F497">IF(493&gt;$S$1204,"",INDEX($T$5:$AJ$1204,MATCH(493,$S$5:$S$1204,0),6))</f>
        <v/>
      </c>
      <c r="G497" s="8" t="str">
        <f t="array" ref="G497">IF(493&gt;$S$1204,"",INDEX($T$5:$AJ$1204,MATCH(493,$S$5:$S$1204,0),7))</f>
        <v/>
      </c>
      <c r="H497" s="8" t="str">
        <f t="array" ref="H497">IF(493&gt;$S$1204,"",INDEX($T$5:$AJ$1204,MATCH(493,$S$5:$S$1204,0),8))</f>
        <v/>
      </c>
      <c r="I497" s="8" t="str">
        <f t="array" ref="I497">IF(493&gt;$S$1204,"",INDEX($T$5:$AJ$1204,MATCH(493,$S$5:$S$1204,0),9))</f>
        <v/>
      </c>
      <c r="J497" s="14" t="str">
        <f t="array" ref="J497">IF(493&gt;$S$1204,"",INDEX($T$5:$AJ$1204,MATCH(493,$S$5:$S$1204,0),10))</f>
        <v/>
      </c>
      <c r="K497" s="8" t="str">
        <f t="array" ref="K497">IF(493&gt;$S$1204,"",INDEX($T$5:$AJ$1204,MATCH(493,$S$5:$S$1204,0),11))</f>
        <v/>
      </c>
      <c r="L497" s="8" t="str">
        <f t="array" ref="L497">IF(493&gt;$S$1204,"",INDEX($T$5:$AJ$1204,MATCH(493,$S$5:$S$1204,0),12))</f>
        <v/>
      </c>
      <c r="M497" s="8" t="str">
        <f t="array" ref="M497">IF(493&gt;$S$1204,"",INDEX($T$5:$AJ$1204,MATCH(493,$S$5:$S$1204,0),13))</f>
        <v/>
      </c>
      <c r="N497" s="8" t="str">
        <f t="array" ref="N497">IF(493&gt;$S$1204,"",INDEX($T$5:$AJ$1204,MATCH(493,$S$5:$S$1204,0),14))</f>
        <v/>
      </c>
      <c r="O497" s="15" t="str">
        <f t="array" ref="O497">IF(493&gt;$S$1204,"",INDEX($T$5:$AJ$1204,MATCH(493,$S$5:$S$1204,0),15))</f>
        <v/>
      </c>
      <c r="P497" s="8" t="str">
        <f t="array" ref="P497">IF(493&gt;$S$1204,"",INDEX($T$5:$AJ$1204,MATCH(493,$S$5:$S$1204,0),16))</f>
        <v/>
      </c>
      <c r="Q497" s="8" t="str">
        <f t="array" ref="Q497">IF(493&gt;$S$1204,"",INDEX($T$5:$AJ$1204,MATCH(493,$S$5:$S$1204,0),17))</f>
        <v/>
      </c>
      <c r="R497" s="17"/>
      <c r="S497" s="17">
        <f>S496+IF(M3_Silleteria!A101="",0,1)</f>
        <v>0</v>
      </c>
      <c r="T497" s="17" t="str">
        <f>IF(M3_Silleteria!A101="","",IF(M3_Silleteria!A101="","",M3_Silleteria!A101))</f>
        <v/>
      </c>
      <c r="U497" s="17" t="str">
        <f>IF(M3_Silleteria!A101="","",IF(M3_Silleteria!Q101="","",M3_Silleteria!Q101))</f>
        <v/>
      </c>
      <c r="V497" s="17" t="str">
        <f>IF(M3_Silleteria!A101="","",IF(M3_Silleteria!D101="","",M3_Silleteria!D101))</f>
        <v/>
      </c>
      <c r="W497" s="17" t="str">
        <f>IF(M3_Silleteria!A101="","",IF(M3_Silleteria!B101="","",M3_Silleteria!B101))</f>
        <v/>
      </c>
      <c r="X497" s="17" t="str">
        <f>IF(M3_Silleteria!A101="","",IF(M3_Silleteria!C101="","",M3_Silleteria!C101))</f>
        <v/>
      </c>
      <c r="Y497" s="17" t="str">
        <f>IF(M3_Silleteria!A101="","",IF(M3_Silleteria!E101="","",M3_Silleteria!E101))</f>
        <v/>
      </c>
      <c r="Z497" s="17" t="str">
        <f>IF(M3_Silleteria!A101="","",IF(M3_Silleteria!F101="","",M3_Silleteria!F101))</f>
        <v/>
      </c>
      <c r="AA497" s="17" t="str">
        <f>IF(M3_Silleteria!A101="","","M3 Silletería")</f>
        <v/>
      </c>
      <c r="AB497" s="17" t="str">
        <f>IF(M3_Silleteria!A101="","",IF(M3_Silleteria!G101="","",M3_Silleteria!G101))</f>
        <v/>
      </c>
      <c r="AC497" s="17" t="str">
        <f>IF(M3_Silleteria!A101="","",IF(M3_Silleteria!L101="","",M3_Silleteria!L101))</f>
        <v/>
      </c>
      <c r="AD497" s="17" t="str">
        <f>IF(M3_Silleteria!A101="","","CD")</f>
        <v/>
      </c>
      <c r="AE497" s="17" t="str">
        <f>IF(M3_Silleteria!A101="","",IF(M3_Silleteria!N101="","",M3_Silleteria!N101))</f>
        <v/>
      </c>
      <c r="AF497" s="17" t="str">
        <f>IF(M3_Silleteria!A101="","",IF(M3_Silleteria!O101="","",M3_Silleteria!O101))</f>
        <v/>
      </c>
      <c r="AG497" s="17" t="str">
        <f>IF(M3_Silleteria!A101="","",IF(M3_Silleteria!P101="","",M3_Silleteria!P101))</f>
        <v/>
      </c>
      <c r="AH497" s="17" t="str">
        <f>IF(M3_Silleteria!A101="","",IF(M3_Silleteria!H101="","",M3_Silleteria!H101))</f>
        <v/>
      </c>
      <c r="AI497" s="17" t="str">
        <f>IF(M3_Silleteria!A101="","","M3_Silleteria!101")</f>
        <v/>
      </c>
      <c r="AJ497" s="17" t="str">
        <f>IF(M3_Silleteria!A101="","",IF(M3_Silleteria!L101="","Pendiente de resultado","Disponible"))</f>
        <v/>
      </c>
    </row>
    <row r="498" spans="1:36" ht="55.5" customHeight="1">
      <c r="A498" s="6" t="str">
        <f t="array" ref="A498">IF(494&gt;$S$1204,"",INDEX($T$5:$AJ$1204,MATCH(494,$S$5:$S$1204,0),1))</f>
        <v/>
      </c>
      <c r="B498" s="8" t="str">
        <f t="array" ref="B498">IF(494&gt;$S$1204,"",INDEX($T$5:$AJ$1204,MATCH(494,$S$5:$S$1204,0),2))</f>
        <v/>
      </c>
      <c r="C498" s="10" t="str">
        <f t="array" ref="C498">IF(494&gt;$S$1204,"",INDEX($T$5:$AJ$1204,MATCH(494,$S$5:$S$1204,0),3))</f>
        <v/>
      </c>
      <c r="D498" s="8" t="str">
        <f t="array" ref="D498">IF(494&gt;$S$1204,"",INDEX($T$5:$AJ$1204,MATCH(494,$S$5:$S$1204,0),4))</f>
        <v/>
      </c>
      <c r="E498" s="8" t="str">
        <f t="array" ref="E498">IF(494&gt;$S$1204,"",INDEX($T$5:$AJ$1204,MATCH(494,$S$5:$S$1204,0),5))</f>
        <v/>
      </c>
      <c r="F498" s="8" t="str">
        <f t="array" ref="F498">IF(494&gt;$S$1204,"",INDEX($T$5:$AJ$1204,MATCH(494,$S$5:$S$1204,0),6))</f>
        <v/>
      </c>
      <c r="G498" s="8" t="str">
        <f t="array" ref="G498">IF(494&gt;$S$1204,"",INDEX($T$5:$AJ$1204,MATCH(494,$S$5:$S$1204,0),7))</f>
        <v/>
      </c>
      <c r="H498" s="8" t="str">
        <f t="array" ref="H498">IF(494&gt;$S$1204,"",INDEX($T$5:$AJ$1204,MATCH(494,$S$5:$S$1204,0),8))</f>
        <v/>
      </c>
      <c r="I498" s="8" t="str">
        <f t="array" ref="I498">IF(494&gt;$S$1204,"",INDEX($T$5:$AJ$1204,MATCH(494,$S$5:$S$1204,0),9))</f>
        <v/>
      </c>
      <c r="J498" s="14" t="str">
        <f t="array" ref="J498">IF(494&gt;$S$1204,"",INDEX($T$5:$AJ$1204,MATCH(494,$S$5:$S$1204,0),10))</f>
        <v/>
      </c>
      <c r="K498" s="8" t="str">
        <f t="array" ref="K498">IF(494&gt;$S$1204,"",INDEX($T$5:$AJ$1204,MATCH(494,$S$5:$S$1204,0),11))</f>
        <v/>
      </c>
      <c r="L498" s="8" t="str">
        <f t="array" ref="L498">IF(494&gt;$S$1204,"",INDEX($T$5:$AJ$1204,MATCH(494,$S$5:$S$1204,0),12))</f>
        <v/>
      </c>
      <c r="M498" s="8" t="str">
        <f t="array" ref="M498">IF(494&gt;$S$1204,"",INDEX($T$5:$AJ$1204,MATCH(494,$S$5:$S$1204,0),13))</f>
        <v/>
      </c>
      <c r="N498" s="8" t="str">
        <f t="array" ref="N498">IF(494&gt;$S$1204,"",INDEX($T$5:$AJ$1204,MATCH(494,$S$5:$S$1204,0),14))</f>
        <v/>
      </c>
      <c r="O498" s="15" t="str">
        <f t="array" ref="O498">IF(494&gt;$S$1204,"",INDEX($T$5:$AJ$1204,MATCH(494,$S$5:$S$1204,0),15))</f>
        <v/>
      </c>
      <c r="P498" s="8" t="str">
        <f t="array" ref="P498">IF(494&gt;$S$1204,"",INDEX($T$5:$AJ$1204,MATCH(494,$S$5:$S$1204,0),16))</f>
        <v/>
      </c>
      <c r="Q498" s="8" t="str">
        <f t="array" ref="Q498">IF(494&gt;$S$1204,"",INDEX($T$5:$AJ$1204,MATCH(494,$S$5:$S$1204,0),17))</f>
        <v/>
      </c>
      <c r="R498" s="17"/>
      <c r="S498" s="17">
        <f>S497+IF(M3_Silleteria!A102="",0,1)</f>
        <v>0</v>
      </c>
      <c r="T498" s="17" t="str">
        <f>IF(M3_Silleteria!A102="","",IF(M3_Silleteria!A102="","",M3_Silleteria!A102))</f>
        <v/>
      </c>
      <c r="U498" s="17" t="str">
        <f>IF(M3_Silleteria!A102="","",IF(M3_Silleteria!Q102="","",M3_Silleteria!Q102))</f>
        <v/>
      </c>
      <c r="V498" s="17" t="str">
        <f>IF(M3_Silleteria!A102="","",IF(M3_Silleteria!D102="","",M3_Silleteria!D102))</f>
        <v/>
      </c>
      <c r="W498" s="17" t="str">
        <f>IF(M3_Silleteria!A102="","",IF(M3_Silleteria!B102="","",M3_Silleteria!B102))</f>
        <v/>
      </c>
      <c r="X498" s="17" t="str">
        <f>IF(M3_Silleteria!A102="","",IF(M3_Silleteria!C102="","",M3_Silleteria!C102))</f>
        <v/>
      </c>
      <c r="Y498" s="17" t="str">
        <f>IF(M3_Silleteria!A102="","",IF(M3_Silleteria!E102="","",M3_Silleteria!E102))</f>
        <v/>
      </c>
      <c r="Z498" s="17" t="str">
        <f>IF(M3_Silleteria!A102="","",IF(M3_Silleteria!F102="","",M3_Silleteria!F102))</f>
        <v/>
      </c>
      <c r="AA498" s="17" t="str">
        <f>IF(M3_Silleteria!A102="","","M3 Silletería")</f>
        <v/>
      </c>
      <c r="AB498" s="17" t="str">
        <f>IF(M3_Silleteria!A102="","",IF(M3_Silleteria!G102="","",M3_Silleteria!G102))</f>
        <v/>
      </c>
      <c r="AC498" s="17" t="str">
        <f>IF(M3_Silleteria!A102="","",IF(M3_Silleteria!L102="","",M3_Silleteria!L102))</f>
        <v/>
      </c>
      <c r="AD498" s="17" t="str">
        <f>IF(M3_Silleteria!A102="","","CD")</f>
        <v/>
      </c>
      <c r="AE498" s="17" t="str">
        <f>IF(M3_Silleteria!A102="","",IF(M3_Silleteria!N102="","",M3_Silleteria!N102))</f>
        <v/>
      </c>
      <c r="AF498" s="17" t="str">
        <f>IF(M3_Silleteria!A102="","",IF(M3_Silleteria!O102="","",M3_Silleteria!O102))</f>
        <v/>
      </c>
      <c r="AG498" s="17" t="str">
        <f>IF(M3_Silleteria!A102="","",IF(M3_Silleteria!P102="","",M3_Silleteria!P102))</f>
        <v/>
      </c>
      <c r="AH498" s="17" t="str">
        <f>IF(M3_Silleteria!A102="","",IF(M3_Silleteria!H102="","",M3_Silleteria!H102))</f>
        <v/>
      </c>
      <c r="AI498" s="17" t="str">
        <f>IF(M3_Silleteria!A102="","","M3_Silleteria!102")</f>
        <v/>
      </c>
      <c r="AJ498" s="17" t="str">
        <f>IF(M3_Silleteria!A102="","",IF(M3_Silleteria!L102="","Pendiente de resultado","Disponible"))</f>
        <v/>
      </c>
    </row>
    <row r="499" spans="1:36" ht="55.5" customHeight="1">
      <c r="A499" s="6" t="str">
        <f t="array" ref="A499">IF(495&gt;$S$1204,"",INDEX($T$5:$AJ$1204,MATCH(495,$S$5:$S$1204,0),1))</f>
        <v/>
      </c>
      <c r="B499" s="8" t="str">
        <f t="array" ref="B499">IF(495&gt;$S$1204,"",INDEX($T$5:$AJ$1204,MATCH(495,$S$5:$S$1204,0),2))</f>
        <v/>
      </c>
      <c r="C499" s="10" t="str">
        <f t="array" ref="C499">IF(495&gt;$S$1204,"",INDEX($T$5:$AJ$1204,MATCH(495,$S$5:$S$1204,0),3))</f>
        <v/>
      </c>
      <c r="D499" s="8" t="str">
        <f t="array" ref="D499">IF(495&gt;$S$1204,"",INDEX($T$5:$AJ$1204,MATCH(495,$S$5:$S$1204,0),4))</f>
        <v/>
      </c>
      <c r="E499" s="8" t="str">
        <f t="array" ref="E499">IF(495&gt;$S$1204,"",INDEX($T$5:$AJ$1204,MATCH(495,$S$5:$S$1204,0),5))</f>
        <v/>
      </c>
      <c r="F499" s="8" t="str">
        <f t="array" ref="F499">IF(495&gt;$S$1204,"",INDEX($T$5:$AJ$1204,MATCH(495,$S$5:$S$1204,0),6))</f>
        <v/>
      </c>
      <c r="G499" s="8" t="str">
        <f t="array" ref="G499">IF(495&gt;$S$1204,"",INDEX($T$5:$AJ$1204,MATCH(495,$S$5:$S$1204,0),7))</f>
        <v/>
      </c>
      <c r="H499" s="8" t="str">
        <f t="array" ref="H499">IF(495&gt;$S$1204,"",INDEX($T$5:$AJ$1204,MATCH(495,$S$5:$S$1204,0),8))</f>
        <v/>
      </c>
      <c r="I499" s="8" t="str">
        <f t="array" ref="I499">IF(495&gt;$S$1204,"",INDEX($T$5:$AJ$1204,MATCH(495,$S$5:$S$1204,0),9))</f>
        <v/>
      </c>
      <c r="J499" s="14" t="str">
        <f t="array" ref="J499">IF(495&gt;$S$1204,"",INDEX($T$5:$AJ$1204,MATCH(495,$S$5:$S$1204,0),10))</f>
        <v/>
      </c>
      <c r="K499" s="8" t="str">
        <f t="array" ref="K499">IF(495&gt;$S$1204,"",INDEX($T$5:$AJ$1204,MATCH(495,$S$5:$S$1204,0),11))</f>
        <v/>
      </c>
      <c r="L499" s="8" t="str">
        <f t="array" ref="L499">IF(495&gt;$S$1204,"",INDEX($T$5:$AJ$1204,MATCH(495,$S$5:$S$1204,0),12))</f>
        <v/>
      </c>
      <c r="M499" s="8" t="str">
        <f t="array" ref="M499">IF(495&gt;$S$1204,"",INDEX($T$5:$AJ$1204,MATCH(495,$S$5:$S$1204,0),13))</f>
        <v/>
      </c>
      <c r="N499" s="8" t="str">
        <f t="array" ref="N499">IF(495&gt;$S$1204,"",INDEX($T$5:$AJ$1204,MATCH(495,$S$5:$S$1204,0),14))</f>
        <v/>
      </c>
      <c r="O499" s="15" t="str">
        <f t="array" ref="O499">IF(495&gt;$S$1204,"",INDEX($T$5:$AJ$1204,MATCH(495,$S$5:$S$1204,0),15))</f>
        <v/>
      </c>
      <c r="P499" s="8" t="str">
        <f t="array" ref="P499">IF(495&gt;$S$1204,"",INDEX($T$5:$AJ$1204,MATCH(495,$S$5:$S$1204,0),16))</f>
        <v/>
      </c>
      <c r="Q499" s="8" t="str">
        <f t="array" ref="Q499">IF(495&gt;$S$1204,"",INDEX($T$5:$AJ$1204,MATCH(495,$S$5:$S$1204,0),17))</f>
        <v/>
      </c>
      <c r="R499" s="17"/>
      <c r="S499" s="17">
        <f>S498+IF(M3_Silleteria!A103="",0,1)</f>
        <v>0</v>
      </c>
      <c r="T499" s="17" t="str">
        <f>IF(M3_Silleteria!A103="","",IF(M3_Silleteria!A103="","",M3_Silleteria!A103))</f>
        <v/>
      </c>
      <c r="U499" s="17" t="str">
        <f>IF(M3_Silleteria!A103="","",IF(M3_Silleteria!Q103="","",M3_Silleteria!Q103))</f>
        <v/>
      </c>
      <c r="V499" s="17" t="str">
        <f>IF(M3_Silleteria!A103="","",IF(M3_Silleteria!D103="","",M3_Silleteria!D103))</f>
        <v/>
      </c>
      <c r="W499" s="17" t="str">
        <f>IF(M3_Silleteria!A103="","",IF(M3_Silleteria!B103="","",M3_Silleteria!B103))</f>
        <v/>
      </c>
      <c r="X499" s="17" t="str">
        <f>IF(M3_Silleteria!A103="","",IF(M3_Silleteria!C103="","",M3_Silleteria!C103))</f>
        <v/>
      </c>
      <c r="Y499" s="17" t="str">
        <f>IF(M3_Silleteria!A103="","",IF(M3_Silleteria!E103="","",M3_Silleteria!E103))</f>
        <v/>
      </c>
      <c r="Z499" s="17" t="str">
        <f>IF(M3_Silleteria!A103="","",IF(M3_Silleteria!F103="","",M3_Silleteria!F103))</f>
        <v/>
      </c>
      <c r="AA499" s="17" t="str">
        <f>IF(M3_Silleteria!A103="","","M3 Silletería")</f>
        <v/>
      </c>
      <c r="AB499" s="17" t="str">
        <f>IF(M3_Silleteria!A103="","",IF(M3_Silleteria!G103="","",M3_Silleteria!G103))</f>
        <v/>
      </c>
      <c r="AC499" s="17" t="str">
        <f>IF(M3_Silleteria!A103="","",IF(M3_Silleteria!L103="","",M3_Silleteria!L103))</f>
        <v/>
      </c>
      <c r="AD499" s="17" t="str">
        <f>IF(M3_Silleteria!A103="","","CD")</f>
        <v/>
      </c>
      <c r="AE499" s="17" t="str">
        <f>IF(M3_Silleteria!A103="","",IF(M3_Silleteria!N103="","",M3_Silleteria!N103))</f>
        <v/>
      </c>
      <c r="AF499" s="17" t="str">
        <f>IF(M3_Silleteria!A103="","",IF(M3_Silleteria!O103="","",M3_Silleteria!O103))</f>
        <v/>
      </c>
      <c r="AG499" s="17" t="str">
        <f>IF(M3_Silleteria!A103="","",IF(M3_Silleteria!P103="","",M3_Silleteria!P103))</f>
        <v/>
      </c>
      <c r="AH499" s="17" t="str">
        <f>IF(M3_Silleteria!A103="","",IF(M3_Silleteria!H103="","",M3_Silleteria!H103))</f>
        <v/>
      </c>
      <c r="AI499" s="17" t="str">
        <f>IF(M3_Silleteria!A103="","","M3_Silleteria!103")</f>
        <v/>
      </c>
      <c r="AJ499" s="17" t="str">
        <f>IF(M3_Silleteria!A103="","",IF(M3_Silleteria!L103="","Pendiente de resultado","Disponible"))</f>
        <v/>
      </c>
    </row>
    <row r="500" spans="1:36" ht="55.5" customHeight="1">
      <c r="A500" s="6" t="str">
        <f t="array" ref="A500">IF(496&gt;$S$1204,"",INDEX($T$5:$AJ$1204,MATCH(496,$S$5:$S$1204,0),1))</f>
        <v/>
      </c>
      <c r="B500" s="8" t="str">
        <f t="array" ref="B500">IF(496&gt;$S$1204,"",INDEX($T$5:$AJ$1204,MATCH(496,$S$5:$S$1204,0),2))</f>
        <v/>
      </c>
      <c r="C500" s="10" t="str">
        <f t="array" ref="C500">IF(496&gt;$S$1204,"",INDEX($T$5:$AJ$1204,MATCH(496,$S$5:$S$1204,0),3))</f>
        <v/>
      </c>
      <c r="D500" s="8" t="str">
        <f t="array" ref="D500">IF(496&gt;$S$1204,"",INDEX($T$5:$AJ$1204,MATCH(496,$S$5:$S$1204,0),4))</f>
        <v/>
      </c>
      <c r="E500" s="8" t="str">
        <f t="array" ref="E500">IF(496&gt;$S$1204,"",INDEX($T$5:$AJ$1204,MATCH(496,$S$5:$S$1204,0),5))</f>
        <v/>
      </c>
      <c r="F500" s="8" t="str">
        <f t="array" ref="F500">IF(496&gt;$S$1204,"",INDEX($T$5:$AJ$1204,MATCH(496,$S$5:$S$1204,0),6))</f>
        <v/>
      </c>
      <c r="G500" s="8" t="str">
        <f t="array" ref="G500">IF(496&gt;$S$1204,"",INDEX($T$5:$AJ$1204,MATCH(496,$S$5:$S$1204,0),7))</f>
        <v/>
      </c>
      <c r="H500" s="8" t="str">
        <f t="array" ref="H500">IF(496&gt;$S$1204,"",INDEX($T$5:$AJ$1204,MATCH(496,$S$5:$S$1204,0),8))</f>
        <v/>
      </c>
      <c r="I500" s="8" t="str">
        <f t="array" ref="I500">IF(496&gt;$S$1204,"",INDEX($T$5:$AJ$1204,MATCH(496,$S$5:$S$1204,0),9))</f>
        <v/>
      </c>
      <c r="J500" s="14" t="str">
        <f t="array" ref="J500">IF(496&gt;$S$1204,"",INDEX($T$5:$AJ$1204,MATCH(496,$S$5:$S$1204,0),10))</f>
        <v/>
      </c>
      <c r="K500" s="8" t="str">
        <f t="array" ref="K500">IF(496&gt;$S$1204,"",INDEX($T$5:$AJ$1204,MATCH(496,$S$5:$S$1204,0),11))</f>
        <v/>
      </c>
      <c r="L500" s="8" t="str">
        <f t="array" ref="L500">IF(496&gt;$S$1204,"",INDEX($T$5:$AJ$1204,MATCH(496,$S$5:$S$1204,0),12))</f>
        <v/>
      </c>
      <c r="M500" s="8" t="str">
        <f t="array" ref="M500">IF(496&gt;$S$1204,"",INDEX($T$5:$AJ$1204,MATCH(496,$S$5:$S$1204,0),13))</f>
        <v/>
      </c>
      <c r="N500" s="8" t="str">
        <f t="array" ref="N500">IF(496&gt;$S$1204,"",INDEX($T$5:$AJ$1204,MATCH(496,$S$5:$S$1204,0),14))</f>
        <v/>
      </c>
      <c r="O500" s="15" t="str">
        <f t="array" ref="O500">IF(496&gt;$S$1204,"",INDEX($T$5:$AJ$1204,MATCH(496,$S$5:$S$1204,0),15))</f>
        <v/>
      </c>
      <c r="P500" s="8" t="str">
        <f t="array" ref="P500">IF(496&gt;$S$1204,"",INDEX($T$5:$AJ$1204,MATCH(496,$S$5:$S$1204,0),16))</f>
        <v/>
      </c>
      <c r="Q500" s="8" t="str">
        <f t="array" ref="Q500">IF(496&gt;$S$1204,"",INDEX($T$5:$AJ$1204,MATCH(496,$S$5:$S$1204,0),17))</f>
        <v/>
      </c>
      <c r="R500" s="17"/>
      <c r="S500" s="17">
        <f>S499+IF(M3_Silleteria!A104="",0,1)</f>
        <v>0</v>
      </c>
      <c r="T500" s="17" t="str">
        <f>IF(M3_Silleteria!A104="","",IF(M3_Silleteria!A104="","",M3_Silleteria!A104))</f>
        <v/>
      </c>
      <c r="U500" s="17" t="str">
        <f>IF(M3_Silleteria!A104="","",IF(M3_Silleteria!Q104="","",M3_Silleteria!Q104))</f>
        <v/>
      </c>
      <c r="V500" s="17" t="str">
        <f>IF(M3_Silleteria!A104="","",IF(M3_Silleteria!D104="","",M3_Silleteria!D104))</f>
        <v/>
      </c>
      <c r="W500" s="17" t="str">
        <f>IF(M3_Silleteria!A104="","",IF(M3_Silleteria!B104="","",M3_Silleteria!B104))</f>
        <v/>
      </c>
      <c r="X500" s="17" t="str">
        <f>IF(M3_Silleteria!A104="","",IF(M3_Silleteria!C104="","",M3_Silleteria!C104))</f>
        <v/>
      </c>
      <c r="Y500" s="17" t="str">
        <f>IF(M3_Silleteria!A104="","",IF(M3_Silleteria!E104="","",M3_Silleteria!E104))</f>
        <v/>
      </c>
      <c r="Z500" s="17" t="str">
        <f>IF(M3_Silleteria!A104="","",IF(M3_Silleteria!F104="","",M3_Silleteria!F104))</f>
        <v/>
      </c>
      <c r="AA500" s="17" t="str">
        <f>IF(M3_Silleteria!A104="","","M3 Silletería")</f>
        <v/>
      </c>
      <c r="AB500" s="17" t="str">
        <f>IF(M3_Silleteria!A104="","",IF(M3_Silleteria!G104="","",M3_Silleteria!G104))</f>
        <v/>
      </c>
      <c r="AC500" s="17" t="str">
        <f>IF(M3_Silleteria!A104="","",IF(M3_Silleteria!L104="","",M3_Silleteria!L104))</f>
        <v/>
      </c>
      <c r="AD500" s="17" t="str">
        <f>IF(M3_Silleteria!A104="","","CD")</f>
        <v/>
      </c>
      <c r="AE500" s="17" t="str">
        <f>IF(M3_Silleteria!A104="","",IF(M3_Silleteria!N104="","",M3_Silleteria!N104))</f>
        <v/>
      </c>
      <c r="AF500" s="17" t="str">
        <f>IF(M3_Silleteria!A104="","",IF(M3_Silleteria!O104="","",M3_Silleteria!O104))</f>
        <v/>
      </c>
      <c r="AG500" s="17" t="str">
        <f>IF(M3_Silleteria!A104="","",IF(M3_Silleteria!P104="","",M3_Silleteria!P104))</f>
        <v/>
      </c>
      <c r="AH500" s="17" t="str">
        <f>IF(M3_Silleteria!A104="","",IF(M3_Silleteria!H104="","",M3_Silleteria!H104))</f>
        <v/>
      </c>
      <c r="AI500" s="17" t="str">
        <f>IF(M3_Silleteria!A104="","","M3_Silleteria!104")</f>
        <v/>
      </c>
      <c r="AJ500" s="17" t="str">
        <f>IF(M3_Silleteria!A104="","",IF(M3_Silleteria!L104="","Pendiente de resultado","Disponible"))</f>
        <v/>
      </c>
    </row>
    <row r="501" spans="1:36" ht="55.5" customHeight="1">
      <c r="A501" s="6" t="str">
        <f t="array" ref="A501">IF(497&gt;$S$1204,"",INDEX($T$5:$AJ$1204,MATCH(497,$S$5:$S$1204,0),1))</f>
        <v/>
      </c>
      <c r="B501" s="8" t="str">
        <f t="array" ref="B501">IF(497&gt;$S$1204,"",INDEX($T$5:$AJ$1204,MATCH(497,$S$5:$S$1204,0),2))</f>
        <v/>
      </c>
      <c r="C501" s="10" t="str">
        <f t="array" ref="C501">IF(497&gt;$S$1204,"",INDEX($T$5:$AJ$1204,MATCH(497,$S$5:$S$1204,0),3))</f>
        <v/>
      </c>
      <c r="D501" s="8" t="str">
        <f t="array" ref="D501">IF(497&gt;$S$1204,"",INDEX($T$5:$AJ$1204,MATCH(497,$S$5:$S$1204,0),4))</f>
        <v/>
      </c>
      <c r="E501" s="8" t="str">
        <f t="array" ref="E501">IF(497&gt;$S$1204,"",INDEX($T$5:$AJ$1204,MATCH(497,$S$5:$S$1204,0),5))</f>
        <v/>
      </c>
      <c r="F501" s="8" t="str">
        <f t="array" ref="F501">IF(497&gt;$S$1204,"",INDEX($T$5:$AJ$1204,MATCH(497,$S$5:$S$1204,0),6))</f>
        <v/>
      </c>
      <c r="G501" s="8" t="str">
        <f t="array" ref="G501">IF(497&gt;$S$1204,"",INDEX($T$5:$AJ$1204,MATCH(497,$S$5:$S$1204,0),7))</f>
        <v/>
      </c>
      <c r="H501" s="8" t="str">
        <f t="array" ref="H501">IF(497&gt;$S$1204,"",INDEX($T$5:$AJ$1204,MATCH(497,$S$5:$S$1204,0),8))</f>
        <v/>
      </c>
      <c r="I501" s="8" t="str">
        <f t="array" ref="I501">IF(497&gt;$S$1204,"",INDEX($T$5:$AJ$1204,MATCH(497,$S$5:$S$1204,0),9))</f>
        <v/>
      </c>
      <c r="J501" s="14" t="str">
        <f t="array" ref="J501">IF(497&gt;$S$1204,"",INDEX($T$5:$AJ$1204,MATCH(497,$S$5:$S$1204,0),10))</f>
        <v/>
      </c>
      <c r="K501" s="8" t="str">
        <f t="array" ref="K501">IF(497&gt;$S$1204,"",INDEX($T$5:$AJ$1204,MATCH(497,$S$5:$S$1204,0),11))</f>
        <v/>
      </c>
      <c r="L501" s="8" t="str">
        <f t="array" ref="L501">IF(497&gt;$S$1204,"",INDEX($T$5:$AJ$1204,MATCH(497,$S$5:$S$1204,0),12))</f>
        <v/>
      </c>
      <c r="M501" s="8" t="str">
        <f t="array" ref="M501">IF(497&gt;$S$1204,"",INDEX($T$5:$AJ$1204,MATCH(497,$S$5:$S$1204,0),13))</f>
        <v/>
      </c>
      <c r="N501" s="8" t="str">
        <f t="array" ref="N501">IF(497&gt;$S$1204,"",INDEX($T$5:$AJ$1204,MATCH(497,$S$5:$S$1204,0),14))</f>
        <v/>
      </c>
      <c r="O501" s="15" t="str">
        <f t="array" ref="O501">IF(497&gt;$S$1204,"",INDEX($T$5:$AJ$1204,MATCH(497,$S$5:$S$1204,0),15))</f>
        <v/>
      </c>
      <c r="P501" s="8" t="str">
        <f t="array" ref="P501">IF(497&gt;$S$1204,"",INDEX($T$5:$AJ$1204,MATCH(497,$S$5:$S$1204,0),16))</f>
        <v/>
      </c>
      <c r="Q501" s="8" t="str">
        <f t="array" ref="Q501">IF(497&gt;$S$1204,"",INDEX($T$5:$AJ$1204,MATCH(497,$S$5:$S$1204,0),17))</f>
        <v/>
      </c>
      <c r="R501" s="17"/>
      <c r="S501" s="17">
        <f>S500+IF(M3_Silleteria!A105="",0,1)</f>
        <v>0</v>
      </c>
      <c r="T501" s="17" t="str">
        <f>IF(M3_Silleteria!A105="","",IF(M3_Silleteria!A105="","",M3_Silleteria!A105))</f>
        <v/>
      </c>
      <c r="U501" s="17" t="str">
        <f>IF(M3_Silleteria!A105="","",IF(M3_Silleteria!Q105="","",M3_Silleteria!Q105))</f>
        <v/>
      </c>
      <c r="V501" s="17" t="str">
        <f>IF(M3_Silleteria!A105="","",IF(M3_Silleteria!D105="","",M3_Silleteria!D105))</f>
        <v/>
      </c>
      <c r="W501" s="17" t="str">
        <f>IF(M3_Silleteria!A105="","",IF(M3_Silleteria!B105="","",M3_Silleteria!B105))</f>
        <v/>
      </c>
      <c r="X501" s="17" t="str">
        <f>IF(M3_Silleteria!A105="","",IF(M3_Silleteria!C105="","",M3_Silleteria!C105))</f>
        <v/>
      </c>
      <c r="Y501" s="17" t="str">
        <f>IF(M3_Silleteria!A105="","",IF(M3_Silleteria!E105="","",M3_Silleteria!E105))</f>
        <v/>
      </c>
      <c r="Z501" s="17" t="str">
        <f>IF(M3_Silleteria!A105="","",IF(M3_Silleteria!F105="","",M3_Silleteria!F105))</f>
        <v/>
      </c>
      <c r="AA501" s="17" t="str">
        <f>IF(M3_Silleteria!A105="","","M3 Silletería")</f>
        <v/>
      </c>
      <c r="AB501" s="17" t="str">
        <f>IF(M3_Silleteria!A105="","",IF(M3_Silleteria!G105="","",M3_Silleteria!G105))</f>
        <v/>
      </c>
      <c r="AC501" s="17" t="str">
        <f>IF(M3_Silleteria!A105="","",IF(M3_Silleteria!L105="","",M3_Silleteria!L105))</f>
        <v/>
      </c>
      <c r="AD501" s="17" t="str">
        <f>IF(M3_Silleteria!A105="","","CD")</f>
        <v/>
      </c>
      <c r="AE501" s="17" t="str">
        <f>IF(M3_Silleteria!A105="","",IF(M3_Silleteria!N105="","",M3_Silleteria!N105))</f>
        <v/>
      </c>
      <c r="AF501" s="17" t="str">
        <f>IF(M3_Silleteria!A105="","",IF(M3_Silleteria!O105="","",M3_Silleteria!O105))</f>
        <v/>
      </c>
      <c r="AG501" s="17" t="str">
        <f>IF(M3_Silleteria!A105="","",IF(M3_Silleteria!P105="","",M3_Silleteria!P105))</f>
        <v/>
      </c>
      <c r="AH501" s="17" t="str">
        <f>IF(M3_Silleteria!A105="","",IF(M3_Silleteria!H105="","",M3_Silleteria!H105))</f>
        <v/>
      </c>
      <c r="AI501" s="17" t="str">
        <f>IF(M3_Silleteria!A105="","","M3_Silleteria!105")</f>
        <v/>
      </c>
      <c r="AJ501" s="17" t="str">
        <f>IF(M3_Silleteria!A105="","",IF(M3_Silleteria!L105="","Pendiente de resultado","Disponible"))</f>
        <v/>
      </c>
    </row>
    <row r="502" spans="1:36" ht="55.5" customHeight="1">
      <c r="A502" s="6" t="str">
        <f t="array" ref="A502">IF(498&gt;$S$1204,"",INDEX($T$5:$AJ$1204,MATCH(498,$S$5:$S$1204,0),1))</f>
        <v/>
      </c>
      <c r="B502" s="8" t="str">
        <f t="array" ref="B502">IF(498&gt;$S$1204,"",INDEX($T$5:$AJ$1204,MATCH(498,$S$5:$S$1204,0),2))</f>
        <v/>
      </c>
      <c r="C502" s="10" t="str">
        <f t="array" ref="C502">IF(498&gt;$S$1204,"",INDEX($T$5:$AJ$1204,MATCH(498,$S$5:$S$1204,0),3))</f>
        <v/>
      </c>
      <c r="D502" s="8" t="str">
        <f t="array" ref="D502">IF(498&gt;$S$1204,"",INDEX($T$5:$AJ$1204,MATCH(498,$S$5:$S$1204,0),4))</f>
        <v/>
      </c>
      <c r="E502" s="8" t="str">
        <f t="array" ref="E502">IF(498&gt;$S$1204,"",INDEX($T$5:$AJ$1204,MATCH(498,$S$5:$S$1204,0),5))</f>
        <v/>
      </c>
      <c r="F502" s="8" t="str">
        <f t="array" ref="F502">IF(498&gt;$S$1204,"",INDEX($T$5:$AJ$1204,MATCH(498,$S$5:$S$1204,0),6))</f>
        <v/>
      </c>
      <c r="G502" s="8" t="str">
        <f t="array" ref="G502">IF(498&gt;$S$1204,"",INDEX($T$5:$AJ$1204,MATCH(498,$S$5:$S$1204,0),7))</f>
        <v/>
      </c>
      <c r="H502" s="8" t="str">
        <f t="array" ref="H502">IF(498&gt;$S$1204,"",INDEX($T$5:$AJ$1204,MATCH(498,$S$5:$S$1204,0),8))</f>
        <v/>
      </c>
      <c r="I502" s="8" t="str">
        <f t="array" ref="I502">IF(498&gt;$S$1204,"",INDEX($T$5:$AJ$1204,MATCH(498,$S$5:$S$1204,0),9))</f>
        <v/>
      </c>
      <c r="J502" s="14" t="str">
        <f t="array" ref="J502">IF(498&gt;$S$1204,"",INDEX($T$5:$AJ$1204,MATCH(498,$S$5:$S$1204,0),10))</f>
        <v/>
      </c>
      <c r="K502" s="8" t="str">
        <f t="array" ref="K502">IF(498&gt;$S$1204,"",INDEX($T$5:$AJ$1204,MATCH(498,$S$5:$S$1204,0),11))</f>
        <v/>
      </c>
      <c r="L502" s="8" t="str">
        <f t="array" ref="L502">IF(498&gt;$S$1204,"",INDEX($T$5:$AJ$1204,MATCH(498,$S$5:$S$1204,0),12))</f>
        <v/>
      </c>
      <c r="M502" s="8" t="str">
        <f t="array" ref="M502">IF(498&gt;$S$1204,"",INDEX($T$5:$AJ$1204,MATCH(498,$S$5:$S$1204,0),13))</f>
        <v/>
      </c>
      <c r="N502" s="8" t="str">
        <f t="array" ref="N502">IF(498&gt;$S$1204,"",INDEX($T$5:$AJ$1204,MATCH(498,$S$5:$S$1204,0),14))</f>
        <v/>
      </c>
      <c r="O502" s="15" t="str">
        <f t="array" ref="O502">IF(498&gt;$S$1204,"",INDEX($T$5:$AJ$1204,MATCH(498,$S$5:$S$1204,0),15))</f>
        <v/>
      </c>
      <c r="P502" s="8" t="str">
        <f t="array" ref="P502">IF(498&gt;$S$1204,"",INDEX($T$5:$AJ$1204,MATCH(498,$S$5:$S$1204,0),16))</f>
        <v/>
      </c>
      <c r="Q502" s="8" t="str">
        <f t="array" ref="Q502">IF(498&gt;$S$1204,"",INDEX($T$5:$AJ$1204,MATCH(498,$S$5:$S$1204,0),17))</f>
        <v/>
      </c>
      <c r="R502" s="17"/>
      <c r="S502" s="17">
        <f>S501+IF(M3_Silleteria!A106="",0,1)</f>
        <v>0</v>
      </c>
      <c r="T502" s="17" t="str">
        <f>IF(M3_Silleteria!A106="","",IF(M3_Silleteria!A106="","",M3_Silleteria!A106))</f>
        <v/>
      </c>
      <c r="U502" s="17" t="str">
        <f>IF(M3_Silleteria!A106="","",IF(M3_Silleteria!Q106="","",M3_Silleteria!Q106))</f>
        <v/>
      </c>
      <c r="V502" s="17" t="str">
        <f>IF(M3_Silleteria!A106="","",IF(M3_Silleteria!D106="","",M3_Silleteria!D106))</f>
        <v/>
      </c>
      <c r="W502" s="17" t="str">
        <f>IF(M3_Silleteria!A106="","",IF(M3_Silleteria!B106="","",M3_Silleteria!B106))</f>
        <v/>
      </c>
      <c r="X502" s="17" t="str">
        <f>IF(M3_Silleteria!A106="","",IF(M3_Silleteria!C106="","",M3_Silleteria!C106))</f>
        <v/>
      </c>
      <c r="Y502" s="17" t="str">
        <f>IF(M3_Silleteria!A106="","",IF(M3_Silleteria!E106="","",M3_Silleteria!E106))</f>
        <v/>
      </c>
      <c r="Z502" s="17" t="str">
        <f>IF(M3_Silleteria!A106="","",IF(M3_Silleteria!F106="","",M3_Silleteria!F106))</f>
        <v/>
      </c>
      <c r="AA502" s="17" t="str">
        <f>IF(M3_Silleteria!A106="","","M3 Silletería")</f>
        <v/>
      </c>
      <c r="AB502" s="17" t="str">
        <f>IF(M3_Silleteria!A106="","",IF(M3_Silleteria!G106="","",M3_Silleteria!G106))</f>
        <v/>
      </c>
      <c r="AC502" s="17" t="str">
        <f>IF(M3_Silleteria!A106="","",IF(M3_Silleteria!L106="","",M3_Silleteria!L106))</f>
        <v/>
      </c>
      <c r="AD502" s="17" t="str">
        <f>IF(M3_Silleteria!A106="","","CD")</f>
        <v/>
      </c>
      <c r="AE502" s="17" t="str">
        <f>IF(M3_Silleteria!A106="","",IF(M3_Silleteria!N106="","",M3_Silleteria!N106))</f>
        <v/>
      </c>
      <c r="AF502" s="17" t="str">
        <f>IF(M3_Silleteria!A106="","",IF(M3_Silleteria!O106="","",M3_Silleteria!O106))</f>
        <v/>
      </c>
      <c r="AG502" s="17" t="str">
        <f>IF(M3_Silleteria!A106="","",IF(M3_Silleteria!P106="","",M3_Silleteria!P106))</f>
        <v/>
      </c>
      <c r="AH502" s="17" t="str">
        <f>IF(M3_Silleteria!A106="","",IF(M3_Silleteria!H106="","",M3_Silleteria!H106))</f>
        <v/>
      </c>
      <c r="AI502" s="17" t="str">
        <f>IF(M3_Silleteria!A106="","","M3_Silleteria!106")</f>
        <v/>
      </c>
      <c r="AJ502" s="17" t="str">
        <f>IF(M3_Silleteria!A106="","",IF(M3_Silleteria!L106="","Pendiente de resultado","Disponible"))</f>
        <v/>
      </c>
    </row>
    <row r="503" spans="1:36" ht="55.5" customHeight="1">
      <c r="A503" s="6" t="str">
        <f t="array" ref="A503">IF(499&gt;$S$1204,"",INDEX($T$5:$AJ$1204,MATCH(499,$S$5:$S$1204,0),1))</f>
        <v/>
      </c>
      <c r="B503" s="8" t="str">
        <f t="array" ref="B503">IF(499&gt;$S$1204,"",INDEX($T$5:$AJ$1204,MATCH(499,$S$5:$S$1204,0),2))</f>
        <v/>
      </c>
      <c r="C503" s="10" t="str">
        <f t="array" ref="C503">IF(499&gt;$S$1204,"",INDEX($T$5:$AJ$1204,MATCH(499,$S$5:$S$1204,0),3))</f>
        <v/>
      </c>
      <c r="D503" s="8" t="str">
        <f t="array" ref="D503">IF(499&gt;$S$1204,"",INDEX($T$5:$AJ$1204,MATCH(499,$S$5:$S$1204,0),4))</f>
        <v/>
      </c>
      <c r="E503" s="8" t="str">
        <f t="array" ref="E503">IF(499&gt;$S$1204,"",INDEX($T$5:$AJ$1204,MATCH(499,$S$5:$S$1204,0),5))</f>
        <v/>
      </c>
      <c r="F503" s="8" t="str">
        <f t="array" ref="F503">IF(499&gt;$S$1204,"",INDEX($T$5:$AJ$1204,MATCH(499,$S$5:$S$1204,0),6))</f>
        <v/>
      </c>
      <c r="G503" s="8" t="str">
        <f t="array" ref="G503">IF(499&gt;$S$1204,"",INDEX($T$5:$AJ$1204,MATCH(499,$S$5:$S$1204,0),7))</f>
        <v/>
      </c>
      <c r="H503" s="8" t="str">
        <f t="array" ref="H503">IF(499&gt;$S$1204,"",INDEX($T$5:$AJ$1204,MATCH(499,$S$5:$S$1204,0),8))</f>
        <v/>
      </c>
      <c r="I503" s="8" t="str">
        <f t="array" ref="I503">IF(499&gt;$S$1204,"",INDEX($T$5:$AJ$1204,MATCH(499,$S$5:$S$1204,0),9))</f>
        <v/>
      </c>
      <c r="J503" s="14" t="str">
        <f t="array" ref="J503">IF(499&gt;$S$1204,"",INDEX($T$5:$AJ$1204,MATCH(499,$S$5:$S$1204,0),10))</f>
        <v/>
      </c>
      <c r="K503" s="8" t="str">
        <f t="array" ref="K503">IF(499&gt;$S$1204,"",INDEX($T$5:$AJ$1204,MATCH(499,$S$5:$S$1204,0),11))</f>
        <v/>
      </c>
      <c r="L503" s="8" t="str">
        <f t="array" ref="L503">IF(499&gt;$S$1204,"",INDEX($T$5:$AJ$1204,MATCH(499,$S$5:$S$1204,0),12))</f>
        <v/>
      </c>
      <c r="M503" s="8" t="str">
        <f t="array" ref="M503">IF(499&gt;$S$1204,"",INDEX($T$5:$AJ$1204,MATCH(499,$S$5:$S$1204,0),13))</f>
        <v/>
      </c>
      <c r="N503" s="8" t="str">
        <f t="array" ref="N503">IF(499&gt;$S$1204,"",INDEX($T$5:$AJ$1204,MATCH(499,$S$5:$S$1204,0),14))</f>
        <v/>
      </c>
      <c r="O503" s="15" t="str">
        <f t="array" ref="O503">IF(499&gt;$S$1204,"",INDEX($T$5:$AJ$1204,MATCH(499,$S$5:$S$1204,0),15))</f>
        <v/>
      </c>
      <c r="P503" s="8" t="str">
        <f t="array" ref="P503">IF(499&gt;$S$1204,"",INDEX($T$5:$AJ$1204,MATCH(499,$S$5:$S$1204,0),16))</f>
        <v/>
      </c>
      <c r="Q503" s="8" t="str">
        <f t="array" ref="Q503">IF(499&gt;$S$1204,"",INDEX($T$5:$AJ$1204,MATCH(499,$S$5:$S$1204,0),17))</f>
        <v/>
      </c>
      <c r="R503" s="17"/>
      <c r="S503" s="17">
        <f>S502+IF(M3_Silleteria!A107="",0,1)</f>
        <v>0</v>
      </c>
      <c r="T503" s="17" t="str">
        <f>IF(M3_Silleteria!A107="","",IF(M3_Silleteria!A107="","",M3_Silleteria!A107))</f>
        <v/>
      </c>
      <c r="U503" s="17" t="str">
        <f>IF(M3_Silleteria!A107="","",IF(M3_Silleteria!Q107="","",M3_Silleteria!Q107))</f>
        <v/>
      </c>
      <c r="V503" s="17" t="str">
        <f>IF(M3_Silleteria!A107="","",IF(M3_Silleteria!D107="","",M3_Silleteria!D107))</f>
        <v/>
      </c>
      <c r="W503" s="17" t="str">
        <f>IF(M3_Silleteria!A107="","",IF(M3_Silleteria!B107="","",M3_Silleteria!B107))</f>
        <v/>
      </c>
      <c r="X503" s="17" t="str">
        <f>IF(M3_Silleteria!A107="","",IF(M3_Silleteria!C107="","",M3_Silleteria!C107))</f>
        <v/>
      </c>
      <c r="Y503" s="17" t="str">
        <f>IF(M3_Silleteria!A107="","",IF(M3_Silleteria!E107="","",M3_Silleteria!E107))</f>
        <v/>
      </c>
      <c r="Z503" s="17" t="str">
        <f>IF(M3_Silleteria!A107="","",IF(M3_Silleteria!F107="","",M3_Silleteria!F107))</f>
        <v/>
      </c>
      <c r="AA503" s="17" t="str">
        <f>IF(M3_Silleteria!A107="","","M3 Silletería")</f>
        <v/>
      </c>
      <c r="AB503" s="17" t="str">
        <f>IF(M3_Silleteria!A107="","",IF(M3_Silleteria!G107="","",M3_Silleteria!G107))</f>
        <v/>
      </c>
      <c r="AC503" s="17" t="str">
        <f>IF(M3_Silleteria!A107="","",IF(M3_Silleteria!L107="","",M3_Silleteria!L107))</f>
        <v/>
      </c>
      <c r="AD503" s="17" t="str">
        <f>IF(M3_Silleteria!A107="","","CD")</f>
        <v/>
      </c>
      <c r="AE503" s="17" t="str">
        <f>IF(M3_Silleteria!A107="","",IF(M3_Silleteria!N107="","",M3_Silleteria!N107))</f>
        <v/>
      </c>
      <c r="AF503" s="17" t="str">
        <f>IF(M3_Silleteria!A107="","",IF(M3_Silleteria!O107="","",M3_Silleteria!O107))</f>
        <v/>
      </c>
      <c r="AG503" s="17" t="str">
        <f>IF(M3_Silleteria!A107="","",IF(M3_Silleteria!P107="","",M3_Silleteria!P107))</f>
        <v/>
      </c>
      <c r="AH503" s="17" t="str">
        <f>IF(M3_Silleteria!A107="","",IF(M3_Silleteria!H107="","",M3_Silleteria!H107))</f>
        <v/>
      </c>
      <c r="AI503" s="17" t="str">
        <f>IF(M3_Silleteria!A107="","","M3_Silleteria!107")</f>
        <v/>
      </c>
      <c r="AJ503" s="17" t="str">
        <f>IF(M3_Silleteria!A107="","",IF(M3_Silleteria!L107="","Pendiente de resultado","Disponible"))</f>
        <v/>
      </c>
    </row>
    <row r="504" spans="1:36" ht="55.5" customHeight="1">
      <c r="A504" s="6" t="str">
        <f t="array" ref="A504">IF(500&gt;$S$1204,"",INDEX($T$5:$AJ$1204,MATCH(500,$S$5:$S$1204,0),1))</f>
        <v/>
      </c>
      <c r="B504" s="8" t="str">
        <f t="array" ref="B504">IF(500&gt;$S$1204,"",INDEX($T$5:$AJ$1204,MATCH(500,$S$5:$S$1204,0),2))</f>
        <v/>
      </c>
      <c r="C504" s="10" t="str">
        <f t="array" ref="C504">IF(500&gt;$S$1204,"",INDEX($T$5:$AJ$1204,MATCH(500,$S$5:$S$1204,0),3))</f>
        <v/>
      </c>
      <c r="D504" s="8" t="str">
        <f t="array" ref="D504">IF(500&gt;$S$1204,"",INDEX($T$5:$AJ$1204,MATCH(500,$S$5:$S$1204,0),4))</f>
        <v/>
      </c>
      <c r="E504" s="8" t="str">
        <f t="array" ref="E504">IF(500&gt;$S$1204,"",INDEX($T$5:$AJ$1204,MATCH(500,$S$5:$S$1204,0),5))</f>
        <v/>
      </c>
      <c r="F504" s="8" t="str">
        <f t="array" ref="F504">IF(500&gt;$S$1204,"",INDEX($T$5:$AJ$1204,MATCH(500,$S$5:$S$1204,0),6))</f>
        <v/>
      </c>
      <c r="G504" s="8" t="str">
        <f t="array" ref="G504">IF(500&gt;$S$1204,"",INDEX($T$5:$AJ$1204,MATCH(500,$S$5:$S$1204,0),7))</f>
        <v/>
      </c>
      <c r="H504" s="8" t="str">
        <f t="array" ref="H504">IF(500&gt;$S$1204,"",INDEX($T$5:$AJ$1204,MATCH(500,$S$5:$S$1204,0),8))</f>
        <v/>
      </c>
      <c r="I504" s="8" t="str">
        <f t="array" ref="I504">IF(500&gt;$S$1204,"",INDEX($T$5:$AJ$1204,MATCH(500,$S$5:$S$1204,0),9))</f>
        <v/>
      </c>
      <c r="J504" s="14" t="str">
        <f t="array" ref="J504">IF(500&gt;$S$1204,"",INDEX($T$5:$AJ$1204,MATCH(500,$S$5:$S$1204,0),10))</f>
        <v/>
      </c>
      <c r="K504" s="8" t="str">
        <f t="array" ref="K504">IF(500&gt;$S$1204,"",INDEX($T$5:$AJ$1204,MATCH(500,$S$5:$S$1204,0),11))</f>
        <v/>
      </c>
      <c r="L504" s="8" t="str">
        <f t="array" ref="L504">IF(500&gt;$S$1204,"",INDEX($T$5:$AJ$1204,MATCH(500,$S$5:$S$1204,0),12))</f>
        <v/>
      </c>
      <c r="M504" s="8" t="str">
        <f t="array" ref="M504">IF(500&gt;$S$1204,"",INDEX($T$5:$AJ$1204,MATCH(500,$S$5:$S$1204,0),13))</f>
        <v/>
      </c>
      <c r="N504" s="8" t="str">
        <f t="array" ref="N504">IF(500&gt;$S$1204,"",INDEX($T$5:$AJ$1204,MATCH(500,$S$5:$S$1204,0),14))</f>
        <v/>
      </c>
      <c r="O504" s="15" t="str">
        <f t="array" ref="O504">IF(500&gt;$S$1204,"",INDEX($T$5:$AJ$1204,MATCH(500,$S$5:$S$1204,0),15))</f>
        <v/>
      </c>
      <c r="P504" s="8" t="str">
        <f t="array" ref="P504">IF(500&gt;$S$1204,"",INDEX($T$5:$AJ$1204,MATCH(500,$S$5:$S$1204,0),16))</f>
        <v/>
      </c>
      <c r="Q504" s="8" t="str">
        <f t="array" ref="Q504">IF(500&gt;$S$1204,"",INDEX($T$5:$AJ$1204,MATCH(500,$S$5:$S$1204,0),17))</f>
        <v/>
      </c>
      <c r="R504" s="17"/>
      <c r="S504" s="17">
        <f>S503+IF(M3_Silleteria!A108="",0,1)</f>
        <v>0</v>
      </c>
      <c r="T504" s="17" t="str">
        <f>IF(M3_Silleteria!A108="","",IF(M3_Silleteria!A108="","",M3_Silleteria!A108))</f>
        <v/>
      </c>
      <c r="U504" s="17" t="str">
        <f>IF(M3_Silleteria!A108="","",IF(M3_Silleteria!Q108="","",M3_Silleteria!Q108))</f>
        <v/>
      </c>
      <c r="V504" s="17" t="str">
        <f>IF(M3_Silleteria!A108="","",IF(M3_Silleteria!D108="","",M3_Silleteria!D108))</f>
        <v/>
      </c>
      <c r="W504" s="17" t="str">
        <f>IF(M3_Silleteria!A108="","",IF(M3_Silleteria!B108="","",M3_Silleteria!B108))</f>
        <v/>
      </c>
      <c r="X504" s="17" t="str">
        <f>IF(M3_Silleteria!A108="","",IF(M3_Silleteria!C108="","",M3_Silleteria!C108))</f>
        <v/>
      </c>
      <c r="Y504" s="17" t="str">
        <f>IF(M3_Silleteria!A108="","",IF(M3_Silleteria!E108="","",M3_Silleteria!E108))</f>
        <v/>
      </c>
      <c r="Z504" s="17" t="str">
        <f>IF(M3_Silleteria!A108="","",IF(M3_Silleteria!F108="","",M3_Silleteria!F108))</f>
        <v/>
      </c>
      <c r="AA504" s="17" t="str">
        <f>IF(M3_Silleteria!A108="","","M3 Silletería")</f>
        <v/>
      </c>
      <c r="AB504" s="17" t="str">
        <f>IF(M3_Silleteria!A108="","",IF(M3_Silleteria!G108="","",M3_Silleteria!G108))</f>
        <v/>
      </c>
      <c r="AC504" s="17" t="str">
        <f>IF(M3_Silleteria!A108="","",IF(M3_Silleteria!L108="","",M3_Silleteria!L108))</f>
        <v/>
      </c>
      <c r="AD504" s="17" t="str">
        <f>IF(M3_Silleteria!A108="","","CD")</f>
        <v/>
      </c>
      <c r="AE504" s="17" t="str">
        <f>IF(M3_Silleteria!A108="","",IF(M3_Silleteria!N108="","",M3_Silleteria!N108))</f>
        <v/>
      </c>
      <c r="AF504" s="17" t="str">
        <f>IF(M3_Silleteria!A108="","",IF(M3_Silleteria!O108="","",M3_Silleteria!O108))</f>
        <v/>
      </c>
      <c r="AG504" s="17" t="str">
        <f>IF(M3_Silleteria!A108="","",IF(M3_Silleteria!P108="","",M3_Silleteria!P108))</f>
        <v/>
      </c>
      <c r="AH504" s="17" t="str">
        <f>IF(M3_Silleteria!A108="","",IF(M3_Silleteria!H108="","",M3_Silleteria!H108))</f>
        <v/>
      </c>
      <c r="AI504" s="17" t="str">
        <f>IF(M3_Silleteria!A108="","","M3_Silleteria!108")</f>
        <v/>
      </c>
      <c r="AJ504" s="17" t="str">
        <f>IF(M3_Silleteria!A108="","",IF(M3_Silleteria!L108="","Pendiente de resultado","Disponible"))</f>
        <v/>
      </c>
    </row>
    <row r="505" spans="1:36" ht="55.5" customHeight="1">
      <c r="A505" s="6" t="str">
        <f t="array" ref="A505">IF(501&gt;$S$1204,"",INDEX($T$5:$AJ$1204,MATCH(501,$S$5:$S$1204,0),1))</f>
        <v/>
      </c>
      <c r="B505" s="8" t="str">
        <f t="array" ref="B505">IF(501&gt;$S$1204,"",INDEX($T$5:$AJ$1204,MATCH(501,$S$5:$S$1204,0),2))</f>
        <v/>
      </c>
      <c r="C505" s="10" t="str">
        <f t="array" ref="C505">IF(501&gt;$S$1204,"",INDEX($T$5:$AJ$1204,MATCH(501,$S$5:$S$1204,0),3))</f>
        <v/>
      </c>
      <c r="D505" s="8" t="str">
        <f t="array" ref="D505">IF(501&gt;$S$1204,"",INDEX($T$5:$AJ$1204,MATCH(501,$S$5:$S$1204,0),4))</f>
        <v/>
      </c>
      <c r="E505" s="8" t="str">
        <f t="array" ref="E505">IF(501&gt;$S$1204,"",INDEX($T$5:$AJ$1204,MATCH(501,$S$5:$S$1204,0),5))</f>
        <v/>
      </c>
      <c r="F505" s="8" t="str">
        <f t="array" ref="F505">IF(501&gt;$S$1204,"",INDEX($T$5:$AJ$1204,MATCH(501,$S$5:$S$1204,0),6))</f>
        <v/>
      </c>
      <c r="G505" s="8" t="str">
        <f t="array" ref="G505">IF(501&gt;$S$1204,"",INDEX($T$5:$AJ$1204,MATCH(501,$S$5:$S$1204,0),7))</f>
        <v/>
      </c>
      <c r="H505" s="8" t="str">
        <f t="array" ref="H505">IF(501&gt;$S$1204,"",INDEX($T$5:$AJ$1204,MATCH(501,$S$5:$S$1204,0),8))</f>
        <v/>
      </c>
      <c r="I505" s="8" t="str">
        <f t="array" ref="I505">IF(501&gt;$S$1204,"",INDEX($T$5:$AJ$1204,MATCH(501,$S$5:$S$1204,0),9))</f>
        <v/>
      </c>
      <c r="J505" s="14" t="str">
        <f t="array" ref="J505">IF(501&gt;$S$1204,"",INDEX($T$5:$AJ$1204,MATCH(501,$S$5:$S$1204,0),10))</f>
        <v/>
      </c>
      <c r="K505" s="8" t="str">
        <f t="array" ref="K505">IF(501&gt;$S$1204,"",INDEX($T$5:$AJ$1204,MATCH(501,$S$5:$S$1204,0),11))</f>
        <v/>
      </c>
      <c r="L505" s="8" t="str">
        <f t="array" ref="L505">IF(501&gt;$S$1204,"",INDEX($T$5:$AJ$1204,MATCH(501,$S$5:$S$1204,0),12))</f>
        <v/>
      </c>
      <c r="M505" s="8" t="str">
        <f t="array" ref="M505">IF(501&gt;$S$1204,"",INDEX($T$5:$AJ$1204,MATCH(501,$S$5:$S$1204,0),13))</f>
        <v/>
      </c>
      <c r="N505" s="8" t="str">
        <f t="array" ref="N505">IF(501&gt;$S$1204,"",INDEX($T$5:$AJ$1204,MATCH(501,$S$5:$S$1204,0),14))</f>
        <v/>
      </c>
      <c r="O505" s="15" t="str">
        <f t="array" ref="O505">IF(501&gt;$S$1204,"",INDEX($T$5:$AJ$1204,MATCH(501,$S$5:$S$1204,0),15))</f>
        <v/>
      </c>
      <c r="P505" s="8" t="str">
        <f t="array" ref="P505">IF(501&gt;$S$1204,"",INDEX($T$5:$AJ$1204,MATCH(501,$S$5:$S$1204,0),16))</f>
        <v/>
      </c>
      <c r="Q505" s="8" t="str">
        <f t="array" ref="Q505">IF(501&gt;$S$1204,"",INDEX($T$5:$AJ$1204,MATCH(501,$S$5:$S$1204,0),17))</f>
        <v/>
      </c>
      <c r="R505" s="17"/>
      <c r="S505" s="17">
        <f>S504+IF(M3_Silleteria!A109="",0,1)</f>
        <v>0</v>
      </c>
      <c r="T505" s="17" t="str">
        <f>IF(M3_Silleteria!A109="","",IF(M3_Silleteria!A109="","",M3_Silleteria!A109))</f>
        <v/>
      </c>
      <c r="U505" s="17" t="str">
        <f>IF(M3_Silleteria!A109="","",IF(M3_Silleteria!Q109="","",M3_Silleteria!Q109))</f>
        <v/>
      </c>
      <c r="V505" s="17" t="str">
        <f>IF(M3_Silleteria!A109="","",IF(M3_Silleteria!D109="","",M3_Silleteria!D109))</f>
        <v/>
      </c>
      <c r="W505" s="17" t="str">
        <f>IF(M3_Silleteria!A109="","",IF(M3_Silleteria!B109="","",M3_Silleteria!B109))</f>
        <v/>
      </c>
      <c r="X505" s="17" t="str">
        <f>IF(M3_Silleteria!A109="","",IF(M3_Silleteria!C109="","",M3_Silleteria!C109))</f>
        <v/>
      </c>
      <c r="Y505" s="17" t="str">
        <f>IF(M3_Silleteria!A109="","",IF(M3_Silleteria!E109="","",M3_Silleteria!E109))</f>
        <v/>
      </c>
      <c r="Z505" s="17" t="str">
        <f>IF(M3_Silleteria!A109="","",IF(M3_Silleteria!F109="","",M3_Silleteria!F109))</f>
        <v/>
      </c>
      <c r="AA505" s="17" t="str">
        <f>IF(M3_Silleteria!A109="","","M3 Silletería")</f>
        <v/>
      </c>
      <c r="AB505" s="17" t="str">
        <f>IF(M3_Silleteria!A109="","",IF(M3_Silleteria!G109="","",M3_Silleteria!G109))</f>
        <v/>
      </c>
      <c r="AC505" s="17" t="str">
        <f>IF(M3_Silleteria!A109="","",IF(M3_Silleteria!L109="","",M3_Silleteria!L109))</f>
        <v/>
      </c>
      <c r="AD505" s="17" t="str">
        <f>IF(M3_Silleteria!A109="","","CD")</f>
        <v/>
      </c>
      <c r="AE505" s="17" t="str">
        <f>IF(M3_Silleteria!A109="","",IF(M3_Silleteria!N109="","",M3_Silleteria!N109))</f>
        <v/>
      </c>
      <c r="AF505" s="17" t="str">
        <f>IF(M3_Silleteria!A109="","",IF(M3_Silleteria!O109="","",M3_Silleteria!O109))</f>
        <v/>
      </c>
      <c r="AG505" s="17" t="str">
        <f>IF(M3_Silleteria!A109="","",IF(M3_Silleteria!P109="","",M3_Silleteria!P109))</f>
        <v/>
      </c>
      <c r="AH505" s="17" t="str">
        <f>IF(M3_Silleteria!A109="","",IF(M3_Silleteria!H109="","",M3_Silleteria!H109))</f>
        <v/>
      </c>
      <c r="AI505" s="17" t="str">
        <f>IF(M3_Silleteria!A109="","","M3_Silleteria!109")</f>
        <v/>
      </c>
      <c r="AJ505" s="17" t="str">
        <f>IF(M3_Silleteria!A109="","",IF(M3_Silleteria!L109="","Pendiente de resultado","Disponible"))</f>
        <v/>
      </c>
    </row>
    <row r="506" spans="1:36" ht="55.5" customHeight="1">
      <c r="A506" s="6" t="str">
        <f t="array" ref="A506">IF(502&gt;$S$1204,"",INDEX($T$5:$AJ$1204,MATCH(502,$S$5:$S$1204,0),1))</f>
        <v/>
      </c>
      <c r="B506" s="8" t="str">
        <f t="array" ref="B506">IF(502&gt;$S$1204,"",INDEX($T$5:$AJ$1204,MATCH(502,$S$5:$S$1204,0),2))</f>
        <v/>
      </c>
      <c r="C506" s="10" t="str">
        <f t="array" ref="C506">IF(502&gt;$S$1204,"",INDEX($T$5:$AJ$1204,MATCH(502,$S$5:$S$1204,0),3))</f>
        <v/>
      </c>
      <c r="D506" s="8" t="str">
        <f t="array" ref="D506">IF(502&gt;$S$1204,"",INDEX($T$5:$AJ$1204,MATCH(502,$S$5:$S$1204,0),4))</f>
        <v/>
      </c>
      <c r="E506" s="8" t="str">
        <f t="array" ref="E506">IF(502&gt;$S$1204,"",INDEX($T$5:$AJ$1204,MATCH(502,$S$5:$S$1204,0),5))</f>
        <v/>
      </c>
      <c r="F506" s="8" t="str">
        <f t="array" ref="F506">IF(502&gt;$S$1204,"",INDEX($T$5:$AJ$1204,MATCH(502,$S$5:$S$1204,0),6))</f>
        <v/>
      </c>
      <c r="G506" s="8" t="str">
        <f t="array" ref="G506">IF(502&gt;$S$1204,"",INDEX($T$5:$AJ$1204,MATCH(502,$S$5:$S$1204,0),7))</f>
        <v/>
      </c>
      <c r="H506" s="8" t="str">
        <f t="array" ref="H506">IF(502&gt;$S$1204,"",INDEX($T$5:$AJ$1204,MATCH(502,$S$5:$S$1204,0),8))</f>
        <v/>
      </c>
      <c r="I506" s="8" t="str">
        <f t="array" ref="I506">IF(502&gt;$S$1204,"",INDEX($T$5:$AJ$1204,MATCH(502,$S$5:$S$1204,0),9))</f>
        <v/>
      </c>
      <c r="J506" s="14" t="str">
        <f t="array" ref="J506">IF(502&gt;$S$1204,"",INDEX($T$5:$AJ$1204,MATCH(502,$S$5:$S$1204,0),10))</f>
        <v/>
      </c>
      <c r="K506" s="8" t="str">
        <f t="array" ref="K506">IF(502&gt;$S$1204,"",INDEX($T$5:$AJ$1204,MATCH(502,$S$5:$S$1204,0),11))</f>
        <v/>
      </c>
      <c r="L506" s="8" t="str">
        <f t="array" ref="L506">IF(502&gt;$S$1204,"",INDEX($T$5:$AJ$1204,MATCH(502,$S$5:$S$1204,0),12))</f>
        <v/>
      </c>
      <c r="M506" s="8" t="str">
        <f t="array" ref="M506">IF(502&gt;$S$1204,"",INDEX($T$5:$AJ$1204,MATCH(502,$S$5:$S$1204,0),13))</f>
        <v/>
      </c>
      <c r="N506" s="8" t="str">
        <f t="array" ref="N506">IF(502&gt;$S$1204,"",INDEX($T$5:$AJ$1204,MATCH(502,$S$5:$S$1204,0),14))</f>
        <v/>
      </c>
      <c r="O506" s="15" t="str">
        <f t="array" ref="O506">IF(502&gt;$S$1204,"",INDEX($T$5:$AJ$1204,MATCH(502,$S$5:$S$1204,0),15))</f>
        <v/>
      </c>
      <c r="P506" s="8" t="str">
        <f t="array" ref="P506">IF(502&gt;$S$1204,"",INDEX($T$5:$AJ$1204,MATCH(502,$S$5:$S$1204,0),16))</f>
        <v/>
      </c>
      <c r="Q506" s="8" t="str">
        <f t="array" ref="Q506">IF(502&gt;$S$1204,"",INDEX($T$5:$AJ$1204,MATCH(502,$S$5:$S$1204,0),17))</f>
        <v/>
      </c>
      <c r="R506" s="17"/>
      <c r="S506" s="17">
        <f>S505+IF(M3_Silleteria!A110="",0,1)</f>
        <v>0</v>
      </c>
      <c r="T506" s="17" t="str">
        <f>IF(M3_Silleteria!A110="","",IF(M3_Silleteria!A110="","",M3_Silleteria!A110))</f>
        <v/>
      </c>
      <c r="U506" s="17" t="str">
        <f>IF(M3_Silleteria!A110="","",IF(M3_Silleteria!Q110="","",M3_Silleteria!Q110))</f>
        <v/>
      </c>
      <c r="V506" s="17" t="str">
        <f>IF(M3_Silleteria!A110="","",IF(M3_Silleteria!D110="","",M3_Silleteria!D110))</f>
        <v/>
      </c>
      <c r="W506" s="17" t="str">
        <f>IF(M3_Silleteria!A110="","",IF(M3_Silleteria!B110="","",M3_Silleteria!B110))</f>
        <v/>
      </c>
      <c r="X506" s="17" t="str">
        <f>IF(M3_Silleteria!A110="","",IF(M3_Silleteria!C110="","",M3_Silleteria!C110))</f>
        <v/>
      </c>
      <c r="Y506" s="17" t="str">
        <f>IF(M3_Silleteria!A110="","",IF(M3_Silleteria!E110="","",M3_Silleteria!E110))</f>
        <v/>
      </c>
      <c r="Z506" s="17" t="str">
        <f>IF(M3_Silleteria!A110="","",IF(M3_Silleteria!F110="","",M3_Silleteria!F110))</f>
        <v/>
      </c>
      <c r="AA506" s="17" t="str">
        <f>IF(M3_Silleteria!A110="","","M3 Silletería")</f>
        <v/>
      </c>
      <c r="AB506" s="17" t="str">
        <f>IF(M3_Silleteria!A110="","",IF(M3_Silleteria!G110="","",M3_Silleteria!G110))</f>
        <v/>
      </c>
      <c r="AC506" s="17" t="str">
        <f>IF(M3_Silleteria!A110="","",IF(M3_Silleteria!L110="","",M3_Silleteria!L110))</f>
        <v/>
      </c>
      <c r="AD506" s="17" t="str">
        <f>IF(M3_Silleteria!A110="","","CD")</f>
        <v/>
      </c>
      <c r="AE506" s="17" t="str">
        <f>IF(M3_Silleteria!A110="","",IF(M3_Silleteria!N110="","",M3_Silleteria!N110))</f>
        <v/>
      </c>
      <c r="AF506" s="17" t="str">
        <f>IF(M3_Silleteria!A110="","",IF(M3_Silleteria!O110="","",M3_Silleteria!O110))</f>
        <v/>
      </c>
      <c r="AG506" s="17" t="str">
        <f>IF(M3_Silleteria!A110="","",IF(M3_Silleteria!P110="","",M3_Silleteria!P110))</f>
        <v/>
      </c>
      <c r="AH506" s="17" t="str">
        <f>IF(M3_Silleteria!A110="","",IF(M3_Silleteria!H110="","",M3_Silleteria!H110))</f>
        <v/>
      </c>
      <c r="AI506" s="17" t="str">
        <f>IF(M3_Silleteria!A110="","","M3_Silleteria!110")</f>
        <v/>
      </c>
      <c r="AJ506" s="17" t="str">
        <f>IF(M3_Silleteria!A110="","",IF(M3_Silleteria!L110="","Pendiente de resultado","Disponible"))</f>
        <v/>
      </c>
    </row>
    <row r="507" spans="1:36" ht="55.5" customHeight="1">
      <c r="A507" s="6" t="str">
        <f t="array" ref="A507">IF(503&gt;$S$1204,"",INDEX($T$5:$AJ$1204,MATCH(503,$S$5:$S$1204,0),1))</f>
        <v/>
      </c>
      <c r="B507" s="8" t="str">
        <f t="array" ref="B507">IF(503&gt;$S$1204,"",INDEX($T$5:$AJ$1204,MATCH(503,$S$5:$S$1204,0),2))</f>
        <v/>
      </c>
      <c r="C507" s="10" t="str">
        <f t="array" ref="C507">IF(503&gt;$S$1204,"",INDEX($T$5:$AJ$1204,MATCH(503,$S$5:$S$1204,0),3))</f>
        <v/>
      </c>
      <c r="D507" s="8" t="str">
        <f t="array" ref="D507">IF(503&gt;$S$1204,"",INDEX($T$5:$AJ$1204,MATCH(503,$S$5:$S$1204,0),4))</f>
        <v/>
      </c>
      <c r="E507" s="8" t="str">
        <f t="array" ref="E507">IF(503&gt;$S$1204,"",INDEX($T$5:$AJ$1204,MATCH(503,$S$5:$S$1204,0),5))</f>
        <v/>
      </c>
      <c r="F507" s="8" t="str">
        <f t="array" ref="F507">IF(503&gt;$S$1204,"",INDEX($T$5:$AJ$1204,MATCH(503,$S$5:$S$1204,0),6))</f>
        <v/>
      </c>
      <c r="G507" s="8" t="str">
        <f t="array" ref="G507">IF(503&gt;$S$1204,"",INDEX($T$5:$AJ$1204,MATCH(503,$S$5:$S$1204,0),7))</f>
        <v/>
      </c>
      <c r="H507" s="8" t="str">
        <f t="array" ref="H507">IF(503&gt;$S$1204,"",INDEX($T$5:$AJ$1204,MATCH(503,$S$5:$S$1204,0),8))</f>
        <v/>
      </c>
      <c r="I507" s="8" t="str">
        <f t="array" ref="I507">IF(503&gt;$S$1204,"",INDEX($T$5:$AJ$1204,MATCH(503,$S$5:$S$1204,0),9))</f>
        <v/>
      </c>
      <c r="J507" s="14" t="str">
        <f t="array" ref="J507">IF(503&gt;$S$1204,"",INDEX($T$5:$AJ$1204,MATCH(503,$S$5:$S$1204,0),10))</f>
        <v/>
      </c>
      <c r="K507" s="8" t="str">
        <f t="array" ref="K507">IF(503&gt;$S$1204,"",INDEX($T$5:$AJ$1204,MATCH(503,$S$5:$S$1204,0),11))</f>
        <v/>
      </c>
      <c r="L507" s="8" t="str">
        <f t="array" ref="L507">IF(503&gt;$S$1204,"",INDEX($T$5:$AJ$1204,MATCH(503,$S$5:$S$1204,0),12))</f>
        <v/>
      </c>
      <c r="M507" s="8" t="str">
        <f t="array" ref="M507">IF(503&gt;$S$1204,"",INDEX($T$5:$AJ$1204,MATCH(503,$S$5:$S$1204,0),13))</f>
        <v/>
      </c>
      <c r="N507" s="8" t="str">
        <f t="array" ref="N507">IF(503&gt;$S$1204,"",INDEX($T$5:$AJ$1204,MATCH(503,$S$5:$S$1204,0),14))</f>
        <v/>
      </c>
      <c r="O507" s="15" t="str">
        <f t="array" ref="O507">IF(503&gt;$S$1204,"",INDEX($T$5:$AJ$1204,MATCH(503,$S$5:$S$1204,0),15))</f>
        <v/>
      </c>
      <c r="P507" s="8" t="str">
        <f t="array" ref="P507">IF(503&gt;$S$1204,"",INDEX($T$5:$AJ$1204,MATCH(503,$S$5:$S$1204,0),16))</f>
        <v/>
      </c>
      <c r="Q507" s="8" t="str">
        <f t="array" ref="Q507">IF(503&gt;$S$1204,"",INDEX($T$5:$AJ$1204,MATCH(503,$S$5:$S$1204,0),17))</f>
        <v/>
      </c>
      <c r="R507" s="17"/>
      <c r="S507" s="17">
        <f>S506+IF(M3_Silleteria!A111="",0,1)</f>
        <v>0</v>
      </c>
      <c r="T507" s="17" t="str">
        <f>IF(M3_Silleteria!A111="","",IF(M3_Silleteria!A111="","",M3_Silleteria!A111))</f>
        <v/>
      </c>
      <c r="U507" s="17" t="str">
        <f>IF(M3_Silleteria!A111="","",IF(M3_Silleteria!Q111="","",M3_Silleteria!Q111))</f>
        <v/>
      </c>
      <c r="V507" s="17" t="str">
        <f>IF(M3_Silleteria!A111="","",IF(M3_Silleteria!D111="","",M3_Silleteria!D111))</f>
        <v/>
      </c>
      <c r="W507" s="17" t="str">
        <f>IF(M3_Silleteria!A111="","",IF(M3_Silleteria!B111="","",M3_Silleteria!B111))</f>
        <v/>
      </c>
      <c r="X507" s="17" t="str">
        <f>IF(M3_Silleteria!A111="","",IF(M3_Silleteria!C111="","",M3_Silleteria!C111))</f>
        <v/>
      </c>
      <c r="Y507" s="17" t="str">
        <f>IF(M3_Silleteria!A111="","",IF(M3_Silleteria!E111="","",M3_Silleteria!E111))</f>
        <v/>
      </c>
      <c r="Z507" s="17" t="str">
        <f>IF(M3_Silleteria!A111="","",IF(M3_Silleteria!F111="","",M3_Silleteria!F111))</f>
        <v/>
      </c>
      <c r="AA507" s="17" t="str">
        <f>IF(M3_Silleteria!A111="","","M3 Silletería")</f>
        <v/>
      </c>
      <c r="AB507" s="17" t="str">
        <f>IF(M3_Silleteria!A111="","",IF(M3_Silleteria!G111="","",M3_Silleteria!G111))</f>
        <v/>
      </c>
      <c r="AC507" s="17" t="str">
        <f>IF(M3_Silleteria!A111="","",IF(M3_Silleteria!L111="","",M3_Silleteria!L111))</f>
        <v/>
      </c>
      <c r="AD507" s="17" t="str">
        <f>IF(M3_Silleteria!A111="","","CD")</f>
        <v/>
      </c>
      <c r="AE507" s="17" t="str">
        <f>IF(M3_Silleteria!A111="","",IF(M3_Silleteria!N111="","",M3_Silleteria!N111))</f>
        <v/>
      </c>
      <c r="AF507" s="17" t="str">
        <f>IF(M3_Silleteria!A111="","",IF(M3_Silleteria!O111="","",M3_Silleteria!O111))</f>
        <v/>
      </c>
      <c r="AG507" s="17" t="str">
        <f>IF(M3_Silleteria!A111="","",IF(M3_Silleteria!P111="","",M3_Silleteria!P111))</f>
        <v/>
      </c>
      <c r="AH507" s="17" t="str">
        <f>IF(M3_Silleteria!A111="","",IF(M3_Silleteria!H111="","",M3_Silleteria!H111))</f>
        <v/>
      </c>
      <c r="AI507" s="17" t="str">
        <f>IF(M3_Silleteria!A111="","","M3_Silleteria!111")</f>
        <v/>
      </c>
      <c r="AJ507" s="17" t="str">
        <f>IF(M3_Silleteria!A111="","",IF(M3_Silleteria!L111="","Pendiente de resultado","Disponible"))</f>
        <v/>
      </c>
    </row>
    <row r="508" spans="1:36" ht="55.5" customHeight="1">
      <c r="A508" s="6" t="str">
        <f t="array" ref="A508">IF(504&gt;$S$1204,"",INDEX($T$5:$AJ$1204,MATCH(504,$S$5:$S$1204,0),1))</f>
        <v/>
      </c>
      <c r="B508" s="8" t="str">
        <f t="array" ref="B508">IF(504&gt;$S$1204,"",INDEX($T$5:$AJ$1204,MATCH(504,$S$5:$S$1204,0),2))</f>
        <v/>
      </c>
      <c r="C508" s="10" t="str">
        <f t="array" ref="C508">IF(504&gt;$S$1204,"",INDEX($T$5:$AJ$1204,MATCH(504,$S$5:$S$1204,0),3))</f>
        <v/>
      </c>
      <c r="D508" s="8" t="str">
        <f t="array" ref="D508">IF(504&gt;$S$1204,"",INDEX($T$5:$AJ$1204,MATCH(504,$S$5:$S$1204,0),4))</f>
        <v/>
      </c>
      <c r="E508" s="8" t="str">
        <f t="array" ref="E508">IF(504&gt;$S$1204,"",INDEX($T$5:$AJ$1204,MATCH(504,$S$5:$S$1204,0),5))</f>
        <v/>
      </c>
      <c r="F508" s="8" t="str">
        <f t="array" ref="F508">IF(504&gt;$S$1204,"",INDEX($T$5:$AJ$1204,MATCH(504,$S$5:$S$1204,0),6))</f>
        <v/>
      </c>
      <c r="G508" s="8" t="str">
        <f t="array" ref="G508">IF(504&gt;$S$1204,"",INDEX($T$5:$AJ$1204,MATCH(504,$S$5:$S$1204,0),7))</f>
        <v/>
      </c>
      <c r="H508" s="8" t="str">
        <f t="array" ref="H508">IF(504&gt;$S$1204,"",INDEX($T$5:$AJ$1204,MATCH(504,$S$5:$S$1204,0),8))</f>
        <v/>
      </c>
      <c r="I508" s="8" t="str">
        <f t="array" ref="I508">IF(504&gt;$S$1204,"",INDEX($T$5:$AJ$1204,MATCH(504,$S$5:$S$1204,0),9))</f>
        <v/>
      </c>
      <c r="J508" s="14" t="str">
        <f t="array" ref="J508">IF(504&gt;$S$1204,"",INDEX($T$5:$AJ$1204,MATCH(504,$S$5:$S$1204,0),10))</f>
        <v/>
      </c>
      <c r="K508" s="8" t="str">
        <f t="array" ref="K508">IF(504&gt;$S$1204,"",INDEX($T$5:$AJ$1204,MATCH(504,$S$5:$S$1204,0),11))</f>
        <v/>
      </c>
      <c r="L508" s="8" t="str">
        <f t="array" ref="L508">IF(504&gt;$S$1204,"",INDEX($T$5:$AJ$1204,MATCH(504,$S$5:$S$1204,0),12))</f>
        <v/>
      </c>
      <c r="M508" s="8" t="str">
        <f t="array" ref="M508">IF(504&gt;$S$1204,"",INDEX($T$5:$AJ$1204,MATCH(504,$S$5:$S$1204,0),13))</f>
        <v/>
      </c>
      <c r="N508" s="8" t="str">
        <f t="array" ref="N508">IF(504&gt;$S$1204,"",INDEX($T$5:$AJ$1204,MATCH(504,$S$5:$S$1204,0),14))</f>
        <v/>
      </c>
      <c r="O508" s="15" t="str">
        <f t="array" ref="O508">IF(504&gt;$S$1204,"",INDEX($T$5:$AJ$1204,MATCH(504,$S$5:$S$1204,0),15))</f>
        <v/>
      </c>
      <c r="P508" s="8" t="str">
        <f t="array" ref="P508">IF(504&gt;$S$1204,"",INDEX($T$5:$AJ$1204,MATCH(504,$S$5:$S$1204,0),16))</f>
        <v/>
      </c>
      <c r="Q508" s="8" t="str">
        <f t="array" ref="Q508">IF(504&gt;$S$1204,"",INDEX($T$5:$AJ$1204,MATCH(504,$S$5:$S$1204,0),17))</f>
        <v/>
      </c>
      <c r="R508" s="17"/>
      <c r="S508" s="17">
        <f>S507+IF(M3_Silleteria!A112="",0,1)</f>
        <v>0</v>
      </c>
      <c r="T508" s="17" t="str">
        <f>IF(M3_Silleteria!A112="","",IF(M3_Silleteria!A112="","",M3_Silleteria!A112))</f>
        <v/>
      </c>
      <c r="U508" s="17" t="str">
        <f>IF(M3_Silleteria!A112="","",IF(M3_Silleteria!Q112="","",M3_Silleteria!Q112))</f>
        <v/>
      </c>
      <c r="V508" s="17" t="str">
        <f>IF(M3_Silleteria!A112="","",IF(M3_Silleteria!D112="","",M3_Silleteria!D112))</f>
        <v/>
      </c>
      <c r="W508" s="17" t="str">
        <f>IF(M3_Silleteria!A112="","",IF(M3_Silleteria!B112="","",M3_Silleteria!B112))</f>
        <v/>
      </c>
      <c r="X508" s="17" t="str">
        <f>IF(M3_Silleteria!A112="","",IF(M3_Silleteria!C112="","",M3_Silleteria!C112))</f>
        <v/>
      </c>
      <c r="Y508" s="17" t="str">
        <f>IF(M3_Silleteria!A112="","",IF(M3_Silleteria!E112="","",M3_Silleteria!E112))</f>
        <v/>
      </c>
      <c r="Z508" s="17" t="str">
        <f>IF(M3_Silleteria!A112="","",IF(M3_Silleteria!F112="","",M3_Silleteria!F112))</f>
        <v/>
      </c>
      <c r="AA508" s="17" t="str">
        <f>IF(M3_Silleteria!A112="","","M3 Silletería")</f>
        <v/>
      </c>
      <c r="AB508" s="17" t="str">
        <f>IF(M3_Silleteria!A112="","",IF(M3_Silleteria!G112="","",M3_Silleteria!G112))</f>
        <v/>
      </c>
      <c r="AC508" s="17" t="str">
        <f>IF(M3_Silleteria!A112="","",IF(M3_Silleteria!L112="","",M3_Silleteria!L112))</f>
        <v/>
      </c>
      <c r="AD508" s="17" t="str">
        <f>IF(M3_Silleteria!A112="","","CD")</f>
        <v/>
      </c>
      <c r="AE508" s="17" t="str">
        <f>IF(M3_Silleteria!A112="","",IF(M3_Silleteria!N112="","",M3_Silleteria!N112))</f>
        <v/>
      </c>
      <c r="AF508" s="17" t="str">
        <f>IF(M3_Silleteria!A112="","",IF(M3_Silleteria!O112="","",M3_Silleteria!O112))</f>
        <v/>
      </c>
      <c r="AG508" s="17" t="str">
        <f>IF(M3_Silleteria!A112="","",IF(M3_Silleteria!P112="","",M3_Silleteria!P112))</f>
        <v/>
      </c>
      <c r="AH508" s="17" t="str">
        <f>IF(M3_Silleteria!A112="","",IF(M3_Silleteria!H112="","",M3_Silleteria!H112))</f>
        <v/>
      </c>
      <c r="AI508" s="17" t="str">
        <f>IF(M3_Silleteria!A112="","","M3_Silleteria!112")</f>
        <v/>
      </c>
      <c r="AJ508" s="17" t="str">
        <f>IF(M3_Silleteria!A112="","",IF(M3_Silleteria!L112="","Pendiente de resultado","Disponible"))</f>
        <v/>
      </c>
    </row>
    <row r="509" spans="1:36" ht="55.5" customHeight="1">
      <c r="A509" s="6" t="str">
        <f t="array" ref="A509">IF(505&gt;$S$1204,"",INDEX($T$5:$AJ$1204,MATCH(505,$S$5:$S$1204,0),1))</f>
        <v/>
      </c>
      <c r="B509" s="8" t="str">
        <f t="array" ref="B509">IF(505&gt;$S$1204,"",INDEX($T$5:$AJ$1204,MATCH(505,$S$5:$S$1204,0),2))</f>
        <v/>
      </c>
      <c r="C509" s="10" t="str">
        <f t="array" ref="C509">IF(505&gt;$S$1204,"",INDEX($T$5:$AJ$1204,MATCH(505,$S$5:$S$1204,0),3))</f>
        <v/>
      </c>
      <c r="D509" s="8" t="str">
        <f t="array" ref="D509">IF(505&gt;$S$1204,"",INDEX($T$5:$AJ$1204,MATCH(505,$S$5:$S$1204,0),4))</f>
        <v/>
      </c>
      <c r="E509" s="8" t="str">
        <f t="array" ref="E509">IF(505&gt;$S$1204,"",INDEX($T$5:$AJ$1204,MATCH(505,$S$5:$S$1204,0),5))</f>
        <v/>
      </c>
      <c r="F509" s="8" t="str">
        <f t="array" ref="F509">IF(505&gt;$S$1204,"",INDEX($T$5:$AJ$1204,MATCH(505,$S$5:$S$1204,0),6))</f>
        <v/>
      </c>
      <c r="G509" s="8" t="str">
        <f t="array" ref="G509">IF(505&gt;$S$1204,"",INDEX($T$5:$AJ$1204,MATCH(505,$S$5:$S$1204,0),7))</f>
        <v/>
      </c>
      <c r="H509" s="8" t="str">
        <f t="array" ref="H509">IF(505&gt;$S$1204,"",INDEX($T$5:$AJ$1204,MATCH(505,$S$5:$S$1204,0),8))</f>
        <v/>
      </c>
      <c r="I509" s="8" t="str">
        <f t="array" ref="I509">IF(505&gt;$S$1204,"",INDEX($T$5:$AJ$1204,MATCH(505,$S$5:$S$1204,0),9))</f>
        <v/>
      </c>
      <c r="J509" s="14" t="str">
        <f t="array" ref="J509">IF(505&gt;$S$1204,"",INDEX($T$5:$AJ$1204,MATCH(505,$S$5:$S$1204,0),10))</f>
        <v/>
      </c>
      <c r="K509" s="8" t="str">
        <f t="array" ref="K509">IF(505&gt;$S$1204,"",INDEX($T$5:$AJ$1204,MATCH(505,$S$5:$S$1204,0),11))</f>
        <v/>
      </c>
      <c r="L509" s="8" t="str">
        <f t="array" ref="L509">IF(505&gt;$S$1204,"",INDEX($T$5:$AJ$1204,MATCH(505,$S$5:$S$1204,0),12))</f>
        <v/>
      </c>
      <c r="M509" s="8" t="str">
        <f t="array" ref="M509">IF(505&gt;$S$1204,"",INDEX($T$5:$AJ$1204,MATCH(505,$S$5:$S$1204,0),13))</f>
        <v/>
      </c>
      <c r="N509" s="8" t="str">
        <f t="array" ref="N509">IF(505&gt;$S$1204,"",INDEX($T$5:$AJ$1204,MATCH(505,$S$5:$S$1204,0),14))</f>
        <v/>
      </c>
      <c r="O509" s="15" t="str">
        <f t="array" ref="O509">IF(505&gt;$S$1204,"",INDEX($T$5:$AJ$1204,MATCH(505,$S$5:$S$1204,0),15))</f>
        <v/>
      </c>
      <c r="P509" s="8" t="str">
        <f t="array" ref="P509">IF(505&gt;$S$1204,"",INDEX($T$5:$AJ$1204,MATCH(505,$S$5:$S$1204,0),16))</f>
        <v/>
      </c>
      <c r="Q509" s="8" t="str">
        <f t="array" ref="Q509">IF(505&gt;$S$1204,"",INDEX($T$5:$AJ$1204,MATCH(505,$S$5:$S$1204,0),17))</f>
        <v/>
      </c>
      <c r="R509" s="17"/>
      <c r="S509" s="17">
        <f>S508+IF(M3_Silleteria!A113="",0,1)</f>
        <v>0</v>
      </c>
      <c r="T509" s="17" t="str">
        <f>IF(M3_Silleteria!A113="","",IF(M3_Silleteria!A113="","",M3_Silleteria!A113))</f>
        <v/>
      </c>
      <c r="U509" s="17" t="str">
        <f>IF(M3_Silleteria!A113="","",IF(M3_Silleteria!Q113="","",M3_Silleteria!Q113))</f>
        <v/>
      </c>
      <c r="V509" s="17" t="str">
        <f>IF(M3_Silleteria!A113="","",IF(M3_Silleteria!D113="","",M3_Silleteria!D113))</f>
        <v/>
      </c>
      <c r="W509" s="17" t="str">
        <f>IF(M3_Silleteria!A113="","",IF(M3_Silleteria!B113="","",M3_Silleteria!B113))</f>
        <v/>
      </c>
      <c r="X509" s="17" t="str">
        <f>IF(M3_Silleteria!A113="","",IF(M3_Silleteria!C113="","",M3_Silleteria!C113))</f>
        <v/>
      </c>
      <c r="Y509" s="17" t="str">
        <f>IF(M3_Silleteria!A113="","",IF(M3_Silleteria!E113="","",M3_Silleteria!E113))</f>
        <v/>
      </c>
      <c r="Z509" s="17" t="str">
        <f>IF(M3_Silleteria!A113="","",IF(M3_Silleteria!F113="","",M3_Silleteria!F113))</f>
        <v/>
      </c>
      <c r="AA509" s="17" t="str">
        <f>IF(M3_Silleteria!A113="","","M3 Silletería")</f>
        <v/>
      </c>
      <c r="AB509" s="17" t="str">
        <f>IF(M3_Silleteria!A113="","",IF(M3_Silleteria!G113="","",M3_Silleteria!G113))</f>
        <v/>
      </c>
      <c r="AC509" s="17" t="str">
        <f>IF(M3_Silleteria!A113="","",IF(M3_Silleteria!L113="","",M3_Silleteria!L113))</f>
        <v/>
      </c>
      <c r="AD509" s="17" t="str">
        <f>IF(M3_Silleteria!A113="","","CD")</f>
        <v/>
      </c>
      <c r="AE509" s="17" t="str">
        <f>IF(M3_Silleteria!A113="","",IF(M3_Silleteria!N113="","",M3_Silleteria!N113))</f>
        <v/>
      </c>
      <c r="AF509" s="17" t="str">
        <f>IF(M3_Silleteria!A113="","",IF(M3_Silleteria!O113="","",M3_Silleteria!O113))</f>
        <v/>
      </c>
      <c r="AG509" s="17" t="str">
        <f>IF(M3_Silleteria!A113="","",IF(M3_Silleteria!P113="","",M3_Silleteria!P113))</f>
        <v/>
      </c>
      <c r="AH509" s="17" t="str">
        <f>IF(M3_Silleteria!A113="","",IF(M3_Silleteria!H113="","",M3_Silleteria!H113))</f>
        <v/>
      </c>
      <c r="AI509" s="17" t="str">
        <f>IF(M3_Silleteria!A113="","","M3_Silleteria!113")</f>
        <v/>
      </c>
      <c r="AJ509" s="17" t="str">
        <f>IF(M3_Silleteria!A113="","",IF(M3_Silleteria!L113="","Pendiente de resultado","Disponible"))</f>
        <v/>
      </c>
    </row>
    <row r="510" spans="1:36" ht="55.5" customHeight="1">
      <c r="A510" s="6" t="str">
        <f t="array" ref="A510">IF(506&gt;$S$1204,"",INDEX($T$5:$AJ$1204,MATCH(506,$S$5:$S$1204,0),1))</f>
        <v/>
      </c>
      <c r="B510" s="8" t="str">
        <f t="array" ref="B510">IF(506&gt;$S$1204,"",INDEX($T$5:$AJ$1204,MATCH(506,$S$5:$S$1204,0),2))</f>
        <v/>
      </c>
      <c r="C510" s="10" t="str">
        <f t="array" ref="C510">IF(506&gt;$S$1204,"",INDEX($T$5:$AJ$1204,MATCH(506,$S$5:$S$1204,0),3))</f>
        <v/>
      </c>
      <c r="D510" s="8" t="str">
        <f t="array" ref="D510">IF(506&gt;$S$1204,"",INDEX($T$5:$AJ$1204,MATCH(506,$S$5:$S$1204,0),4))</f>
        <v/>
      </c>
      <c r="E510" s="8" t="str">
        <f t="array" ref="E510">IF(506&gt;$S$1204,"",INDEX($T$5:$AJ$1204,MATCH(506,$S$5:$S$1204,0),5))</f>
        <v/>
      </c>
      <c r="F510" s="8" t="str">
        <f t="array" ref="F510">IF(506&gt;$S$1204,"",INDEX($T$5:$AJ$1204,MATCH(506,$S$5:$S$1204,0),6))</f>
        <v/>
      </c>
      <c r="G510" s="8" t="str">
        <f t="array" ref="G510">IF(506&gt;$S$1204,"",INDEX($T$5:$AJ$1204,MATCH(506,$S$5:$S$1204,0),7))</f>
        <v/>
      </c>
      <c r="H510" s="8" t="str">
        <f t="array" ref="H510">IF(506&gt;$S$1204,"",INDEX($T$5:$AJ$1204,MATCH(506,$S$5:$S$1204,0),8))</f>
        <v/>
      </c>
      <c r="I510" s="8" t="str">
        <f t="array" ref="I510">IF(506&gt;$S$1204,"",INDEX($T$5:$AJ$1204,MATCH(506,$S$5:$S$1204,0),9))</f>
        <v/>
      </c>
      <c r="J510" s="14" t="str">
        <f t="array" ref="J510">IF(506&gt;$S$1204,"",INDEX($T$5:$AJ$1204,MATCH(506,$S$5:$S$1204,0),10))</f>
        <v/>
      </c>
      <c r="K510" s="8" t="str">
        <f t="array" ref="K510">IF(506&gt;$S$1204,"",INDEX($T$5:$AJ$1204,MATCH(506,$S$5:$S$1204,0),11))</f>
        <v/>
      </c>
      <c r="L510" s="8" t="str">
        <f t="array" ref="L510">IF(506&gt;$S$1204,"",INDEX($T$5:$AJ$1204,MATCH(506,$S$5:$S$1204,0),12))</f>
        <v/>
      </c>
      <c r="M510" s="8" t="str">
        <f t="array" ref="M510">IF(506&gt;$S$1204,"",INDEX($T$5:$AJ$1204,MATCH(506,$S$5:$S$1204,0),13))</f>
        <v/>
      </c>
      <c r="N510" s="8" t="str">
        <f t="array" ref="N510">IF(506&gt;$S$1204,"",INDEX($T$5:$AJ$1204,MATCH(506,$S$5:$S$1204,0),14))</f>
        <v/>
      </c>
      <c r="O510" s="15" t="str">
        <f t="array" ref="O510">IF(506&gt;$S$1204,"",INDEX($T$5:$AJ$1204,MATCH(506,$S$5:$S$1204,0),15))</f>
        <v/>
      </c>
      <c r="P510" s="8" t="str">
        <f t="array" ref="P510">IF(506&gt;$S$1204,"",INDEX($T$5:$AJ$1204,MATCH(506,$S$5:$S$1204,0),16))</f>
        <v/>
      </c>
      <c r="Q510" s="8" t="str">
        <f t="array" ref="Q510">IF(506&gt;$S$1204,"",INDEX($T$5:$AJ$1204,MATCH(506,$S$5:$S$1204,0),17))</f>
        <v/>
      </c>
      <c r="R510" s="17"/>
      <c r="S510" s="17">
        <f>S509+IF(M3_Silleteria!A114="",0,1)</f>
        <v>0</v>
      </c>
      <c r="T510" s="17" t="str">
        <f>IF(M3_Silleteria!A114="","",IF(M3_Silleteria!A114="","",M3_Silleteria!A114))</f>
        <v/>
      </c>
      <c r="U510" s="17" t="str">
        <f>IF(M3_Silleteria!A114="","",IF(M3_Silleteria!Q114="","",M3_Silleteria!Q114))</f>
        <v/>
      </c>
      <c r="V510" s="17" t="str">
        <f>IF(M3_Silleteria!A114="","",IF(M3_Silleteria!D114="","",M3_Silleteria!D114))</f>
        <v/>
      </c>
      <c r="W510" s="17" t="str">
        <f>IF(M3_Silleteria!A114="","",IF(M3_Silleteria!B114="","",M3_Silleteria!B114))</f>
        <v/>
      </c>
      <c r="X510" s="17" t="str">
        <f>IF(M3_Silleteria!A114="","",IF(M3_Silleteria!C114="","",M3_Silleteria!C114))</f>
        <v/>
      </c>
      <c r="Y510" s="17" t="str">
        <f>IF(M3_Silleteria!A114="","",IF(M3_Silleteria!E114="","",M3_Silleteria!E114))</f>
        <v/>
      </c>
      <c r="Z510" s="17" t="str">
        <f>IF(M3_Silleteria!A114="","",IF(M3_Silleteria!F114="","",M3_Silleteria!F114))</f>
        <v/>
      </c>
      <c r="AA510" s="17" t="str">
        <f>IF(M3_Silleteria!A114="","","M3 Silletería")</f>
        <v/>
      </c>
      <c r="AB510" s="17" t="str">
        <f>IF(M3_Silleteria!A114="","",IF(M3_Silleteria!G114="","",M3_Silleteria!G114))</f>
        <v/>
      </c>
      <c r="AC510" s="17" t="str">
        <f>IF(M3_Silleteria!A114="","",IF(M3_Silleteria!L114="","",M3_Silleteria!L114))</f>
        <v/>
      </c>
      <c r="AD510" s="17" t="str">
        <f>IF(M3_Silleteria!A114="","","CD")</f>
        <v/>
      </c>
      <c r="AE510" s="17" t="str">
        <f>IF(M3_Silleteria!A114="","",IF(M3_Silleteria!N114="","",M3_Silleteria!N114))</f>
        <v/>
      </c>
      <c r="AF510" s="17" t="str">
        <f>IF(M3_Silleteria!A114="","",IF(M3_Silleteria!O114="","",M3_Silleteria!O114))</f>
        <v/>
      </c>
      <c r="AG510" s="17" t="str">
        <f>IF(M3_Silleteria!A114="","",IF(M3_Silleteria!P114="","",M3_Silleteria!P114))</f>
        <v/>
      </c>
      <c r="AH510" s="17" t="str">
        <f>IF(M3_Silleteria!A114="","",IF(M3_Silleteria!H114="","",M3_Silleteria!H114))</f>
        <v/>
      </c>
      <c r="AI510" s="17" t="str">
        <f>IF(M3_Silleteria!A114="","","M3_Silleteria!114")</f>
        <v/>
      </c>
      <c r="AJ510" s="17" t="str">
        <f>IF(M3_Silleteria!A114="","",IF(M3_Silleteria!L114="","Pendiente de resultado","Disponible"))</f>
        <v/>
      </c>
    </row>
    <row r="511" spans="1:36" ht="55.5" customHeight="1">
      <c r="A511" s="6" t="str">
        <f t="array" ref="A511">IF(507&gt;$S$1204,"",INDEX($T$5:$AJ$1204,MATCH(507,$S$5:$S$1204,0),1))</f>
        <v/>
      </c>
      <c r="B511" s="8" t="str">
        <f t="array" ref="B511">IF(507&gt;$S$1204,"",INDEX($T$5:$AJ$1204,MATCH(507,$S$5:$S$1204,0),2))</f>
        <v/>
      </c>
      <c r="C511" s="10" t="str">
        <f t="array" ref="C511">IF(507&gt;$S$1204,"",INDEX($T$5:$AJ$1204,MATCH(507,$S$5:$S$1204,0),3))</f>
        <v/>
      </c>
      <c r="D511" s="8" t="str">
        <f t="array" ref="D511">IF(507&gt;$S$1204,"",INDEX($T$5:$AJ$1204,MATCH(507,$S$5:$S$1204,0),4))</f>
        <v/>
      </c>
      <c r="E511" s="8" t="str">
        <f t="array" ref="E511">IF(507&gt;$S$1204,"",INDEX($T$5:$AJ$1204,MATCH(507,$S$5:$S$1204,0),5))</f>
        <v/>
      </c>
      <c r="F511" s="8" t="str">
        <f t="array" ref="F511">IF(507&gt;$S$1204,"",INDEX($T$5:$AJ$1204,MATCH(507,$S$5:$S$1204,0),6))</f>
        <v/>
      </c>
      <c r="G511" s="8" t="str">
        <f t="array" ref="G511">IF(507&gt;$S$1204,"",INDEX($T$5:$AJ$1204,MATCH(507,$S$5:$S$1204,0),7))</f>
        <v/>
      </c>
      <c r="H511" s="8" t="str">
        <f t="array" ref="H511">IF(507&gt;$S$1204,"",INDEX($T$5:$AJ$1204,MATCH(507,$S$5:$S$1204,0),8))</f>
        <v/>
      </c>
      <c r="I511" s="8" t="str">
        <f t="array" ref="I511">IF(507&gt;$S$1204,"",INDEX($T$5:$AJ$1204,MATCH(507,$S$5:$S$1204,0),9))</f>
        <v/>
      </c>
      <c r="J511" s="14" t="str">
        <f t="array" ref="J511">IF(507&gt;$S$1204,"",INDEX($T$5:$AJ$1204,MATCH(507,$S$5:$S$1204,0),10))</f>
        <v/>
      </c>
      <c r="K511" s="8" t="str">
        <f t="array" ref="K511">IF(507&gt;$S$1204,"",INDEX($T$5:$AJ$1204,MATCH(507,$S$5:$S$1204,0),11))</f>
        <v/>
      </c>
      <c r="L511" s="8" t="str">
        <f t="array" ref="L511">IF(507&gt;$S$1204,"",INDEX($T$5:$AJ$1204,MATCH(507,$S$5:$S$1204,0),12))</f>
        <v/>
      </c>
      <c r="M511" s="8" t="str">
        <f t="array" ref="M511">IF(507&gt;$S$1204,"",INDEX($T$5:$AJ$1204,MATCH(507,$S$5:$S$1204,0),13))</f>
        <v/>
      </c>
      <c r="N511" s="8" t="str">
        <f t="array" ref="N511">IF(507&gt;$S$1204,"",INDEX($T$5:$AJ$1204,MATCH(507,$S$5:$S$1204,0),14))</f>
        <v/>
      </c>
      <c r="O511" s="15" t="str">
        <f t="array" ref="O511">IF(507&gt;$S$1204,"",INDEX($T$5:$AJ$1204,MATCH(507,$S$5:$S$1204,0),15))</f>
        <v/>
      </c>
      <c r="P511" s="8" t="str">
        <f t="array" ref="P511">IF(507&gt;$S$1204,"",INDEX($T$5:$AJ$1204,MATCH(507,$S$5:$S$1204,0),16))</f>
        <v/>
      </c>
      <c r="Q511" s="8" t="str">
        <f t="array" ref="Q511">IF(507&gt;$S$1204,"",INDEX($T$5:$AJ$1204,MATCH(507,$S$5:$S$1204,0),17))</f>
        <v/>
      </c>
      <c r="R511" s="17"/>
      <c r="S511" s="17">
        <f>S510+IF(M3_Silleteria!A115="",0,1)</f>
        <v>0</v>
      </c>
      <c r="T511" s="17" t="str">
        <f>IF(M3_Silleteria!A115="","",IF(M3_Silleteria!A115="","",M3_Silleteria!A115))</f>
        <v/>
      </c>
      <c r="U511" s="17" t="str">
        <f>IF(M3_Silleteria!A115="","",IF(M3_Silleteria!Q115="","",M3_Silleteria!Q115))</f>
        <v/>
      </c>
      <c r="V511" s="17" t="str">
        <f>IF(M3_Silleteria!A115="","",IF(M3_Silleteria!D115="","",M3_Silleteria!D115))</f>
        <v/>
      </c>
      <c r="W511" s="17" t="str">
        <f>IF(M3_Silleteria!A115="","",IF(M3_Silleteria!B115="","",M3_Silleteria!B115))</f>
        <v/>
      </c>
      <c r="X511" s="17" t="str">
        <f>IF(M3_Silleteria!A115="","",IF(M3_Silleteria!C115="","",M3_Silleteria!C115))</f>
        <v/>
      </c>
      <c r="Y511" s="17" t="str">
        <f>IF(M3_Silleteria!A115="","",IF(M3_Silleteria!E115="","",M3_Silleteria!E115))</f>
        <v/>
      </c>
      <c r="Z511" s="17" t="str">
        <f>IF(M3_Silleteria!A115="","",IF(M3_Silleteria!F115="","",M3_Silleteria!F115))</f>
        <v/>
      </c>
      <c r="AA511" s="17" t="str">
        <f>IF(M3_Silleteria!A115="","","M3 Silletería")</f>
        <v/>
      </c>
      <c r="AB511" s="17" t="str">
        <f>IF(M3_Silleteria!A115="","",IF(M3_Silleteria!G115="","",M3_Silleteria!G115))</f>
        <v/>
      </c>
      <c r="AC511" s="17" t="str">
        <f>IF(M3_Silleteria!A115="","",IF(M3_Silleteria!L115="","",M3_Silleteria!L115))</f>
        <v/>
      </c>
      <c r="AD511" s="17" t="str">
        <f>IF(M3_Silleteria!A115="","","CD")</f>
        <v/>
      </c>
      <c r="AE511" s="17" t="str">
        <f>IF(M3_Silleteria!A115="","",IF(M3_Silleteria!N115="","",M3_Silleteria!N115))</f>
        <v/>
      </c>
      <c r="AF511" s="17" t="str">
        <f>IF(M3_Silleteria!A115="","",IF(M3_Silleteria!O115="","",M3_Silleteria!O115))</f>
        <v/>
      </c>
      <c r="AG511" s="17" t="str">
        <f>IF(M3_Silleteria!A115="","",IF(M3_Silleteria!P115="","",M3_Silleteria!P115))</f>
        <v/>
      </c>
      <c r="AH511" s="17" t="str">
        <f>IF(M3_Silleteria!A115="","",IF(M3_Silleteria!H115="","",M3_Silleteria!H115))</f>
        <v/>
      </c>
      <c r="AI511" s="17" t="str">
        <f>IF(M3_Silleteria!A115="","","M3_Silleteria!115")</f>
        <v/>
      </c>
      <c r="AJ511" s="17" t="str">
        <f>IF(M3_Silleteria!A115="","",IF(M3_Silleteria!L115="","Pendiente de resultado","Disponible"))</f>
        <v/>
      </c>
    </row>
    <row r="512" spans="1:36" ht="55.5" customHeight="1">
      <c r="A512" s="6" t="str">
        <f t="array" ref="A512">IF(508&gt;$S$1204,"",INDEX($T$5:$AJ$1204,MATCH(508,$S$5:$S$1204,0),1))</f>
        <v/>
      </c>
      <c r="B512" s="8" t="str">
        <f t="array" ref="B512">IF(508&gt;$S$1204,"",INDEX($T$5:$AJ$1204,MATCH(508,$S$5:$S$1204,0),2))</f>
        <v/>
      </c>
      <c r="C512" s="10" t="str">
        <f t="array" ref="C512">IF(508&gt;$S$1204,"",INDEX($T$5:$AJ$1204,MATCH(508,$S$5:$S$1204,0),3))</f>
        <v/>
      </c>
      <c r="D512" s="8" t="str">
        <f t="array" ref="D512">IF(508&gt;$S$1204,"",INDEX($T$5:$AJ$1204,MATCH(508,$S$5:$S$1204,0),4))</f>
        <v/>
      </c>
      <c r="E512" s="8" t="str">
        <f t="array" ref="E512">IF(508&gt;$S$1204,"",INDEX($T$5:$AJ$1204,MATCH(508,$S$5:$S$1204,0),5))</f>
        <v/>
      </c>
      <c r="F512" s="8" t="str">
        <f t="array" ref="F512">IF(508&gt;$S$1204,"",INDEX($T$5:$AJ$1204,MATCH(508,$S$5:$S$1204,0),6))</f>
        <v/>
      </c>
      <c r="G512" s="8" t="str">
        <f t="array" ref="G512">IF(508&gt;$S$1204,"",INDEX($T$5:$AJ$1204,MATCH(508,$S$5:$S$1204,0),7))</f>
        <v/>
      </c>
      <c r="H512" s="8" t="str">
        <f t="array" ref="H512">IF(508&gt;$S$1204,"",INDEX($T$5:$AJ$1204,MATCH(508,$S$5:$S$1204,0),8))</f>
        <v/>
      </c>
      <c r="I512" s="8" t="str">
        <f t="array" ref="I512">IF(508&gt;$S$1204,"",INDEX($T$5:$AJ$1204,MATCH(508,$S$5:$S$1204,0),9))</f>
        <v/>
      </c>
      <c r="J512" s="14" t="str">
        <f t="array" ref="J512">IF(508&gt;$S$1204,"",INDEX($T$5:$AJ$1204,MATCH(508,$S$5:$S$1204,0),10))</f>
        <v/>
      </c>
      <c r="K512" s="8" t="str">
        <f t="array" ref="K512">IF(508&gt;$S$1204,"",INDEX($T$5:$AJ$1204,MATCH(508,$S$5:$S$1204,0),11))</f>
        <v/>
      </c>
      <c r="L512" s="8" t="str">
        <f t="array" ref="L512">IF(508&gt;$S$1204,"",INDEX($T$5:$AJ$1204,MATCH(508,$S$5:$S$1204,0),12))</f>
        <v/>
      </c>
      <c r="M512" s="8" t="str">
        <f t="array" ref="M512">IF(508&gt;$S$1204,"",INDEX($T$5:$AJ$1204,MATCH(508,$S$5:$S$1204,0),13))</f>
        <v/>
      </c>
      <c r="N512" s="8" t="str">
        <f t="array" ref="N512">IF(508&gt;$S$1204,"",INDEX($T$5:$AJ$1204,MATCH(508,$S$5:$S$1204,0),14))</f>
        <v/>
      </c>
      <c r="O512" s="15" t="str">
        <f t="array" ref="O512">IF(508&gt;$S$1204,"",INDEX($T$5:$AJ$1204,MATCH(508,$S$5:$S$1204,0),15))</f>
        <v/>
      </c>
      <c r="P512" s="8" t="str">
        <f t="array" ref="P512">IF(508&gt;$S$1204,"",INDEX($T$5:$AJ$1204,MATCH(508,$S$5:$S$1204,0),16))</f>
        <v/>
      </c>
      <c r="Q512" s="8" t="str">
        <f t="array" ref="Q512">IF(508&gt;$S$1204,"",INDEX($T$5:$AJ$1204,MATCH(508,$S$5:$S$1204,0),17))</f>
        <v/>
      </c>
      <c r="R512" s="17"/>
      <c r="S512" s="17">
        <f>S511+IF(M3_Silleteria!A116="",0,1)</f>
        <v>0</v>
      </c>
      <c r="T512" s="17" t="str">
        <f>IF(M3_Silleteria!A116="","",IF(M3_Silleteria!A116="","",M3_Silleteria!A116))</f>
        <v/>
      </c>
      <c r="U512" s="17" t="str">
        <f>IF(M3_Silleteria!A116="","",IF(M3_Silleteria!Q116="","",M3_Silleteria!Q116))</f>
        <v/>
      </c>
      <c r="V512" s="17" t="str">
        <f>IF(M3_Silleteria!A116="","",IF(M3_Silleteria!D116="","",M3_Silleteria!D116))</f>
        <v/>
      </c>
      <c r="W512" s="17" t="str">
        <f>IF(M3_Silleteria!A116="","",IF(M3_Silleteria!B116="","",M3_Silleteria!B116))</f>
        <v/>
      </c>
      <c r="X512" s="17" t="str">
        <f>IF(M3_Silleteria!A116="","",IF(M3_Silleteria!C116="","",M3_Silleteria!C116))</f>
        <v/>
      </c>
      <c r="Y512" s="17" t="str">
        <f>IF(M3_Silleteria!A116="","",IF(M3_Silleteria!E116="","",M3_Silleteria!E116))</f>
        <v/>
      </c>
      <c r="Z512" s="17" t="str">
        <f>IF(M3_Silleteria!A116="","",IF(M3_Silleteria!F116="","",M3_Silleteria!F116))</f>
        <v/>
      </c>
      <c r="AA512" s="17" t="str">
        <f>IF(M3_Silleteria!A116="","","M3 Silletería")</f>
        <v/>
      </c>
      <c r="AB512" s="17" t="str">
        <f>IF(M3_Silleteria!A116="","",IF(M3_Silleteria!G116="","",M3_Silleteria!G116))</f>
        <v/>
      </c>
      <c r="AC512" s="17" t="str">
        <f>IF(M3_Silleteria!A116="","",IF(M3_Silleteria!L116="","",M3_Silleteria!L116))</f>
        <v/>
      </c>
      <c r="AD512" s="17" t="str">
        <f>IF(M3_Silleteria!A116="","","CD")</f>
        <v/>
      </c>
      <c r="AE512" s="17" t="str">
        <f>IF(M3_Silleteria!A116="","",IF(M3_Silleteria!N116="","",M3_Silleteria!N116))</f>
        <v/>
      </c>
      <c r="AF512" s="17" t="str">
        <f>IF(M3_Silleteria!A116="","",IF(M3_Silleteria!O116="","",M3_Silleteria!O116))</f>
        <v/>
      </c>
      <c r="AG512" s="17" t="str">
        <f>IF(M3_Silleteria!A116="","",IF(M3_Silleteria!P116="","",M3_Silleteria!P116))</f>
        <v/>
      </c>
      <c r="AH512" s="17" t="str">
        <f>IF(M3_Silleteria!A116="","",IF(M3_Silleteria!H116="","",M3_Silleteria!H116))</f>
        <v/>
      </c>
      <c r="AI512" s="17" t="str">
        <f>IF(M3_Silleteria!A116="","","M3_Silleteria!116")</f>
        <v/>
      </c>
      <c r="AJ512" s="17" t="str">
        <f>IF(M3_Silleteria!A116="","",IF(M3_Silleteria!L116="","Pendiente de resultado","Disponible"))</f>
        <v/>
      </c>
    </row>
    <row r="513" spans="1:36" ht="55.5" customHeight="1">
      <c r="A513" s="6" t="str">
        <f t="array" ref="A513">IF(509&gt;$S$1204,"",INDEX($T$5:$AJ$1204,MATCH(509,$S$5:$S$1204,0),1))</f>
        <v/>
      </c>
      <c r="B513" s="8" t="str">
        <f t="array" ref="B513">IF(509&gt;$S$1204,"",INDEX($T$5:$AJ$1204,MATCH(509,$S$5:$S$1204,0),2))</f>
        <v/>
      </c>
      <c r="C513" s="10" t="str">
        <f t="array" ref="C513">IF(509&gt;$S$1204,"",INDEX($T$5:$AJ$1204,MATCH(509,$S$5:$S$1204,0),3))</f>
        <v/>
      </c>
      <c r="D513" s="8" t="str">
        <f t="array" ref="D513">IF(509&gt;$S$1204,"",INDEX($T$5:$AJ$1204,MATCH(509,$S$5:$S$1204,0),4))</f>
        <v/>
      </c>
      <c r="E513" s="8" t="str">
        <f t="array" ref="E513">IF(509&gt;$S$1204,"",INDEX($T$5:$AJ$1204,MATCH(509,$S$5:$S$1204,0),5))</f>
        <v/>
      </c>
      <c r="F513" s="8" t="str">
        <f t="array" ref="F513">IF(509&gt;$S$1204,"",INDEX($T$5:$AJ$1204,MATCH(509,$S$5:$S$1204,0),6))</f>
        <v/>
      </c>
      <c r="G513" s="8" t="str">
        <f t="array" ref="G513">IF(509&gt;$S$1204,"",INDEX($T$5:$AJ$1204,MATCH(509,$S$5:$S$1204,0),7))</f>
        <v/>
      </c>
      <c r="H513" s="8" t="str">
        <f t="array" ref="H513">IF(509&gt;$S$1204,"",INDEX($T$5:$AJ$1204,MATCH(509,$S$5:$S$1204,0),8))</f>
        <v/>
      </c>
      <c r="I513" s="8" t="str">
        <f t="array" ref="I513">IF(509&gt;$S$1204,"",INDEX($T$5:$AJ$1204,MATCH(509,$S$5:$S$1204,0),9))</f>
        <v/>
      </c>
      <c r="J513" s="14" t="str">
        <f t="array" ref="J513">IF(509&gt;$S$1204,"",INDEX($T$5:$AJ$1204,MATCH(509,$S$5:$S$1204,0),10))</f>
        <v/>
      </c>
      <c r="K513" s="8" t="str">
        <f t="array" ref="K513">IF(509&gt;$S$1204,"",INDEX($T$5:$AJ$1204,MATCH(509,$S$5:$S$1204,0),11))</f>
        <v/>
      </c>
      <c r="L513" s="8" t="str">
        <f t="array" ref="L513">IF(509&gt;$S$1204,"",INDEX($T$5:$AJ$1204,MATCH(509,$S$5:$S$1204,0),12))</f>
        <v/>
      </c>
      <c r="M513" s="8" t="str">
        <f t="array" ref="M513">IF(509&gt;$S$1204,"",INDEX($T$5:$AJ$1204,MATCH(509,$S$5:$S$1204,0),13))</f>
        <v/>
      </c>
      <c r="N513" s="8" t="str">
        <f t="array" ref="N513">IF(509&gt;$S$1204,"",INDEX($T$5:$AJ$1204,MATCH(509,$S$5:$S$1204,0),14))</f>
        <v/>
      </c>
      <c r="O513" s="15" t="str">
        <f t="array" ref="O513">IF(509&gt;$S$1204,"",INDEX($T$5:$AJ$1204,MATCH(509,$S$5:$S$1204,0),15))</f>
        <v/>
      </c>
      <c r="P513" s="8" t="str">
        <f t="array" ref="P513">IF(509&gt;$S$1204,"",INDEX($T$5:$AJ$1204,MATCH(509,$S$5:$S$1204,0),16))</f>
        <v/>
      </c>
      <c r="Q513" s="8" t="str">
        <f t="array" ref="Q513">IF(509&gt;$S$1204,"",INDEX($T$5:$AJ$1204,MATCH(509,$S$5:$S$1204,0),17))</f>
        <v/>
      </c>
      <c r="R513" s="17"/>
      <c r="S513" s="17">
        <f>S512+IF(M3_Silleteria!A117="",0,1)</f>
        <v>0</v>
      </c>
      <c r="T513" s="17" t="str">
        <f>IF(M3_Silleteria!A117="","",IF(M3_Silleteria!A117="","",M3_Silleteria!A117))</f>
        <v/>
      </c>
      <c r="U513" s="17" t="str">
        <f>IF(M3_Silleteria!A117="","",IF(M3_Silleteria!Q117="","",M3_Silleteria!Q117))</f>
        <v/>
      </c>
      <c r="V513" s="17" t="str">
        <f>IF(M3_Silleteria!A117="","",IF(M3_Silleteria!D117="","",M3_Silleteria!D117))</f>
        <v/>
      </c>
      <c r="W513" s="17" t="str">
        <f>IF(M3_Silleteria!A117="","",IF(M3_Silleteria!B117="","",M3_Silleteria!B117))</f>
        <v/>
      </c>
      <c r="X513" s="17" t="str">
        <f>IF(M3_Silleteria!A117="","",IF(M3_Silleteria!C117="","",M3_Silleteria!C117))</f>
        <v/>
      </c>
      <c r="Y513" s="17" t="str">
        <f>IF(M3_Silleteria!A117="","",IF(M3_Silleteria!E117="","",M3_Silleteria!E117))</f>
        <v/>
      </c>
      <c r="Z513" s="17" t="str">
        <f>IF(M3_Silleteria!A117="","",IF(M3_Silleteria!F117="","",M3_Silleteria!F117))</f>
        <v/>
      </c>
      <c r="AA513" s="17" t="str">
        <f>IF(M3_Silleteria!A117="","","M3 Silletería")</f>
        <v/>
      </c>
      <c r="AB513" s="17" t="str">
        <f>IF(M3_Silleteria!A117="","",IF(M3_Silleteria!G117="","",M3_Silleteria!G117))</f>
        <v/>
      </c>
      <c r="AC513" s="17" t="str">
        <f>IF(M3_Silleteria!A117="","",IF(M3_Silleteria!L117="","",M3_Silleteria!L117))</f>
        <v/>
      </c>
      <c r="AD513" s="17" t="str">
        <f>IF(M3_Silleteria!A117="","","CD")</f>
        <v/>
      </c>
      <c r="AE513" s="17" t="str">
        <f>IF(M3_Silleteria!A117="","",IF(M3_Silleteria!N117="","",M3_Silleteria!N117))</f>
        <v/>
      </c>
      <c r="AF513" s="17" t="str">
        <f>IF(M3_Silleteria!A117="","",IF(M3_Silleteria!O117="","",M3_Silleteria!O117))</f>
        <v/>
      </c>
      <c r="AG513" s="17" t="str">
        <f>IF(M3_Silleteria!A117="","",IF(M3_Silleteria!P117="","",M3_Silleteria!P117))</f>
        <v/>
      </c>
      <c r="AH513" s="17" t="str">
        <f>IF(M3_Silleteria!A117="","",IF(M3_Silleteria!H117="","",M3_Silleteria!H117))</f>
        <v/>
      </c>
      <c r="AI513" s="17" t="str">
        <f>IF(M3_Silleteria!A117="","","M3_Silleteria!117")</f>
        <v/>
      </c>
      <c r="AJ513" s="17" t="str">
        <f>IF(M3_Silleteria!A117="","",IF(M3_Silleteria!L117="","Pendiente de resultado","Disponible"))</f>
        <v/>
      </c>
    </row>
    <row r="514" spans="1:36" ht="55.5" customHeight="1">
      <c r="A514" s="6" t="str">
        <f t="array" ref="A514">IF(510&gt;$S$1204,"",INDEX($T$5:$AJ$1204,MATCH(510,$S$5:$S$1204,0),1))</f>
        <v/>
      </c>
      <c r="B514" s="8" t="str">
        <f t="array" ref="B514">IF(510&gt;$S$1204,"",INDEX($T$5:$AJ$1204,MATCH(510,$S$5:$S$1204,0),2))</f>
        <v/>
      </c>
      <c r="C514" s="10" t="str">
        <f t="array" ref="C514">IF(510&gt;$S$1204,"",INDEX($T$5:$AJ$1204,MATCH(510,$S$5:$S$1204,0),3))</f>
        <v/>
      </c>
      <c r="D514" s="8" t="str">
        <f t="array" ref="D514">IF(510&gt;$S$1204,"",INDEX($T$5:$AJ$1204,MATCH(510,$S$5:$S$1204,0),4))</f>
        <v/>
      </c>
      <c r="E514" s="8" t="str">
        <f t="array" ref="E514">IF(510&gt;$S$1204,"",INDEX($T$5:$AJ$1204,MATCH(510,$S$5:$S$1204,0),5))</f>
        <v/>
      </c>
      <c r="F514" s="8" t="str">
        <f t="array" ref="F514">IF(510&gt;$S$1204,"",INDEX($T$5:$AJ$1204,MATCH(510,$S$5:$S$1204,0),6))</f>
        <v/>
      </c>
      <c r="G514" s="8" t="str">
        <f t="array" ref="G514">IF(510&gt;$S$1204,"",INDEX($T$5:$AJ$1204,MATCH(510,$S$5:$S$1204,0),7))</f>
        <v/>
      </c>
      <c r="H514" s="8" t="str">
        <f t="array" ref="H514">IF(510&gt;$S$1204,"",INDEX($T$5:$AJ$1204,MATCH(510,$S$5:$S$1204,0),8))</f>
        <v/>
      </c>
      <c r="I514" s="8" t="str">
        <f t="array" ref="I514">IF(510&gt;$S$1204,"",INDEX($T$5:$AJ$1204,MATCH(510,$S$5:$S$1204,0),9))</f>
        <v/>
      </c>
      <c r="J514" s="14" t="str">
        <f t="array" ref="J514">IF(510&gt;$S$1204,"",INDEX($T$5:$AJ$1204,MATCH(510,$S$5:$S$1204,0),10))</f>
        <v/>
      </c>
      <c r="K514" s="8" t="str">
        <f t="array" ref="K514">IF(510&gt;$S$1204,"",INDEX($T$5:$AJ$1204,MATCH(510,$S$5:$S$1204,0),11))</f>
        <v/>
      </c>
      <c r="L514" s="8" t="str">
        <f t="array" ref="L514">IF(510&gt;$S$1204,"",INDEX($T$5:$AJ$1204,MATCH(510,$S$5:$S$1204,0),12))</f>
        <v/>
      </c>
      <c r="M514" s="8" t="str">
        <f t="array" ref="M514">IF(510&gt;$S$1204,"",INDEX($T$5:$AJ$1204,MATCH(510,$S$5:$S$1204,0),13))</f>
        <v/>
      </c>
      <c r="N514" s="8" t="str">
        <f t="array" ref="N514">IF(510&gt;$S$1204,"",INDEX($T$5:$AJ$1204,MATCH(510,$S$5:$S$1204,0),14))</f>
        <v/>
      </c>
      <c r="O514" s="15" t="str">
        <f t="array" ref="O514">IF(510&gt;$S$1204,"",INDEX($T$5:$AJ$1204,MATCH(510,$S$5:$S$1204,0),15))</f>
        <v/>
      </c>
      <c r="P514" s="8" t="str">
        <f t="array" ref="P514">IF(510&gt;$S$1204,"",INDEX($T$5:$AJ$1204,MATCH(510,$S$5:$S$1204,0),16))</f>
        <v/>
      </c>
      <c r="Q514" s="8" t="str">
        <f t="array" ref="Q514">IF(510&gt;$S$1204,"",INDEX($T$5:$AJ$1204,MATCH(510,$S$5:$S$1204,0),17))</f>
        <v/>
      </c>
      <c r="R514" s="17"/>
      <c r="S514" s="17">
        <f>S513+IF(M3_Silleteria!A118="",0,1)</f>
        <v>0</v>
      </c>
      <c r="T514" s="17" t="str">
        <f>IF(M3_Silleteria!A118="","",IF(M3_Silleteria!A118="","",M3_Silleteria!A118))</f>
        <v/>
      </c>
      <c r="U514" s="17" t="str">
        <f>IF(M3_Silleteria!A118="","",IF(M3_Silleteria!Q118="","",M3_Silleteria!Q118))</f>
        <v/>
      </c>
      <c r="V514" s="17" t="str">
        <f>IF(M3_Silleteria!A118="","",IF(M3_Silleteria!D118="","",M3_Silleteria!D118))</f>
        <v/>
      </c>
      <c r="W514" s="17" t="str">
        <f>IF(M3_Silleteria!A118="","",IF(M3_Silleteria!B118="","",M3_Silleteria!B118))</f>
        <v/>
      </c>
      <c r="X514" s="17" t="str">
        <f>IF(M3_Silleteria!A118="","",IF(M3_Silleteria!C118="","",M3_Silleteria!C118))</f>
        <v/>
      </c>
      <c r="Y514" s="17" t="str">
        <f>IF(M3_Silleteria!A118="","",IF(M3_Silleteria!E118="","",M3_Silleteria!E118))</f>
        <v/>
      </c>
      <c r="Z514" s="17" t="str">
        <f>IF(M3_Silleteria!A118="","",IF(M3_Silleteria!F118="","",M3_Silleteria!F118))</f>
        <v/>
      </c>
      <c r="AA514" s="17" t="str">
        <f>IF(M3_Silleteria!A118="","","M3 Silletería")</f>
        <v/>
      </c>
      <c r="AB514" s="17" t="str">
        <f>IF(M3_Silleteria!A118="","",IF(M3_Silleteria!G118="","",M3_Silleteria!G118))</f>
        <v/>
      </c>
      <c r="AC514" s="17" t="str">
        <f>IF(M3_Silleteria!A118="","",IF(M3_Silleteria!L118="","",M3_Silleteria!L118))</f>
        <v/>
      </c>
      <c r="AD514" s="17" t="str">
        <f>IF(M3_Silleteria!A118="","","CD")</f>
        <v/>
      </c>
      <c r="AE514" s="17" t="str">
        <f>IF(M3_Silleteria!A118="","",IF(M3_Silleteria!N118="","",M3_Silleteria!N118))</f>
        <v/>
      </c>
      <c r="AF514" s="17" t="str">
        <f>IF(M3_Silleteria!A118="","",IF(M3_Silleteria!O118="","",M3_Silleteria!O118))</f>
        <v/>
      </c>
      <c r="AG514" s="17" t="str">
        <f>IF(M3_Silleteria!A118="","",IF(M3_Silleteria!P118="","",M3_Silleteria!P118))</f>
        <v/>
      </c>
      <c r="AH514" s="17" t="str">
        <f>IF(M3_Silleteria!A118="","",IF(M3_Silleteria!H118="","",M3_Silleteria!H118))</f>
        <v/>
      </c>
      <c r="AI514" s="17" t="str">
        <f>IF(M3_Silleteria!A118="","","M3_Silleteria!118")</f>
        <v/>
      </c>
      <c r="AJ514" s="17" t="str">
        <f>IF(M3_Silleteria!A118="","",IF(M3_Silleteria!L118="","Pendiente de resultado","Disponible"))</f>
        <v/>
      </c>
    </row>
    <row r="515" spans="1:36" ht="55.5" customHeight="1">
      <c r="A515" s="6" t="str">
        <f t="array" ref="A515">IF(511&gt;$S$1204,"",INDEX($T$5:$AJ$1204,MATCH(511,$S$5:$S$1204,0),1))</f>
        <v/>
      </c>
      <c r="B515" s="8" t="str">
        <f t="array" ref="B515">IF(511&gt;$S$1204,"",INDEX($T$5:$AJ$1204,MATCH(511,$S$5:$S$1204,0),2))</f>
        <v/>
      </c>
      <c r="C515" s="10" t="str">
        <f t="array" ref="C515">IF(511&gt;$S$1204,"",INDEX($T$5:$AJ$1204,MATCH(511,$S$5:$S$1204,0),3))</f>
        <v/>
      </c>
      <c r="D515" s="8" t="str">
        <f t="array" ref="D515">IF(511&gt;$S$1204,"",INDEX($T$5:$AJ$1204,MATCH(511,$S$5:$S$1204,0),4))</f>
        <v/>
      </c>
      <c r="E515" s="8" t="str">
        <f t="array" ref="E515">IF(511&gt;$S$1204,"",INDEX($T$5:$AJ$1204,MATCH(511,$S$5:$S$1204,0),5))</f>
        <v/>
      </c>
      <c r="F515" s="8" t="str">
        <f t="array" ref="F515">IF(511&gt;$S$1204,"",INDEX($T$5:$AJ$1204,MATCH(511,$S$5:$S$1204,0),6))</f>
        <v/>
      </c>
      <c r="G515" s="8" t="str">
        <f t="array" ref="G515">IF(511&gt;$S$1204,"",INDEX($T$5:$AJ$1204,MATCH(511,$S$5:$S$1204,0),7))</f>
        <v/>
      </c>
      <c r="H515" s="8" t="str">
        <f t="array" ref="H515">IF(511&gt;$S$1204,"",INDEX($T$5:$AJ$1204,MATCH(511,$S$5:$S$1204,0),8))</f>
        <v/>
      </c>
      <c r="I515" s="8" t="str">
        <f t="array" ref="I515">IF(511&gt;$S$1204,"",INDEX($T$5:$AJ$1204,MATCH(511,$S$5:$S$1204,0),9))</f>
        <v/>
      </c>
      <c r="J515" s="14" t="str">
        <f t="array" ref="J515">IF(511&gt;$S$1204,"",INDEX($T$5:$AJ$1204,MATCH(511,$S$5:$S$1204,0),10))</f>
        <v/>
      </c>
      <c r="K515" s="8" t="str">
        <f t="array" ref="K515">IF(511&gt;$S$1204,"",INDEX($T$5:$AJ$1204,MATCH(511,$S$5:$S$1204,0),11))</f>
        <v/>
      </c>
      <c r="L515" s="8" t="str">
        <f t="array" ref="L515">IF(511&gt;$S$1204,"",INDEX($T$5:$AJ$1204,MATCH(511,$S$5:$S$1204,0),12))</f>
        <v/>
      </c>
      <c r="M515" s="8" t="str">
        <f t="array" ref="M515">IF(511&gt;$S$1204,"",INDEX($T$5:$AJ$1204,MATCH(511,$S$5:$S$1204,0),13))</f>
        <v/>
      </c>
      <c r="N515" s="8" t="str">
        <f t="array" ref="N515">IF(511&gt;$S$1204,"",INDEX($T$5:$AJ$1204,MATCH(511,$S$5:$S$1204,0),14))</f>
        <v/>
      </c>
      <c r="O515" s="15" t="str">
        <f t="array" ref="O515">IF(511&gt;$S$1204,"",INDEX($T$5:$AJ$1204,MATCH(511,$S$5:$S$1204,0),15))</f>
        <v/>
      </c>
      <c r="P515" s="8" t="str">
        <f t="array" ref="P515">IF(511&gt;$S$1204,"",INDEX($T$5:$AJ$1204,MATCH(511,$S$5:$S$1204,0),16))</f>
        <v/>
      </c>
      <c r="Q515" s="8" t="str">
        <f t="array" ref="Q515">IF(511&gt;$S$1204,"",INDEX($T$5:$AJ$1204,MATCH(511,$S$5:$S$1204,0),17))</f>
        <v/>
      </c>
      <c r="R515" s="17"/>
      <c r="S515" s="17">
        <f>S514+IF(M3_Silleteria!A119="",0,1)</f>
        <v>0</v>
      </c>
      <c r="T515" s="17" t="str">
        <f>IF(M3_Silleteria!A119="","",IF(M3_Silleteria!A119="","",M3_Silleteria!A119))</f>
        <v/>
      </c>
      <c r="U515" s="17" t="str">
        <f>IF(M3_Silleteria!A119="","",IF(M3_Silleteria!Q119="","",M3_Silleteria!Q119))</f>
        <v/>
      </c>
      <c r="V515" s="17" t="str">
        <f>IF(M3_Silleteria!A119="","",IF(M3_Silleteria!D119="","",M3_Silleteria!D119))</f>
        <v/>
      </c>
      <c r="W515" s="17" t="str">
        <f>IF(M3_Silleteria!A119="","",IF(M3_Silleteria!B119="","",M3_Silleteria!B119))</f>
        <v/>
      </c>
      <c r="X515" s="17" t="str">
        <f>IF(M3_Silleteria!A119="","",IF(M3_Silleteria!C119="","",M3_Silleteria!C119))</f>
        <v/>
      </c>
      <c r="Y515" s="17" t="str">
        <f>IF(M3_Silleteria!A119="","",IF(M3_Silleteria!E119="","",M3_Silleteria!E119))</f>
        <v/>
      </c>
      <c r="Z515" s="17" t="str">
        <f>IF(M3_Silleteria!A119="","",IF(M3_Silleteria!F119="","",M3_Silleteria!F119))</f>
        <v/>
      </c>
      <c r="AA515" s="17" t="str">
        <f>IF(M3_Silleteria!A119="","","M3 Silletería")</f>
        <v/>
      </c>
      <c r="AB515" s="17" t="str">
        <f>IF(M3_Silleteria!A119="","",IF(M3_Silleteria!G119="","",M3_Silleteria!G119))</f>
        <v/>
      </c>
      <c r="AC515" s="17" t="str">
        <f>IF(M3_Silleteria!A119="","",IF(M3_Silleteria!L119="","",M3_Silleteria!L119))</f>
        <v/>
      </c>
      <c r="AD515" s="17" t="str">
        <f>IF(M3_Silleteria!A119="","","CD")</f>
        <v/>
      </c>
      <c r="AE515" s="17" t="str">
        <f>IF(M3_Silleteria!A119="","",IF(M3_Silleteria!N119="","",M3_Silleteria!N119))</f>
        <v/>
      </c>
      <c r="AF515" s="17" t="str">
        <f>IF(M3_Silleteria!A119="","",IF(M3_Silleteria!O119="","",M3_Silleteria!O119))</f>
        <v/>
      </c>
      <c r="AG515" s="17" t="str">
        <f>IF(M3_Silleteria!A119="","",IF(M3_Silleteria!P119="","",M3_Silleteria!P119))</f>
        <v/>
      </c>
      <c r="AH515" s="17" t="str">
        <f>IF(M3_Silleteria!A119="","",IF(M3_Silleteria!H119="","",M3_Silleteria!H119))</f>
        <v/>
      </c>
      <c r="AI515" s="17" t="str">
        <f>IF(M3_Silleteria!A119="","","M3_Silleteria!119")</f>
        <v/>
      </c>
      <c r="AJ515" s="17" t="str">
        <f>IF(M3_Silleteria!A119="","",IF(M3_Silleteria!L119="","Pendiente de resultado","Disponible"))</f>
        <v/>
      </c>
    </row>
    <row r="516" spans="1:36" ht="55.5" customHeight="1">
      <c r="A516" s="6" t="str">
        <f t="array" ref="A516">IF(512&gt;$S$1204,"",INDEX($T$5:$AJ$1204,MATCH(512,$S$5:$S$1204,0),1))</f>
        <v/>
      </c>
      <c r="B516" s="8" t="str">
        <f t="array" ref="B516">IF(512&gt;$S$1204,"",INDEX($T$5:$AJ$1204,MATCH(512,$S$5:$S$1204,0),2))</f>
        <v/>
      </c>
      <c r="C516" s="10" t="str">
        <f t="array" ref="C516">IF(512&gt;$S$1204,"",INDEX($T$5:$AJ$1204,MATCH(512,$S$5:$S$1204,0),3))</f>
        <v/>
      </c>
      <c r="D516" s="8" t="str">
        <f t="array" ref="D516">IF(512&gt;$S$1204,"",INDEX($T$5:$AJ$1204,MATCH(512,$S$5:$S$1204,0),4))</f>
        <v/>
      </c>
      <c r="E516" s="8" t="str">
        <f t="array" ref="E516">IF(512&gt;$S$1204,"",INDEX($T$5:$AJ$1204,MATCH(512,$S$5:$S$1204,0),5))</f>
        <v/>
      </c>
      <c r="F516" s="8" t="str">
        <f t="array" ref="F516">IF(512&gt;$S$1204,"",INDEX($T$5:$AJ$1204,MATCH(512,$S$5:$S$1204,0),6))</f>
        <v/>
      </c>
      <c r="G516" s="8" t="str">
        <f t="array" ref="G516">IF(512&gt;$S$1204,"",INDEX($T$5:$AJ$1204,MATCH(512,$S$5:$S$1204,0),7))</f>
        <v/>
      </c>
      <c r="H516" s="8" t="str">
        <f t="array" ref="H516">IF(512&gt;$S$1204,"",INDEX($T$5:$AJ$1204,MATCH(512,$S$5:$S$1204,0),8))</f>
        <v/>
      </c>
      <c r="I516" s="8" t="str">
        <f t="array" ref="I516">IF(512&gt;$S$1204,"",INDEX($T$5:$AJ$1204,MATCH(512,$S$5:$S$1204,0),9))</f>
        <v/>
      </c>
      <c r="J516" s="14" t="str">
        <f t="array" ref="J516">IF(512&gt;$S$1204,"",INDEX($T$5:$AJ$1204,MATCH(512,$S$5:$S$1204,0),10))</f>
        <v/>
      </c>
      <c r="K516" s="8" t="str">
        <f t="array" ref="K516">IF(512&gt;$S$1204,"",INDEX($T$5:$AJ$1204,MATCH(512,$S$5:$S$1204,0),11))</f>
        <v/>
      </c>
      <c r="L516" s="8" t="str">
        <f t="array" ref="L516">IF(512&gt;$S$1204,"",INDEX($T$5:$AJ$1204,MATCH(512,$S$5:$S$1204,0),12))</f>
        <v/>
      </c>
      <c r="M516" s="8" t="str">
        <f t="array" ref="M516">IF(512&gt;$S$1204,"",INDEX($T$5:$AJ$1204,MATCH(512,$S$5:$S$1204,0),13))</f>
        <v/>
      </c>
      <c r="N516" s="8" t="str">
        <f t="array" ref="N516">IF(512&gt;$S$1204,"",INDEX($T$5:$AJ$1204,MATCH(512,$S$5:$S$1204,0),14))</f>
        <v/>
      </c>
      <c r="O516" s="15" t="str">
        <f t="array" ref="O516">IF(512&gt;$S$1204,"",INDEX($T$5:$AJ$1204,MATCH(512,$S$5:$S$1204,0),15))</f>
        <v/>
      </c>
      <c r="P516" s="8" t="str">
        <f t="array" ref="P516">IF(512&gt;$S$1204,"",INDEX($T$5:$AJ$1204,MATCH(512,$S$5:$S$1204,0),16))</f>
        <v/>
      </c>
      <c r="Q516" s="8" t="str">
        <f t="array" ref="Q516">IF(512&gt;$S$1204,"",INDEX($T$5:$AJ$1204,MATCH(512,$S$5:$S$1204,0),17))</f>
        <v/>
      </c>
      <c r="R516" s="17"/>
      <c r="S516" s="17">
        <f>S515+IF(M3_Silleteria!A120="",0,1)</f>
        <v>0</v>
      </c>
      <c r="T516" s="17" t="str">
        <f>IF(M3_Silleteria!A120="","",IF(M3_Silleteria!A120="","",M3_Silleteria!A120))</f>
        <v/>
      </c>
      <c r="U516" s="17" t="str">
        <f>IF(M3_Silleteria!A120="","",IF(M3_Silleteria!Q120="","",M3_Silleteria!Q120))</f>
        <v/>
      </c>
      <c r="V516" s="17" t="str">
        <f>IF(M3_Silleteria!A120="","",IF(M3_Silleteria!D120="","",M3_Silleteria!D120))</f>
        <v/>
      </c>
      <c r="W516" s="17" t="str">
        <f>IF(M3_Silleteria!A120="","",IF(M3_Silleteria!B120="","",M3_Silleteria!B120))</f>
        <v/>
      </c>
      <c r="X516" s="17" t="str">
        <f>IF(M3_Silleteria!A120="","",IF(M3_Silleteria!C120="","",M3_Silleteria!C120))</f>
        <v/>
      </c>
      <c r="Y516" s="17" t="str">
        <f>IF(M3_Silleteria!A120="","",IF(M3_Silleteria!E120="","",M3_Silleteria!E120))</f>
        <v/>
      </c>
      <c r="Z516" s="17" t="str">
        <f>IF(M3_Silleteria!A120="","",IF(M3_Silleteria!F120="","",M3_Silleteria!F120))</f>
        <v/>
      </c>
      <c r="AA516" s="17" t="str">
        <f>IF(M3_Silleteria!A120="","","M3 Silletería")</f>
        <v/>
      </c>
      <c r="AB516" s="17" t="str">
        <f>IF(M3_Silleteria!A120="","",IF(M3_Silleteria!G120="","",M3_Silleteria!G120))</f>
        <v/>
      </c>
      <c r="AC516" s="17" t="str">
        <f>IF(M3_Silleteria!A120="","",IF(M3_Silleteria!L120="","",M3_Silleteria!L120))</f>
        <v/>
      </c>
      <c r="AD516" s="17" t="str">
        <f>IF(M3_Silleteria!A120="","","CD")</f>
        <v/>
      </c>
      <c r="AE516" s="17" t="str">
        <f>IF(M3_Silleteria!A120="","",IF(M3_Silleteria!N120="","",M3_Silleteria!N120))</f>
        <v/>
      </c>
      <c r="AF516" s="17" t="str">
        <f>IF(M3_Silleteria!A120="","",IF(M3_Silleteria!O120="","",M3_Silleteria!O120))</f>
        <v/>
      </c>
      <c r="AG516" s="17" t="str">
        <f>IF(M3_Silleteria!A120="","",IF(M3_Silleteria!P120="","",M3_Silleteria!P120))</f>
        <v/>
      </c>
      <c r="AH516" s="17" t="str">
        <f>IF(M3_Silleteria!A120="","",IF(M3_Silleteria!H120="","",M3_Silleteria!H120))</f>
        <v/>
      </c>
      <c r="AI516" s="17" t="str">
        <f>IF(M3_Silleteria!A120="","","M3_Silleteria!120")</f>
        <v/>
      </c>
      <c r="AJ516" s="17" t="str">
        <f>IF(M3_Silleteria!A120="","",IF(M3_Silleteria!L120="","Pendiente de resultado","Disponible"))</f>
        <v/>
      </c>
    </row>
    <row r="517" spans="1:36" ht="55.5" customHeight="1">
      <c r="A517" s="6" t="str">
        <f t="array" ref="A517">IF(513&gt;$S$1204,"",INDEX($T$5:$AJ$1204,MATCH(513,$S$5:$S$1204,0),1))</f>
        <v/>
      </c>
      <c r="B517" s="8" t="str">
        <f t="array" ref="B517">IF(513&gt;$S$1204,"",INDEX($T$5:$AJ$1204,MATCH(513,$S$5:$S$1204,0),2))</f>
        <v/>
      </c>
      <c r="C517" s="10" t="str">
        <f t="array" ref="C517">IF(513&gt;$S$1204,"",INDEX($T$5:$AJ$1204,MATCH(513,$S$5:$S$1204,0),3))</f>
        <v/>
      </c>
      <c r="D517" s="8" t="str">
        <f t="array" ref="D517">IF(513&gt;$S$1204,"",INDEX($T$5:$AJ$1204,MATCH(513,$S$5:$S$1204,0),4))</f>
        <v/>
      </c>
      <c r="E517" s="8" t="str">
        <f t="array" ref="E517">IF(513&gt;$S$1204,"",INDEX($T$5:$AJ$1204,MATCH(513,$S$5:$S$1204,0),5))</f>
        <v/>
      </c>
      <c r="F517" s="8" t="str">
        <f t="array" ref="F517">IF(513&gt;$S$1204,"",INDEX($T$5:$AJ$1204,MATCH(513,$S$5:$S$1204,0),6))</f>
        <v/>
      </c>
      <c r="G517" s="8" t="str">
        <f t="array" ref="G517">IF(513&gt;$S$1204,"",INDEX($T$5:$AJ$1204,MATCH(513,$S$5:$S$1204,0),7))</f>
        <v/>
      </c>
      <c r="H517" s="8" t="str">
        <f t="array" ref="H517">IF(513&gt;$S$1204,"",INDEX($T$5:$AJ$1204,MATCH(513,$S$5:$S$1204,0),8))</f>
        <v/>
      </c>
      <c r="I517" s="8" t="str">
        <f t="array" ref="I517">IF(513&gt;$S$1204,"",INDEX($T$5:$AJ$1204,MATCH(513,$S$5:$S$1204,0),9))</f>
        <v/>
      </c>
      <c r="J517" s="14" t="str">
        <f t="array" ref="J517">IF(513&gt;$S$1204,"",INDEX($T$5:$AJ$1204,MATCH(513,$S$5:$S$1204,0),10))</f>
        <v/>
      </c>
      <c r="K517" s="8" t="str">
        <f t="array" ref="K517">IF(513&gt;$S$1204,"",INDEX($T$5:$AJ$1204,MATCH(513,$S$5:$S$1204,0),11))</f>
        <v/>
      </c>
      <c r="L517" s="8" t="str">
        <f t="array" ref="L517">IF(513&gt;$S$1204,"",INDEX($T$5:$AJ$1204,MATCH(513,$S$5:$S$1204,0),12))</f>
        <v/>
      </c>
      <c r="M517" s="8" t="str">
        <f t="array" ref="M517">IF(513&gt;$S$1204,"",INDEX($T$5:$AJ$1204,MATCH(513,$S$5:$S$1204,0),13))</f>
        <v/>
      </c>
      <c r="N517" s="8" t="str">
        <f t="array" ref="N517">IF(513&gt;$S$1204,"",INDEX($T$5:$AJ$1204,MATCH(513,$S$5:$S$1204,0),14))</f>
        <v/>
      </c>
      <c r="O517" s="15" t="str">
        <f t="array" ref="O517">IF(513&gt;$S$1204,"",INDEX($T$5:$AJ$1204,MATCH(513,$S$5:$S$1204,0),15))</f>
        <v/>
      </c>
      <c r="P517" s="8" t="str">
        <f t="array" ref="P517">IF(513&gt;$S$1204,"",INDEX($T$5:$AJ$1204,MATCH(513,$S$5:$S$1204,0),16))</f>
        <v/>
      </c>
      <c r="Q517" s="8" t="str">
        <f t="array" ref="Q517">IF(513&gt;$S$1204,"",INDEX($T$5:$AJ$1204,MATCH(513,$S$5:$S$1204,0),17))</f>
        <v/>
      </c>
      <c r="R517" s="17"/>
      <c r="S517" s="17">
        <f>S516+IF(M3_Silleteria!A121="",0,1)</f>
        <v>0</v>
      </c>
      <c r="T517" s="17" t="str">
        <f>IF(M3_Silleteria!A121="","",IF(M3_Silleteria!A121="","",M3_Silleteria!A121))</f>
        <v/>
      </c>
      <c r="U517" s="17" t="str">
        <f>IF(M3_Silleteria!A121="","",IF(M3_Silleteria!Q121="","",M3_Silleteria!Q121))</f>
        <v/>
      </c>
      <c r="V517" s="17" t="str">
        <f>IF(M3_Silleteria!A121="","",IF(M3_Silleteria!D121="","",M3_Silleteria!D121))</f>
        <v/>
      </c>
      <c r="W517" s="17" t="str">
        <f>IF(M3_Silleteria!A121="","",IF(M3_Silleteria!B121="","",M3_Silleteria!B121))</f>
        <v/>
      </c>
      <c r="X517" s="17" t="str">
        <f>IF(M3_Silleteria!A121="","",IF(M3_Silleteria!C121="","",M3_Silleteria!C121))</f>
        <v/>
      </c>
      <c r="Y517" s="17" t="str">
        <f>IF(M3_Silleteria!A121="","",IF(M3_Silleteria!E121="","",M3_Silleteria!E121))</f>
        <v/>
      </c>
      <c r="Z517" s="17" t="str">
        <f>IF(M3_Silleteria!A121="","",IF(M3_Silleteria!F121="","",M3_Silleteria!F121))</f>
        <v/>
      </c>
      <c r="AA517" s="17" t="str">
        <f>IF(M3_Silleteria!A121="","","M3 Silletería")</f>
        <v/>
      </c>
      <c r="AB517" s="17" t="str">
        <f>IF(M3_Silleteria!A121="","",IF(M3_Silleteria!G121="","",M3_Silleteria!G121))</f>
        <v/>
      </c>
      <c r="AC517" s="17" t="str">
        <f>IF(M3_Silleteria!A121="","",IF(M3_Silleteria!L121="","",M3_Silleteria!L121))</f>
        <v/>
      </c>
      <c r="AD517" s="17" t="str">
        <f>IF(M3_Silleteria!A121="","","CD")</f>
        <v/>
      </c>
      <c r="AE517" s="17" t="str">
        <f>IF(M3_Silleteria!A121="","",IF(M3_Silleteria!N121="","",M3_Silleteria!N121))</f>
        <v/>
      </c>
      <c r="AF517" s="17" t="str">
        <f>IF(M3_Silleteria!A121="","",IF(M3_Silleteria!O121="","",M3_Silleteria!O121))</f>
        <v/>
      </c>
      <c r="AG517" s="17" t="str">
        <f>IF(M3_Silleteria!A121="","",IF(M3_Silleteria!P121="","",M3_Silleteria!P121))</f>
        <v/>
      </c>
      <c r="AH517" s="17" t="str">
        <f>IF(M3_Silleteria!A121="","",IF(M3_Silleteria!H121="","",M3_Silleteria!H121))</f>
        <v/>
      </c>
      <c r="AI517" s="17" t="str">
        <f>IF(M3_Silleteria!A121="","","M3_Silleteria!121")</f>
        <v/>
      </c>
      <c r="AJ517" s="17" t="str">
        <f>IF(M3_Silleteria!A121="","",IF(M3_Silleteria!L121="","Pendiente de resultado","Disponible"))</f>
        <v/>
      </c>
    </row>
    <row r="518" spans="1:36" ht="55.5" customHeight="1">
      <c r="A518" s="6" t="str">
        <f t="array" ref="A518">IF(514&gt;$S$1204,"",INDEX($T$5:$AJ$1204,MATCH(514,$S$5:$S$1204,0),1))</f>
        <v/>
      </c>
      <c r="B518" s="8" t="str">
        <f t="array" ref="B518">IF(514&gt;$S$1204,"",INDEX($T$5:$AJ$1204,MATCH(514,$S$5:$S$1204,0),2))</f>
        <v/>
      </c>
      <c r="C518" s="10" t="str">
        <f t="array" ref="C518">IF(514&gt;$S$1204,"",INDEX($T$5:$AJ$1204,MATCH(514,$S$5:$S$1204,0),3))</f>
        <v/>
      </c>
      <c r="D518" s="8" t="str">
        <f t="array" ref="D518">IF(514&gt;$S$1204,"",INDEX($T$5:$AJ$1204,MATCH(514,$S$5:$S$1204,0),4))</f>
        <v/>
      </c>
      <c r="E518" s="8" t="str">
        <f t="array" ref="E518">IF(514&gt;$S$1204,"",INDEX($T$5:$AJ$1204,MATCH(514,$S$5:$S$1204,0),5))</f>
        <v/>
      </c>
      <c r="F518" s="8" t="str">
        <f t="array" ref="F518">IF(514&gt;$S$1204,"",INDEX($T$5:$AJ$1204,MATCH(514,$S$5:$S$1204,0),6))</f>
        <v/>
      </c>
      <c r="G518" s="8" t="str">
        <f t="array" ref="G518">IF(514&gt;$S$1204,"",INDEX($T$5:$AJ$1204,MATCH(514,$S$5:$S$1204,0),7))</f>
        <v/>
      </c>
      <c r="H518" s="8" t="str">
        <f t="array" ref="H518">IF(514&gt;$S$1204,"",INDEX($T$5:$AJ$1204,MATCH(514,$S$5:$S$1204,0),8))</f>
        <v/>
      </c>
      <c r="I518" s="8" t="str">
        <f t="array" ref="I518">IF(514&gt;$S$1204,"",INDEX($T$5:$AJ$1204,MATCH(514,$S$5:$S$1204,0),9))</f>
        <v/>
      </c>
      <c r="J518" s="14" t="str">
        <f t="array" ref="J518">IF(514&gt;$S$1204,"",INDEX($T$5:$AJ$1204,MATCH(514,$S$5:$S$1204,0),10))</f>
        <v/>
      </c>
      <c r="K518" s="8" t="str">
        <f t="array" ref="K518">IF(514&gt;$S$1204,"",INDEX($T$5:$AJ$1204,MATCH(514,$S$5:$S$1204,0),11))</f>
        <v/>
      </c>
      <c r="L518" s="8" t="str">
        <f t="array" ref="L518">IF(514&gt;$S$1204,"",INDEX($T$5:$AJ$1204,MATCH(514,$S$5:$S$1204,0),12))</f>
        <v/>
      </c>
      <c r="M518" s="8" t="str">
        <f t="array" ref="M518">IF(514&gt;$S$1204,"",INDEX($T$5:$AJ$1204,MATCH(514,$S$5:$S$1204,0),13))</f>
        <v/>
      </c>
      <c r="N518" s="8" t="str">
        <f t="array" ref="N518">IF(514&gt;$S$1204,"",INDEX($T$5:$AJ$1204,MATCH(514,$S$5:$S$1204,0),14))</f>
        <v/>
      </c>
      <c r="O518" s="15" t="str">
        <f t="array" ref="O518">IF(514&gt;$S$1204,"",INDEX($T$5:$AJ$1204,MATCH(514,$S$5:$S$1204,0),15))</f>
        <v/>
      </c>
      <c r="P518" s="8" t="str">
        <f t="array" ref="P518">IF(514&gt;$S$1204,"",INDEX($T$5:$AJ$1204,MATCH(514,$S$5:$S$1204,0),16))</f>
        <v/>
      </c>
      <c r="Q518" s="8" t="str">
        <f t="array" ref="Q518">IF(514&gt;$S$1204,"",INDEX($T$5:$AJ$1204,MATCH(514,$S$5:$S$1204,0),17))</f>
        <v/>
      </c>
      <c r="R518" s="17"/>
      <c r="S518" s="17">
        <f>S517+IF(M3_Silleteria!A122="",0,1)</f>
        <v>0</v>
      </c>
      <c r="T518" s="17" t="str">
        <f>IF(M3_Silleteria!A122="","",IF(M3_Silleteria!A122="","",M3_Silleteria!A122))</f>
        <v/>
      </c>
      <c r="U518" s="17" t="str">
        <f>IF(M3_Silleteria!A122="","",IF(M3_Silleteria!Q122="","",M3_Silleteria!Q122))</f>
        <v/>
      </c>
      <c r="V518" s="17" t="str">
        <f>IF(M3_Silleteria!A122="","",IF(M3_Silleteria!D122="","",M3_Silleteria!D122))</f>
        <v/>
      </c>
      <c r="W518" s="17" t="str">
        <f>IF(M3_Silleteria!A122="","",IF(M3_Silleteria!B122="","",M3_Silleteria!B122))</f>
        <v/>
      </c>
      <c r="X518" s="17" t="str">
        <f>IF(M3_Silleteria!A122="","",IF(M3_Silleteria!C122="","",M3_Silleteria!C122))</f>
        <v/>
      </c>
      <c r="Y518" s="17" t="str">
        <f>IF(M3_Silleteria!A122="","",IF(M3_Silleteria!E122="","",M3_Silleteria!E122))</f>
        <v/>
      </c>
      <c r="Z518" s="17" t="str">
        <f>IF(M3_Silleteria!A122="","",IF(M3_Silleteria!F122="","",M3_Silleteria!F122))</f>
        <v/>
      </c>
      <c r="AA518" s="17" t="str">
        <f>IF(M3_Silleteria!A122="","","M3 Silletería")</f>
        <v/>
      </c>
      <c r="AB518" s="17" t="str">
        <f>IF(M3_Silleteria!A122="","",IF(M3_Silleteria!G122="","",M3_Silleteria!G122))</f>
        <v/>
      </c>
      <c r="AC518" s="17" t="str">
        <f>IF(M3_Silleteria!A122="","",IF(M3_Silleteria!L122="","",M3_Silleteria!L122))</f>
        <v/>
      </c>
      <c r="AD518" s="17" t="str">
        <f>IF(M3_Silleteria!A122="","","CD")</f>
        <v/>
      </c>
      <c r="AE518" s="17" t="str">
        <f>IF(M3_Silleteria!A122="","",IF(M3_Silleteria!N122="","",M3_Silleteria!N122))</f>
        <v/>
      </c>
      <c r="AF518" s="17" t="str">
        <f>IF(M3_Silleteria!A122="","",IF(M3_Silleteria!O122="","",M3_Silleteria!O122))</f>
        <v/>
      </c>
      <c r="AG518" s="17" t="str">
        <f>IF(M3_Silleteria!A122="","",IF(M3_Silleteria!P122="","",M3_Silleteria!P122))</f>
        <v/>
      </c>
      <c r="AH518" s="17" t="str">
        <f>IF(M3_Silleteria!A122="","",IF(M3_Silleteria!H122="","",M3_Silleteria!H122))</f>
        <v/>
      </c>
      <c r="AI518" s="17" t="str">
        <f>IF(M3_Silleteria!A122="","","M3_Silleteria!122")</f>
        <v/>
      </c>
      <c r="AJ518" s="17" t="str">
        <f>IF(M3_Silleteria!A122="","",IF(M3_Silleteria!L122="","Pendiente de resultado","Disponible"))</f>
        <v/>
      </c>
    </row>
    <row r="519" spans="1:36" ht="55.5" customHeight="1">
      <c r="A519" s="6" t="str">
        <f t="array" ref="A519">IF(515&gt;$S$1204,"",INDEX($T$5:$AJ$1204,MATCH(515,$S$5:$S$1204,0),1))</f>
        <v/>
      </c>
      <c r="B519" s="8" t="str">
        <f t="array" ref="B519">IF(515&gt;$S$1204,"",INDEX($T$5:$AJ$1204,MATCH(515,$S$5:$S$1204,0),2))</f>
        <v/>
      </c>
      <c r="C519" s="10" t="str">
        <f t="array" ref="C519">IF(515&gt;$S$1204,"",INDEX($T$5:$AJ$1204,MATCH(515,$S$5:$S$1204,0),3))</f>
        <v/>
      </c>
      <c r="D519" s="8" t="str">
        <f t="array" ref="D519">IF(515&gt;$S$1204,"",INDEX($T$5:$AJ$1204,MATCH(515,$S$5:$S$1204,0),4))</f>
        <v/>
      </c>
      <c r="E519" s="8" t="str">
        <f t="array" ref="E519">IF(515&gt;$S$1204,"",INDEX($T$5:$AJ$1204,MATCH(515,$S$5:$S$1204,0),5))</f>
        <v/>
      </c>
      <c r="F519" s="8" t="str">
        <f t="array" ref="F519">IF(515&gt;$S$1204,"",INDEX($T$5:$AJ$1204,MATCH(515,$S$5:$S$1204,0),6))</f>
        <v/>
      </c>
      <c r="G519" s="8" t="str">
        <f t="array" ref="G519">IF(515&gt;$S$1204,"",INDEX($T$5:$AJ$1204,MATCH(515,$S$5:$S$1204,0),7))</f>
        <v/>
      </c>
      <c r="H519" s="8" t="str">
        <f t="array" ref="H519">IF(515&gt;$S$1204,"",INDEX($T$5:$AJ$1204,MATCH(515,$S$5:$S$1204,0),8))</f>
        <v/>
      </c>
      <c r="I519" s="8" t="str">
        <f t="array" ref="I519">IF(515&gt;$S$1204,"",INDEX($T$5:$AJ$1204,MATCH(515,$S$5:$S$1204,0),9))</f>
        <v/>
      </c>
      <c r="J519" s="14" t="str">
        <f t="array" ref="J519">IF(515&gt;$S$1204,"",INDEX($T$5:$AJ$1204,MATCH(515,$S$5:$S$1204,0),10))</f>
        <v/>
      </c>
      <c r="K519" s="8" t="str">
        <f t="array" ref="K519">IF(515&gt;$S$1204,"",INDEX($T$5:$AJ$1204,MATCH(515,$S$5:$S$1204,0),11))</f>
        <v/>
      </c>
      <c r="L519" s="8" t="str">
        <f t="array" ref="L519">IF(515&gt;$S$1204,"",INDEX($T$5:$AJ$1204,MATCH(515,$S$5:$S$1204,0),12))</f>
        <v/>
      </c>
      <c r="M519" s="8" t="str">
        <f t="array" ref="M519">IF(515&gt;$S$1204,"",INDEX($T$5:$AJ$1204,MATCH(515,$S$5:$S$1204,0),13))</f>
        <v/>
      </c>
      <c r="N519" s="8" t="str">
        <f t="array" ref="N519">IF(515&gt;$S$1204,"",INDEX($T$5:$AJ$1204,MATCH(515,$S$5:$S$1204,0),14))</f>
        <v/>
      </c>
      <c r="O519" s="15" t="str">
        <f t="array" ref="O519">IF(515&gt;$S$1204,"",INDEX($T$5:$AJ$1204,MATCH(515,$S$5:$S$1204,0),15))</f>
        <v/>
      </c>
      <c r="P519" s="8" t="str">
        <f t="array" ref="P519">IF(515&gt;$S$1204,"",INDEX($T$5:$AJ$1204,MATCH(515,$S$5:$S$1204,0),16))</f>
        <v/>
      </c>
      <c r="Q519" s="8" t="str">
        <f t="array" ref="Q519">IF(515&gt;$S$1204,"",INDEX($T$5:$AJ$1204,MATCH(515,$S$5:$S$1204,0),17))</f>
        <v/>
      </c>
      <c r="R519" s="17"/>
      <c r="S519" s="17">
        <f>S518+IF(M3_Silleteria!A123="",0,1)</f>
        <v>0</v>
      </c>
      <c r="T519" s="17" t="str">
        <f>IF(M3_Silleteria!A123="","",IF(M3_Silleteria!A123="","",M3_Silleteria!A123))</f>
        <v/>
      </c>
      <c r="U519" s="17" t="str">
        <f>IF(M3_Silleteria!A123="","",IF(M3_Silleteria!Q123="","",M3_Silleteria!Q123))</f>
        <v/>
      </c>
      <c r="V519" s="17" t="str">
        <f>IF(M3_Silleteria!A123="","",IF(M3_Silleteria!D123="","",M3_Silleteria!D123))</f>
        <v/>
      </c>
      <c r="W519" s="17" t="str">
        <f>IF(M3_Silleteria!A123="","",IF(M3_Silleteria!B123="","",M3_Silleteria!B123))</f>
        <v/>
      </c>
      <c r="X519" s="17" t="str">
        <f>IF(M3_Silleteria!A123="","",IF(M3_Silleteria!C123="","",M3_Silleteria!C123))</f>
        <v/>
      </c>
      <c r="Y519" s="17" t="str">
        <f>IF(M3_Silleteria!A123="","",IF(M3_Silleteria!E123="","",M3_Silleteria!E123))</f>
        <v/>
      </c>
      <c r="Z519" s="17" t="str">
        <f>IF(M3_Silleteria!A123="","",IF(M3_Silleteria!F123="","",M3_Silleteria!F123))</f>
        <v/>
      </c>
      <c r="AA519" s="17" t="str">
        <f>IF(M3_Silleteria!A123="","","M3 Silletería")</f>
        <v/>
      </c>
      <c r="AB519" s="17" t="str">
        <f>IF(M3_Silleteria!A123="","",IF(M3_Silleteria!G123="","",M3_Silleteria!G123))</f>
        <v/>
      </c>
      <c r="AC519" s="17" t="str">
        <f>IF(M3_Silleteria!A123="","",IF(M3_Silleteria!L123="","",M3_Silleteria!L123))</f>
        <v/>
      </c>
      <c r="AD519" s="17" t="str">
        <f>IF(M3_Silleteria!A123="","","CD")</f>
        <v/>
      </c>
      <c r="AE519" s="17" t="str">
        <f>IF(M3_Silleteria!A123="","",IF(M3_Silleteria!N123="","",M3_Silleteria!N123))</f>
        <v/>
      </c>
      <c r="AF519" s="17" t="str">
        <f>IF(M3_Silleteria!A123="","",IF(M3_Silleteria!O123="","",M3_Silleteria!O123))</f>
        <v/>
      </c>
      <c r="AG519" s="17" t="str">
        <f>IF(M3_Silleteria!A123="","",IF(M3_Silleteria!P123="","",M3_Silleteria!P123))</f>
        <v/>
      </c>
      <c r="AH519" s="17" t="str">
        <f>IF(M3_Silleteria!A123="","",IF(M3_Silleteria!H123="","",M3_Silleteria!H123))</f>
        <v/>
      </c>
      <c r="AI519" s="17" t="str">
        <f>IF(M3_Silleteria!A123="","","M3_Silleteria!123")</f>
        <v/>
      </c>
      <c r="AJ519" s="17" t="str">
        <f>IF(M3_Silleteria!A123="","",IF(M3_Silleteria!L123="","Pendiente de resultado","Disponible"))</f>
        <v/>
      </c>
    </row>
    <row r="520" spans="1:36" ht="55.5" customHeight="1">
      <c r="A520" s="6" t="str">
        <f t="array" ref="A520">IF(516&gt;$S$1204,"",INDEX($T$5:$AJ$1204,MATCH(516,$S$5:$S$1204,0),1))</f>
        <v/>
      </c>
      <c r="B520" s="8" t="str">
        <f t="array" ref="B520">IF(516&gt;$S$1204,"",INDEX($T$5:$AJ$1204,MATCH(516,$S$5:$S$1204,0),2))</f>
        <v/>
      </c>
      <c r="C520" s="10" t="str">
        <f t="array" ref="C520">IF(516&gt;$S$1204,"",INDEX($T$5:$AJ$1204,MATCH(516,$S$5:$S$1204,0),3))</f>
        <v/>
      </c>
      <c r="D520" s="8" t="str">
        <f t="array" ref="D520">IF(516&gt;$S$1204,"",INDEX($T$5:$AJ$1204,MATCH(516,$S$5:$S$1204,0),4))</f>
        <v/>
      </c>
      <c r="E520" s="8" t="str">
        <f t="array" ref="E520">IF(516&gt;$S$1204,"",INDEX($T$5:$AJ$1204,MATCH(516,$S$5:$S$1204,0),5))</f>
        <v/>
      </c>
      <c r="F520" s="8" t="str">
        <f t="array" ref="F520">IF(516&gt;$S$1204,"",INDEX($T$5:$AJ$1204,MATCH(516,$S$5:$S$1204,0),6))</f>
        <v/>
      </c>
      <c r="G520" s="8" t="str">
        <f t="array" ref="G520">IF(516&gt;$S$1204,"",INDEX($T$5:$AJ$1204,MATCH(516,$S$5:$S$1204,0),7))</f>
        <v/>
      </c>
      <c r="H520" s="8" t="str">
        <f t="array" ref="H520">IF(516&gt;$S$1204,"",INDEX($T$5:$AJ$1204,MATCH(516,$S$5:$S$1204,0),8))</f>
        <v/>
      </c>
      <c r="I520" s="8" t="str">
        <f t="array" ref="I520">IF(516&gt;$S$1204,"",INDEX($T$5:$AJ$1204,MATCH(516,$S$5:$S$1204,0),9))</f>
        <v/>
      </c>
      <c r="J520" s="14" t="str">
        <f t="array" ref="J520">IF(516&gt;$S$1204,"",INDEX($T$5:$AJ$1204,MATCH(516,$S$5:$S$1204,0),10))</f>
        <v/>
      </c>
      <c r="K520" s="8" t="str">
        <f t="array" ref="K520">IF(516&gt;$S$1204,"",INDEX($T$5:$AJ$1204,MATCH(516,$S$5:$S$1204,0),11))</f>
        <v/>
      </c>
      <c r="L520" s="8" t="str">
        <f t="array" ref="L520">IF(516&gt;$S$1204,"",INDEX($T$5:$AJ$1204,MATCH(516,$S$5:$S$1204,0),12))</f>
        <v/>
      </c>
      <c r="M520" s="8" t="str">
        <f t="array" ref="M520">IF(516&gt;$S$1204,"",INDEX($T$5:$AJ$1204,MATCH(516,$S$5:$S$1204,0),13))</f>
        <v/>
      </c>
      <c r="N520" s="8" t="str">
        <f t="array" ref="N520">IF(516&gt;$S$1204,"",INDEX($T$5:$AJ$1204,MATCH(516,$S$5:$S$1204,0),14))</f>
        <v/>
      </c>
      <c r="O520" s="15" t="str">
        <f t="array" ref="O520">IF(516&gt;$S$1204,"",INDEX($T$5:$AJ$1204,MATCH(516,$S$5:$S$1204,0),15))</f>
        <v/>
      </c>
      <c r="P520" s="8" t="str">
        <f t="array" ref="P520">IF(516&gt;$S$1204,"",INDEX($T$5:$AJ$1204,MATCH(516,$S$5:$S$1204,0),16))</f>
        <v/>
      </c>
      <c r="Q520" s="8" t="str">
        <f t="array" ref="Q520">IF(516&gt;$S$1204,"",INDEX($T$5:$AJ$1204,MATCH(516,$S$5:$S$1204,0),17))</f>
        <v/>
      </c>
      <c r="R520" s="17"/>
      <c r="S520" s="17">
        <f>S519+IF(M3_Silleteria!A124="",0,1)</f>
        <v>0</v>
      </c>
      <c r="T520" s="17" t="str">
        <f>IF(M3_Silleteria!A124="","",IF(M3_Silleteria!A124="","",M3_Silleteria!A124))</f>
        <v/>
      </c>
      <c r="U520" s="17" t="str">
        <f>IF(M3_Silleteria!A124="","",IF(M3_Silleteria!Q124="","",M3_Silleteria!Q124))</f>
        <v/>
      </c>
      <c r="V520" s="17" t="str">
        <f>IF(M3_Silleteria!A124="","",IF(M3_Silleteria!D124="","",M3_Silleteria!D124))</f>
        <v/>
      </c>
      <c r="W520" s="17" t="str">
        <f>IF(M3_Silleteria!A124="","",IF(M3_Silleteria!B124="","",M3_Silleteria!B124))</f>
        <v/>
      </c>
      <c r="X520" s="17" t="str">
        <f>IF(M3_Silleteria!A124="","",IF(M3_Silleteria!C124="","",M3_Silleteria!C124))</f>
        <v/>
      </c>
      <c r="Y520" s="17" t="str">
        <f>IF(M3_Silleteria!A124="","",IF(M3_Silleteria!E124="","",M3_Silleteria!E124))</f>
        <v/>
      </c>
      <c r="Z520" s="17" t="str">
        <f>IF(M3_Silleteria!A124="","",IF(M3_Silleteria!F124="","",M3_Silleteria!F124))</f>
        <v/>
      </c>
      <c r="AA520" s="17" t="str">
        <f>IF(M3_Silleteria!A124="","","M3 Silletería")</f>
        <v/>
      </c>
      <c r="AB520" s="17" t="str">
        <f>IF(M3_Silleteria!A124="","",IF(M3_Silleteria!G124="","",M3_Silleteria!G124))</f>
        <v/>
      </c>
      <c r="AC520" s="17" t="str">
        <f>IF(M3_Silleteria!A124="","",IF(M3_Silleteria!L124="","",M3_Silleteria!L124))</f>
        <v/>
      </c>
      <c r="AD520" s="17" t="str">
        <f>IF(M3_Silleteria!A124="","","CD")</f>
        <v/>
      </c>
      <c r="AE520" s="17" t="str">
        <f>IF(M3_Silleteria!A124="","",IF(M3_Silleteria!N124="","",M3_Silleteria!N124))</f>
        <v/>
      </c>
      <c r="AF520" s="17" t="str">
        <f>IF(M3_Silleteria!A124="","",IF(M3_Silleteria!O124="","",M3_Silleteria!O124))</f>
        <v/>
      </c>
      <c r="AG520" s="17" t="str">
        <f>IF(M3_Silleteria!A124="","",IF(M3_Silleteria!P124="","",M3_Silleteria!P124))</f>
        <v/>
      </c>
      <c r="AH520" s="17" t="str">
        <f>IF(M3_Silleteria!A124="","",IF(M3_Silleteria!H124="","",M3_Silleteria!H124))</f>
        <v/>
      </c>
      <c r="AI520" s="17" t="str">
        <f>IF(M3_Silleteria!A124="","","M3_Silleteria!124")</f>
        <v/>
      </c>
      <c r="AJ520" s="17" t="str">
        <f>IF(M3_Silleteria!A124="","",IF(M3_Silleteria!L124="","Pendiente de resultado","Disponible"))</f>
        <v/>
      </c>
    </row>
    <row r="521" spans="1:36" ht="55.5" customHeight="1">
      <c r="A521" s="6" t="str">
        <f t="array" ref="A521">IF(517&gt;$S$1204,"",INDEX($T$5:$AJ$1204,MATCH(517,$S$5:$S$1204,0),1))</f>
        <v/>
      </c>
      <c r="B521" s="8" t="str">
        <f t="array" ref="B521">IF(517&gt;$S$1204,"",INDEX($T$5:$AJ$1204,MATCH(517,$S$5:$S$1204,0),2))</f>
        <v/>
      </c>
      <c r="C521" s="10" t="str">
        <f t="array" ref="C521">IF(517&gt;$S$1204,"",INDEX($T$5:$AJ$1204,MATCH(517,$S$5:$S$1204,0),3))</f>
        <v/>
      </c>
      <c r="D521" s="8" t="str">
        <f t="array" ref="D521">IF(517&gt;$S$1204,"",INDEX($T$5:$AJ$1204,MATCH(517,$S$5:$S$1204,0),4))</f>
        <v/>
      </c>
      <c r="E521" s="8" t="str">
        <f t="array" ref="E521">IF(517&gt;$S$1204,"",INDEX($T$5:$AJ$1204,MATCH(517,$S$5:$S$1204,0),5))</f>
        <v/>
      </c>
      <c r="F521" s="8" t="str">
        <f t="array" ref="F521">IF(517&gt;$S$1204,"",INDEX($T$5:$AJ$1204,MATCH(517,$S$5:$S$1204,0),6))</f>
        <v/>
      </c>
      <c r="G521" s="8" t="str">
        <f t="array" ref="G521">IF(517&gt;$S$1204,"",INDEX($T$5:$AJ$1204,MATCH(517,$S$5:$S$1204,0),7))</f>
        <v/>
      </c>
      <c r="H521" s="8" t="str">
        <f t="array" ref="H521">IF(517&gt;$S$1204,"",INDEX($T$5:$AJ$1204,MATCH(517,$S$5:$S$1204,0),8))</f>
        <v/>
      </c>
      <c r="I521" s="8" t="str">
        <f t="array" ref="I521">IF(517&gt;$S$1204,"",INDEX($T$5:$AJ$1204,MATCH(517,$S$5:$S$1204,0),9))</f>
        <v/>
      </c>
      <c r="J521" s="14" t="str">
        <f t="array" ref="J521">IF(517&gt;$S$1204,"",INDEX($T$5:$AJ$1204,MATCH(517,$S$5:$S$1204,0),10))</f>
        <v/>
      </c>
      <c r="K521" s="8" t="str">
        <f t="array" ref="K521">IF(517&gt;$S$1204,"",INDEX($T$5:$AJ$1204,MATCH(517,$S$5:$S$1204,0),11))</f>
        <v/>
      </c>
      <c r="L521" s="8" t="str">
        <f t="array" ref="L521">IF(517&gt;$S$1204,"",INDEX($T$5:$AJ$1204,MATCH(517,$S$5:$S$1204,0),12))</f>
        <v/>
      </c>
      <c r="M521" s="8" t="str">
        <f t="array" ref="M521">IF(517&gt;$S$1204,"",INDEX($T$5:$AJ$1204,MATCH(517,$S$5:$S$1204,0),13))</f>
        <v/>
      </c>
      <c r="N521" s="8" t="str">
        <f t="array" ref="N521">IF(517&gt;$S$1204,"",INDEX($T$5:$AJ$1204,MATCH(517,$S$5:$S$1204,0),14))</f>
        <v/>
      </c>
      <c r="O521" s="15" t="str">
        <f t="array" ref="O521">IF(517&gt;$S$1204,"",INDEX($T$5:$AJ$1204,MATCH(517,$S$5:$S$1204,0),15))</f>
        <v/>
      </c>
      <c r="P521" s="8" t="str">
        <f t="array" ref="P521">IF(517&gt;$S$1204,"",INDEX($T$5:$AJ$1204,MATCH(517,$S$5:$S$1204,0),16))</f>
        <v/>
      </c>
      <c r="Q521" s="8" t="str">
        <f t="array" ref="Q521">IF(517&gt;$S$1204,"",INDEX($T$5:$AJ$1204,MATCH(517,$S$5:$S$1204,0),17))</f>
        <v/>
      </c>
      <c r="R521" s="17"/>
      <c r="S521" s="17">
        <f>S520+IF(M3_Silleteria!A125="",0,1)</f>
        <v>0</v>
      </c>
      <c r="T521" s="17" t="str">
        <f>IF(M3_Silleteria!A125="","",IF(M3_Silleteria!A125="","",M3_Silleteria!A125))</f>
        <v/>
      </c>
      <c r="U521" s="17" t="str">
        <f>IF(M3_Silleteria!A125="","",IF(M3_Silleteria!Q125="","",M3_Silleteria!Q125))</f>
        <v/>
      </c>
      <c r="V521" s="17" t="str">
        <f>IF(M3_Silleteria!A125="","",IF(M3_Silleteria!D125="","",M3_Silleteria!D125))</f>
        <v/>
      </c>
      <c r="W521" s="17" t="str">
        <f>IF(M3_Silleteria!A125="","",IF(M3_Silleteria!B125="","",M3_Silleteria!B125))</f>
        <v/>
      </c>
      <c r="X521" s="17" t="str">
        <f>IF(M3_Silleteria!A125="","",IF(M3_Silleteria!C125="","",M3_Silleteria!C125))</f>
        <v/>
      </c>
      <c r="Y521" s="17" t="str">
        <f>IF(M3_Silleteria!A125="","",IF(M3_Silleteria!E125="","",M3_Silleteria!E125))</f>
        <v/>
      </c>
      <c r="Z521" s="17" t="str">
        <f>IF(M3_Silleteria!A125="","",IF(M3_Silleteria!F125="","",M3_Silleteria!F125))</f>
        <v/>
      </c>
      <c r="AA521" s="17" t="str">
        <f>IF(M3_Silleteria!A125="","","M3 Silletería")</f>
        <v/>
      </c>
      <c r="AB521" s="17" t="str">
        <f>IF(M3_Silleteria!A125="","",IF(M3_Silleteria!G125="","",M3_Silleteria!G125))</f>
        <v/>
      </c>
      <c r="AC521" s="17" t="str">
        <f>IF(M3_Silleteria!A125="","",IF(M3_Silleteria!L125="","",M3_Silleteria!L125))</f>
        <v/>
      </c>
      <c r="AD521" s="17" t="str">
        <f>IF(M3_Silleteria!A125="","","CD")</f>
        <v/>
      </c>
      <c r="AE521" s="17" t="str">
        <f>IF(M3_Silleteria!A125="","",IF(M3_Silleteria!N125="","",M3_Silleteria!N125))</f>
        <v/>
      </c>
      <c r="AF521" s="17" t="str">
        <f>IF(M3_Silleteria!A125="","",IF(M3_Silleteria!O125="","",M3_Silleteria!O125))</f>
        <v/>
      </c>
      <c r="AG521" s="17" t="str">
        <f>IF(M3_Silleteria!A125="","",IF(M3_Silleteria!P125="","",M3_Silleteria!P125))</f>
        <v/>
      </c>
      <c r="AH521" s="17" t="str">
        <f>IF(M3_Silleteria!A125="","",IF(M3_Silleteria!H125="","",M3_Silleteria!H125))</f>
        <v/>
      </c>
      <c r="AI521" s="17" t="str">
        <f>IF(M3_Silleteria!A125="","","M3_Silleteria!125")</f>
        <v/>
      </c>
      <c r="AJ521" s="17" t="str">
        <f>IF(M3_Silleteria!A125="","",IF(M3_Silleteria!L125="","Pendiente de resultado","Disponible"))</f>
        <v/>
      </c>
    </row>
    <row r="522" spans="1:36" ht="55.5" customHeight="1">
      <c r="A522" s="6" t="str">
        <f t="array" ref="A522">IF(518&gt;$S$1204,"",INDEX($T$5:$AJ$1204,MATCH(518,$S$5:$S$1204,0),1))</f>
        <v/>
      </c>
      <c r="B522" s="8" t="str">
        <f t="array" ref="B522">IF(518&gt;$S$1204,"",INDEX($T$5:$AJ$1204,MATCH(518,$S$5:$S$1204,0),2))</f>
        <v/>
      </c>
      <c r="C522" s="10" t="str">
        <f t="array" ref="C522">IF(518&gt;$S$1204,"",INDEX($T$5:$AJ$1204,MATCH(518,$S$5:$S$1204,0),3))</f>
        <v/>
      </c>
      <c r="D522" s="8" t="str">
        <f t="array" ref="D522">IF(518&gt;$S$1204,"",INDEX($T$5:$AJ$1204,MATCH(518,$S$5:$S$1204,0),4))</f>
        <v/>
      </c>
      <c r="E522" s="8" t="str">
        <f t="array" ref="E522">IF(518&gt;$S$1204,"",INDEX($T$5:$AJ$1204,MATCH(518,$S$5:$S$1204,0),5))</f>
        <v/>
      </c>
      <c r="F522" s="8" t="str">
        <f t="array" ref="F522">IF(518&gt;$S$1204,"",INDEX($T$5:$AJ$1204,MATCH(518,$S$5:$S$1204,0),6))</f>
        <v/>
      </c>
      <c r="G522" s="8" t="str">
        <f t="array" ref="G522">IF(518&gt;$S$1204,"",INDEX($T$5:$AJ$1204,MATCH(518,$S$5:$S$1204,0),7))</f>
        <v/>
      </c>
      <c r="H522" s="8" t="str">
        <f t="array" ref="H522">IF(518&gt;$S$1204,"",INDEX($T$5:$AJ$1204,MATCH(518,$S$5:$S$1204,0),8))</f>
        <v/>
      </c>
      <c r="I522" s="8" t="str">
        <f t="array" ref="I522">IF(518&gt;$S$1204,"",INDEX($T$5:$AJ$1204,MATCH(518,$S$5:$S$1204,0),9))</f>
        <v/>
      </c>
      <c r="J522" s="14" t="str">
        <f t="array" ref="J522">IF(518&gt;$S$1204,"",INDEX($T$5:$AJ$1204,MATCH(518,$S$5:$S$1204,0),10))</f>
        <v/>
      </c>
      <c r="K522" s="8" t="str">
        <f t="array" ref="K522">IF(518&gt;$S$1204,"",INDEX($T$5:$AJ$1204,MATCH(518,$S$5:$S$1204,0),11))</f>
        <v/>
      </c>
      <c r="L522" s="8" t="str">
        <f t="array" ref="L522">IF(518&gt;$S$1204,"",INDEX($T$5:$AJ$1204,MATCH(518,$S$5:$S$1204,0),12))</f>
        <v/>
      </c>
      <c r="M522" s="8" t="str">
        <f t="array" ref="M522">IF(518&gt;$S$1204,"",INDEX($T$5:$AJ$1204,MATCH(518,$S$5:$S$1204,0),13))</f>
        <v/>
      </c>
      <c r="N522" s="8" t="str">
        <f t="array" ref="N522">IF(518&gt;$S$1204,"",INDEX($T$5:$AJ$1204,MATCH(518,$S$5:$S$1204,0),14))</f>
        <v/>
      </c>
      <c r="O522" s="15" t="str">
        <f t="array" ref="O522">IF(518&gt;$S$1204,"",INDEX($T$5:$AJ$1204,MATCH(518,$S$5:$S$1204,0),15))</f>
        <v/>
      </c>
      <c r="P522" s="8" t="str">
        <f t="array" ref="P522">IF(518&gt;$S$1204,"",INDEX($T$5:$AJ$1204,MATCH(518,$S$5:$S$1204,0),16))</f>
        <v/>
      </c>
      <c r="Q522" s="8" t="str">
        <f t="array" ref="Q522">IF(518&gt;$S$1204,"",INDEX($T$5:$AJ$1204,MATCH(518,$S$5:$S$1204,0),17))</f>
        <v/>
      </c>
      <c r="R522" s="17"/>
      <c r="S522" s="17">
        <f>S521+IF(M3_Silleteria!A126="",0,1)</f>
        <v>0</v>
      </c>
      <c r="T522" s="17" t="str">
        <f>IF(M3_Silleteria!A126="","",IF(M3_Silleteria!A126="","",M3_Silleteria!A126))</f>
        <v/>
      </c>
      <c r="U522" s="17" t="str">
        <f>IF(M3_Silleteria!A126="","",IF(M3_Silleteria!Q126="","",M3_Silleteria!Q126))</f>
        <v/>
      </c>
      <c r="V522" s="17" t="str">
        <f>IF(M3_Silleteria!A126="","",IF(M3_Silleteria!D126="","",M3_Silleteria!D126))</f>
        <v/>
      </c>
      <c r="W522" s="17" t="str">
        <f>IF(M3_Silleteria!A126="","",IF(M3_Silleteria!B126="","",M3_Silleteria!B126))</f>
        <v/>
      </c>
      <c r="X522" s="17" t="str">
        <f>IF(M3_Silleteria!A126="","",IF(M3_Silleteria!C126="","",M3_Silleteria!C126))</f>
        <v/>
      </c>
      <c r="Y522" s="17" t="str">
        <f>IF(M3_Silleteria!A126="","",IF(M3_Silleteria!E126="","",M3_Silleteria!E126))</f>
        <v/>
      </c>
      <c r="Z522" s="17" t="str">
        <f>IF(M3_Silleteria!A126="","",IF(M3_Silleteria!F126="","",M3_Silleteria!F126))</f>
        <v/>
      </c>
      <c r="AA522" s="17" t="str">
        <f>IF(M3_Silleteria!A126="","","M3 Silletería")</f>
        <v/>
      </c>
      <c r="AB522" s="17" t="str">
        <f>IF(M3_Silleteria!A126="","",IF(M3_Silleteria!G126="","",M3_Silleteria!G126))</f>
        <v/>
      </c>
      <c r="AC522" s="17" t="str">
        <f>IF(M3_Silleteria!A126="","",IF(M3_Silleteria!L126="","",M3_Silleteria!L126))</f>
        <v/>
      </c>
      <c r="AD522" s="17" t="str">
        <f>IF(M3_Silleteria!A126="","","CD")</f>
        <v/>
      </c>
      <c r="AE522" s="17" t="str">
        <f>IF(M3_Silleteria!A126="","",IF(M3_Silleteria!N126="","",M3_Silleteria!N126))</f>
        <v/>
      </c>
      <c r="AF522" s="17" t="str">
        <f>IF(M3_Silleteria!A126="","",IF(M3_Silleteria!O126="","",M3_Silleteria!O126))</f>
        <v/>
      </c>
      <c r="AG522" s="17" t="str">
        <f>IF(M3_Silleteria!A126="","",IF(M3_Silleteria!P126="","",M3_Silleteria!P126))</f>
        <v/>
      </c>
      <c r="AH522" s="17" t="str">
        <f>IF(M3_Silleteria!A126="","",IF(M3_Silleteria!H126="","",M3_Silleteria!H126))</f>
        <v/>
      </c>
      <c r="AI522" s="17" t="str">
        <f>IF(M3_Silleteria!A126="","","M3_Silleteria!126")</f>
        <v/>
      </c>
      <c r="AJ522" s="17" t="str">
        <f>IF(M3_Silleteria!A126="","",IF(M3_Silleteria!L126="","Pendiente de resultado","Disponible"))</f>
        <v/>
      </c>
    </row>
    <row r="523" spans="1:36" ht="55.5" customHeight="1">
      <c r="A523" s="6" t="str">
        <f t="array" ref="A523">IF(519&gt;$S$1204,"",INDEX($T$5:$AJ$1204,MATCH(519,$S$5:$S$1204,0),1))</f>
        <v/>
      </c>
      <c r="B523" s="8" t="str">
        <f t="array" ref="B523">IF(519&gt;$S$1204,"",INDEX($T$5:$AJ$1204,MATCH(519,$S$5:$S$1204,0),2))</f>
        <v/>
      </c>
      <c r="C523" s="10" t="str">
        <f t="array" ref="C523">IF(519&gt;$S$1204,"",INDEX($T$5:$AJ$1204,MATCH(519,$S$5:$S$1204,0),3))</f>
        <v/>
      </c>
      <c r="D523" s="8" t="str">
        <f t="array" ref="D523">IF(519&gt;$S$1204,"",INDEX($T$5:$AJ$1204,MATCH(519,$S$5:$S$1204,0),4))</f>
        <v/>
      </c>
      <c r="E523" s="8" t="str">
        <f t="array" ref="E523">IF(519&gt;$S$1204,"",INDEX($T$5:$AJ$1204,MATCH(519,$S$5:$S$1204,0),5))</f>
        <v/>
      </c>
      <c r="F523" s="8" t="str">
        <f t="array" ref="F523">IF(519&gt;$S$1204,"",INDEX($T$5:$AJ$1204,MATCH(519,$S$5:$S$1204,0),6))</f>
        <v/>
      </c>
      <c r="G523" s="8" t="str">
        <f t="array" ref="G523">IF(519&gt;$S$1204,"",INDEX($T$5:$AJ$1204,MATCH(519,$S$5:$S$1204,0),7))</f>
        <v/>
      </c>
      <c r="H523" s="8" t="str">
        <f t="array" ref="H523">IF(519&gt;$S$1204,"",INDEX($T$5:$AJ$1204,MATCH(519,$S$5:$S$1204,0),8))</f>
        <v/>
      </c>
      <c r="I523" s="8" t="str">
        <f t="array" ref="I523">IF(519&gt;$S$1204,"",INDEX($T$5:$AJ$1204,MATCH(519,$S$5:$S$1204,0),9))</f>
        <v/>
      </c>
      <c r="J523" s="14" t="str">
        <f t="array" ref="J523">IF(519&gt;$S$1204,"",INDEX($T$5:$AJ$1204,MATCH(519,$S$5:$S$1204,0),10))</f>
        <v/>
      </c>
      <c r="K523" s="8" t="str">
        <f t="array" ref="K523">IF(519&gt;$S$1204,"",INDEX($T$5:$AJ$1204,MATCH(519,$S$5:$S$1204,0),11))</f>
        <v/>
      </c>
      <c r="L523" s="8" t="str">
        <f t="array" ref="L523">IF(519&gt;$S$1204,"",INDEX($T$5:$AJ$1204,MATCH(519,$S$5:$S$1204,0),12))</f>
        <v/>
      </c>
      <c r="M523" s="8" t="str">
        <f t="array" ref="M523">IF(519&gt;$S$1204,"",INDEX($T$5:$AJ$1204,MATCH(519,$S$5:$S$1204,0),13))</f>
        <v/>
      </c>
      <c r="N523" s="8" t="str">
        <f t="array" ref="N523">IF(519&gt;$S$1204,"",INDEX($T$5:$AJ$1204,MATCH(519,$S$5:$S$1204,0),14))</f>
        <v/>
      </c>
      <c r="O523" s="15" t="str">
        <f t="array" ref="O523">IF(519&gt;$S$1204,"",INDEX($T$5:$AJ$1204,MATCH(519,$S$5:$S$1204,0),15))</f>
        <v/>
      </c>
      <c r="P523" s="8" t="str">
        <f t="array" ref="P523">IF(519&gt;$S$1204,"",INDEX($T$5:$AJ$1204,MATCH(519,$S$5:$S$1204,0),16))</f>
        <v/>
      </c>
      <c r="Q523" s="8" t="str">
        <f t="array" ref="Q523">IF(519&gt;$S$1204,"",INDEX($T$5:$AJ$1204,MATCH(519,$S$5:$S$1204,0),17))</f>
        <v/>
      </c>
      <c r="R523" s="17"/>
      <c r="S523" s="17">
        <f>S522+IF(M3_Silleteria!A127="",0,1)</f>
        <v>0</v>
      </c>
      <c r="T523" s="17" t="str">
        <f>IF(M3_Silleteria!A127="","",IF(M3_Silleteria!A127="","",M3_Silleteria!A127))</f>
        <v/>
      </c>
      <c r="U523" s="17" t="str">
        <f>IF(M3_Silleteria!A127="","",IF(M3_Silleteria!Q127="","",M3_Silleteria!Q127))</f>
        <v/>
      </c>
      <c r="V523" s="17" t="str">
        <f>IF(M3_Silleteria!A127="","",IF(M3_Silleteria!D127="","",M3_Silleteria!D127))</f>
        <v/>
      </c>
      <c r="W523" s="17" t="str">
        <f>IF(M3_Silleteria!A127="","",IF(M3_Silleteria!B127="","",M3_Silleteria!B127))</f>
        <v/>
      </c>
      <c r="X523" s="17" t="str">
        <f>IF(M3_Silleteria!A127="","",IF(M3_Silleteria!C127="","",M3_Silleteria!C127))</f>
        <v/>
      </c>
      <c r="Y523" s="17" t="str">
        <f>IF(M3_Silleteria!A127="","",IF(M3_Silleteria!E127="","",M3_Silleteria!E127))</f>
        <v/>
      </c>
      <c r="Z523" s="17" t="str">
        <f>IF(M3_Silleteria!A127="","",IF(M3_Silleteria!F127="","",M3_Silleteria!F127))</f>
        <v/>
      </c>
      <c r="AA523" s="17" t="str">
        <f>IF(M3_Silleteria!A127="","","M3 Silletería")</f>
        <v/>
      </c>
      <c r="AB523" s="17" t="str">
        <f>IF(M3_Silleteria!A127="","",IF(M3_Silleteria!G127="","",M3_Silleteria!G127))</f>
        <v/>
      </c>
      <c r="AC523" s="17" t="str">
        <f>IF(M3_Silleteria!A127="","",IF(M3_Silleteria!L127="","",M3_Silleteria!L127))</f>
        <v/>
      </c>
      <c r="AD523" s="17" t="str">
        <f>IF(M3_Silleteria!A127="","","CD")</f>
        <v/>
      </c>
      <c r="AE523" s="17" t="str">
        <f>IF(M3_Silleteria!A127="","",IF(M3_Silleteria!N127="","",M3_Silleteria!N127))</f>
        <v/>
      </c>
      <c r="AF523" s="17" t="str">
        <f>IF(M3_Silleteria!A127="","",IF(M3_Silleteria!O127="","",M3_Silleteria!O127))</f>
        <v/>
      </c>
      <c r="AG523" s="17" t="str">
        <f>IF(M3_Silleteria!A127="","",IF(M3_Silleteria!P127="","",M3_Silleteria!P127))</f>
        <v/>
      </c>
      <c r="AH523" s="17" t="str">
        <f>IF(M3_Silleteria!A127="","",IF(M3_Silleteria!H127="","",M3_Silleteria!H127))</f>
        <v/>
      </c>
      <c r="AI523" s="17" t="str">
        <f>IF(M3_Silleteria!A127="","","M3_Silleteria!127")</f>
        <v/>
      </c>
      <c r="AJ523" s="17" t="str">
        <f>IF(M3_Silleteria!A127="","",IF(M3_Silleteria!L127="","Pendiente de resultado","Disponible"))</f>
        <v/>
      </c>
    </row>
    <row r="524" spans="1:36" ht="55.5" customHeight="1">
      <c r="A524" s="6" t="str">
        <f t="array" ref="A524">IF(520&gt;$S$1204,"",INDEX($T$5:$AJ$1204,MATCH(520,$S$5:$S$1204,0),1))</f>
        <v/>
      </c>
      <c r="B524" s="8" t="str">
        <f t="array" ref="B524">IF(520&gt;$S$1204,"",INDEX($T$5:$AJ$1204,MATCH(520,$S$5:$S$1204,0),2))</f>
        <v/>
      </c>
      <c r="C524" s="10" t="str">
        <f t="array" ref="C524">IF(520&gt;$S$1204,"",INDEX($T$5:$AJ$1204,MATCH(520,$S$5:$S$1204,0),3))</f>
        <v/>
      </c>
      <c r="D524" s="8" t="str">
        <f t="array" ref="D524">IF(520&gt;$S$1204,"",INDEX($T$5:$AJ$1204,MATCH(520,$S$5:$S$1204,0),4))</f>
        <v/>
      </c>
      <c r="E524" s="8" t="str">
        <f t="array" ref="E524">IF(520&gt;$S$1204,"",INDEX($T$5:$AJ$1204,MATCH(520,$S$5:$S$1204,0),5))</f>
        <v/>
      </c>
      <c r="F524" s="8" t="str">
        <f t="array" ref="F524">IF(520&gt;$S$1204,"",INDEX($T$5:$AJ$1204,MATCH(520,$S$5:$S$1204,0),6))</f>
        <v/>
      </c>
      <c r="G524" s="8" t="str">
        <f t="array" ref="G524">IF(520&gt;$S$1204,"",INDEX($T$5:$AJ$1204,MATCH(520,$S$5:$S$1204,0),7))</f>
        <v/>
      </c>
      <c r="H524" s="8" t="str">
        <f t="array" ref="H524">IF(520&gt;$S$1204,"",INDEX($T$5:$AJ$1204,MATCH(520,$S$5:$S$1204,0),8))</f>
        <v/>
      </c>
      <c r="I524" s="8" t="str">
        <f t="array" ref="I524">IF(520&gt;$S$1204,"",INDEX($T$5:$AJ$1204,MATCH(520,$S$5:$S$1204,0),9))</f>
        <v/>
      </c>
      <c r="J524" s="14" t="str">
        <f t="array" ref="J524">IF(520&gt;$S$1204,"",INDEX($T$5:$AJ$1204,MATCH(520,$S$5:$S$1204,0),10))</f>
        <v/>
      </c>
      <c r="K524" s="8" t="str">
        <f t="array" ref="K524">IF(520&gt;$S$1204,"",INDEX($T$5:$AJ$1204,MATCH(520,$S$5:$S$1204,0),11))</f>
        <v/>
      </c>
      <c r="L524" s="8" t="str">
        <f t="array" ref="L524">IF(520&gt;$S$1204,"",INDEX($T$5:$AJ$1204,MATCH(520,$S$5:$S$1204,0),12))</f>
        <v/>
      </c>
      <c r="M524" s="8" t="str">
        <f t="array" ref="M524">IF(520&gt;$S$1204,"",INDEX($T$5:$AJ$1204,MATCH(520,$S$5:$S$1204,0),13))</f>
        <v/>
      </c>
      <c r="N524" s="8" t="str">
        <f t="array" ref="N524">IF(520&gt;$S$1204,"",INDEX($T$5:$AJ$1204,MATCH(520,$S$5:$S$1204,0),14))</f>
        <v/>
      </c>
      <c r="O524" s="15" t="str">
        <f t="array" ref="O524">IF(520&gt;$S$1204,"",INDEX($T$5:$AJ$1204,MATCH(520,$S$5:$S$1204,0),15))</f>
        <v/>
      </c>
      <c r="P524" s="8" t="str">
        <f t="array" ref="P524">IF(520&gt;$S$1204,"",INDEX($T$5:$AJ$1204,MATCH(520,$S$5:$S$1204,0),16))</f>
        <v/>
      </c>
      <c r="Q524" s="8" t="str">
        <f t="array" ref="Q524">IF(520&gt;$S$1204,"",INDEX($T$5:$AJ$1204,MATCH(520,$S$5:$S$1204,0),17))</f>
        <v/>
      </c>
      <c r="R524" s="17"/>
      <c r="S524" s="17">
        <f>S523+IF(M3_Silleteria!A128="",0,1)</f>
        <v>0</v>
      </c>
      <c r="T524" s="17" t="str">
        <f>IF(M3_Silleteria!A128="","",IF(M3_Silleteria!A128="","",M3_Silleteria!A128))</f>
        <v/>
      </c>
      <c r="U524" s="17" t="str">
        <f>IF(M3_Silleteria!A128="","",IF(M3_Silleteria!Q128="","",M3_Silleteria!Q128))</f>
        <v/>
      </c>
      <c r="V524" s="17" t="str">
        <f>IF(M3_Silleteria!A128="","",IF(M3_Silleteria!D128="","",M3_Silleteria!D128))</f>
        <v/>
      </c>
      <c r="W524" s="17" t="str">
        <f>IF(M3_Silleteria!A128="","",IF(M3_Silleteria!B128="","",M3_Silleteria!B128))</f>
        <v/>
      </c>
      <c r="X524" s="17" t="str">
        <f>IF(M3_Silleteria!A128="","",IF(M3_Silleteria!C128="","",M3_Silleteria!C128))</f>
        <v/>
      </c>
      <c r="Y524" s="17" t="str">
        <f>IF(M3_Silleteria!A128="","",IF(M3_Silleteria!E128="","",M3_Silleteria!E128))</f>
        <v/>
      </c>
      <c r="Z524" s="17" t="str">
        <f>IF(M3_Silleteria!A128="","",IF(M3_Silleteria!F128="","",M3_Silleteria!F128))</f>
        <v/>
      </c>
      <c r="AA524" s="17" t="str">
        <f>IF(M3_Silleteria!A128="","","M3 Silletería")</f>
        <v/>
      </c>
      <c r="AB524" s="17" t="str">
        <f>IF(M3_Silleteria!A128="","",IF(M3_Silleteria!G128="","",M3_Silleteria!G128))</f>
        <v/>
      </c>
      <c r="AC524" s="17" t="str">
        <f>IF(M3_Silleteria!A128="","",IF(M3_Silleteria!L128="","",M3_Silleteria!L128))</f>
        <v/>
      </c>
      <c r="AD524" s="17" t="str">
        <f>IF(M3_Silleteria!A128="","","CD")</f>
        <v/>
      </c>
      <c r="AE524" s="17" t="str">
        <f>IF(M3_Silleteria!A128="","",IF(M3_Silleteria!N128="","",M3_Silleteria!N128))</f>
        <v/>
      </c>
      <c r="AF524" s="17" t="str">
        <f>IF(M3_Silleteria!A128="","",IF(M3_Silleteria!O128="","",M3_Silleteria!O128))</f>
        <v/>
      </c>
      <c r="AG524" s="17" t="str">
        <f>IF(M3_Silleteria!A128="","",IF(M3_Silleteria!P128="","",M3_Silleteria!P128))</f>
        <v/>
      </c>
      <c r="AH524" s="17" t="str">
        <f>IF(M3_Silleteria!A128="","",IF(M3_Silleteria!H128="","",M3_Silleteria!H128))</f>
        <v/>
      </c>
      <c r="AI524" s="17" t="str">
        <f>IF(M3_Silleteria!A128="","","M3_Silleteria!128")</f>
        <v/>
      </c>
      <c r="AJ524" s="17" t="str">
        <f>IF(M3_Silleteria!A128="","",IF(M3_Silleteria!L128="","Pendiente de resultado","Disponible"))</f>
        <v/>
      </c>
    </row>
    <row r="525" spans="1:36" ht="55.5" customHeight="1">
      <c r="A525" s="6" t="str">
        <f t="array" ref="A525">IF(521&gt;$S$1204,"",INDEX($T$5:$AJ$1204,MATCH(521,$S$5:$S$1204,0),1))</f>
        <v/>
      </c>
      <c r="B525" s="8" t="str">
        <f t="array" ref="B525">IF(521&gt;$S$1204,"",INDEX($T$5:$AJ$1204,MATCH(521,$S$5:$S$1204,0),2))</f>
        <v/>
      </c>
      <c r="C525" s="10" t="str">
        <f t="array" ref="C525">IF(521&gt;$S$1204,"",INDEX($T$5:$AJ$1204,MATCH(521,$S$5:$S$1204,0),3))</f>
        <v/>
      </c>
      <c r="D525" s="8" t="str">
        <f t="array" ref="D525">IF(521&gt;$S$1204,"",INDEX($T$5:$AJ$1204,MATCH(521,$S$5:$S$1204,0),4))</f>
        <v/>
      </c>
      <c r="E525" s="8" t="str">
        <f t="array" ref="E525">IF(521&gt;$S$1204,"",INDEX($T$5:$AJ$1204,MATCH(521,$S$5:$S$1204,0),5))</f>
        <v/>
      </c>
      <c r="F525" s="8" t="str">
        <f t="array" ref="F525">IF(521&gt;$S$1204,"",INDEX($T$5:$AJ$1204,MATCH(521,$S$5:$S$1204,0),6))</f>
        <v/>
      </c>
      <c r="G525" s="8" t="str">
        <f t="array" ref="G525">IF(521&gt;$S$1204,"",INDEX($T$5:$AJ$1204,MATCH(521,$S$5:$S$1204,0),7))</f>
        <v/>
      </c>
      <c r="H525" s="8" t="str">
        <f t="array" ref="H525">IF(521&gt;$S$1204,"",INDEX($T$5:$AJ$1204,MATCH(521,$S$5:$S$1204,0),8))</f>
        <v/>
      </c>
      <c r="I525" s="8" t="str">
        <f t="array" ref="I525">IF(521&gt;$S$1204,"",INDEX($T$5:$AJ$1204,MATCH(521,$S$5:$S$1204,0),9))</f>
        <v/>
      </c>
      <c r="J525" s="14" t="str">
        <f t="array" ref="J525">IF(521&gt;$S$1204,"",INDEX($T$5:$AJ$1204,MATCH(521,$S$5:$S$1204,0),10))</f>
        <v/>
      </c>
      <c r="K525" s="8" t="str">
        <f t="array" ref="K525">IF(521&gt;$S$1204,"",INDEX($T$5:$AJ$1204,MATCH(521,$S$5:$S$1204,0),11))</f>
        <v/>
      </c>
      <c r="L525" s="8" t="str">
        <f t="array" ref="L525">IF(521&gt;$S$1204,"",INDEX($T$5:$AJ$1204,MATCH(521,$S$5:$S$1204,0),12))</f>
        <v/>
      </c>
      <c r="M525" s="8" t="str">
        <f t="array" ref="M525">IF(521&gt;$S$1204,"",INDEX($T$5:$AJ$1204,MATCH(521,$S$5:$S$1204,0),13))</f>
        <v/>
      </c>
      <c r="N525" s="8" t="str">
        <f t="array" ref="N525">IF(521&gt;$S$1204,"",INDEX($T$5:$AJ$1204,MATCH(521,$S$5:$S$1204,0),14))</f>
        <v/>
      </c>
      <c r="O525" s="15" t="str">
        <f t="array" ref="O525">IF(521&gt;$S$1204,"",INDEX($T$5:$AJ$1204,MATCH(521,$S$5:$S$1204,0),15))</f>
        <v/>
      </c>
      <c r="P525" s="8" t="str">
        <f t="array" ref="P525">IF(521&gt;$S$1204,"",INDEX($T$5:$AJ$1204,MATCH(521,$S$5:$S$1204,0),16))</f>
        <v/>
      </c>
      <c r="Q525" s="8" t="str">
        <f t="array" ref="Q525">IF(521&gt;$S$1204,"",INDEX($T$5:$AJ$1204,MATCH(521,$S$5:$S$1204,0),17))</f>
        <v/>
      </c>
      <c r="R525" s="17"/>
      <c r="S525" s="17">
        <f>S524+IF(M3_Silleteria!A129="",0,1)</f>
        <v>0</v>
      </c>
      <c r="T525" s="17" t="str">
        <f>IF(M3_Silleteria!A129="","",IF(M3_Silleteria!A129="","",M3_Silleteria!A129))</f>
        <v/>
      </c>
      <c r="U525" s="17" t="str">
        <f>IF(M3_Silleteria!A129="","",IF(M3_Silleteria!Q129="","",M3_Silleteria!Q129))</f>
        <v/>
      </c>
      <c r="V525" s="17" t="str">
        <f>IF(M3_Silleteria!A129="","",IF(M3_Silleteria!D129="","",M3_Silleteria!D129))</f>
        <v/>
      </c>
      <c r="W525" s="17" t="str">
        <f>IF(M3_Silleteria!A129="","",IF(M3_Silleteria!B129="","",M3_Silleteria!B129))</f>
        <v/>
      </c>
      <c r="X525" s="17" t="str">
        <f>IF(M3_Silleteria!A129="","",IF(M3_Silleteria!C129="","",M3_Silleteria!C129))</f>
        <v/>
      </c>
      <c r="Y525" s="17" t="str">
        <f>IF(M3_Silleteria!A129="","",IF(M3_Silleteria!E129="","",M3_Silleteria!E129))</f>
        <v/>
      </c>
      <c r="Z525" s="17" t="str">
        <f>IF(M3_Silleteria!A129="","",IF(M3_Silleteria!F129="","",M3_Silleteria!F129))</f>
        <v/>
      </c>
      <c r="AA525" s="17" t="str">
        <f>IF(M3_Silleteria!A129="","","M3 Silletería")</f>
        <v/>
      </c>
      <c r="AB525" s="17" t="str">
        <f>IF(M3_Silleteria!A129="","",IF(M3_Silleteria!G129="","",M3_Silleteria!G129))</f>
        <v/>
      </c>
      <c r="AC525" s="17" t="str">
        <f>IF(M3_Silleteria!A129="","",IF(M3_Silleteria!L129="","",M3_Silleteria!L129))</f>
        <v/>
      </c>
      <c r="AD525" s="17" t="str">
        <f>IF(M3_Silleteria!A129="","","CD")</f>
        <v/>
      </c>
      <c r="AE525" s="17" t="str">
        <f>IF(M3_Silleteria!A129="","",IF(M3_Silleteria!N129="","",M3_Silleteria!N129))</f>
        <v/>
      </c>
      <c r="AF525" s="17" t="str">
        <f>IF(M3_Silleteria!A129="","",IF(M3_Silleteria!O129="","",M3_Silleteria!O129))</f>
        <v/>
      </c>
      <c r="AG525" s="17" t="str">
        <f>IF(M3_Silleteria!A129="","",IF(M3_Silleteria!P129="","",M3_Silleteria!P129))</f>
        <v/>
      </c>
      <c r="AH525" s="17" t="str">
        <f>IF(M3_Silleteria!A129="","",IF(M3_Silleteria!H129="","",M3_Silleteria!H129))</f>
        <v/>
      </c>
      <c r="AI525" s="17" t="str">
        <f>IF(M3_Silleteria!A129="","","M3_Silleteria!129")</f>
        <v/>
      </c>
      <c r="AJ525" s="17" t="str">
        <f>IF(M3_Silleteria!A129="","",IF(M3_Silleteria!L129="","Pendiente de resultado","Disponible"))</f>
        <v/>
      </c>
    </row>
    <row r="526" spans="1:36" ht="55.5" customHeight="1">
      <c r="A526" s="6" t="str">
        <f t="array" ref="A526">IF(522&gt;$S$1204,"",INDEX($T$5:$AJ$1204,MATCH(522,$S$5:$S$1204,0),1))</f>
        <v/>
      </c>
      <c r="B526" s="8" t="str">
        <f t="array" ref="B526">IF(522&gt;$S$1204,"",INDEX($T$5:$AJ$1204,MATCH(522,$S$5:$S$1204,0),2))</f>
        <v/>
      </c>
      <c r="C526" s="10" t="str">
        <f t="array" ref="C526">IF(522&gt;$S$1204,"",INDEX($T$5:$AJ$1204,MATCH(522,$S$5:$S$1204,0),3))</f>
        <v/>
      </c>
      <c r="D526" s="8" t="str">
        <f t="array" ref="D526">IF(522&gt;$S$1204,"",INDEX($T$5:$AJ$1204,MATCH(522,$S$5:$S$1204,0),4))</f>
        <v/>
      </c>
      <c r="E526" s="8" t="str">
        <f t="array" ref="E526">IF(522&gt;$S$1204,"",INDEX($T$5:$AJ$1204,MATCH(522,$S$5:$S$1204,0),5))</f>
        <v/>
      </c>
      <c r="F526" s="8" t="str">
        <f t="array" ref="F526">IF(522&gt;$S$1204,"",INDEX($T$5:$AJ$1204,MATCH(522,$S$5:$S$1204,0),6))</f>
        <v/>
      </c>
      <c r="G526" s="8" t="str">
        <f t="array" ref="G526">IF(522&gt;$S$1204,"",INDEX($T$5:$AJ$1204,MATCH(522,$S$5:$S$1204,0),7))</f>
        <v/>
      </c>
      <c r="H526" s="8" t="str">
        <f t="array" ref="H526">IF(522&gt;$S$1204,"",INDEX($T$5:$AJ$1204,MATCH(522,$S$5:$S$1204,0),8))</f>
        <v/>
      </c>
      <c r="I526" s="8" t="str">
        <f t="array" ref="I526">IF(522&gt;$S$1204,"",INDEX($T$5:$AJ$1204,MATCH(522,$S$5:$S$1204,0),9))</f>
        <v/>
      </c>
      <c r="J526" s="14" t="str">
        <f t="array" ref="J526">IF(522&gt;$S$1204,"",INDEX($T$5:$AJ$1204,MATCH(522,$S$5:$S$1204,0),10))</f>
        <v/>
      </c>
      <c r="K526" s="8" t="str">
        <f t="array" ref="K526">IF(522&gt;$S$1204,"",INDEX($T$5:$AJ$1204,MATCH(522,$S$5:$S$1204,0),11))</f>
        <v/>
      </c>
      <c r="L526" s="8" t="str">
        <f t="array" ref="L526">IF(522&gt;$S$1204,"",INDEX($T$5:$AJ$1204,MATCH(522,$S$5:$S$1204,0),12))</f>
        <v/>
      </c>
      <c r="M526" s="8" t="str">
        <f t="array" ref="M526">IF(522&gt;$S$1204,"",INDEX($T$5:$AJ$1204,MATCH(522,$S$5:$S$1204,0),13))</f>
        <v/>
      </c>
      <c r="N526" s="8" t="str">
        <f t="array" ref="N526">IF(522&gt;$S$1204,"",INDEX($T$5:$AJ$1204,MATCH(522,$S$5:$S$1204,0),14))</f>
        <v/>
      </c>
      <c r="O526" s="15" t="str">
        <f t="array" ref="O526">IF(522&gt;$S$1204,"",INDEX($T$5:$AJ$1204,MATCH(522,$S$5:$S$1204,0),15))</f>
        <v/>
      </c>
      <c r="P526" s="8" t="str">
        <f t="array" ref="P526">IF(522&gt;$S$1204,"",INDEX($T$5:$AJ$1204,MATCH(522,$S$5:$S$1204,0),16))</f>
        <v/>
      </c>
      <c r="Q526" s="8" t="str">
        <f t="array" ref="Q526">IF(522&gt;$S$1204,"",INDEX($T$5:$AJ$1204,MATCH(522,$S$5:$S$1204,0),17))</f>
        <v/>
      </c>
      <c r="R526" s="17"/>
      <c r="S526" s="17">
        <f>S525+IF(M3_Silleteria!A130="",0,1)</f>
        <v>0</v>
      </c>
      <c r="T526" s="17" t="str">
        <f>IF(M3_Silleteria!A130="","",IF(M3_Silleteria!A130="","",M3_Silleteria!A130))</f>
        <v/>
      </c>
      <c r="U526" s="17" t="str">
        <f>IF(M3_Silleteria!A130="","",IF(M3_Silleteria!Q130="","",M3_Silleteria!Q130))</f>
        <v/>
      </c>
      <c r="V526" s="17" t="str">
        <f>IF(M3_Silleteria!A130="","",IF(M3_Silleteria!D130="","",M3_Silleteria!D130))</f>
        <v/>
      </c>
      <c r="W526" s="17" t="str">
        <f>IF(M3_Silleteria!A130="","",IF(M3_Silleteria!B130="","",M3_Silleteria!B130))</f>
        <v/>
      </c>
      <c r="X526" s="17" t="str">
        <f>IF(M3_Silleteria!A130="","",IF(M3_Silleteria!C130="","",M3_Silleteria!C130))</f>
        <v/>
      </c>
      <c r="Y526" s="17" t="str">
        <f>IF(M3_Silleteria!A130="","",IF(M3_Silleteria!E130="","",M3_Silleteria!E130))</f>
        <v/>
      </c>
      <c r="Z526" s="17" t="str">
        <f>IF(M3_Silleteria!A130="","",IF(M3_Silleteria!F130="","",M3_Silleteria!F130))</f>
        <v/>
      </c>
      <c r="AA526" s="17" t="str">
        <f>IF(M3_Silleteria!A130="","","M3 Silletería")</f>
        <v/>
      </c>
      <c r="AB526" s="17" t="str">
        <f>IF(M3_Silleteria!A130="","",IF(M3_Silleteria!G130="","",M3_Silleteria!G130))</f>
        <v/>
      </c>
      <c r="AC526" s="17" t="str">
        <f>IF(M3_Silleteria!A130="","",IF(M3_Silleteria!L130="","",M3_Silleteria!L130))</f>
        <v/>
      </c>
      <c r="AD526" s="17" t="str">
        <f>IF(M3_Silleteria!A130="","","CD")</f>
        <v/>
      </c>
      <c r="AE526" s="17" t="str">
        <f>IF(M3_Silleteria!A130="","",IF(M3_Silleteria!N130="","",M3_Silleteria!N130))</f>
        <v/>
      </c>
      <c r="AF526" s="17" t="str">
        <f>IF(M3_Silleteria!A130="","",IF(M3_Silleteria!O130="","",M3_Silleteria!O130))</f>
        <v/>
      </c>
      <c r="AG526" s="17" t="str">
        <f>IF(M3_Silleteria!A130="","",IF(M3_Silleteria!P130="","",M3_Silleteria!P130))</f>
        <v/>
      </c>
      <c r="AH526" s="17" t="str">
        <f>IF(M3_Silleteria!A130="","",IF(M3_Silleteria!H130="","",M3_Silleteria!H130))</f>
        <v/>
      </c>
      <c r="AI526" s="17" t="str">
        <f>IF(M3_Silleteria!A130="","","M3_Silleteria!130")</f>
        <v/>
      </c>
      <c r="AJ526" s="17" t="str">
        <f>IF(M3_Silleteria!A130="","",IF(M3_Silleteria!L130="","Pendiente de resultado","Disponible"))</f>
        <v/>
      </c>
    </row>
    <row r="527" spans="1:36" ht="55.5" customHeight="1">
      <c r="A527" s="6" t="str">
        <f t="array" ref="A527">IF(523&gt;$S$1204,"",INDEX($T$5:$AJ$1204,MATCH(523,$S$5:$S$1204,0),1))</f>
        <v/>
      </c>
      <c r="B527" s="8" t="str">
        <f t="array" ref="B527">IF(523&gt;$S$1204,"",INDEX($T$5:$AJ$1204,MATCH(523,$S$5:$S$1204,0),2))</f>
        <v/>
      </c>
      <c r="C527" s="10" t="str">
        <f t="array" ref="C527">IF(523&gt;$S$1204,"",INDEX($T$5:$AJ$1204,MATCH(523,$S$5:$S$1204,0),3))</f>
        <v/>
      </c>
      <c r="D527" s="8" t="str">
        <f t="array" ref="D527">IF(523&gt;$S$1204,"",INDEX($T$5:$AJ$1204,MATCH(523,$S$5:$S$1204,0),4))</f>
        <v/>
      </c>
      <c r="E527" s="8" t="str">
        <f t="array" ref="E527">IF(523&gt;$S$1204,"",INDEX($T$5:$AJ$1204,MATCH(523,$S$5:$S$1204,0),5))</f>
        <v/>
      </c>
      <c r="F527" s="8" t="str">
        <f t="array" ref="F527">IF(523&gt;$S$1204,"",INDEX($T$5:$AJ$1204,MATCH(523,$S$5:$S$1204,0),6))</f>
        <v/>
      </c>
      <c r="G527" s="8" t="str">
        <f t="array" ref="G527">IF(523&gt;$S$1204,"",INDEX($T$5:$AJ$1204,MATCH(523,$S$5:$S$1204,0),7))</f>
        <v/>
      </c>
      <c r="H527" s="8" t="str">
        <f t="array" ref="H527">IF(523&gt;$S$1204,"",INDEX($T$5:$AJ$1204,MATCH(523,$S$5:$S$1204,0),8))</f>
        <v/>
      </c>
      <c r="I527" s="8" t="str">
        <f t="array" ref="I527">IF(523&gt;$S$1204,"",INDEX($T$5:$AJ$1204,MATCH(523,$S$5:$S$1204,0),9))</f>
        <v/>
      </c>
      <c r="J527" s="14" t="str">
        <f t="array" ref="J527">IF(523&gt;$S$1204,"",INDEX($T$5:$AJ$1204,MATCH(523,$S$5:$S$1204,0),10))</f>
        <v/>
      </c>
      <c r="K527" s="8" t="str">
        <f t="array" ref="K527">IF(523&gt;$S$1204,"",INDEX($T$5:$AJ$1204,MATCH(523,$S$5:$S$1204,0),11))</f>
        <v/>
      </c>
      <c r="L527" s="8" t="str">
        <f t="array" ref="L527">IF(523&gt;$S$1204,"",INDEX($T$5:$AJ$1204,MATCH(523,$S$5:$S$1204,0),12))</f>
        <v/>
      </c>
      <c r="M527" s="8" t="str">
        <f t="array" ref="M527">IF(523&gt;$S$1204,"",INDEX($T$5:$AJ$1204,MATCH(523,$S$5:$S$1204,0),13))</f>
        <v/>
      </c>
      <c r="N527" s="8" t="str">
        <f t="array" ref="N527">IF(523&gt;$S$1204,"",INDEX($T$5:$AJ$1204,MATCH(523,$S$5:$S$1204,0),14))</f>
        <v/>
      </c>
      <c r="O527" s="15" t="str">
        <f t="array" ref="O527">IF(523&gt;$S$1204,"",INDEX($T$5:$AJ$1204,MATCH(523,$S$5:$S$1204,0),15))</f>
        <v/>
      </c>
      <c r="P527" s="8" t="str">
        <f t="array" ref="P527">IF(523&gt;$S$1204,"",INDEX($T$5:$AJ$1204,MATCH(523,$S$5:$S$1204,0),16))</f>
        <v/>
      </c>
      <c r="Q527" s="8" t="str">
        <f t="array" ref="Q527">IF(523&gt;$S$1204,"",INDEX($T$5:$AJ$1204,MATCH(523,$S$5:$S$1204,0),17))</f>
        <v/>
      </c>
      <c r="R527" s="17"/>
      <c r="S527" s="17">
        <f>S526+IF(M3_Silleteria!A131="",0,1)</f>
        <v>0</v>
      </c>
      <c r="T527" s="17" t="str">
        <f>IF(M3_Silleteria!A131="","",IF(M3_Silleteria!A131="","",M3_Silleteria!A131))</f>
        <v/>
      </c>
      <c r="U527" s="17" t="str">
        <f>IF(M3_Silleteria!A131="","",IF(M3_Silleteria!Q131="","",M3_Silleteria!Q131))</f>
        <v/>
      </c>
      <c r="V527" s="17" t="str">
        <f>IF(M3_Silleteria!A131="","",IF(M3_Silleteria!D131="","",M3_Silleteria!D131))</f>
        <v/>
      </c>
      <c r="W527" s="17" t="str">
        <f>IF(M3_Silleteria!A131="","",IF(M3_Silleteria!B131="","",M3_Silleteria!B131))</f>
        <v/>
      </c>
      <c r="X527" s="17" t="str">
        <f>IF(M3_Silleteria!A131="","",IF(M3_Silleteria!C131="","",M3_Silleteria!C131))</f>
        <v/>
      </c>
      <c r="Y527" s="17" t="str">
        <f>IF(M3_Silleteria!A131="","",IF(M3_Silleteria!E131="","",M3_Silleteria!E131))</f>
        <v/>
      </c>
      <c r="Z527" s="17" t="str">
        <f>IF(M3_Silleteria!A131="","",IF(M3_Silleteria!F131="","",M3_Silleteria!F131))</f>
        <v/>
      </c>
      <c r="AA527" s="17" t="str">
        <f>IF(M3_Silleteria!A131="","","M3 Silletería")</f>
        <v/>
      </c>
      <c r="AB527" s="17" t="str">
        <f>IF(M3_Silleteria!A131="","",IF(M3_Silleteria!G131="","",M3_Silleteria!G131))</f>
        <v/>
      </c>
      <c r="AC527" s="17" t="str">
        <f>IF(M3_Silleteria!A131="","",IF(M3_Silleteria!L131="","",M3_Silleteria!L131))</f>
        <v/>
      </c>
      <c r="AD527" s="17" t="str">
        <f>IF(M3_Silleteria!A131="","","CD")</f>
        <v/>
      </c>
      <c r="AE527" s="17" t="str">
        <f>IF(M3_Silleteria!A131="","",IF(M3_Silleteria!N131="","",M3_Silleteria!N131))</f>
        <v/>
      </c>
      <c r="AF527" s="17" t="str">
        <f>IF(M3_Silleteria!A131="","",IF(M3_Silleteria!O131="","",M3_Silleteria!O131))</f>
        <v/>
      </c>
      <c r="AG527" s="17" t="str">
        <f>IF(M3_Silleteria!A131="","",IF(M3_Silleteria!P131="","",M3_Silleteria!P131))</f>
        <v/>
      </c>
      <c r="AH527" s="17" t="str">
        <f>IF(M3_Silleteria!A131="","",IF(M3_Silleteria!H131="","",M3_Silleteria!H131))</f>
        <v/>
      </c>
      <c r="AI527" s="17" t="str">
        <f>IF(M3_Silleteria!A131="","","M3_Silleteria!131")</f>
        <v/>
      </c>
      <c r="AJ527" s="17" t="str">
        <f>IF(M3_Silleteria!A131="","",IF(M3_Silleteria!L131="","Pendiente de resultado","Disponible"))</f>
        <v/>
      </c>
    </row>
    <row r="528" spans="1:36" ht="55.5" customHeight="1">
      <c r="A528" s="6" t="str">
        <f t="array" ref="A528">IF(524&gt;$S$1204,"",INDEX($T$5:$AJ$1204,MATCH(524,$S$5:$S$1204,0),1))</f>
        <v/>
      </c>
      <c r="B528" s="8" t="str">
        <f t="array" ref="B528">IF(524&gt;$S$1204,"",INDEX($T$5:$AJ$1204,MATCH(524,$S$5:$S$1204,0),2))</f>
        <v/>
      </c>
      <c r="C528" s="10" t="str">
        <f t="array" ref="C528">IF(524&gt;$S$1204,"",INDEX($T$5:$AJ$1204,MATCH(524,$S$5:$S$1204,0),3))</f>
        <v/>
      </c>
      <c r="D528" s="8" t="str">
        <f t="array" ref="D528">IF(524&gt;$S$1204,"",INDEX($T$5:$AJ$1204,MATCH(524,$S$5:$S$1204,0),4))</f>
        <v/>
      </c>
      <c r="E528" s="8" t="str">
        <f t="array" ref="E528">IF(524&gt;$S$1204,"",INDEX($T$5:$AJ$1204,MATCH(524,$S$5:$S$1204,0),5))</f>
        <v/>
      </c>
      <c r="F528" s="8" t="str">
        <f t="array" ref="F528">IF(524&gt;$S$1204,"",INDEX($T$5:$AJ$1204,MATCH(524,$S$5:$S$1204,0),6))</f>
        <v/>
      </c>
      <c r="G528" s="8" t="str">
        <f t="array" ref="G528">IF(524&gt;$S$1204,"",INDEX($T$5:$AJ$1204,MATCH(524,$S$5:$S$1204,0),7))</f>
        <v/>
      </c>
      <c r="H528" s="8" t="str">
        <f t="array" ref="H528">IF(524&gt;$S$1204,"",INDEX($T$5:$AJ$1204,MATCH(524,$S$5:$S$1204,0),8))</f>
        <v/>
      </c>
      <c r="I528" s="8" t="str">
        <f t="array" ref="I528">IF(524&gt;$S$1204,"",INDEX($T$5:$AJ$1204,MATCH(524,$S$5:$S$1204,0),9))</f>
        <v/>
      </c>
      <c r="J528" s="14" t="str">
        <f t="array" ref="J528">IF(524&gt;$S$1204,"",INDEX($T$5:$AJ$1204,MATCH(524,$S$5:$S$1204,0),10))</f>
        <v/>
      </c>
      <c r="K528" s="8" t="str">
        <f t="array" ref="K528">IF(524&gt;$S$1204,"",INDEX($T$5:$AJ$1204,MATCH(524,$S$5:$S$1204,0),11))</f>
        <v/>
      </c>
      <c r="L528" s="8" t="str">
        <f t="array" ref="L528">IF(524&gt;$S$1204,"",INDEX($T$5:$AJ$1204,MATCH(524,$S$5:$S$1204,0),12))</f>
        <v/>
      </c>
      <c r="M528" s="8" t="str">
        <f t="array" ref="M528">IF(524&gt;$S$1204,"",INDEX($T$5:$AJ$1204,MATCH(524,$S$5:$S$1204,0),13))</f>
        <v/>
      </c>
      <c r="N528" s="8" t="str">
        <f t="array" ref="N528">IF(524&gt;$S$1204,"",INDEX($T$5:$AJ$1204,MATCH(524,$S$5:$S$1204,0),14))</f>
        <v/>
      </c>
      <c r="O528" s="15" t="str">
        <f t="array" ref="O528">IF(524&gt;$S$1204,"",INDEX($T$5:$AJ$1204,MATCH(524,$S$5:$S$1204,0),15))</f>
        <v/>
      </c>
      <c r="P528" s="8" t="str">
        <f t="array" ref="P528">IF(524&gt;$S$1204,"",INDEX($T$5:$AJ$1204,MATCH(524,$S$5:$S$1204,0),16))</f>
        <v/>
      </c>
      <c r="Q528" s="8" t="str">
        <f t="array" ref="Q528">IF(524&gt;$S$1204,"",INDEX($T$5:$AJ$1204,MATCH(524,$S$5:$S$1204,0),17))</f>
        <v/>
      </c>
      <c r="R528" s="17"/>
      <c r="S528" s="17">
        <f>S527+IF(M3_Silleteria!A132="",0,1)</f>
        <v>0</v>
      </c>
      <c r="T528" s="17" t="str">
        <f>IF(M3_Silleteria!A132="","",IF(M3_Silleteria!A132="","",M3_Silleteria!A132))</f>
        <v/>
      </c>
      <c r="U528" s="17" t="str">
        <f>IF(M3_Silleteria!A132="","",IF(M3_Silleteria!Q132="","",M3_Silleteria!Q132))</f>
        <v/>
      </c>
      <c r="V528" s="17" t="str">
        <f>IF(M3_Silleteria!A132="","",IF(M3_Silleteria!D132="","",M3_Silleteria!D132))</f>
        <v/>
      </c>
      <c r="W528" s="17" t="str">
        <f>IF(M3_Silleteria!A132="","",IF(M3_Silleteria!B132="","",M3_Silleteria!B132))</f>
        <v/>
      </c>
      <c r="X528" s="17" t="str">
        <f>IF(M3_Silleteria!A132="","",IF(M3_Silleteria!C132="","",M3_Silleteria!C132))</f>
        <v/>
      </c>
      <c r="Y528" s="17" t="str">
        <f>IF(M3_Silleteria!A132="","",IF(M3_Silleteria!E132="","",M3_Silleteria!E132))</f>
        <v/>
      </c>
      <c r="Z528" s="17" t="str">
        <f>IF(M3_Silleteria!A132="","",IF(M3_Silleteria!F132="","",M3_Silleteria!F132))</f>
        <v/>
      </c>
      <c r="AA528" s="17" t="str">
        <f>IF(M3_Silleteria!A132="","","M3 Silletería")</f>
        <v/>
      </c>
      <c r="AB528" s="17" t="str">
        <f>IF(M3_Silleteria!A132="","",IF(M3_Silleteria!G132="","",M3_Silleteria!G132))</f>
        <v/>
      </c>
      <c r="AC528" s="17" t="str">
        <f>IF(M3_Silleteria!A132="","",IF(M3_Silleteria!L132="","",M3_Silleteria!L132))</f>
        <v/>
      </c>
      <c r="AD528" s="17" t="str">
        <f>IF(M3_Silleteria!A132="","","CD")</f>
        <v/>
      </c>
      <c r="AE528" s="17" t="str">
        <f>IF(M3_Silleteria!A132="","",IF(M3_Silleteria!N132="","",M3_Silleteria!N132))</f>
        <v/>
      </c>
      <c r="AF528" s="17" t="str">
        <f>IF(M3_Silleteria!A132="","",IF(M3_Silleteria!O132="","",M3_Silleteria!O132))</f>
        <v/>
      </c>
      <c r="AG528" s="17" t="str">
        <f>IF(M3_Silleteria!A132="","",IF(M3_Silleteria!P132="","",M3_Silleteria!P132))</f>
        <v/>
      </c>
      <c r="AH528" s="17" t="str">
        <f>IF(M3_Silleteria!A132="","",IF(M3_Silleteria!H132="","",M3_Silleteria!H132))</f>
        <v/>
      </c>
      <c r="AI528" s="17" t="str">
        <f>IF(M3_Silleteria!A132="","","M3_Silleteria!132")</f>
        <v/>
      </c>
      <c r="AJ528" s="17" t="str">
        <f>IF(M3_Silleteria!A132="","",IF(M3_Silleteria!L132="","Pendiente de resultado","Disponible"))</f>
        <v/>
      </c>
    </row>
    <row r="529" spans="1:36" ht="55.5" customHeight="1">
      <c r="A529" s="6" t="str">
        <f t="array" ref="A529">IF(525&gt;$S$1204,"",INDEX($T$5:$AJ$1204,MATCH(525,$S$5:$S$1204,0),1))</f>
        <v/>
      </c>
      <c r="B529" s="8" t="str">
        <f t="array" ref="B529">IF(525&gt;$S$1204,"",INDEX($T$5:$AJ$1204,MATCH(525,$S$5:$S$1204,0),2))</f>
        <v/>
      </c>
      <c r="C529" s="10" t="str">
        <f t="array" ref="C529">IF(525&gt;$S$1204,"",INDEX($T$5:$AJ$1204,MATCH(525,$S$5:$S$1204,0),3))</f>
        <v/>
      </c>
      <c r="D529" s="8" t="str">
        <f t="array" ref="D529">IF(525&gt;$S$1204,"",INDEX($T$5:$AJ$1204,MATCH(525,$S$5:$S$1204,0),4))</f>
        <v/>
      </c>
      <c r="E529" s="8" t="str">
        <f t="array" ref="E529">IF(525&gt;$S$1204,"",INDEX($T$5:$AJ$1204,MATCH(525,$S$5:$S$1204,0),5))</f>
        <v/>
      </c>
      <c r="F529" s="8" t="str">
        <f t="array" ref="F529">IF(525&gt;$S$1204,"",INDEX($T$5:$AJ$1204,MATCH(525,$S$5:$S$1204,0),6))</f>
        <v/>
      </c>
      <c r="G529" s="8" t="str">
        <f t="array" ref="G529">IF(525&gt;$S$1204,"",INDEX($T$5:$AJ$1204,MATCH(525,$S$5:$S$1204,0),7))</f>
        <v/>
      </c>
      <c r="H529" s="8" t="str">
        <f t="array" ref="H529">IF(525&gt;$S$1204,"",INDEX($T$5:$AJ$1204,MATCH(525,$S$5:$S$1204,0),8))</f>
        <v/>
      </c>
      <c r="I529" s="8" t="str">
        <f t="array" ref="I529">IF(525&gt;$S$1204,"",INDEX($T$5:$AJ$1204,MATCH(525,$S$5:$S$1204,0),9))</f>
        <v/>
      </c>
      <c r="J529" s="14" t="str">
        <f t="array" ref="J529">IF(525&gt;$S$1204,"",INDEX($T$5:$AJ$1204,MATCH(525,$S$5:$S$1204,0),10))</f>
        <v/>
      </c>
      <c r="K529" s="8" t="str">
        <f t="array" ref="K529">IF(525&gt;$S$1204,"",INDEX($T$5:$AJ$1204,MATCH(525,$S$5:$S$1204,0),11))</f>
        <v/>
      </c>
      <c r="L529" s="8" t="str">
        <f t="array" ref="L529">IF(525&gt;$S$1204,"",INDEX($T$5:$AJ$1204,MATCH(525,$S$5:$S$1204,0),12))</f>
        <v/>
      </c>
      <c r="M529" s="8" t="str">
        <f t="array" ref="M529">IF(525&gt;$S$1204,"",INDEX($T$5:$AJ$1204,MATCH(525,$S$5:$S$1204,0),13))</f>
        <v/>
      </c>
      <c r="N529" s="8" t="str">
        <f t="array" ref="N529">IF(525&gt;$S$1204,"",INDEX($T$5:$AJ$1204,MATCH(525,$S$5:$S$1204,0),14))</f>
        <v/>
      </c>
      <c r="O529" s="15" t="str">
        <f t="array" ref="O529">IF(525&gt;$S$1204,"",INDEX($T$5:$AJ$1204,MATCH(525,$S$5:$S$1204,0),15))</f>
        <v/>
      </c>
      <c r="P529" s="8" t="str">
        <f t="array" ref="P529">IF(525&gt;$S$1204,"",INDEX($T$5:$AJ$1204,MATCH(525,$S$5:$S$1204,0),16))</f>
        <v/>
      </c>
      <c r="Q529" s="8" t="str">
        <f t="array" ref="Q529">IF(525&gt;$S$1204,"",INDEX($T$5:$AJ$1204,MATCH(525,$S$5:$S$1204,0),17))</f>
        <v/>
      </c>
      <c r="R529" s="17"/>
      <c r="S529" s="17">
        <f>S528+IF(M3_Silleteria!A133="",0,1)</f>
        <v>0</v>
      </c>
      <c r="T529" s="17" t="str">
        <f>IF(M3_Silleteria!A133="","",IF(M3_Silleteria!A133="","",M3_Silleteria!A133))</f>
        <v/>
      </c>
      <c r="U529" s="17" t="str">
        <f>IF(M3_Silleteria!A133="","",IF(M3_Silleteria!Q133="","",M3_Silleteria!Q133))</f>
        <v/>
      </c>
      <c r="V529" s="17" t="str">
        <f>IF(M3_Silleteria!A133="","",IF(M3_Silleteria!D133="","",M3_Silleteria!D133))</f>
        <v/>
      </c>
      <c r="W529" s="17" t="str">
        <f>IF(M3_Silleteria!A133="","",IF(M3_Silleteria!B133="","",M3_Silleteria!B133))</f>
        <v/>
      </c>
      <c r="X529" s="17" t="str">
        <f>IF(M3_Silleteria!A133="","",IF(M3_Silleteria!C133="","",M3_Silleteria!C133))</f>
        <v/>
      </c>
      <c r="Y529" s="17" t="str">
        <f>IF(M3_Silleteria!A133="","",IF(M3_Silleteria!E133="","",M3_Silleteria!E133))</f>
        <v/>
      </c>
      <c r="Z529" s="17" t="str">
        <f>IF(M3_Silleteria!A133="","",IF(M3_Silleteria!F133="","",M3_Silleteria!F133))</f>
        <v/>
      </c>
      <c r="AA529" s="17" t="str">
        <f>IF(M3_Silleteria!A133="","","M3 Silletería")</f>
        <v/>
      </c>
      <c r="AB529" s="17" t="str">
        <f>IF(M3_Silleteria!A133="","",IF(M3_Silleteria!G133="","",M3_Silleteria!G133))</f>
        <v/>
      </c>
      <c r="AC529" s="17" t="str">
        <f>IF(M3_Silleteria!A133="","",IF(M3_Silleteria!L133="","",M3_Silleteria!L133))</f>
        <v/>
      </c>
      <c r="AD529" s="17" t="str">
        <f>IF(M3_Silleteria!A133="","","CD")</f>
        <v/>
      </c>
      <c r="AE529" s="17" t="str">
        <f>IF(M3_Silleteria!A133="","",IF(M3_Silleteria!N133="","",M3_Silleteria!N133))</f>
        <v/>
      </c>
      <c r="AF529" s="17" t="str">
        <f>IF(M3_Silleteria!A133="","",IF(M3_Silleteria!O133="","",M3_Silleteria!O133))</f>
        <v/>
      </c>
      <c r="AG529" s="17" t="str">
        <f>IF(M3_Silleteria!A133="","",IF(M3_Silleteria!P133="","",M3_Silleteria!P133))</f>
        <v/>
      </c>
      <c r="AH529" s="17" t="str">
        <f>IF(M3_Silleteria!A133="","",IF(M3_Silleteria!H133="","",M3_Silleteria!H133))</f>
        <v/>
      </c>
      <c r="AI529" s="17" t="str">
        <f>IF(M3_Silleteria!A133="","","M3_Silleteria!133")</f>
        <v/>
      </c>
      <c r="AJ529" s="17" t="str">
        <f>IF(M3_Silleteria!A133="","",IF(M3_Silleteria!L133="","Pendiente de resultado","Disponible"))</f>
        <v/>
      </c>
    </row>
    <row r="530" spans="1:36" ht="55.5" customHeight="1">
      <c r="A530" s="6" t="str">
        <f t="array" ref="A530">IF(526&gt;$S$1204,"",INDEX($T$5:$AJ$1204,MATCH(526,$S$5:$S$1204,0),1))</f>
        <v/>
      </c>
      <c r="B530" s="8" t="str">
        <f t="array" ref="B530">IF(526&gt;$S$1204,"",INDEX($T$5:$AJ$1204,MATCH(526,$S$5:$S$1204,0),2))</f>
        <v/>
      </c>
      <c r="C530" s="10" t="str">
        <f t="array" ref="C530">IF(526&gt;$S$1204,"",INDEX($T$5:$AJ$1204,MATCH(526,$S$5:$S$1204,0),3))</f>
        <v/>
      </c>
      <c r="D530" s="8" t="str">
        <f t="array" ref="D530">IF(526&gt;$S$1204,"",INDEX($T$5:$AJ$1204,MATCH(526,$S$5:$S$1204,0),4))</f>
        <v/>
      </c>
      <c r="E530" s="8" t="str">
        <f t="array" ref="E530">IF(526&gt;$S$1204,"",INDEX($T$5:$AJ$1204,MATCH(526,$S$5:$S$1204,0),5))</f>
        <v/>
      </c>
      <c r="F530" s="8" t="str">
        <f t="array" ref="F530">IF(526&gt;$S$1204,"",INDEX($T$5:$AJ$1204,MATCH(526,$S$5:$S$1204,0),6))</f>
        <v/>
      </c>
      <c r="G530" s="8" t="str">
        <f t="array" ref="G530">IF(526&gt;$S$1204,"",INDEX($T$5:$AJ$1204,MATCH(526,$S$5:$S$1204,0),7))</f>
        <v/>
      </c>
      <c r="H530" s="8" t="str">
        <f t="array" ref="H530">IF(526&gt;$S$1204,"",INDEX($T$5:$AJ$1204,MATCH(526,$S$5:$S$1204,0),8))</f>
        <v/>
      </c>
      <c r="I530" s="8" t="str">
        <f t="array" ref="I530">IF(526&gt;$S$1204,"",INDEX($T$5:$AJ$1204,MATCH(526,$S$5:$S$1204,0),9))</f>
        <v/>
      </c>
      <c r="J530" s="14" t="str">
        <f t="array" ref="J530">IF(526&gt;$S$1204,"",INDEX($T$5:$AJ$1204,MATCH(526,$S$5:$S$1204,0),10))</f>
        <v/>
      </c>
      <c r="K530" s="8" t="str">
        <f t="array" ref="K530">IF(526&gt;$S$1204,"",INDEX($T$5:$AJ$1204,MATCH(526,$S$5:$S$1204,0),11))</f>
        <v/>
      </c>
      <c r="L530" s="8" t="str">
        <f t="array" ref="L530">IF(526&gt;$S$1204,"",INDEX($T$5:$AJ$1204,MATCH(526,$S$5:$S$1204,0),12))</f>
        <v/>
      </c>
      <c r="M530" s="8" t="str">
        <f t="array" ref="M530">IF(526&gt;$S$1204,"",INDEX($T$5:$AJ$1204,MATCH(526,$S$5:$S$1204,0),13))</f>
        <v/>
      </c>
      <c r="N530" s="8" t="str">
        <f t="array" ref="N530">IF(526&gt;$S$1204,"",INDEX($T$5:$AJ$1204,MATCH(526,$S$5:$S$1204,0),14))</f>
        <v/>
      </c>
      <c r="O530" s="15" t="str">
        <f t="array" ref="O530">IF(526&gt;$S$1204,"",INDEX($T$5:$AJ$1204,MATCH(526,$S$5:$S$1204,0),15))</f>
        <v/>
      </c>
      <c r="P530" s="8" t="str">
        <f t="array" ref="P530">IF(526&gt;$S$1204,"",INDEX($T$5:$AJ$1204,MATCH(526,$S$5:$S$1204,0),16))</f>
        <v/>
      </c>
      <c r="Q530" s="8" t="str">
        <f t="array" ref="Q530">IF(526&gt;$S$1204,"",INDEX($T$5:$AJ$1204,MATCH(526,$S$5:$S$1204,0),17))</f>
        <v/>
      </c>
      <c r="R530" s="17"/>
      <c r="S530" s="17">
        <f>S529+IF(M3_Silleteria!A134="",0,1)</f>
        <v>0</v>
      </c>
      <c r="T530" s="17" t="str">
        <f>IF(M3_Silleteria!A134="","",IF(M3_Silleteria!A134="","",M3_Silleteria!A134))</f>
        <v/>
      </c>
      <c r="U530" s="17" t="str">
        <f>IF(M3_Silleteria!A134="","",IF(M3_Silleteria!Q134="","",M3_Silleteria!Q134))</f>
        <v/>
      </c>
      <c r="V530" s="17" t="str">
        <f>IF(M3_Silleteria!A134="","",IF(M3_Silleteria!D134="","",M3_Silleteria!D134))</f>
        <v/>
      </c>
      <c r="W530" s="17" t="str">
        <f>IF(M3_Silleteria!A134="","",IF(M3_Silleteria!B134="","",M3_Silleteria!B134))</f>
        <v/>
      </c>
      <c r="X530" s="17" t="str">
        <f>IF(M3_Silleteria!A134="","",IF(M3_Silleteria!C134="","",M3_Silleteria!C134))</f>
        <v/>
      </c>
      <c r="Y530" s="17" t="str">
        <f>IF(M3_Silleteria!A134="","",IF(M3_Silleteria!E134="","",M3_Silleteria!E134))</f>
        <v/>
      </c>
      <c r="Z530" s="17" t="str">
        <f>IF(M3_Silleteria!A134="","",IF(M3_Silleteria!F134="","",M3_Silleteria!F134))</f>
        <v/>
      </c>
      <c r="AA530" s="17" t="str">
        <f>IF(M3_Silleteria!A134="","","M3 Silletería")</f>
        <v/>
      </c>
      <c r="AB530" s="17" t="str">
        <f>IF(M3_Silleteria!A134="","",IF(M3_Silleteria!G134="","",M3_Silleteria!G134))</f>
        <v/>
      </c>
      <c r="AC530" s="17" t="str">
        <f>IF(M3_Silleteria!A134="","",IF(M3_Silleteria!L134="","",M3_Silleteria!L134))</f>
        <v/>
      </c>
      <c r="AD530" s="17" t="str">
        <f>IF(M3_Silleteria!A134="","","CD")</f>
        <v/>
      </c>
      <c r="AE530" s="17" t="str">
        <f>IF(M3_Silleteria!A134="","",IF(M3_Silleteria!N134="","",M3_Silleteria!N134))</f>
        <v/>
      </c>
      <c r="AF530" s="17" t="str">
        <f>IF(M3_Silleteria!A134="","",IF(M3_Silleteria!O134="","",M3_Silleteria!O134))</f>
        <v/>
      </c>
      <c r="AG530" s="17" t="str">
        <f>IF(M3_Silleteria!A134="","",IF(M3_Silleteria!P134="","",M3_Silleteria!P134))</f>
        <v/>
      </c>
      <c r="AH530" s="17" t="str">
        <f>IF(M3_Silleteria!A134="","",IF(M3_Silleteria!H134="","",M3_Silleteria!H134))</f>
        <v/>
      </c>
      <c r="AI530" s="17" t="str">
        <f>IF(M3_Silleteria!A134="","","M3_Silleteria!134")</f>
        <v/>
      </c>
      <c r="AJ530" s="17" t="str">
        <f>IF(M3_Silleteria!A134="","",IF(M3_Silleteria!L134="","Pendiente de resultado","Disponible"))</f>
        <v/>
      </c>
    </row>
    <row r="531" spans="1:36" ht="55.5" customHeight="1">
      <c r="A531" s="6" t="str">
        <f t="array" ref="A531">IF(527&gt;$S$1204,"",INDEX($T$5:$AJ$1204,MATCH(527,$S$5:$S$1204,0),1))</f>
        <v/>
      </c>
      <c r="B531" s="8" t="str">
        <f t="array" ref="B531">IF(527&gt;$S$1204,"",INDEX($T$5:$AJ$1204,MATCH(527,$S$5:$S$1204,0),2))</f>
        <v/>
      </c>
      <c r="C531" s="10" t="str">
        <f t="array" ref="C531">IF(527&gt;$S$1204,"",INDEX($T$5:$AJ$1204,MATCH(527,$S$5:$S$1204,0),3))</f>
        <v/>
      </c>
      <c r="D531" s="8" t="str">
        <f t="array" ref="D531">IF(527&gt;$S$1204,"",INDEX($T$5:$AJ$1204,MATCH(527,$S$5:$S$1204,0),4))</f>
        <v/>
      </c>
      <c r="E531" s="8" t="str">
        <f t="array" ref="E531">IF(527&gt;$S$1204,"",INDEX($T$5:$AJ$1204,MATCH(527,$S$5:$S$1204,0),5))</f>
        <v/>
      </c>
      <c r="F531" s="8" t="str">
        <f t="array" ref="F531">IF(527&gt;$S$1204,"",INDEX($T$5:$AJ$1204,MATCH(527,$S$5:$S$1204,0),6))</f>
        <v/>
      </c>
      <c r="G531" s="8" t="str">
        <f t="array" ref="G531">IF(527&gt;$S$1204,"",INDEX($T$5:$AJ$1204,MATCH(527,$S$5:$S$1204,0),7))</f>
        <v/>
      </c>
      <c r="H531" s="8" t="str">
        <f t="array" ref="H531">IF(527&gt;$S$1204,"",INDEX($T$5:$AJ$1204,MATCH(527,$S$5:$S$1204,0),8))</f>
        <v/>
      </c>
      <c r="I531" s="8" t="str">
        <f t="array" ref="I531">IF(527&gt;$S$1204,"",INDEX($T$5:$AJ$1204,MATCH(527,$S$5:$S$1204,0),9))</f>
        <v/>
      </c>
      <c r="J531" s="14" t="str">
        <f t="array" ref="J531">IF(527&gt;$S$1204,"",INDEX($T$5:$AJ$1204,MATCH(527,$S$5:$S$1204,0),10))</f>
        <v/>
      </c>
      <c r="K531" s="8" t="str">
        <f t="array" ref="K531">IF(527&gt;$S$1204,"",INDEX($T$5:$AJ$1204,MATCH(527,$S$5:$S$1204,0),11))</f>
        <v/>
      </c>
      <c r="L531" s="8" t="str">
        <f t="array" ref="L531">IF(527&gt;$S$1204,"",INDEX($T$5:$AJ$1204,MATCH(527,$S$5:$S$1204,0),12))</f>
        <v/>
      </c>
      <c r="M531" s="8" t="str">
        <f t="array" ref="M531">IF(527&gt;$S$1204,"",INDEX($T$5:$AJ$1204,MATCH(527,$S$5:$S$1204,0),13))</f>
        <v/>
      </c>
      <c r="N531" s="8" t="str">
        <f t="array" ref="N531">IF(527&gt;$S$1204,"",INDEX($T$5:$AJ$1204,MATCH(527,$S$5:$S$1204,0),14))</f>
        <v/>
      </c>
      <c r="O531" s="15" t="str">
        <f t="array" ref="O531">IF(527&gt;$S$1204,"",INDEX($T$5:$AJ$1204,MATCH(527,$S$5:$S$1204,0),15))</f>
        <v/>
      </c>
      <c r="P531" s="8" t="str">
        <f t="array" ref="P531">IF(527&gt;$S$1204,"",INDEX($T$5:$AJ$1204,MATCH(527,$S$5:$S$1204,0),16))</f>
        <v/>
      </c>
      <c r="Q531" s="8" t="str">
        <f t="array" ref="Q531">IF(527&gt;$S$1204,"",INDEX($T$5:$AJ$1204,MATCH(527,$S$5:$S$1204,0),17))</f>
        <v/>
      </c>
      <c r="R531" s="17"/>
      <c r="S531" s="17">
        <f>S530+IF(M3_Silleteria!A135="",0,1)</f>
        <v>0</v>
      </c>
      <c r="T531" s="17" t="str">
        <f>IF(M3_Silleteria!A135="","",IF(M3_Silleteria!A135="","",M3_Silleteria!A135))</f>
        <v/>
      </c>
      <c r="U531" s="17" t="str">
        <f>IF(M3_Silleteria!A135="","",IF(M3_Silleteria!Q135="","",M3_Silleteria!Q135))</f>
        <v/>
      </c>
      <c r="V531" s="17" t="str">
        <f>IF(M3_Silleteria!A135="","",IF(M3_Silleteria!D135="","",M3_Silleteria!D135))</f>
        <v/>
      </c>
      <c r="W531" s="17" t="str">
        <f>IF(M3_Silleteria!A135="","",IF(M3_Silleteria!B135="","",M3_Silleteria!B135))</f>
        <v/>
      </c>
      <c r="X531" s="17" t="str">
        <f>IF(M3_Silleteria!A135="","",IF(M3_Silleteria!C135="","",M3_Silleteria!C135))</f>
        <v/>
      </c>
      <c r="Y531" s="17" t="str">
        <f>IF(M3_Silleteria!A135="","",IF(M3_Silleteria!E135="","",M3_Silleteria!E135))</f>
        <v/>
      </c>
      <c r="Z531" s="17" t="str">
        <f>IF(M3_Silleteria!A135="","",IF(M3_Silleteria!F135="","",M3_Silleteria!F135))</f>
        <v/>
      </c>
      <c r="AA531" s="17" t="str">
        <f>IF(M3_Silleteria!A135="","","M3 Silletería")</f>
        <v/>
      </c>
      <c r="AB531" s="17" t="str">
        <f>IF(M3_Silleteria!A135="","",IF(M3_Silleteria!G135="","",M3_Silleteria!G135))</f>
        <v/>
      </c>
      <c r="AC531" s="17" t="str">
        <f>IF(M3_Silleteria!A135="","",IF(M3_Silleteria!L135="","",M3_Silleteria!L135))</f>
        <v/>
      </c>
      <c r="AD531" s="17" t="str">
        <f>IF(M3_Silleteria!A135="","","CD")</f>
        <v/>
      </c>
      <c r="AE531" s="17" t="str">
        <f>IF(M3_Silleteria!A135="","",IF(M3_Silleteria!N135="","",M3_Silleteria!N135))</f>
        <v/>
      </c>
      <c r="AF531" s="17" t="str">
        <f>IF(M3_Silleteria!A135="","",IF(M3_Silleteria!O135="","",M3_Silleteria!O135))</f>
        <v/>
      </c>
      <c r="AG531" s="17" t="str">
        <f>IF(M3_Silleteria!A135="","",IF(M3_Silleteria!P135="","",M3_Silleteria!P135))</f>
        <v/>
      </c>
      <c r="AH531" s="17" t="str">
        <f>IF(M3_Silleteria!A135="","",IF(M3_Silleteria!H135="","",M3_Silleteria!H135))</f>
        <v/>
      </c>
      <c r="AI531" s="17" t="str">
        <f>IF(M3_Silleteria!A135="","","M3_Silleteria!135")</f>
        <v/>
      </c>
      <c r="AJ531" s="17" t="str">
        <f>IF(M3_Silleteria!A135="","",IF(M3_Silleteria!L135="","Pendiente de resultado","Disponible"))</f>
        <v/>
      </c>
    </row>
    <row r="532" spans="1:36" ht="55.5" customHeight="1">
      <c r="A532" s="6" t="str">
        <f t="array" ref="A532">IF(528&gt;$S$1204,"",INDEX($T$5:$AJ$1204,MATCH(528,$S$5:$S$1204,0),1))</f>
        <v/>
      </c>
      <c r="B532" s="8" t="str">
        <f t="array" ref="B532">IF(528&gt;$S$1204,"",INDEX($T$5:$AJ$1204,MATCH(528,$S$5:$S$1204,0),2))</f>
        <v/>
      </c>
      <c r="C532" s="10" t="str">
        <f t="array" ref="C532">IF(528&gt;$S$1204,"",INDEX($T$5:$AJ$1204,MATCH(528,$S$5:$S$1204,0),3))</f>
        <v/>
      </c>
      <c r="D532" s="8" t="str">
        <f t="array" ref="D532">IF(528&gt;$S$1204,"",INDEX($T$5:$AJ$1204,MATCH(528,$S$5:$S$1204,0),4))</f>
        <v/>
      </c>
      <c r="E532" s="8" t="str">
        <f t="array" ref="E532">IF(528&gt;$S$1204,"",INDEX($T$5:$AJ$1204,MATCH(528,$S$5:$S$1204,0),5))</f>
        <v/>
      </c>
      <c r="F532" s="8" t="str">
        <f t="array" ref="F532">IF(528&gt;$S$1204,"",INDEX($T$5:$AJ$1204,MATCH(528,$S$5:$S$1204,0),6))</f>
        <v/>
      </c>
      <c r="G532" s="8" t="str">
        <f t="array" ref="G532">IF(528&gt;$S$1204,"",INDEX($T$5:$AJ$1204,MATCH(528,$S$5:$S$1204,0),7))</f>
        <v/>
      </c>
      <c r="H532" s="8" t="str">
        <f t="array" ref="H532">IF(528&gt;$S$1204,"",INDEX($T$5:$AJ$1204,MATCH(528,$S$5:$S$1204,0),8))</f>
        <v/>
      </c>
      <c r="I532" s="8" t="str">
        <f t="array" ref="I532">IF(528&gt;$S$1204,"",INDEX($T$5:$AJ$1204,MATCH(528,$S$5:$S$1204,0),9))</f>
        <v/>
      </c>
      <c r="J532" s="14" t="str">
        <f t="array" ref="J532">IF(528&gt;$S$1204,"",INDEX($T$5:$AJ$1204,MATCH(528,$S$5:$S$1204,0),10))</f>
        <v/>
      </c>
      <c r="K532" s="8" t="str">
        <f t="array" ref="K532">IF(528&gt;$S$1204,"",INDEX($T$5:$AJ$1204,MATCH(528,$S$5:$S$1204,0),11))</f>
        <v/>
      </c>
      <c r="L532" s="8" t="str">
        <f t="array" ref="L532">IF(528&gt;$S$1204,"",INDEX($T$5:$AJ$1204,MATCH(528,$S$5:$S$1204,0),12))</f>
        <v/>
      </c>
      <c r="M532" s="8" t="str">
        <f t="array" ref="M532">IF(528&gt;$S$1204,"",INDEX($T$5:$AJ$1204,MATCH(528,$S$5:$S$1204,0),13))</f>
        <v/>
      </c>
      <c r="N532" s="8" t="str">
        <f t="array" ref="N532">IF(528&gt;$S$1204,"",INDEX($T$5:$AJ$1204,MATCH(528,$S$5:$S$1204,0),14))</f>
        <v/>
      </c>
      <c r="O532" s="15" t="str">
        <f t="array" ref="O532">IF(528&gt;$S$1204,"",INDEX($T$5:$AJ$1204,MATCH(528,$S$5:$S$1204,0),15))</f>
        <v/>
      </c>
      <c r="P532" s="8" t="str">
        <f t="array" ref="P532">IF(528&gt;$S$1204,"",INDEX($T$5:$AJ$1204,MATCH(528,$S$5:$S$1204,0),16))</f>
        <v/>
      </c>
      <c r="Q532" s="8" t="str">
        <f t="array" ref="Q532">IF(528&gt;$S$1204,"",INDEX($T$5:$AJ$1204,MATCH(528,$S$5:$S$1204,0),17))</f>
        <v/>
      </c>
      <c r="R532" s="17"/>
      <c r="S532" s="17">
        <f>S531+IF(M3_Silleteria!A136="",0,1)</f>
        <v>0</v>
      </c>
      <c r="T532" s="17" t="str">
        <f>IF(M3_Silleteria!A136="","",IF(M3_Silleteria!A136="","",M3_Silleteria!A136))</f>
        <v/>
      </c>
      <c r="U532" s="17" t="str">
        <f>IF(M3_Silleteria!A136="","",IF(M3_Silleteria!Q136="","",M3_Silleteria!Q136))</f>
        <v/>
      </c>
      <c r="V532" s="17" t="str">
        <f>IF(M3_Silleteria!A136="","",IF(M3_Silleteria!D136="","",M3_Silleteria!D136))</f>
        <v/>
      </c>
      <c r="W532" s="17" t="str">
        <f>IF(M3_Silleteria!A136="","",IF(M3_Silleteria!B136="","",M3_Silleteria!B136))</f>
        <v/>
      </c>
      <c r="X532" s="17" t="str">
        <f>IF(M3_Silleteria!A136="","",IF(M3_Silleteria!C136="","",M3_Silleteria!C136))</f>
        <v/>
      </c>
      <c r="Y532" s="17" t="str">
        <f>IF(M3_Silleteria!A136="","",IF(M3_Silleteria!E136="","",M3_Silleteria!E136))</f>
        <v/>
      </c>
      <c r="Z532" s="17" t="str">
        <f>IF(M3_Silleteria!A136="","",IF(M3_Silleteria!F136="","",M3_Silleteria!F136))</f>
        <v/>
      </c>
      <c r="AA532" s="17" t="str">
        <f>IF(M3_Silleteria!A136="","","M3 Silletería")</f>
        <v/>
      </c>
      <c r="AB532" s="17" t="str">
        <f>IF(M3_Silleteria!A136="","",IF(M3_Silleteria!G136="","",M3_Silleteria!G136))</f>
        <v/>
      </c>
      <c r="AC532" s="17" t="str">
        <f>IF(M3_Silleteria!A136="","",IF(M3_Silleteria!L136="","",M3_Silleteria!L136))</f>
        <v/>
      </c>
      <c r="AD532" s="17" t="str">
        <f>IF(M3_Silleteria!A136="","","CD")</f>
        <v/>
      </c>
      <c r="AE532" s="17" t="str">
        <f>IF(M3_Silleteria!A136="","",IF(M3_Silleteria!N136="","",M3_Silleteria!N136))</f>
        <v/>
      </c>
      <c r="AF532" s="17" t="str">
        <f>IF(M3_Silleteria!A136="","",IF(M3_Silleteria!O136="","",M3_Silleteria!O136))</f>
        <v/>
      </c>
      <c r="AG532" s="17" t="str">
        <f>IF(M3_Silleteria!A136="","",IF(M3_Silleteria!P136="","",M3_Silleteria!P136))</f>
        <v/>
      </c>
      <c r="AH532" s="17" t="str">
        <f>IF(M3_Silleteria!A136="","",IF(M3_Silleteria!H136="","",M3_Silleteria!H136))</f>
        <v/>
      </c>
      <c r="AI532" s="17" t="str">
        <f>IF(M3_Silleteria!A136="","","M3_Silleteria!136")</f>
        <v/>
      </c>
      <c r="AJ532" s="17" t="str">
        <f>IF(M3_Silleteria!A136="","",IF(M3_Silleteria!L136="","Pendiente de resultado","Disponible"))</f>
        <v/>
      </c>
    </row>
    <row r="533" spans="1:36" ht="55.5" customHeight="1">
      <c r="A533" s="6" t="str">
        <f t="array" ref="A533">IF(529&gt;$S$1204,"",INDEX($T$5:$AJ$1204,MATCH(529,$S$5:$S$1204,0),1))</f>
        <v/>
      </c>
      <c r="B533" s="8" t="str">
        <f t="array" ref="B533">IF(529&gt;$S$1204,"",INDEX($T$5:$AJ$1204,MATCH(529,$S$5:$S$1204,0),2))</f>
        <v/>
      </c>
      <c r="C533" s="10" t="str">
        <f t="array" ref="C533">IF(529&gt;$S$1204,"",INDEX($T$5:$AJ$1204,MATCH(529,$S$5:$S$1204,0),3))</f>
        <v/>
      </c>
      <c r="D533" s="8" t="str">
        <f t="array" ref="D533">IF(529&gt;$S$1204,"",INDEX($T$5:$AJ$1204,MATCH(529,$S$5:$S$1204,0),4))</f>
        <v/>
      </c>
      <c r="E533" s="8" t="str">
        <f t="array" ref="E533">IF(529&gt;$S$1204,"",INDEX($T$5:$AJ$1204,MATCH(529,$S$5:$S$1204,0),5))</f>
        <v/>
      </c>
      <c r="F533" s="8" t="str">
        <f t="array" ref="F533">IF(529&gt;$S$1204,"",INDEX($T$5:$AJ$1204,MATCH(529,$S$5:$S$1204,0),6))</f>
        <v/>
      </c>
      <c r="G533" s="8" t="str">
        <f t="array" ref="G533">IF(529&gt;$S$1204,"",INDEX($T$5:$AJ$1204,MATCH(529,$S$5:$S$1204,0),7))</f>
        <v/>
      </c>
      <c r="H533" s="8" t="str">
        <f t="array" ref="H533">IF(529&gt;$S$1204,"",INDEX($T$5:$AJ$1204,MATCH(529,$S$5:$S$1204,0),8))</f>
        <v/>
      </c>
      <c r="I533" s="8" t="str">
        <f t="array" ref="I533">IF(529&gt;$S$1204,"",INDEX($T$5:$AJ$1204,MATCH(529,$S$5:$S$1204,0),9))</f>
        <v/>
      </c>
      <c r="J533" s="14" t="str">
        <f t="array" ref="J533">IF(529&gt;$S$1204,"",INDEX($T$5:$AJ$1204,MATCH(529,$S$5:$S$1204,0),10))</f>
        <v/>
      </c>
      <c r="K533" s="8" t="str">
        <f t="array" ref="K533">IF(529&gt;$S$1204,"",INDEX($T$5:$AJ$1204,MATCH(529,$S$5:$S$1204,0),11))</f>
        <v/>
      </c>
      <c r="L533" s="8" t="str">
        <f t="array" ref="L533">IF(529&gt;$S$1204,"",INDEX($T$5:$AJ$1204,MATCH(529,$S$5:$S$1204,0),12))</f>
        <v/>
      </c>
      <c r="M533" s="8" t="str">
        <f t="array" ref="M533">IF(529&gt;$S$1204,"",INDEX($T$5:$AJ$1204,MATCH(529,$S$5:$S$1204,0),13))</f>
        <v/>
      </c>
      <c r="N533" s="8" t="str">
        <f t="array" ref="N533">IF(529&gt;$S$1204,"",INDEX($T$5:$AJ$1204,MATCH(529,$S$5:$S$1204,0),14))</f>
        <v/>
      </c>
      <c r="O533" s="15" t="str">
        <f t="array" ref="O533">IF(529&gt;$S$1204,"",INDEX($T$5:$AJ$1204,MATCH(529,$S$5:$S$1204,0),15))</f>
        <v/>
      </c>
      <c r="P533" s="8" t="str">
        <f t="array" ref="P533">IF(529&gt;$S$1204,"",INDEX($T$5:$AJ$1204,MATCH(529,$S$5:$S$1204,0),16))</f>
        <v/>
      </c>
      <c r="Q533" s="8" t="str">
        <f t="array" ref="Q533">IF(529&gt;$S$1204,"",INDEX($T$5:$AJ$1204,MATCH(529,$S$5:$S$1204,0),17))</f>
        <v/>
      </c>
      <c r="R533" s="17"/>
      <c r="S533" s="17">
        <f>S532+IF(M3_Silleteria!A137="",0,1)</f>
        <v>0</v>
      </c>
      <c r="T533" s="17" t="str">
        <f>IF(M3_Silleteria!A137="","",IF(M3_Silleteria!A137="","",M3_Silleteria!A137))</f>
        <v/>
      </c>
      <c r="U533" s="17" t="str">
        <f>IF(M3_Silleteria!A137="","",IF(M3_Silleteria!Q137="","",M3_Silleteria!Q137))</f>
        <v/>
      </c>
      <c r="V533" s="17" t="str">
        <f>IF(M3_Silleteria!A137="","",IF(M3_Silleteria!D137="","",M3_Silleteria!D137))</f>
        <v/>
      </c>
      <c r="W533" s="17" t="str">
        <f>IF(M3_Silleteria!A137="","",IF(M3_Silleteria!B137="","",M3_Silleteria!B137))</f>
        <v/>
      </c>
      <c r="X533" s="17" t="str">
        <f>IF(M3_Silleteria!A137="","",IF(M3_Silleteria!C137="","",M3_Silleteria!C137))</f>
        <v/>
      </c>
      <c r="Y533" s="17" t="str">
        <f>IF(M3_Silleteria!A137="","",IF(M3_Silleteria!E137="","",M3_Silleteria!E137))</f>
        <v/>
      </c>
      <c r="Z533" s="17" t="str">
        <f>IF(M3_Silleteria!A137="","",IF(M3_Silleteria!F137="","",M3_Silleteria!F137))</f>
        <v/>
      </c>
      <c r="AA533" s="17" t="str">
        <f>IF(M3_Silleteria!A137="","","M3 Silletería")</f>
        <v/>
      </c>
      <c r="AB533" s="17" t="str">
        <f>IF(M3_Silleteria!A137="","",IF(M3_Silleteria!G137="","",M3_Silleteria!G137))</f>
        <v/>
      </c>
      <c r="AC533" s="17" t="str">
        <f>IF(M3_Silleteria!A137="","",IF(M3_Silleteria!L137="","",M3_Silleteria!L137))</f>
        <v/>
      </c>
      <c r="AD533" s="17" t="str">
        <f>IF(M3_Silleteria!A137="","","CD")</f>
        <v/>
      </c>
      <c r="AE533" s="17" t="str">
        <f>IF(M3_Silleteria!A137="","",IF(M3_Silleteria!N137="","",M3_Silleteria!N137))</f>
        <v/>
      </c>
      <c r="AF533" s="17" t="str">
        <f>IF(M3_Silleteria!A137="","",IF(M3_Silleteria!O137="","",M3_Silleteria!O137))</f>
        <v/>
      </c>
      <c r="AG533" s="17" t="str">
        <f>IF(M3_Silleteria!A137="","",IF(M3_Silleteria!P137="","",M3_Silleteria!P137))</f>
        <v/>
      </c>
      <c r="AH533" s="17" t="str">
        <f>IF(M3_Silleteria!A137="","",IF(M3_Silleteria!H137="","",M3_Silleteria!H137))</f>
        <v/>
      </c>
      <c r="AI533" s="17" t="str">
        <f>IF(M3_Silleteria!A137="","","M3_Silleteria!137")</f>
        <v/>
      </c>
      <c r="AJ533" s="17" t="str">
        <f>IF(M3_Silleteria!A137="","",IF(M3_Silleteria!L137="","Pendiente de resultado","Disponible"))</f>
        <v/>
      </c>
    </row>
    <row r="534" spans="1:36" ht="55.5" customHeight="1">
      <c r="A534" s="6" t="str">
        <f t="array" ref="A534">IF(530&gt;$S$1204,"",INDEX($T$5:$AJ$1204,MATCH(530,$S$5:$S$1204,0),1))</f>
        <v/>
      </c>
      <c r="B534" s="8" t="str">
        <f t="array" ref="B534">IF(530&gt;$S$1204,"",INDEX($T$5:$AJ$1204,MATCH(530,$S$5:$S$1204,0),2))</f>
        <v/>
      </c>
      <c r="C534" s="10" t="str">
        <f t="array" ref="C534">IF(530&gt;$S$1204,"",INDEX($T$5:$AJ$1204,MATCH(530,$S$5:$S$1204,0),3))</f>
        <v/>
      </c>
      <c r="D534" s="8" t="str">
        <f t="array" ref="D534">IF(530&gt;$S$1204,"",INDEX($T$5:$AJ$1204,MATCH(530,$S$5:$S$1204,0),4))</f>
        <v/>
      </c>
      <c r="E534" s="8" t="str">
        <f t="array" ref="E534">IF(530&gt;$S$1204,"",INDEX($T$5:$AJ$1204,MATCH(530,$S$5:$S$1204,0),5))</f>
        <v/>
      </c>
      <c r="F534" s="8" t="str">
        <f t="array" ref="F534">IF(530&gt;$S$1204,"",INDEX($T$5:$AJ$1204,MATCH(530,$S$5:$S$1204,0),6))</f>
        <v/>
      </c>
      <c r="G534" s="8" t="str">
        <f t="array" ref="G534">IF(530&gt;$S$1204,"",INDEX($T$5:$AJ$1204,MATCH(530,$S$5:$S$1204,0),7))</f>
        <v/>
      </c>
      <c r="H534" s="8" t="str">
        <f t="array" ref="H534">IF(530&gt;$S$1204,"",INDEX($T$5:$AJ$1204,MATCH(530,$S$5:$S$1204,0),8))</f>
        <v/>
      </c>
      <c r="I534" s="8" t="str">
        <f t="array" ref="I534">IF(530&gt;$S$1204,"",INDEX($T$5:$AJ$1204,MATCH(530,$S$5:$S$1204,0),9))</f>
        <v/>
      </c>
      <c r="J534" s="14" t="str">
        <f t="array" ref="J534">IF(530&gt;$S$1204,"",INDEX($T$5:$AJ$1204,MATCH(530,$S$5:$S$1204,0),10))</f>
        <v/>
      </c>
      <c r="K534" s="8" t="str">
        <f t="array" ref="K534">IF(530&gt;$S$1204,"",INDEX($T$5:$AJ$1204,MATCH(530,$S$5:$S$1204,0),11))</f>
        <v/>
      </c>
      <c r="L534" s="8" t="str">
        <f t="array" ref="L534">IF(530&gt;$S$1204,"",INDEX($T$5:$AJ$1204,MATCH(530,$S$5:$S$1204,0),12))</f>
        <v/>
      </c>
      <c r="M534" s="8" t="str">
        <f t="array" ref="M534">IF(530&gt;$S$1204,"",INDEX($T$5:$AJ$1204,MATCH(530,$S$5:$S$1204,0),13))</f>
        <v/>
      </c>
      <c r="N534" s="8" t="str">
        <f t="array" ref="N534">IF(530&gt;$S$1204,"",INDEX($T$5:$AJ$1204,MATCH(530,$S$5:$S$1204,0),14))</f>
        <v/>
      </c>
      <c r="O534" s="15" t="str">
        <f t="array" ref="O534">IF(530&gt;$S$1204,"",INDEX($T$5:$AJ$1204,MATCH(530,$S$5:$S$1204,0),15))</f>
        <v/>
      </c>
      <c r="P534" s="8" t="str">
        <f t="array" ref="P534">IF(530&gt;$S$1204,"",INDEX($T$5:$AJ$1204,MATCH(530,$S$5:$S$1204,0),16))</f>
        <v/>
      </c>
      <c r="Q534" s="8" t="str">
        <f t="array" ref="Q534">IF(530&gt;$S$1204,"",INDEX($T$5:$AJ$1204,MATCH(530,$S$5:$S$1204,0),17))</f>
        <v/>
      </c>
      <c r="R534" s="17"/>
      <c r="S534" s="17">
        <f>S533+IF(M3_Silleteria!A138="",0,1)</f>
        <v>0</v>
      </c>
      <c r="T534" s="17" t="str">
        <f>IF(M3_Silleteria!A138="","",IF(M3_Silleteria!A138="","",M3_Silleteria!A138))</f>
        <v/>
      </c>
      <c r="U534" s="17" t="str">
        <f>IF(M3_Silleteria!A138="","",IF(M3_Silleteria!Q138="","",M3_Silleteria!Q138))</f>
        <v/>
      </c>
      <c r="V534" s="17" t="str">
        <f>IF(M3_Silleteria!A138="","",IF(M3_Silleteria!D138="","",M3_Silleteria!D138))</f>
        <v/>
      </c>
      <c r="W534" s="17" t="str">
        <f>IF(M3_Silleteria!A138="","",IF(M3_Silleteria!B138="","",M3_Silleteria!B138))</f>
        <v/>
      </c>
      <c r="X534" s="17" t="str">
        <f>IF(M3_Silleteria!A138="","",IF(M3_Silleteria!C138="","",M3_Silleteria!C138))</f>
        <v/>
      </c>
      <c r="Y534" s="17" t="str">
        <f>IF(M3_Silleteria!A138="","",IF(M3_Silleteria!E138="","",M3_Silleteria!E138))</f>
        <v/>
      </c>
      <c r="Z534" s="17" t="str">
        <f>IF(M3_Silleteria!A138="","",IF(M3_Silleteria!F138="","",M3_Silleteria!F138))</f>
        <v/>
      </c>
      <c r="AA534" s="17" t="str">
        <f>IF(M3_Silleteria!A138="","","M3 Silletería")</f>
        <v/>
      </c>
      <c r="AB534" s="17" t="str">
        <f>IF(M3_Silleteria!A138="","",IF(M3_Silleteria!G138="","",M3_Silleteria!G138))</f>
        <v/>
      </c>
      <c r="AC534" s="17" t="str">
        <f>IF(M3_Silleteria!A138="","",IF(M3_Silleteria!L138="","",M3_Silleteria!L138))</f>
        <v/>
      </c>
      <c r="AD534" s="17" t="str">
        <f>IF(M3_Silleteria!A138="","","CD")</f>
        <v/>
      </c>
      <c r="AE534" s="17" t="str">
        <f>IF(M3_Silleteria!A138="","",IF(M3_Silleteria!N138="","",M3_Silleteria!N138))</f>
        <v/>
      </c>
      <c r="AF534" s="17" t="str">
        <f>IF(M3_Silleteria!A138="","",IF(M3_Silleteria!O138="","",M3_Silleteria!O138))</f>
        <v/>
      </c>
      <c r="AG534" s="17" t="str">
        <f>IF(M3_Silleteria!A138="","",IF(M3_Silleteria!P138="","",M3_Silleteria!P138))</f>
        <v/>
      </c>
      <c r="AH534" s="17" t="str">
        <f>IF(M3_Silleteria!A138="","",IF(M3_Silleteria!H138="","",M3_Silleteria!H138))</f>
        <v/>
      </c>
      <c r="AI534" s="17" t="str">
        <f>IF(M3_Silleteria!A138="","","M3_Silleteria!138")</f>
        <v/>
      </c>
      <c r="AJ534" s="17" t="str">
        <f>IF(M3_Silleteria!A138="","",IF(M3_Silleteria!L138="","Pendiente de resultado","Disponible"))</f>
        <v/>
      </c>
    </row>
    <row r="535" spans="1:36" ht="55.5" customHeight="1">
      <c r="A535" s="6" t="str">
        <f t="array" ref="A535">IF(531&gt;$S$1204,"",INDEX($T$5:$AJ$1204,MATCH(531,$S$5:$S$1204,0),1))</f>
        <v/>
      </c>
      <c r="B535" s="8" t="str">
        <f t="array" ref="B535">IF(531&gt;$S$1204,"",INDEX($T$5:$AJ$1204,MATCH(531,$S$5:$S$1204,0),2))</f>
        <v/>
      </c>
      <c r="C535" s="10" t="str">
        <f t="array" ref="C535">IF(531&gt;$S$1204,"",INDEX($T$5:$AJ$1204,MATCH(531,$S$5:$S$1204,0),3))</f>
        <v/>
      </c>
      <c r="D535" s="8" t="str">
        <f t="array" ref="D535">IF(531&gt;$S$1204,"",INDEX($T$5:$AJ$1204,MATCH(531,$S$5:$S$1204,0),4))</f>
        <v/>
      </c>
      <c r="E535" s="8" t="str">
        <f t="array" ref="E535">IF(531&gt;$S$1204,"",INDEX($T$5:$AJ$1204,MATCH(531,$S$5:$S$1204,0),5))</f>
        <v/>
      </c>
      <c r="F535" s="8" t="str">
        <f t="array" ref="F535">IF(531&gt;$S$1204,"",INDEX($T$5:$AJ$1204,MATCH(531,$S$5:$S$1204,0),6))</f>
        <v/>
      </c>
      <c r="G535" s="8" t="str">
        <f t="array" ref="G535">IF(531&gt;$S$1204,"",INDEX($T$5:$AJ$1204,MATCH(531,$S$5:$S$1204,0),7))</f>
        <v/>
      </c>
      <c r="H535" s="8" t="str">
        <f t="array" ref="H535">IF(531&gt;$S$1204,"",INDEX($T$5:$AJ$1204,MATCH(531,$S$5:$S$1204,0),8))</f>
        <v/>
      </c>
      <c r="I535" s="8" t="str">
        <f t="array" ref="I535">IF(531&gt;$S$1204,"",INDEX($T$5:$AJ$1204,MATCH(531,$S$5:$S$1204,0),9))</f>
        <v/>
      </c>
      <c r="J535" s="14" t="str">
        <f t="array" ref="J535">IF(531&gt;$S$1204,"",INDEX($T$5:$AJ$1204,MATCH(531,$S$5:$S$1204,0),10))</f>
        <v/>
      </c>
      <c r="K535" s="8" t="str">
        <f t="array" ref="K535">IF(531&gt;$S$1204,"",INDEX($T$5:$AJ$1204,MATCH(531,$S$5:$S$1204,0),11))</f>
        <v/>
      </c>
      <c r="L535" s="8" t="str">
        <f t="array" ref="L535">IF(531&gt;$S$1204,"",INDEX($T$5:$AJ$1204,MATCH(531,$S$5:$S$1204,0),12))</f>
        <v/>
      </c>
      <c r="M535" s="8" t="str">
        <f t="array" ref="M535">IF(531&gt;$S$1204,"",INDEX($T$5:$AJ$1204,MATCH(531,$S$5:$S$1204,0),13))</f>
        <v/>
      </c>
      <c r="N535" s="8" t="str">
        <f t="array" ref="N535">IF(531&gt;$S$1204,"",INDEX($T$5:$AJ$1204,MATCH(531,$S$5:$S$1204,0),14))</f>
        <v/>
      </c>
      <c r="O535" s="15" t="str">
        <f t="array" ref="O535">IF(531&gt;$S$1204,"",INDEX($T$5:$AJ$1204,MATCH(531,$S$5:$S$1204,0),15))</f>
        <v/>
      </c>
      <c r="P535" s="8" t="str">
        <f t="array" ref="P535">IF(531&gt;$S$1204,"",INDEX($T$5:$AJ$1204,MATCH(531,$S$5:$S$1204,0),16))</f>
        <v/>
      </c>
      <c r="Q535" s="8" t="str">
        <f t="array" ref="Q535">IF(531&gt;$S$1204,"",INDEX($T$5:$AJ$1204,MATCH(531,$S$5:$S$1204,0),17))</f>
        <v/>
      </c>
      <c r="R535" s="17"/>
      <c r="S535" s="17">
        <f>S534+IF(M3_Silleteria!A139="",0,1)</f>
        <v>0</v>
      </c>
      <c r="T535" s="17" t="str">
        <f>IF(M3_Silleteria!A139="","",IF(M3_Silleteria!A139="","",M3_Silleteria!A139))</f>
        <v/>
      </c>
      <c r="U535" s="17" t="str">
        <f>IF(M3_Silleteria!A139="","",IF(M3_Silleteria!Q139="","",M3_Silleteria!Q139))</f>
        <v/>
      </c>
      <c r="V535" s="17" t="str">
        <f>IF(M3_Silleteria!A139="","",IF(M3_Silleteria!D139="","",M3_Silleteria!D139))</f>
        <v/>
      </c>
      <c r="W535" s="17" t="str">
        <f>IF(M3_Silleteria!A139="","",IF(M3_Silleteria!B139="","",M3_Silleteria!B139))</f>
        <v/>
      </c>
      <c r="X535" s="17" t="str">
        <f>IF(M3_Silleteria!A139="","",IF(M3_Silleteria!C139="","",M3_Silleteria!C139))</f>
        <v/>
      </c>
      <c r="Y535" s="17" t="str">
        <f>IF(M3_Silleteria!A139="","",IF(M3_Silleteria!E139="","",M3_Silleteria!E139))</f>
        <v/>
      </c>
      <c r="Z535" s="17" t="str">
        <f>IF(M3_Silleteria!A139="","",IF(M3_Silleteria!F139="","",M3_Silleteria!F139))</f>
        <v/>
      </c>
      <c r="AA535" s="17" t="str">
        <f>IF(M3_Silleteria!A139="","","M3 Silletería")</f>
        <v/>
      </c>
      <c r="AB535" s="17" t="str">
        <f>IF(M3_Silleteria!A139="","",IF(M3_Silleteria!G139="","",M3_Silleteria!G139))</f>
        <v/>
      </c>
      <c r="AC535" s="17" t="str">
        <f>IF(M3_Silleteria!A139="","",IF(M3_Silleteria!L139="","",M3_Silleteria!L139))</f>
        <v/>
      </c>
      <c r="AD535" s="17" t="str">
        <f>IF(M3_Silleteria!A139="","","CD")</f>
        <v/>
      </c>
      <c r="AE535" s="17" t="str">
        <f>IF(M3_Silleteria!A139="","",IF(M3_Silleteria!N139="","",M3_Silleteria!N139))</f>
        <v/>
      </c>
      <c r="AF535" s="17" t="str">
        <f>IF(M3_Silleteria!A139="","",IF(M3_Silleteria!O139="","",M3_Silleteria!O139))</f>
        <v/>
      </c>
      <c r="AG535" s="17" t="str">
        <f>IF(M3_Silleteria!A139="","",IF(M3_Silleteria!P139="","",M3_Silleteria!P139))</f>
        <v/>
      </c>
      <c r="AH535" s="17" t="str">
        <f>IF(M3_Silleteria!A139="","",IF(M3_Silleteria!H139="","",M3_Silleteria!H139))</f>
        <v/>
      </c>
      <c r="AI535" s="17" t="str">
        <f>IF(M3_Silleteria!A139="","","M3_Silleteria!139")</f>
        <v/>
      </c>
      <c r="AJ535" s="17" t="str">
        <f>IF(M3_Silleteria!A139="","",IF(M3_Silleteria!L139="","Pendiente de resultado","Disponible"))</f>
        <v/>
      </c>
    </row>
    <row r="536" spans="1:36" ht="55.5" customHeight="1">
      <c r="A536" s="6" t="str">
        <f t="array" ref="A536">IF(532&gt;$S$1204,"",INDEX($T$5:$AJ$1204,MATCH(532,$S$5:$S$1204,0),1))</f>
        <v/>
      </c>
      <c r="B536" s="8" t="str">
        <f t="array" ref="B536">IF(532&gt;$S$1204,"",INDEX($T$5:$AJ$1204,MATCH(532,$S$5:$S$1204,0),2))</f>
        <v/>
      </c>
      <c r="C536" s="10" t="str">
        <f t="array" ref="C536">IF(532&gt;$S$1204,"",INDEX($T$5:$AJ$1204,MATCH(532,$S$5:$S$1204,0),3))</f>
        <v/>
      </c>
      <c r="D536" s="8" t="str">
        <f t="array" ref="D536">IF(532&gt;$S$1204,"",INDEX($T$5:$AJ$1204,MATCH(532,$S$5:$S$1204,0),4))</f>
        <v/>
      </c>
      <c r="E536" s="8" t="str">
        <f t="array" ref="E536">IF(532&gt;$S$1204,"",INDEX($T$5:$AJ$1204,MATCH(532,$S$5:$S$1204,0),5))</f>
        <v/>
      </c>
      <c r="F536" s="8" t="str">
        <f t="array" ref="F536">IF(532&gt;$S$1204,"",INDEX($T$5:$AJ$1204,MATCH(532,$S$5:$S$1204,0),6))</f>
        <v/>
      </c>
      <c r="G536" s="8" t="str">
        <f t="array" ref="G536">IF(532&gt;$S$1204,"",INDEX($T$5:$AJ$1204,MATCH(532,$S$5:$S$1204,0),7))</f>
        <v/>
      </c>
      <c r="H536" s="8" t="str">
        <f t="array" ref="H536">IF(532&gt;$S$1204,"",INDEX($T$5:$AJ$1204,MATCH(532,$S$5:$S$1204,0),8))</f>
        <v/>
      </c>
      <c r="I536" s="8" t="str">
        <f t="array" ref="I536">IF(532&gt;$S$1204,"",INDEX($T$5:$AJ$1204,MATCH(532,$S$5:$S$1204,0),9))</f>
        <v/>
      </c>
      <c r="J536" s="14" t="str">
        <f t="array" ref="J536">IF(532&gt;$S$1204,"",INDEX($T$5:$AJ$1204,MATCH(532,$S$5:$S$1204,0),10))</f>
        <v/>
      </c>
      <c r="K536" s="8" t="str">
        <f t="array" ref="K536">IF(532&gt;$S$1204,"",INDEX($T$5:$AJ$1204,MATCH(532,$S$5:$S$1204,0),11))</f>
        <v/>
      </c>
      <c r="L536" s="8" t="str">
        <f t="array" ref="L536">IF(532&gt;$S$1204,"",INDEX($T$5:$AJ$1204,MATCH(532,$S$5:$S$1204,0),12))</f>
        <v/>
      </c>
      <c r="M536" s="8" t="str">
        <f t="array" ref="M536">IF(532&gt;$S$1204,"",INDEX($T$5:$AJ$1204,MATCH(532,$S$5:$S$1204,0),13))</f>
        <v/>
      </c>
      <c r="N536" s="8" t="str">
        <f t="array" ref="N536">IF(532&gt;$S$1204,"",INDEX($T$5:$AJ$1204,MATCH(532,$S$5:$S$1204,0),14))</f>
        <v/>
      </c>
      <c r="O536" s="15" t="str">
        <f t="array" ref="O536">IF(532&gt;$S$1204,"",INDEX($T$5:$AJ$1204,MATCH(532,$S$5:$S$1204,0),15))</f>
        <v/>
      </c>
      <c r="P536" s="8" t="str">
        <f t="array" ref="P536">IF(532&gt;$S$1204,"",INDEX($T$5:$AJ$1204,MATCH(532,$S$5:$S$1204,0),16))</f>
        <v/>
      </c>
      <c r="Q536" s="8" t="str">
        <f t="array" ref="Q536">IF(532&gt;$S$1204,"",INDEX($T$5:$AJ$1204,MATCH(532,$S$5:$S$1204,0),17))</f>
        <v/>
      </c>
      <c r="R536" s="17"/>
      <c r="S536" s="17">
        <f>S535+IF(M3_Silleteria!A140="",0,1)</f>
        <v>0</v>
      </c>
      <c r="T536" s="17" t="str">
        <f>IF(M3_Silleteria!A140="","",IF(M3_Silleteria!A140="","",M3_Silleteria!A140))</f>
        <v/>
      </c>
      <c r="U536" s="17" t="str">
        <f>IF(M3_Silleteria!A140="","",IF(M3_Silleteria!Q140="","",M3_Silleteria!Q140))</f>
        <v/>
      </c>
      <c r="V536" s="17" t="str">
        <f>IF(M3_Silleteria!A140="","",IF(M3_Silleteria!D140="","",M3_Silleteria!D140))</f>
        <v/>
      </c>
      <c r="W536" s="17" t="str">
        <f>IF(M3_Silleteria!A140="","",IF(M3_Silleteria!B140="","",M3_Silleteria!B140))</f>
        <v/>
      </c>
      <c r="X536" s="17" t="str">
        <f>IF(M3_Silleteria!A140="","",IF(M3_Silleteria!C140="","",M3_Silleteria!C140))</f>
        <v/>
      </c>
      <c r="Y536" s="17" t="str">
        <f>IF(M3_Silleteria!A140="","",IF(M3_Silleteria!E140="","",M3_Silleteria!E140))</f>
        <v/>
      </c>
      <c r="Z536" s="17" t="str">
        <f>IF(M3_Silleteria!A140="","",IF(M3_Silleteria!F140="","",M3_Silleteria!F140))</f>
        <v/>
      </c>
      <c r="AA536" s="17" t="str">
        <f>IF(M3_Silleteria!A140="","","M3 Silletería")</f>
        <v/>
      </c>
      <c r="AB536" s="17" t="str">
        <f>IF(M3_Silleteria!A140="","",IF(M3_Silleteria!G140="","",M3_Silleteria!G140))</f>
        <v/>
      </c>
      <c r="AC536" s="17" t="str">
        <f>IF(M3_Silleteria!A140="","",IF(M3_Silleteria!L140="","",M3_Silleteria!L140))</f>
        <v/>
      </c>
      <c r="AD536" s="17" t="str">
        <f>IF(M3_Silleteria!A140="","","CD")</f>
        <v/>
      </c>
      <c r="AE536" s="17" t="str">
        <f>IF(M3_Silleteria!A140="","",IF(M3_Silleteria!N140="","",M3_Silleteria!N140))</f>
        <v/>
      </c>
      <c r="AF536" s="17" t="str">
        <f>IF(M3_Silleteria!A140="","",IF(M3_Silleteria!O140="","",M3_Silleteria!O140))</f>
        <v/>
      </c>
      <c r="AG536" s="17" t="str">
        <f>IF(M3_Silleteria!A140="","",IF(M3_Silleteria!P140="","",M3_Silleteria!P140))</f>
        <v/>
      </c>
      <c r="AH536" s="17" t="str">
        <f>IF(M3_Silleteria!A140="","",IF(M3_Silleteria!H140="","",M3_Silleteria!H140))</f>
        <v/>
      </c>
      <c r="AI536" s="17" t="str">
        <f>IF(M3_Silleteria!A140="","","M3_Silleteria!140")</f>
        <v/>
      </c>
      <c r="AJ536" s="17" t="str">
        <f>IF(M3_Silleteria!A140="","",IF(M3_Silleteria!L140="","Pendiente de resultado","Disponible"))</f>
        <v/>
      </c>
    </row>
    <row r="537" spans="1:36" ht="55.5" customHeight="1">
      <c r="A537" s="6" t="str">
        <f t="array" ref="A537">IF(533&gt;$S$1204,"",INDEX($T$5:$AJ$1204,MATCH(533,$S$5:$S$1204,0),1))</f>
        <v/>
      </c>
      <c r="B537" s="8" t="str">
        <f t="array" ref="B537">IF(533&gt;$S$1204,"",INDEX($T$5:$AJ$1204,MATCH(533,$S$5:$S$1204,0),2))</f>
        <v/>
      </c>
      <c r="C537" s="10" t="str">
        <f t="array" ref="C537">IF(533&gt;$S$1204,"",INDEX($T$5:$AJ$1204,MATCH(533,$S$5:$S$1204,0),3))</f>
        <v/>
      </c>
      <c r="D537" s="8" t="str">
        <f t="array" ref="D537">IF(533&gt;$S$1204,"",INDEX($T$5:$AJ$1204,MATCH(533,$S$5:$S$1204,0),4))</f>
        <v/>
      </c>
      <c r="E537" s="8" t="str">
        <f t="array" ref="E537">IF(533&gt;$S$1204,"",INDEX($T$5:$AJ$1204,MATCH(533,$S$5:$S$1204,0),5))</f>
        <v/>
      </c>
      <c r="F537" s="8" t="str">
        <f t="array" ref="F537">IF(533&gt;$S$1204,"",INDEX($T$5:$AJ$1204,MATCH(533,$S$5:$S$1204,0),6))</f>
        <v/>
      </c>
      <c r="G537" s="8" t="str">
        <f t="array" ref="G537">IF(533&gt;$S$1204,"",INDEX($T$5:$AJ$1204,MATCH(533,$S$5:$S$1204,0),7))</f>
        <v/>
      </c>
      <c r="H537" s="8" t="str">
        <f t="array" ref="H537">IF(533&gt;$S$1204,"",INDEX($T$5:$AJ$1204,MATCH(533,$S$5:$S$1204,0),8))</f>
        <v/>
      </c>
      <c r="I537" s="8" t="str">
        <f t="array" ref="I537">IF(533&gt;$S$1204,"",INDEX($T$5:$AJ$1204,MATCH(533,$S$5:$S$1204,0),9))</f>
        <v/>
      </c>
      <c r="J537" s="14" t="str">
        <f t="array" ref="J537">IF(533&gt;$S$1204,"",INDEX($T$5:$AJ$1204,MATCH(533,$S$5:$S$1204,0),10))</f>
        <v/>
      </c>
      <c r="K537" s="8" t="str">
        <f t="array" ref="K537">IF(533&gt;$S$1204,"",INDEX($T$5:$AJ$1204,MATCH(533,$S$5:$S$1204,0),11))</f>
        <v/>
      </c>
      <c r="L537" s="8" t="str">
        <f t="array" ref="L537">IF(533&gt;$S$1204,"",INDEX($T$5:$AJ$1204,MATCH(533,$S$5:$S$1204,0),12))</f>
        <v/>
      </c>
      <c r="M537" s="8" t="str">
        <f t="array" ref="M537">IF(533&gt;$S$1204,"",INDEX($T$5:$AJ$1204,MATCH(533,$S$5:$S$1204,0),13))</f>
        <v/>
      </c>
      <c r="N537" s="8" t="str">
        <f t="array" ref="N537">IF(533&gt;$S$1204,"",INDEX($T$5:$AJ$1204,MATCH(533,$S$5:$S$1204,0),14))</f>
        <v/>
      </c>
      <c r="O537" s="15" t="str">
        <f t="array" ref="O537">IF(533&gt;$S$1204,"",INDEX($T$5:$AJ$1204,MATCH(533,$S$5:$S$1204,0),15))</f>
        <v/>
      </c>
      <c r="P537" s="8" t="str">
        <f t="array" ref="P537">IF(533&gt;$S$1204,"",INDEX($T$5:$AJ$1204,MATCH(533,$S$5:$S$1204,0),16))</f>
        <v/>
      </c>
      <c r="Q537" s="8" t="str">
        <f t="array" ref="Q537">IF(533&gt;$S$1204,"",INDEX($T$5:$AJ$1204,MATCH(533,$S$5:$S$1204,0),17))</f>
        <v/>
      </c>
      <c r="R537" s="17"/>
      <c r="S537" s="17">
        <f>S536+IF(M3_Silleteria!A141="",0,1)</f>
        <v>0</v>
      </c>
      <c r="T537" s="17" t="str">
        <f>IF(M3_Silleteria!A141="","",IF(M3_Silleteria!A141="","",M3_Silleteria!A141))</f>
        <v/>
      </c>
      <c r="U537" s="17" t="str">
        <f>IF(M3_Silleteria!A141="","",IF(M3_Silleteria!Q141="","",M3_Silleteria!Q141))</f>
        <v/>
      </c>
      <c r="V537" s="17" t="str">
        <f>IF(M3_Silleteria!A141="","",IF(M3_Silleteria!D141="","",M3_Silleteria!D141))</f>
        <v/>
      </c>
      <c r="W537" s="17" t="str">
        <f>IF(M3_Silleteria!A141="","",IF(M3_Silleteria!B141="","",M3_Silleteria!B141))</f>
        <v/>
      </c>
      <c r="X537" s="17" t="str">
        <f>IF(M3_Silleteria!A141="","",IF(M3_Silleteria!C141="","",M3_Silleteria!C141))</f>
        <v/>
      </c>
      <c r="Y537" s="17" t="str">
        <f>IF(M3_Silleteria!A141="","",IF(M3_Silleteria!E141="","",M3_Silleteria!E141))</f>
        <v/>
      </c>
      <c r="Z537" s="17" t="str">
        <f>IF(M3_Silleteria!A141="","",IF(M3_Silleteria!F141="","",M3_Silleteria!F141))</f>
        <v/>
      </c>
      <c r="AA537" s="17" t="str">
        <f>IF(M3_Silleteria!A141="","","M3 Silletería")</f>
        <v/>
      </c>
      <c r="AB537" s="17" t="str">
        <f>IF(M3_Silleteria!A141="","",IF(M3_Silleteria!G141="","",M3_Silleteria!G141))</f>
        <v/>
      </c>
      <c r="AC537" s="17" t="str">
        <f>IF(M3_Silleteria!A141="","",IF(M3_Silleteria!L141="","",M3_Silleteria!L141))</f>
        <v/>
      </c>
      <c r="AD537" s="17" t="str">
        <f>IF(M3_Silleteria!A141="","","CD")</f>
        <v/>
      </c>
      <c r="AE537" s="17" t="str">
        <f>IF(M3_Silleteria!A141="","",IF(M3_Silleteria!N141="","",M3_Silleteria!N141))</f>
        <v/>
      </c>
      <c r="AF537" s="17" t="str">
        <f>IF(M3_Silleteria!A141="","",IF(M3_Silleteria!O141="","",M3_Silleteria!O141))</f>
        <v/>
      </c>
      <c r="AG537" s="17" t="str">
        <f>IF(M3_Silleteria!A141="","",IF(M3_Silleteria!P141="","",M3_Silleteria!P141))</f>
        <v/>
      </c>
      <c r="AH537" s="17" t="str">
        <f>IF(M3_Silleteria!A141="","",IF(M3_Silleteria!H141="","",M3_Silleteria!H141))</f>
        <v/>
      </c>
      <c r="AI537" s="17" t="str">
        <f>IF(M3_Silleteria!A141="","","M3_Silleteria!141")</f>
        <v/>
      </c>
      <c r="AJ537" s="17" t="str">
        <f>IF(M3_Silleteria!A141="","",IF(M3_Silleteria!L141="","Pendiente de resultado","Disponible"))</f>
        <v/>
      </c>
    </row>
    <row r="538" spans="1:36" ht="55.5" customHeight="1">
      <c r="A538" s="6" t="str">
        <f t="array" ref="A538">IF(534&gt;$S$1204,"",INDEX($T$5:$AJ$1204,MATCH(534,$S$5:$S$1204,0),1))</f>
        <v/>
      </c>
      <c r="B538" s="8" t="str">
        <f t="array" ref="B538">IF(534&gt;$S$1204,"",INDEX($T$5:$AJ$1204,MATCH(534,$S$5:$S$1204,0),2))</f>
        <v/>
      </c>
      <c r="C538" s="10" t="str">
        <f t="array" ref="C538">IF(534&gt;$S$1204,"",INDEX($T$5:$AJ$1204,MATCH(534,$S$5:$S$1204,0),3))</f>
        <v/>
      </c>
      <c r="D538" s="8" t="str">
        <f t="array" ref="D538">IF(534&gt;$S$1204,"",INDEX($T$5:$AJ$1204,MATCH(534,$S$5:$S$1204,0),4))</f>
        <v/>
      </c>
      <c r="E538" s="8" t="str">
        <f t="array" ref="E538">IF(534&gt;$S$1204,"",INDEX($T$5:$AJ$1204,MATCH(534,$S$5:$S$1204,0),5))</f>
        <v/>
      </c>
      <c r="F538" s="8" t="str">
        <f t="array" ref="F538">IF(534&gt;$S$1204,"",INDEX($T$5:$AJ$1204,MATCH(534,$S$5:$S$1204,0),6))</f>
        <v/>
      </c>
      <c r="G538" s="8" t="str">
        <f t="array" ref="G538">IF(534&gt;$S$1204,"",INDEX($T$5:$AJ$1204,MATCH(534,$S$5:$S$1204,0),7))</f>
        <v/>
      </c>
      <c r="H538" s="8" t="str">
        <f t="array" ref="H538">IF(534&gt;$S$1204,"",INDEX($T$5:$AJ$1204,MATCH(534,$S$5:$S$1204,0),8))</f>
        <v/>
      </c>
      <c r="I538" s="8" t="str">
        <f t="array" ref="I538">IF(534&gt;$S$1204,"",INDEX($T$5:$AJ$1204,MATCH(534,$S$5:$S$1204,0),9))</f>
        <v/>
      </c>
      <c r="J538" s="14" t="str">
        <f t="array" ref="J538">IF(534&gt;$S$1204,"",INDEX($T$5:$AJ$1204,MATCH(534,$S$5:$S$1204,0),10))</f>
        <v/>
      </c>
      <c r="K538" s="8" t="str">
        <f t="array" ref="K538">IF(534&gt;$S$1204,"",INDEX($T$5:$AJ$1204,MATCH(534,$S$5:$S$1204,0),11))</f>
        <v/>
      </c>
      <c r="L538" s="8" t="str">
        <f t="array" ref="L538">IF(534&gt;$S$1204,"",INDEX($T$5:$AJ$1204,MATCH(534,$S$5:$S$1204,0),12))</f>
        <v/>
      </c>
      <c r="M538" s="8" t="str">
        <f t="array" ref="M538">IF(534&gt;$S$1204,"",INDEX($T$5:$AJ$1204,MATCH(534,$S$5:$S$1204,0),13))</f>
        <v/>
      </c>
      <c r="N538" s="8" t="str">
        <f t="array" ref="N538">IF(534&gt;$S$1204,"",INDEX($T$5:$AJ$1204,MATCH(534,$S$5:$S$1204,0),14))</f>
        <v/>
      </c>
      <c r="O538" s="15" t="str">
        <f t="array" ref="O538">IF(534&gt;$S$1204,"",INDEX($T$5:$AJ$1204,MATCH(534,$S$5:$S$1204,0),15))</f>
        <v/>
      </c>
      <c r="P538" s="8" t="str">
        <f t="array" ref="P538">IF(534&gt;$S$1204,"",INDEX($T$5:$AJ$1204,MATCH(534,$S$5:$S$1204,0),16))</f>
        <v/>
      </c>
      <c r="Q538" s="8" t="str">
        <f t="array" ref="Q538">IF(534&gt;$S$1204,"",INDEX($T$5:$AJ$1204,MATCH(534,$S$5:$S$1204,0),17))</f>
        <v/>
      </c>
      <c r="R538" s="17"/>
      <c r="S538" s="17">
        <f>S537+IF(M3_Silleteria!A142="",0,1)</f>
        <v>0</v>
      </c>
      <c r="T538" s="17" t="str">
        <f>IF(M3_Silleteria!A142="","",IF(M3_Silleteria!A142="","",M3_Silleteria!A142))</f>
        <v/>
      </c>
      <c r="U538" s="17" t="str">
        <f>IF(M3_Silleteria!A142="","",IF(M3_Silleteria!Q142="","",M3_Silleteria!Q142))</f>
        <v/>
      </c>
      <c r="V538" s="17" t="str">
        <f>IF(M3_Silleteria!A142="","",IF(M3_Silleteria!D142="","",M3_Silleteria!D142))</f>
        <v/>
      </c>
      <c r="W538" s="17" t="str">
        <f>IF(M3_Silleteria!A142="","",IF(M3_Silleteria!B142="","",M3_Silleteria!B142))</f>
        <v/>
      </c>
      <c r="X538" s="17" t="str">
        <f>IF(M3_Silleteria!A142="","",IF(M3_Silleteria!C142="","",M3_Silleteria!C142))</f>
        <v/>
      </c>
      <c r="Y538" s="17" t="str">
        <f>IF(M3_Silleteria!A142="","",IF(M3_Silleteria!E142="","",M3_Silleteria!E142))</f>
        <v/>
      </c>
      <c r="Z538" s="17" t="str">
        <f>IF(M3_Silleteria!A142="","",IF(M3_Silleteria!F142="","",M3_Silleteria!F142))</f>
        <v/>
      </c>
      <c r="AA538" s="17" t="str">
        <f>IF(M3_Silleteria!A142="","","M3 Silletería")</f>
        <v/>
      </c>
      <c r="AB538" s="17" t="str">
        <f>IF(M3_Silleteria!A142="","",IF(M3_Silleteria!G142="","",M3_Silleteria!G142))</f>
        <v/>
      </c>
      <c r="AC538" s="17" t="str">
        <f>IF(M3_Silleteria!A142="","",IF(M3_Silleteria!L142="","",M3_Silleteria!L142))</f>
        <v/>
      </c>
      <c r="AD538" s="17" t="str">
        <f>IF(M3_Silleteria!A142="","","CD")</f>
        <v/>
      </c>
      <c r="AE538" s="17" t="str">
        <f>IF(M3_Silleteria!A142="","",IF(M3_Silleteria!N142="","",M3_Silleteria!N142))</f>
        <v/>
      </c>
      <c r="AF538" s="17" t="str">
        <f>IF(M3_Silleteria!A142="","",IF(M3_Silleteria!O142="","",M3_Silleteria!O142))</f>
        <v/>
      </c>
      <c r="AG538" s="17" t="str">
        <f>IF(M3_Silleteria!A142="","",IF(M3_Silleteria!P142="","",M3_Silleteria!P142))</f>
        <v/>
      </c>
      <c r="AH538" s="17" t="str">
        <f>IF(M3_Silleteria!A142="","",IF(M3_Silleteria!H142="","",M3_Silleteria!H142))</f>
        <v/>
      </c>
      <c r="AI538" s="17" t="str">
        <f>IF(M3_Silleteria!A142="","","M3_Silleteria!142")</f>
        <v/>
      </c>
      <c r="AJ538" s="17" t="str">
        <f>IF(M3_Silleteria!A142="","",IF(M3_Silleteria!L142="","Pendiente de resultado","Disponible"))</f>
        <v/>
      </c>
    </row>
    <row r="539" spans="1:36" ht="55.5" customHeight="1">
      <c r="A539" s="6" t="str">
        <f t="array" ref="A539">IF(535&gt;$S$1204,"",INDEX($T$5:$AJ$1204,MATCH(535,$S$5:$S$1204,0),1))</f>
        <v/>
      </c>
      <c r="B539" s="8" t="str">
        <f t="array" ref="B539">IF(535&gt;$S$1204,"",INDEX($T$5:$AJ$1204,MATCH(535,$S$5:$S$1204,0),2))</f>
        <v/>
      </c>
      <c r="C539" s="10" t="str">
        <f t="array" ref="C539">IF(535&gt;$S$1204,"",INDEX($T$5:$AJ$1204,MATCH(535,$S$5:$S$1204,0),3))</f>
        <v/>
      </c>
      <c r="D539" s="8" t="str">
        <f t="array" ref="D539">IF(535&gt;$S$1204,"",INDEX($T$5:$AJ$1204,MATCH(535,$S$5:$S$1204,0),4))</f>
        <v/>
      </c>
      <c r="E539" s="8" t="str">
        <f t="array" ref="E539">IF(535&gt;$S$1204,"",INDEX($T$5:$AJ$1204,MATCH(535,$S$5:$S$1204,0),5))</f>
        <v/>
      </c>
      <c r="F539" s="8" t="str">
        <f t="array" ref="F539">IF(535&gt;$S$1204,"",INDEX($T$5:$AJ$1204,MATCH(535,$S$5:$S$1204,0),6))</f>
        <v/>
      </c>
      <c r="G539" s="8" t="str">
        <f t="array" ref="G539">IF(535&gt;$S$1204,"",INDEX($T$5:$AJ$1204,MATCH(535,$S$5:$S$1204,0),7))</f>
        <v/>
      </c>
      <c r="H539" s="8" t="str">
        <f t="array" ref="H539">IF(535&gt;$S$1204,"",INDEX($T$5:$AJ$1204,MATCH(535,$S$5:$S$1204,0),8))</f>
        <v/>
      </c>
      <c r="I539" s="8" t="str">
        <f t="array" ref="I539">IF(535&gt;$S$1204,"",INDEX($T$5:$AJ$1204,MATCH(535,$S$5:$S$1204,0),9))</f>
        <v/>
      </c>
      <c r="J539" s="14" t="str">
        <f t="array" ref="J539">IF(535&gt;$S$1204,"",INDEX($T$5:$AJ$1204,MATCH(535,$S$5:$S$1204,0),10))</f>
        <v/>
      </c>
      <c r="K539" s="8" t="str">
        <f t="array" ref="K539">IF(535&gt;$S$1204,"",INDEX($T$5:$AJ$1204,MATCH(535,$S$5:$S$1204,0),11))</f>
        <v/>
      </c>
      <c r="L539" s="8" t="str">
        <f t="array" ref="L539">IF(535&gt;$S$1204,"",INDEX($T$5:$AJ$1204,MATCH(535,$S$5:$S$1204,0),12))</f>
        <v/>
      </c>
      <c r="M539" s="8" t="str">
        <f t="array" ref="M539">IF(535&gt;$S$1204,"",INDEX($T$5:$AJ$1204,MATCH(535,$S$5:$S$1204,0),13))</f>
        <v/>
      </c>
      <c r="N539" s="8" t="str">
        <f t="array" ref="N539">IF(535&gt;$S$1204,"",INDEX($T$5:$AJ$1204,MATCH(535,$S$5:$S$1204,0),14))</f>
        <v/>
      </c>
      <c r="O539" s="15" t="str">
        <f t="array" ref="O539">IF(535&gt;$S$1204,"",INDEX($T$5:$AJ$1204,MATCH(535,$S$5:$S$1204,0),15))</f>
        <v/>
      </c>
      <c r="P539" s="8" t="str">
        <f t="array" ref="P539">IF(535&gt;$S$1204,"",INDEX($T$5:$AJ$1204,MATCH(535,$S$5:$S$1204,0),16))</f>
        <v/>
      </c>
      <c r="Q539" s="8" t="str">
        <f t="array" ref="Q539">IF(535&gt;$S$1204,"",INDEX($T$5:$AJ$1204,MATCH(535,$S$5:$S$1204,0),17))</f>
        <v/>
      </c>
      <c r="R539" s="17"/>
      <c r="S539" s="17">
        <f>S538+IF(M3_Silleteria!A143="",0,1)</f>
        <v>0</v>
      </c>
      <c r="T539" s="17" t="str">
        <f>IF(M3_Silleteria!A143="","",IF(M3_Silleteria!A143="","",M3_Silleteria!A143))</f>
        <v/>
      </c>
      <c r="U539" s="17" t="str">
        <f>IF(M3_Silleteria!A143="","",IF(M3_Silleteria!Q143="","",M3_Silleteria!Q143))</f>
        <v/>
      </c>
      <c r="V539" s="17" t="str">
        <f>IF(M3_Silleteria!A143="","",IF(M3_Silleteria!D143="","",M3_Silleteria!D143))</f>
        <v/>
      </c>
      <c r="W539" s="17" t="str">
        <f>IF(M3_Silleteria!A143="","",IF(M3_Silleteria!B143="","",M3_Silleteria!B143))</f>
        <v/>
      </c>
      <c r="X539" s="17" t="str">
        <f>IF(M3_Silleteria!A143="","",IF(M3_Silleteria!C143="","",M3_Silleteria!C143))</f>
        <v/>
      </c>
      <c r="Y539" s="17" t="str">
        <f>IF(M3_Silleteria!A143="","",IF(M3_Silleteria!E143="","",M3_Silleteria!E143))</f>
        <v/>
      </c>
      <c r="Z539" s="17" t="str">
        <f>IF(M3_Silleteria!A143="","",IF(M3_Silleteria!F143="","",M3_Silleteria!F143))</f>
        <v/>
      </c>
      <c r="AA539" s="17" t="str">
        <f>IF(M3_Silleteria!A143="","","M3 Silletería")</f>
        <v/>
      </c>
      <c r="AB539" s="17" t="str">
        <f>IF(M3_Silleteria!A143="","",IF(M3_Silleteria!G143="","",M3_Silleteria!G143))</f>
        <v/>
      </c>
      <c r="AC539" s="17" t="str">
        <f>IF(M3_Silleteria!A143="","",IF(M3_Silleteria!L143="","",M3_Silleteria!L143))</f>
        <v/>
      </c>
      <c r="AD539" s="17" t="str">
        <f>IF(M3_Silleteria!A143="","","CD")</f>
        <v/>
      </c>
      <c r="AE539" s="17" t="str">
        <f>IF(M3_Silleteria!A143="","",IF(M3_Silleteria!N143="","",M3_Silleteria!N143))</f>
        <v/>
      </c>
      <c r="AF539" s="17" t="str">
        <f>IF(M3_Silleteria!A143="","",IF(M3_Silleteria!O143="","",M3_Silleteria!O143))</f>
        <v/>
      </c>
      <c r="AG539" s="17" t="str">
        <f>IF(M3_Silleteria!A143="","",IF(M3_Silleteria!P143="","",M3_Silleteria!P143))</f>
        <v/>
      </c>
      <c r="AH539" s="17" t="str">
        <f>IF(M3_Silleteria!A143="","",IF(M3_Silleteria!H143="","",M3_Silleteria!H143))</f>
        <v/>
      </c>
      <c r="AI539" s="17" t="str">
        <f>IF(M3_Silleteria!A143="","","M3_Silleteria!143")</f>
        <v/>
      </c>
      <c r="AJ539" s="17" t="str">
        <f>IF(M3_Silleteria!A143="","",IF(M3_Silleteria!L143="","Pendiente de resultado","Disponible"))</f>
        <v/>
      </c>
    </row>
    <row r="540" spans="1:36" ht="55.5" customHeight="1">
      <c r="A540" s="6" t="str">
        <f t="array" ref="A540">IF(536&gt;$S$1204,"",INDEX($T$5:$AJ$1204,MATCH(536,$S$5:$S$1204,0),1))</f>
        <v/>
      </c>
      <c r="B540" s="8" t="str">
        <f t="array" ref="B540">IF(536&gt;$S$1204,"",INDEX($T$5:$AJ$1204,MATCH(536,$S$5:$S$1204,0),2))</f>
        <v/>
      </c>
      <c r="C540" s="10" t="str">
        <f t="array" ref="C540">IF(536&gt;$S$1204,"",INDEX($T$5:$AJ$1204,MATCH(536,$S$5:$S$1204,0),3))</f>
        <v/>
      </c>
      <c r="D540" s="8" t="str">
        <f t="array" ref="D540">IF(536&gt;$S$1204,"",INDEX($T$5:$AJ$1204,MATCH(536,$S$5:$S$1204,0),4))</f>
        <v/>
      </c>
      <c r="E540" s="8" t="str">
        <f t="array" ref="E540">IF(536&gt;$S$1204,"",INDEX($T$5:$AJ$1204,MATCH(536,$S$5:$S$1204,0),5))</f>
        <v/>
      </c>
      <c r="F540" s="8" t="str">
        <f t="array" ref="F540">IF(536&gt;$S$1204,"",INDEX($T$5:$AJ$1204,MATCH(536,$S$5:$S$1204,0),6))</f>
        <v/>
      </c>
      <c r="G540" s="8" t="str">
        <f t="array" ref="G540">IF(536&gt;$S$1204,"",INDEX($T$5:$AJ$1204,MATCH(536,$S$5:$S$1204,0),7))</f>
        <v/>
      </c>
      <c r="H540" s="8" t="str">
        <f t="array" ref="H540">IF(536&gt;$S$1204,"",INDEX($T$5:$AJ$1204,MATCH(536,$S$5:$S$1204,0),8))</f>
        <v/>
      </c>
      <c r="I540" s="8" t="str">
        <f t="array" ref="I540">IF(536&gt;$S$1204,"",INDEX($T$5:$AJ$1204,MATCH(536,$S$5:$S$1204,0),9))</f>
        <v/>
      </c>
      <c r="J540" s="14" t="str">
        <f t="array" ref="J540">IF(536&gt;$S$1204,"",INDEX($T$5:$AJ$1204,MATCH(536,$S$5:$S$1204,0),10))</f>
        <v/>
      </c>
      <c r="K540" s="8" t="str">
        <f t="array" ref="K540">IF(536&gt;$S$1204,"",INDEX($T$5:$AJ$1204,MATCH(536,$S$5:$S$1204,0),11))</f>
        <v/>
      </c>
      <c r="L540" s="8" t="str">
        <f t="array" ref="L540">IF(536&gt;$S$1204,"",INDEX($T$5:$AJ$1204,MATCH(536,$S$5:$S$1204,0),12))</f>
        <v/>
      </c>
      <c r="M540" s="8" t="str">
        <f t="array" ref="M540">IF(536&gt;$S$1204,"",INDEX($T$5:$AJ$1204,MATCH(536,$S$5:$S$1204,0),13))</f>
        <v/>
      </c>
      <c r="N540" s="8" t="str">
        <f t="array" ref="N540">IF(536&gt;$S$1204,"",INDEX($T$5:$AJ$1204,MATCH(536,$S$5:$S$1204,0),14))</f>
        <v/>
      </c>
      <c r="O540" s="15" t="str">
        <f t="array" ref="O540">IF(536&gt;$S$1204,"",INDEX($T$5:$AJ$1204,MATCH(536,$S$5:$S$1204,0),15))</f>
        <v/>
      </c>
      <c r="P540" s="8" t="str">
        <f t="array" ref="P540">IF(536&gt;$S$1204,"",INDEX($T$5:$AJ$1204,MATCH(536,$S$5:$S$1204,0),16))</f>
        <v/>
      </c>
      <c r="Q540" s="8" t="str">
        <f t="array" ref="Q540">IF(536&gt;$S$1204,"",INDEX($T$5:$AJ$1204,MATCH(536,$S$5:$S$1204,0),17))</f>
        <v/>
      </c>
      <c r="R540" s="17"/>
      <c r="S540" s="17">
        <f>S539+IF(M3_Silleteria!A144="",0,1)</f>
        <v>0</v>
      </c>
      <c r="T540" s="17" t="str">
        <f>IF(M3_Silleteria!A144="","",IF(M3_Silleteria!A144="","",M3_Silleteria!A144))</f>
        <v/>
      </c>
      <c r="U540" s="17" t="str">
        <f>IF(M3_Silleteria!A144="","",IF(M3_Silleteria!Q144="","",M3_Silleteria!Q144))</f>
        <v/>
      </c>
      <c r="V540" s="17" t="str">
        <f>IF(M3_Silleteria!A144="","",IF(M3_Silleteria!D144="","",M3_Silleteria!D144))</f>
        <v/>
      </c>
      <c r="W540" s="17" t="str">
        <f>IF(M3_Silleteria!A144="","",IF(M3_Silleteria!B144="","",M3_Silleteria!B144))</f>
        <v/>
      </c>
      <c r="X540" s="17" t="str">
        <f>IF(M3_Silleteria!A144="","",IF(M3_Silleteria!C144="","",M3_Silleteria!C144))</f>
        <v/>
      </c>
      <c r="Y540" s="17" t="str">
        <f>IF(M3_Silleteria!A144="","",IF(M3_Silleteria!E144="","",M3_Silleteria!E144))</f>
        <v/>
      </c>
      <c r="Z540" s="17" t="str">
        <f>IF(M3_Silleteria!A144="","",IF(M3_Silleteria!F144="","",M3_Silleteria!F144))</f>
        <v/>
      </c>
      <c r="AA540" s="17" t="str">
        <f>IF(M3_Silleteria!A144="","","M3 Silletería")</f>
        <v/>
      </c>
      <c r="AB540" s="17" t="str">
        <f>IF(M3_Silleteria!A144="","",IF(M3_Silleteria!G144="","",M3_Silleteria!G144))</f>
        <v/>
      </c>
      <c r="AC540" s="17" t="str">
        <f>IF(M3_Silleteria!A144="","",IF(M3_Silleteria!L144="","",M3_Silleteria!L144))</f>
        <v/>
      </c>
      <c r="AD540" s="17" t="str">
        <f>IF(M3_Silleteria!A144="","","CD")</f>
        <v/>
      </c>
      <c r="AE540" s="17" t="str">
        <f>IF(M3_Silleteria!A144="","",IF(M3_Silleteria!N144="","",M3_Silleteria!N144))</f>
        <v/>
      </c>
      <c r="AF540" s="17" t="str">
        <f>IF(M3_Silleteria!A144="","",IF(M3_Silleteria!O144="","",M3_Silleteria!O144))</f>
        <v/>
      </c>
      <c r="AG540" s="17" t="str">
        <f>IF(M3_Silleteria!A144="","",IF(M3_Silleteria!P144="","",M3_Silleteria!P144))</f>
        <v/>
      </c>
      <c r="AH540" s="17" t="str">
        <f>IF(M3_Silleteria!A144="","",IF(M3_Silleteria!H144="","",M3_Silleteria!H144))</f>
        <v/>
      </c>
      <c r="AI540" s="17" t="str">
        <f>IF(M3_Silleteria!A144="","","M3_Silleteria!144")</f>
        <v/>
      </c>
      <c r="AJ540" s="17" t="str">
        <f>IF(M3_Silleteria!A144="","",IF(M3_Silleteria!L144="","Pendiente de resultado","Disponible"))</f>
        <v/>
      </c>
    </row>
    <row r="541" spans="1:36" ht="55.5" customHeight="1">
      <c r="A541" s="6" t="str">
        <f t="array" ref="A541">IF(537&gt;$S$1204,"",INDEX($T$5:$AJ$1204,MATCH(537,$S$5:$S$1204,0),1))</f>
        <v/>
      </c>
      <c r="B541" s="8" t="str">
        <f t="array" ref="B541">IF(537&gt;$S$1204,"",INDEX($T$5:$AJ$1204,MATCH(537,$S$5:$S$1204,0),2))</f>
        <v/>
      </c>
      <c r="C541" s="10" t="str">
        <f t="array" ref="C541">IF(537&gt;$S$1204,"",INDEX($T$5:$AJ$1204,MATCH(537,$S$5:$S$1204,0),3))</f>
        <v/>
      </c>
      <c r="D541" s="8" t="str">
        <f t="array" ref="D541">IF(537&gt;$S$1204,"",INDEX($T$5:$AJ$1204,MATCH(537,$S$5:$S$1204,0),4))</f>
        <v/>
      </c>
      <c r="E541" s="8" t="str">
        <f t="array" ref="E541">IF(537&gt;$S$1204,"",INDEX($T$5:$AJ$1204,MATCH(537,$S$5:$S$1204,0),5))</f>
        <v/>
      </c>
      <c r="F541" s="8" t="str">
        <f t="array" ref="F541">IF(537&gt;$S$1204,"",INDEX($T$5:$AJ$1204,MATCH(537,$S$5:$S$1204,0),6))</f>
        <v/>
      </c>
      <c r="G541" s="8" t="str">
        <f t="array" ref="G541">IF(537&gt;$S$1204,"",INDEX($T$5:$AJ$1204,MATCH(537,$S$5:$S$1204,0),7))</f>
        <v/>
      </c>
      <c r="H541" s="8" t="str">
        <f t="array" ref="H541">IF(537&gt;$S$1204,"",INDEX($T$5:$AJ$1204,MATCH(537,$S$5:$S$1204,0),8))</f>
        <v/>
      </c>
      <c r="I541" s="8" t="str">
        <f t="array" ref="I541">IF(537&gt;$S$1204,"",INDEX($T$5:$AJ$1204,MATCH(537,$S$5:$S$1204,0),9))</f>
        <v/>
      </c>
      <c r="J541" s="14" t="str">
        <f t="array" ref="J541">IF(537&gt;$S$1204,"",INDEX($T$5:$AJ$1204,MATCH(537,$S$5:$S$1204,0),10))</f>
        <v/>
      </c>
      <c r="K541" s="8" t="str">
        <f t="array" ref="K541">IF(537&gt;$S$1204,"",INDEX($T$5:$AJ$1204,MATCH(537,$S$5:$S$1204,0),11))</f>
        <v/>
      </c>
      <c r="L541" s="8" t="str">
        <f t="array" ref="L541">IF(537&gt;$S$1204,"",INDEX($T$5:$AJ$1204,MATCH(537,$S$5:$S$1204,0),12))</f>
        <v/>
      </c>
      <c r="M541" s="8" t="str">
        <f t="array" ref="M541">IF(537&gt;$S$1204,"",INDEX($T$5:$AJ$1204,MATCH(537,$S$5:$S$1204,0),13))</f>
        <v/>
      </c>
      <c r="N541" s="8" t="str">
        <f t="array" ref="N541">IF(537&gt;$S$1204,"",INDEX($T$5:$AJ$1204,MATCH(537,$S$5:$S$1204,0),14))</f>
        <v/>
      </c>
      <c r="O541" s="15" t="str">
        <f t="array" ref="O541">IF(537&gt;$S$1204,"",INDEX($T$5:$AJ$1204,MATCH(537,$S$5:$S$1204,0),15))</f>
        <v/>
      </c>
      <c r="P541" s="8" t="str">
        <f t="array" ref="P541">IF(537&gt;$S$1204,"",INDEX($T$5:$AJ$1204,MATCH(537,$S$5:$S$1204,0),16))</f>
        <v/>
      </c>
      <c r="Q541" s="8" t="str">
        <f t="array" ref="Q541">IF(537&gt;$S$1204,"",INDEX($T$5:$AJ$1204,MATCH(537,$S$5:$S$1204,0),17))</f>
        <v/>
      </c>
      <c r="R541" s="17"/>
      <c r="S541" s="17">
        <f>S540+IF(M3_Silleteria!A145="",0,1)</f>
        <v>0</v>
      </c>
      <c r="T541" s="17" t="str">
        <f>IF(M3_Silleteria!A145="","",IF(M3_Silleteria!A145="","",M3_Silleteria!A145))</f>
        <v/>
      </c>
      <c r="U541" s="17" t="str">
        <f>IF(M3_Silleteria!A145="","",IF(M3_Silleteria!Q145="","",M3_Silleteria!Q145))</f>
        <v/>
      </c>
      <c r="V541" s="17" t="str">
        <f>IF(M3_Silleteria!A145="","",IF(M3_Silleteria!D145="","",M3_Silleteria!D145))</f>
        <v/>
      </c>
      <c r="W541" s="17" t="str">
        <f>IF(M3_Silleteria!A145="","",IF(M3_Silleteria!B145="","",M3_Silleteria!B145))</f>
        <v/>
      </c>
      <c r="X541" s="17" t="str">
        <f>IF(M3_Silleteria!A145="","",IF(M3_Silleteria!C145="","",M3_Silleteria!C145))</f>
        <v/>
      </c>
      <c r="Y541" s="17" t="str">
        <f>IF(M3_Silleteria!A145="","",IF(M3_Silleteria!E145="","",M3_Silleteria!E145))</f>
        <v/>
      </c>
      <c r="Z541" s="17" t="str">
        <f>IF(M3_Silleteria!A145="","",IF(M3_Silleteria!F145="","",M3_Silleteria!F145))</f>
        <v/>
      </c>
      <c r="AA541" s="17" t="str">
        <f>IF(M3_Silleteria!A145="","","M3 Silletería")</f>
        <v/>
      </c>
      <c r="AB541" s="17" t="str">
        <f>IF(M3_Silleteria!A145="","",IF(M3_Silleteria!G145="","",M3_Silleteria!G145))</f>
        <v/>
      </c>
      <c r="AC541" s="17" t="str">
        <f>IF(M3_Silleteria!A145="","",IF(M3_Silleteria!L145="","",M3_Silleteria!L145))</f>
        <v/>
      </c>
      <c r="AD541" s="17" t="str">
        <f>IF(M3_Silleteria!A145="","","CD")</f>
        <v/>
      </c>
      <c r="AE541" s="17" t="str">
        <f>IF(M3_Silleteria!A145="","",IF(M3_Silleteria!N145="","",M3_Silleteria!N145))</f>
        <v/>
      </c>
      <c r="AF541" s="17" t="str">
        <f>IF(M3_Silleteria!A145="","",IF(M3_Silleteria!O145="","",M3_Silleteria!O145))</f>
        <v/>
      </c>
      <c r="AG541" s="17" t="str">
        <f>IF(M3_Silleteria!A145="","",IF(M3_Silleteria!P145="","",M3_Silleteria!P145))</f>
        <v/>
      </c>
      <c r="AH541" s="17" t="str">
        <f>IF(M3_Silleteria!A145="","",IF(M3_Silleteria!H145="","",M3_Silleteria!H145))</f>
        <v/>
      </c>
      <c r="AI541" s="17" t="str">
        <f>IF(M3_Silleteria!A145="","","M3_Silleteria!145")</f>
        <v/>
      </c>
      <c r="AJ541" s="17" t="str">
        <f>IF(M3_Silleteria!A145="","",IF(M3_Silleteria!L145="","Pendiente de resultado","Disponible"))</f>
        <v/>
      </c>
    </row>
    <row r="542" spans="1:36" ht="55.5" customHeight="1">
      <c r="A542" s="6" t="str">
        <f t="array" ref="A542">IF(538&gt;$S$1204,"",INDEX($T$5:$AJ$1204,MATCH(538,$S$5:$S$1204,0),1))</f>
        <v/>
      </c>
      <c r="B542" s="8" t="str">
        <f t="array" ref="B542">IF(538&gt;$S$1204,"",INDEX($T$5:$AJ$1204,MATCH(538,$S$5:$S$1204,0),2))</f>
        <v/>
      </c>
      <c r="C542" s="10" t="str">
        <f t="array" ref="C542">IF(538&gt;$S$1204,"",INDEX($T$5:$AJ$1204,MATCH(538,$S$5:$S$1204,0),3))</f>
        <v/>
      </c>
      <c r="D542" s="8" t="str">
        <f t="array" ref="D542">IF(538&gt;$S$1204,"",INDEX($T$5:$AJ$1204,MATCH(538,$S$5:$S$1204,0),4))</f>
        <v/>
      </c>
      <c r="E542" s="8" t="str">
        <f t="array" ref="E542">IF(538&gt;$S$1204,"",INDEX($T$5:$AJ$1204,MATCH(538,$S$5:$S$1204,0),5))</f>
        <v/>
      </c>
      <c r="F542" s="8" t="str">
        <f t="array" ref="F542">IF(538&gt;$S$1204,"",INDEX($T$5:$AJ$1204,MATCH(538,$S$5:$S$1204,0),6))</f>
        <v/>
      </c>
      <c r="G542" s="8" t="str">
        <f t="array" ref="G542">IF(538&gt;$S$1204,"",INDEX($T$5:$AJ$1204,MATCH(538,$S$5:$S$1204,0),7))</f>
        <v/>
      </c>
      <c r="H542" s="8" t="str">
        <f t="array" ref="H542">IF(538&gt;$S$1204,"",INDEX($T$5:$AJ$1204,MATCH(538,$S$5:$S$1204,0),8))</f>
        <v/>
      </c>
      <c r="I542" s="8" t="str">
        <f t="array" ref="I542">IF(538&gt;$S$1204,"",INDEX($T$5:$AJ$1204,MATCH(538,$S$5:$S$1204,0),9))</f>
        <v/>
      </c>
      <c r="J542" s="14" t="str">
        <f t="array" ref="J542">IF(538&gt;$S$1204,"",INDEX($T$5:$AJ$1204,MATCH(538,$S$5:$S$1204,0),10))</f>
        <v/>
      </c>
      <c r="K542" s="8" t="str">
        <f t="array" ref="K542">IF(538&gt;$S$1204,"",INDEX($T$5:$AJ$1204,MATCH(538,$S$5:$S$1204,0),11))</f>
        <v/>
      </c>
      <c r="L542" s="8" t="str">
        <f t="array" ref="L542">IF(538&gt;$S$1204,"",INDEX($T$5:$AJ$1204,MATCH(538,$S$5:$S$1204,0),12))</f>
        <v/>
      </c>
      <c r="M542" s="8" t="str">
        <f t="array" ref="M542">IF(538&gt;$S$1204,"",INDEX($T$5:$AJ$1204,MATCH(538,$S$5:$S$1204,0),13))</f>
        <v/>
      </c>
      <c r="N542" s="8" t="str">
        <f t="array" ref="N542">IF(538&gt;$S$1204,"",INDEX($T$5:$AJ$1204,MATCH(538,$S$5:$S$1204,0),14))</f>
        <v/>
      </c>
      <c r="O542" s="15" t="str">
        <f t="array" ref="O542">IF(538&gt;$S$1204,"",INDEX($T$5:$AJ$1204,MATCH(538,$S$5:$S$1204,0),15))</f>
        <v/>
      </c>
      <c r="P542" s="8" t="str">
        <f t="array" ref="P542">IF(538&gt;$S$1204,"",INDEX($T$5:$AJ$1204,MATCH(538,$S$5:$S$1204,0),16))</f>
        <v/>
      </c>
      <c r="Q542" s="8" t="str">
        <f t="array" ref="Q542">IF(538&gt;$S$1204,"",INDEX($T$5:$AJ$1204,MATCH(538,$S$5:$S$1204,0),17))</f>
        <v/>
      </c>
      <c r="R542" s="17"/>
      <c r="S542" s="17">
        <f>S541+IF(M3_Silleteria!A146="",0,1)</f>
        <v>0</v>
      </c>
      <c r="T542" s="17" t="str">
        <f>IF(M3_Silleteria!A146="","",IF(M3_Silleteria!A146="","",M3_Silleteria!A146))</f>
        <v/>
      </c>
      <c r="U542" s="17" t="str">
        <f>IF(M3_Silleteria!A146="","",IF(M3_Silleteria!Q146="","",M3_Silleteria!Q146))</f>
        <v/>
      </c>
      <c r="V542" s="17" t="str">
        <f>IF(M3_Silleteria!A146="","",IF(M3_Silleteria!D146="","",M3_Silleteria!D146))</f>
        <v/>
      </c>
      <c r="W542" s="17" t="str">
        <f>IF(M3_Silleteria!A146="","",IF(M3_Silleteria!B146="","",M3_Silleteria!B146))</f>
        <v/>
      </c>
      <c r="X542" s="17" t="str">
        <f>IF(M3_Silleteria!A146="","",IF(M3_Silleteria!C146="","",M3_Silleteria!C146))</f>
        <v/>
      </c>
      <c r="Y542" s="17" t="str">
        <f>IF(M3_Silleteria!A146="","",IF(M3_Silleteria!E146="","",M3_Silleteria!E146))</f>
        <v/>
      </c>
      <c r="Z542" s="17" t="str">
        <f>IF(M3_Silleteria!A146="","",IF(M3_Silleteria!F146="","",M3_Silleteria!F146))</f>
        <v/>
      </c>
      <c r="AA542" s="17" t="str">
        <f>IF(M3_Silleteria!A146="","","M3 Silletería")</f>
        <v/>
      </c>
      <c r="AB542" s="17" t="str">
        <f>IF(M3_Silleteria!A146="","",IF(M3_Silleteria!G146="","",M3_Silleteria!G146))</f>
        <v/>
      </c>
      <c r="AC542" s="17" t="str">
        <f>IF(M3_Silleteria!A146="","",IF(M3_Silleteria!L146="","",M3_Silleteria!L146))</f>
        <v/>
      </c>
      <c r="AD542" s="17" t="str">
        <f>IF(M3_Silleteria!A146="","","CD")</f>
        <v/>
      </c>
      <c r="AE542" s="17" t="str">
        <f>IF(M3_Silleteria!A146="","",IF(M3_Silleteria!N146="","",M3_Silleteria!N146))</f>
        <v/>
      </c>
      <c r="AF542" s="17" t="str">
        <f>IF(M3_Silleteria!A146="","",IF(M3_Silleteria!O146="","",M3_Silleteria!O146))</f>
        <v/>
      </c>
      <c r="AG542" s="17" t="str">
        <f>IF(M3_Silleteria!A146="","",IF(M3_Silleteria!P146="","",M3_Silleteria!P146))</f>
        <v/>
      </c>
      <c r="AH542" s="17" t="str">
        <f>IF(M3_Silleteria!A146="","",IF(M3_Silleteria!H146="","",M3_Silleteria!H146))</f>
        <v/>
      </c>
      <c r="AI542" s="17" t="str">
        <f>IF(M3_Silleteria!A146="","","M3_Silleteria!146")</f>
        <v/>
      </c>
      <c r="AJ542" s="17" t="str">
        <f>IF(M3_Silleteria!A146="","",IF(M3_Silleteria!L146="","Pendiente de resultado","Disponible"))</f>
        <v/>
      </c>
    </row>
    <row r="543" spans="1:36" ht="55.5" customHeight="1">
      <c r="A543" s="6" t="str">
        <f t="array" ref="A543">IF(539&gt;$S$1204,"",INDEX($T$5:$AJ$1204,MATCH(539,$S$5:$S$1204,0),1))</f>
        <v/>
      </c>
      <c r="B543" s="8" t="str">
        <f t="array" ref="B543">IF(539&gt;$S$1204,"",INDEX($T$5:$AJ$1204,MATCH(539,$S$5:$S$1204,0),2))</f>
        <v/>
      </c>
      <c r="C543" s="10" t="str">
        <f t="array" ref="C543">IF(539&gt;$S$1204,"",INDEX($T$5:$AJ$1204,MATCH(539,$S$5:$S$1204,0),3))</f>
        <v/>
      </c>
      <c r="D543" s="8" t="str">
        <f t="array" ref="D543">IF(539&gt;$S$1204,"",INDEX($T$5:$AJ$1204,MATCH(539,$S$5:$S$1204,0),4))</f>
        <v/>
      </c>
      <c r="E543" s="8" t="str">
        <f t="array" ref="E543">IF(539&gt;$S$1204,"",INDEX($T$5:$AJ$1204,MATCH(539,$S$5:$S$1204,0),5))</f>
        <v/>
      </c>
      <c r="F543" s="8" t="str">
        <f t="array" ref="F543">IF(539&gt;$S$1204,"",INDEX($T$5:$AJ$1204,MATCH(539,$S$5:$S$1204,0),6))</f>
        <v/>
      </c>
      <c r="G543" s="8" t="str">
        <f t="array" ref="G543">IF(539&gt;$S$1204,"",INDEX($T$5:$AJ$1204,MATCH(539,$S$5:$S$1204,0),7))</f>
        <v/>
      </c>
      <c r="H543" s="8" t="str">
        <f t="array" ref="H543">IF(539&gt;$S$1204,"",INDEX($T$5:$AJ$1204,MATCH(539,$S$5:$S$1204,0),8))</f>
        <v/>
      </c>
      <c r="I543" s="8" t="str">
        <f t="array" ref="I543">IF(539&gt;$S$1204,"",INDEX($T$5:$AJ$1204,MATCH(539,$S$5:$S$1204,0),9))</f>
        <v/>
      </c>
      <c r="J543" s="14" t="str">
        <f t="array" ref="J543">IF(539&gt;$S$1204,"",INDEX($T$5:$AJ$1204,MATCH(539,$S$5:$S$1204,0),10))</f>
        <v/>
      </c>
      <c r="K543" s="8" t="str">
        <f t="array" ref="K543">IF(539&gt;$S$1204,"",INDEX($T$5:$AJ$1204,MATCH(539,$S$5:$S$1204,0),11))</f>
        <v/>
      </c>
      <c r="L543" s="8" t="str">
        <f t="array" ref="L543">IF(539&gt;$S$1204,"",INDEX($T$5:$AJ$1204,MATCH(539,$S$5:$S$1204,0),12))</f>
        <v/>
      </c>
      <c r="M543" s="8" t="str">
        <f t="array" ref="M543">IF(539&gt;$S$1204,"",INDEX($T$5:$AJ$1204,MATCH(539,$S$5:$S$1204,0),13))</f>
        <v/>
      </c>
      <c r="N543" s="8" t="str">
        <f t="array" ref="N543">IF(539&gt;$S$1204,"",INDEX($T$5:$AJ$1204,MATCH(539,$S$5:$S$1204,0),14))</f>
        <v/>
      </c>
      <c r="O543" s="15" t="str">
        <f t="array" ref="O543">IF(539&gt;$S$1204,"",INDEX($T$5:$AJ$1204,MATCH(539,$S$5:$S$1204,0),15))</f>
        <v/>
      </c>
      <c r="P543" s="8" t="str">
        <f t="array" ref="P543">IF(539&gt;$S$1204,"",INDEX($T$5:$AJ$1204,MATCH(539,$S$5:$S$1204,0),16))</f>
        <v/>
      </c>
      <c r="Q543" s="8" t="str">
        <f t="array" ref="Q543">IF(539&gt;$S$1204,"",INDEX($T$5:$AJ$1204,MATCH(539,$S$5:$S$1204,0),17))</f>
        <v/>
      </c>
      <c r="R543" s="17"/>
      <c r="S543" s="17">
        <f>S542+IF(M3_Silleteria!A147="",0,1)</f>
        <v>0</v>
      </c>
      <c r="T543" s="17" t="str">
        <f>IF(M3_Silleteria!A147="","",IF(M3_Silleteria!A147="","",M3_Silleteria!A147))</f>
        <v/>
      </c>
      <c r="U543" s="17" t="str">
        <f>IF(M3_Silleteria!A147="","",IF(M3_Silleteria!Q147="","",M3_Silleteria!Q147))</f>
        <v/>
      </c>
      <c r="V543" s="17" t="str">
        <f>IF(M3_Silleteria!A147="","",IF(M3_Silleteria!D147="","",M3_Silleteria!D147))</f>
        <v/>
      </c>
      <c r="W543" s="17" t="str">
        <f>IF(M3_Silleteria!A147="","",IF(M3_Silleteria!B147="","",M3_Silleteria!B147))</f>
        <v/>
      </c>
      <c r="X543" s="17" t="str">
        <f>IF(M3_Silleteria!A147="","",IF(M3_Silleteria!C147="","",M3_Silleteria!C147))</f>
        <v/>
      </c>
      <c r="Y543" s="17" t="str">
        <f>IF(M3_Silleteria!A147="","",IF(M3_Silleteria!E147="","",M3_Silleteria!E147))</f>
        <v/>
      </c>
      <c r="Z543" s="17" t="str">
        <f>IF(M3_Silleteria!A147="","",IF(M3_Silleteria!F147="","",M3_Silleteria!F147))</f>
        <v/>
      </c>
      <c r="AA543" s="17" t="str">
        <f>IF(M3_Silleteria!A147="","","M3 Silletería")</f>
        <v/>
      </c>
      <c r="AB543" s="17" t="str">
        <f>IF(M3_Silleteria!A147="","",IF(M3_Silleteria!G147="","",M3_Silleteria!G147))</f>
        <v/>
      </c>
      <c r="AC543" s="17" t="str">
        <f>IF(M3_Silleteria!A147="","",IF(M3_Silleteria!L147="","",M3_Silleteria!L147))</f>
        <v/>
      </c>
      <c r="AD543" s="17" t="str">
        <f>IF(M3_Silleteria!A147="","","CD")</f>
        <v/>
      </c>
      <c r="AE543" s="17" t="str">
        <f>IF(M3_Silleteria!A147="","",IF(M3_Silleteria!N147="","",M3_Silleteria!N147))</f>
        <v/>
      </c>
      <c r="AF543" s="17" t="str">
        <f>IF(M3_Silleteria!A147="","",IF(M3_Silleteria!O147="","",M3_Silleteria!O147))</f>
        <v/>
      </c>
      <c r="AG543" s="17" t="str">
        <f>IF(M3_Silleteria!A147="","",IF(M3_Silleteria!P147="","",M3_Silleteria!P147))</f>
        <v/>
      </c>
      <c r="AH543" s="17" t="str">
        <f>IF(M3_Silleteria!A147="","",IF(M3_Silleteria!H147="","",M3_Silleteria!H147))</f>
        <v/>
      </c>
      <c r="AI543" s="17" t="str">
        <f>IF(M3_Silleteria!A147="","","M3_Silleteria!147")</f>
        <v/>
      </c>
      <c r="AJ543" s="17" t="str">
        <f>IF(M3_Silleteria!A147="","",IF(M3_Silleteria!L147="","Pendiente de resultado","Disponible"))</f>
        <v/>
      </c>
    </row>
    <row r="544" spans="1:36" ht="55.5" customHeight="1">
      <c r="A544" s="6" t="str">
        <f t="array" ref="A544">IF(540&gt;$S$1204,"",INDEX($T$5:$AJ$1204,MATCH(540,$S$5:$S$1204,0),1))</f>
        <v/>
      </c>
      <c r="B544" s="8" t="str">
        <f t="array" ref="B544">IF(540&gt;$S$1204,"",INDEX($T$5:$AJ$1204,MATCH(540,$S$5:$S$1204,0),2))</f>
        <v/>
      </c>
      <c r="C544" s="10" t="str">
        <f t="array" ref="C544">IF(540&gt;$S$1204,"",INDEX($T$5:$AJ$1204,MATCH(540,$S$5:$S$1204,0),3))</f>
        <v/>
      </c>
      <c r="D544" s="8" t="str">
        <f t="array" ref="D544">IF(540&gt;$S$1204,"",INDEX($T$5:$AJ$1204,MATCH(540,$S$5:$S$1204,0),4))</f>
        <v/>
      </c>
      <c r="E544" s="8" t="str">
        <f t="array" ref="E544">IF(540&gt;$S$1204,"",INDEX($T$5:$AJ$1204,MATCH(540,$S$5:$S$1204,0),5))</f>
        <v/>
      </c>
      <c r="F544" s="8" t="str">
        <f t="array" ref="F544">IF(540&gt;$S$1204,"",INDEX($T$5:$AJ$1204,MATCH(540,$S$5:$S$1204,0),6))</f>
        <v/>
      </c>
      <c r="G544" s="8" t="str">
        <f t="array" ref="G544">IF(540&gt;$S$1204,"",INDEX($T$5:$AJ$1204,MATCH(540,$S$5:$S$1204,0),7))</f>
        <v/>
      </c>
      <c r="H544" s="8" t="str">
        <f t="array" ref="H544">IF(540&gt;$S$1204,"",INDEX($T$5:$AJ$1204,MATCH(540,$S$5:$S$1204,0),8))</f>
        <v/>
      </c>
      <c r="I544" s="8" t="str">
        <f t="array" ref="I544">IF(540&gt;$S$1204,"",INDEX($T$5:$AJ$1204,MATCH(540,$S$5:$S$1204,0),9))</f>
        <v/>
      </c>
      <c r="J544" s="14" t="str">
        <f t="array" ref="J544">IF(540&gt;$S$1204,"",INDEX($T$5:$AJ$1204,MATCH(540,$S$5:$S$1204,0),10))</f>
        <v/>
      </c>
      <c r="K544" s="8" t="str">
        <f t="array" ref="K544">IF(540&gt;$S$1204,"",INDEX($T$5:$AJ$1204,MATCH(540,$S$5:$S$1204,0),11))</f>
        <v/>
      </c>
      <c r="L544" s="8" t="str">
        <f t="array" ref="L544">IF(540&gt;$S$1204,"",INDEX($T$5:$AJ$1204,MATCH(540,$S$5:$S$1204,0),12))</f>
        <v/>
      </c>
      <c r="M544" s="8" t="str">
        <f t="array" ref="M544">IF(540&gt;$S$1204,"",INDEX($T$5:$AJ$1204,MATCH(540,$S$5:$S$1204,0),13))</f>
        <v/>
      </c>
      <c r="N544" s="8" t="str">
        <f t="array" ref="N544">IF(540&gt;$S$1204,"",INDEX($T$5:$AJ$1204,MATCH(540,$S$5:$S$1204,0),14))</f>
        <v/>
      </c>
      <c r="O544" s="15" t="str">
        <f t="array" ref="O544">IF(540&gt;$S$1204,"",INDEX($T$5:$AJ$1204,MATCH(540,$S$5:$S$1204,0),15))</f>
        <v/>
      </c>
      <c r="P544" s="8" t="str">
        <f t="array" ref="P544">IF(540&gt;$S$1204,"",INDEX($T$5:$AJ$1204,MATCH(540,$S$5:$S$1204,0),16))</f>
        <v/>
      </c>
      <c r="Q544" s="8" t="str">
        <f t="array" ref="Q544">IF(540&gt;$S$1204,"",INDEX($T$5:$AJ$1204,MATCH(540,$S$5:$S$1204,0),17))</f>
        <v/>
      </c>
      <c r="R544" s="17"/>
      <c r="S544" s="17">
        <f>S543+IF(M3_Silleteria!A148="",0,1)</f>
        <v>0</v>
      </c>
      <c r="T544" s="17" t="str">
        <f>IF(M3_Silleteria!A148="","",IF(M3_Silleteria!A148="","",M3_Silleteria!A148))</f>
        <v/>
      </c>
      <c r="U544" s="17" t="str">
        <f>IF(M3_Silleteria!A148="","",IF(M3_Silleteria!Q148="","",M3_Silleteria!Q148))</f>
        <v/>
      </c>
      <c r="V544" s="17" t="str">
        <f>IF(M3_Silleteria!A148="","",IF(M3_Silleteria!D148="","",M3_Silleteria!D148))</f>
        <v/>
      </c>
      <c r="W544" s="17" t="str">
        <f>IF(M3_Silleteria!A148="","",IF(M3_Silleteria!B148="","",M3_Silleteria!B148))</f>
        <v/>
      </c>
      <c r="X544" s="17" t="str">
        <f>IF(M3_Silleteria!A148="","",IF(M3_Silleteria!C148="","",M3_Silleteria!C148))</f>
        <v/>
      </c>
      <c r="Y544" s="17" t="str">
        <f>IF(M3_Silleteria!A148="","",IF(M3_Silleteria!E148="","",M3_Silleteria!E148))</f>
        <v/>
      </c>
      <c r="Z544" s="17" t="str">
        <f>IF(M3_Silleteria!A148="","",IF(M3_Silleteria!F148="","",M3_Silleteria!F148))</f>
        <v/>
      </c>
      <c r="AA544" s="17" t="str">
        <f>IF(M3_Silleteria!A148="","","M3 Silletería")</f>
        <v/>
      </c>
      <c r="AB544" s="17" t="str">
        <f>IF(M3_Silleteria!A148="","",IF(M3_Silleteria!G148="","",M3_Silleteria!G148))</f>
        <v/>
      </c>
      <c r="AC544" s="17" t="str">
        <f>IF(M3_Silleteria!A148="","",IF(M3_Silleteria!L148="","",M3_Silleteria!L148))</f>
        <v/>
      </c>
      <c r="AD544" s="17" t="str">
        <f>IF(M3_Silleteria!A148="","","CD")</f>
        <v/>
      </c>
      <c r="AE544" s="17" t="str">
        <f>IF(M3_Silleteria!A148="","",IF(M3_Silleteria!N148="","",M3_Silleteria!N148))</f>
        <v/>
      </c>
      <c r="AF544" s="17" t="str">
        <f>IF(M3_Silleteria!A148="","",IF(M3_Silleteria!O148="","",M3_Silleteria!O148))</f>
        <v/>
      </c>
      <c r="AG544" s="17" t="str">
        <f>IF(M3_Silleteria!A148="","",IF(M3_Silleteria!P148="","",M3_Silleteria!P148))</f>
        <v/>
      </c>
      <c r="AH544" s="17" t="str">
        <f>IF(M3_Silleteria!A148="","",IF(M3_Silleteria!H148="","",M3_Silleteria!H148))</f>
        <v/>
      </c>
      <c r="AI544" s="17" t="str">
        <f>IF(M3_Silleteria!A148="","","M3_Silleteria!148")</f>
        <v/>
      </c>
      <c r="AJ544" s="17" t="str">
        <f>IF(M3_Silleteria!A148="","",IF(M3_Silleteria!L148="","Pendiente de resultado","Disponible"))</f>
        <v/>
      </c>
    </row>
    <row r="545" spans="1:36" ht="55.5" customHeight="1">
      <c r="A545" s="6" t="str">
        <f t="array" ref="A545">IF(541&gt;$S$1204,"",INDEX($T$5:$AJ$1204,MATCH(541,$S$5:$S$1204,0),1))</f>
        <v/>
      </c>
      <c r="B545" s="8" t="str">
        <f t="array" ref="B545">IF(541&gt;$S$1204,"",INDEX($T$5:$AJ$1204,MATCH(541,$S$5:$S$1204,0),2))</f>
        <v/>
      </c>
      <c r="C545" s="10" t="str">
        <f t="array" ref="C545">IF(541&gt;$S$1204,"",INDEX($T$5:$AJ$1204,MATCH(541,$S$5:$S$1204,0),3))</f>
        <v/>
      </c>
      <c r="D545" s="8" t="str">
        <f t="array" ref="D545">IF(541&gt;$S$1204,"",INDEX($T$5:$AJ$1204,MATCH(541,$S$5:$S$1204,0),4))</f>
        <v/>
      </c>
      <c r="E545" s="8" t="str">
        <f t="array" ref="E545">IF(541&gt;$S$1204,"",INDEX($T$5:$AJ$1204,MATCH(541,$S$5:$S$1204,0),5))</f>
        <v/>
      </c>
      <c r="F545" s="8" t="str">
        <f t="array" ref="F545">IF(541&gt;$S$1204,"",INDEX($T$5:$AJ$1204,MATCH(541,$S$5:$S$1204,0),6))</f>
        <v/>
      </c>
      <c r="G545" s="8" t="str">
        <f t="array" ref="G545">IF(541&gt;$S$1204,"",INDEX($T$5:$AJ$1204,MATCH(541,$S$5:$S$1204,0),7))</f>
        <v/>
      </c>
      <c r="H545" s="8" t="str">
        <f t="array" ref="H545">IF(541&gt;$S$1204,"",INDEX($T$5:$AJ$1204,MATCH(541,$S$5:$S$1204,0),8))</f>
        <v/>
      </c>
      <c r="I545" s="8" t="str">
        <f t="array" ref="I545">IF(541&gt;$S$1204,"",INDEX($T$5:$AJ$1204,MATCH(541,$S$5:$S$1204,0),9))</f>
        <v/>
      </c>
      <c r="J545" s="14" t="str">
        <f t="array" ref="J545">IF(541&gt;$S$1204,"",INDEX($T$5:$AJ$1204,MATCH(541,$S$5:$S$1204,0),10))</f>
        <v/>
      </c>
      <c r="K545" s="8" t="str">
        <f t="array" ref="K545">IF(541&gt;$S$1204,"",INDEX($T$5:$AJ$1204,MATCH(541,$S$5:$S$1204,0),11))</f>
        <v/>
      </c>
      <c r="L545" s="8" t="str">
        <f t="array" ref="L545">IF(541&gt;$S$1204,"",INDEX($T$5:$AJ$1204,MATCH(541,$S$5:$S$1204,0),12))</f>
        <v/>
      </c>
      <c r="M545" s="8" t="str">
        <f t="array" ref="M545">IF(541&gt;$S$1204,"",INDEX($T$5:$AJ$1204,MATCH(541,$S$5:$S$1204,0),13))</f>
        <v/>
      </c>
      <c r="N545" s="8" t="str">
        <f t="array" ref="N545">IF(541&gt;$S$1204,"",INDEX($T$5:$AJ$1204,MATCH(541,$S$5:$S$1204,0),14))</f>
        <v/>
      </c>
      <c r="O545" s="15" t="str">
        <f t="array" ref="O545">IF(541&gt;$S$1204,"",INDEX($T$5:$AJ$1204,MATCH(541,$S$5:$S$1204,0),15))</f>
        <v/>
      </c>
      <c r="P545" s="8" t="str">
        <f t="array" ref="P545">IF(541&gt;$S$1204,"",INDEX($T$5:$AJ$1204,MATCH(541,$S$5:$S$1204,0),16))</f>
        <v/>
      </c>
      <c r="Q545" s="8" t="str">
        <f t="array" ref="Q545">IF(541&gt;$S$1204,"",INDEX($T$5:$AJ$1204,MATCH(541,$S$5:$S$1204,0),17))</f>
        <v/>
      </c>
      <c r="R545" s="17"/>
      <c r="S545" s="17">
        <f>S544+IF(M3_Silleteria!A149="",0,1)</f>
        <v>0</v>
      </c>
      <c r="T545" s="17" t="str">
        <f>IF(M3_Silleteria!A149="","",IF(M3_Silleteria!A149="","",M3_Silleteria!A149))</f>
        <v/>
      </c>
      <c r="U545" s="17" t="str">
        <f>IF(M3_Silleteria!A149="","",IF(M3_Silleteria!Q149="","",M3_Silleteria!Q149))</f>
        <v/>
      </c>
      <c r="V545" s="17" t="str">
        <f>IF(M3_Silleteria!A149="","",IF(M3_Silleteria!D149="","",M3_Silleteria!D149))</f>
        <v/>
      </c>
      <c r="W545" s="17" t="str">
        <f>IF(M3_Silleteria!A149="","",IF(M3_Silleteria!B149="","",M3_Silleteria!B149))</f>
        <v/>
      </c>
      <c r="X545" s="17" t="str">
        <f>IF(M3_Silleteria!A149="","",IF(M3_Silleteria!C149="","",M3_Silleteria!C149))</f>
        <v/>
      </c>
      <c r="Y545" s="17" t="str">
        <f>IF(M3_Silleteria!A149="","",IF(M3_Silleteria!E149="","",M3_Silleteria!E149))</f>
        <v/>
      </c>
      <c r="Z545" s="17" t="str">
        <f>IF(M3_Silleteria!A149="","",IF(M3_Silleteria!F149="","",M3_Silleteria!F149))</f>
        <v/>
      </c>
      <c r="AA545" s="17" t="str">
        <f>IF(M3_Silleteria!A149="","","M3 Silletería")</f>
        <v/>
      </c>
      <c r="AB545" s="17" t="str">
        <f>IF(M3_Silleteria!A149="","",IF(M3_Silleteria!G149="","",M3_Silleteria!G149))</f>
        <v/>
      </c>
      <c r="AC545" s="17" t="str">
        <f>IF(M3_Silleteria!A149="","",IF(M3_Silleteria!L149="","",M3_Silleteria!L149))</f>
        <v/>
      </c>
      <c r="AD545" s="17" t="str">
        <f>IF(M3_Silleteria!A149="","","CD")</f>
        <v/>
      </c>
      <c r="AE545" s="17" t="str">
        <f>IF(M3_Silleteria!A149="","",IF(M3_Silleteria!N149="","",M3_Silleteria!N149))</f>
        <v/>
      </c>
      <c r="AF545" s="17" t="str">
        <f>IF(M3_Silleteria!A149="","",IF(M3_Silleteria!O149="","",M3_Silleteria!O149))</f>
        <v/>
      </c>
      <c r="AG545" s="17" t="str">
        <f>IF(M3_Silleteria!A149="","",IF(M3_Silleteria!P149="","",M3_Silleteria!P149))</f>
        <v/>
      </c>
      <c r="AH545" s="17" t="str">
        <f>IF(M3_Silleteria!A149="","",IF(M3_Silleteria!H149="","",M3_Silleteria!H149))</f>
        <v/>
      </c>
      <c r="AI545" s="17" t="str">
        <f>IF(M3_Silleteria!A149="","","M3_Silleteria!149")</f>
        <v/>
      </c>
      <c r="AJ545" s="17" t="str">
        <f>IF(M3_Silleteria!A149="","",IF(M3_Silleteria!L149="","Pendiente de resultado","Disponible"))</f>
        <v/>
      </c>
    </row>
    <row r="546" spans="1:36" ht="55.5" customHeight="1">
      <c r="A546" s="6" t="str">
        <f t="array" ref="A546">IF(542&gt;$S$1204,"",INDEX($T$5:$AJ$1204,MATCH(542,$S$5:$S$1204,0),1))</f>
        <v/>
      </c>
      <c r="B546" s="8" t="str">
        <f t="array" ref="B546">IF(542&gt;$S$1204,"",INDEX($T$5:$AJ$1204,MATCH(542,$S$5:$S$1204,0),2))</f>
        <v/>
      </c>
      <c r="C546" s="10" t="str">
        <f t="array" ref="C546">IF(542&gt;$S$1204,"",INDEX($T$5:$AJ$1204,MATCH(542,$S$5:$S$1204,0),3))</f>
        <v/>
      </c>
      <c r="D546" s="8" t="str">
        <f t="array" ref="D546">IF(542&gt;$S$1204,"",INDEX($T$5:$AJ$1204,MATCH(542,$S$5:$S$1204,0),4))</f>
        <v/>
      </c>
      <c r="E546" s="8" t="str">
        <f t="array" ref="E546">IF(542&gt;$S$1204,"",INDEX($T$5:$AJ$1204,MATCH(542,$S$5:$S$1204,0),5))</f>
        <v/>
      </c>
      <c r="F546" s="8" t="str">
        <f t="array" ref="F546">IF(542&gt;$S$1204,"",INDEX($T$5:$AJ$1204,MATCH(542,$S$5:$S$1204,0),6))</f>
        <v/>
      </c>
      <c r="G546" s="8" t="str">
        <f t="array" ref="G546">IF(542&gt;$S$1204,"",INDEX($T$5:$AJ$1204,MATCH(542,$S$5:$S$1204,0),7))</f>
        <v/>
      </c>
      <c r="H546" s="8" t="str">
        <f t="array" ref="H546">IF(542&gt;$S$1204,"",INDEX($T$5:$AJ$1204,MATCH(542,$S$5:$S$1204,0),8))</f>
        <v/>
      </c>
      <c r="I546" s="8" t="str">
        <f t="array" ref="I546">IF(542&gt;$S$1204,"",INDEX($T$5:$AJ$1204,MATCH(542,$S$5:$S$1204,0),9))</f>
        <v/>
      </c>
      <c r="J546" s="14" t="str">
        <f t="array" ref="J546">IF(542&gt;$S$1204,"",INDEX($T$5:$AJ$1204,MATCH(542,$S$5:$S$1204,0),10))</f>
        <v/>
      </c>
      <c r="K546" s="8" t="str">
        <f t="array" ref="K546">IF(542&gt;$S$1204,"",INDEX($T$5:$AJ$1204,MATCH(542,$S$5:$S$1204,0),11))</f>
        <v/>
      </c>
      <c r="L546" s="8" t="str">
        <f t="array" ref="L546">IF(542&gt;$S$1204,"",INDEX($T$5:$AJ$1204,MATCH(542,$S$5:$S$1204,0),12))</f>
        <v/>
      </c>
      <c r="M546" s="8" t="str">
        <f t="array" ref="M546">IF(542&gt;$S$1204,"",INDEX($T$5:$AJ$1204,MATCH(542,$S$5:$S$1204,0),13))</f>
        <v/>
      </c>
      <c r="N546" s="8" t="str">
        <f t="array" ref="N546">IF(542&gt;$S$1204,"",INDEX($T$5:$AJ$1204,MATCH(542,$S$5:$S$1204,0),14))</f>
        <v/>
      </c>
      <c r="O546" s="15" t="str">
        <f t="array" ref="O546">IF(542&gt;$S$1204,"",INDEX($T$5:$AJ$1204,MATCH(542,$S$5:$S$1204,0),15))</f>
        <v/>
      </c>
      <c r="P546" s="8" t="str">
        <f t="array" ref="P546">IF(542&gt;$S$1204,"",INDEX($T$5:$AJ$1204,MATCH(542,$S$5:$S$1204,0),16))</f>
        <v/>
      </c>
      <c r="Q546" s="8" t="str">
        <f t="array" ref="Q546">IF(542&gt;$S$1204,"",INDEX($T$5:$AJ$1204,MATCH(542,$S$5:$S$1204,0),17))</f>
        <v/>
      </c>
      <c r="R546" s="17"/>
      <c r="S546" s="17">
        <f>S545+IF(M3_Silleteria!A150="",0,1)</f>
        <v>0</v>
      </c>
      <c r="T546" s="17" t="str">
        <f>IF(M3_Silleteria!A150="","",IF(M3_Silleteria!A150="","",M3_Silleteria!A150))</f>
        <v/>
      </c>
      <c r="U546" s="17" t="str">
        <f>IF(M3_Silleteria!A150="","",IF(M3_Silleteria!Q150="","",M3_Silleteria!Q150))</f>
        <v/>
      </c>
      <c r="V546" s="17" t="str">
        <f>IF(M3_Silleteria!A150="","",IF(M3_Silleteria!D150="","",M3_Silleteria!D150))</f>
        <v/>
      </c>
      <c r="W546" s="17" t="str">
        <f>IF(M3_Silleteria!A150="","",IF(M3_Silleteria!B150="","",M3_Silleteria!B150))</f>
        <v/>
      </c>
      <c r="X546" s="17" t="str">
        <f>IF(M3_Silleteria!A150="","",IF(M3_Silleteria!C150="","",M3_Silleteria!C150))</f>
        <v/>
      </c>
      <c r="Y546" s="17" t="str">
        <f>IF(M3_Silleteria!A150="","",IF(M3_Silleteria!E150="","",M3_Silleteria!E150))</f>
        <v/>
      </c>
      <c r="Z546" s="17" t="str">
        <f>IF(M3_Silleteria!A150="","",IF(M3_Silleteria!F150="","",M3_Silleteria!F150))</f>
        <v/>
      </c>
      <c r="AA546" s="17" t="str">
        <f>IF(M3_Silleteria!A150="","","M3 Silletería")</f>
        <v/>
      </c>
      <c r="AB546" s="17" t="str">
        <f>IF(M3_Silleteria!A150="","",IF(M3_Silleteria!G150="","",M3_Silleteria!G150))</f>
        <v/>
      </c>
      <c r="AC546" s="17" t="str">
        <f>IF(M3_Silleteria!A150="","",IF(M3_Silleteria!L150="","",M3_Silleteria!L150))</f>
        <v/>
      </c>
      <c r="AD546" s="17" t="str">
        <f>IF(M3_Silleteria!A150="","","CD")</f>
        <v/>
      </c>
      <c r="AE546" s="17" t="str">
        <f>IF(M3_Silleteria!A150="","",IF(M3_Silleteria!N150="","",M3_Silleteria!N150))</f>
        <v/>
      </c>
      <c r="AF546" s="17" t="str">
        <f>IF(M3_Silleteria!A150="","",IF(M3_Silleteria!O150="","",M3_Silleteria!O150))</f>
        <v/>
      </c>
      <c r="AG546" s="17" t="str">
        <f>IF(M3_Silleteria!A150="","",IF(M3_Silleteria!P150="","",M3_Silleteria!P150))</f>
        <v/>
      </c>
      <c r="AH546" s="17" t="str">
        <f>IF(M3_Silleteria!A150="","",IF(M3_Silleteria!H150="","",M3_Silleteria!H150))</f>
        <v/>
      </c>
      <c r="AI546" s="17" t="str">
        <f>IF(M3_Silleteria!A150="","","M3_Silleteria!150")</f>
        <v/>
      </c>
      <c r="AJ546" s="17" t="str">
        <f>IF(M3_Silleteria!A150="","",IF(M3_Silleteria!L150="","Pendiente de resultado","Disponible"))</f>
        <v/>
      </c>
    </row>
    <row r="547" spans="1:36" ht="55.5" customHeight="1">
      <c r="A547" s="6" t="str">
        <f t="array" ref="A547">IF(543&gt;$S$1204,"",INDEX($T$5:$AJ$1204,MATCH(543,$S$5:$S$1204,0),1))</f>
        <v/>
      </c>
      <c r="B547" s="8" t="str">
        <f t="array" ref="B547">IF(543&gt;$S$1204,"",INDEX($T$5:$AJ$1204,MATCH(543,$S$5:$S$1204,0),2))</f>
        <v/>
      </c>
      <c r="C547" s="10" t="str">
        <f t="array" ref="C547">IF(543&gt;$S$1204,"",INDEX($T$5:$AJ$1204,MATCH(543,$S$5:$S$1204,0),3))</f>
        <v/>
      </c>
      <c r="D547" s="8" t="str">
        <f t="array" ref="D547">IF(543&gt;$S$1204,"",INDEX($T$5:$AJ$1204,MATCH(543,$S$5:$S$1204,0),4))</f>
        <v/>
      </c>
      <c r="E547" s="8" t="str">
        <f t="array" ref="E547">IF(543&gt;$S$1204,"",INDEX($T$5:$AJ$1204,MATCH(543,$S$5:$S$1204,0),5))</f>
        <v/>
      </c>
      <c r="F547" s="8" t="str">
        <f t="array" ref="F547">IF(543&gt;$S$1204,"",INDEX($T$5:$AJ$1204,MATCH(543,$S$5:$S$1204,0),6))</f>
        <v/>
      </c>
      <c r="G547" s="8" t="str">
        <f t="array" ref="G547">IF(543&gt;$S$1204,"",INDEX($T$5:$AJ$1204,MATCH(543,$S$5:$S$1204,0),7))</f>
        <v/>
      </c>
      <c r="H547" s="8" t="str">
        <f t="array" ref="H547">IF(543&gt;$S$1204,"",INDEX($T$5:$AJ$1204,MATCH(543,$S$5:$S$1204,0),8))</f>
        <v/>
      </c>
      <c r="I547" s="8" t="str">
        <f t="array" ref="I547">IF(543&gt;$S$1204,"",INDEX($T$5:$AJ$1204,MATCH(543,$S$5:$S$1204,0),9))</f>
        <v/>
      </c>
      <c r="J547" s="14" t="str">
        <f t="array" ref="J547">IF(543&gt;$S$1204,"",INDEX($T$5:$AJ$1204,MATCH(543,$S$5:$S$1204,0),10))</f>
        <v/>
      </c>
      <c r="K547" s="8" t="str">
        <f t="array" ref="K547">IF(543&gt;$S$1204,"",INDEX($T$5:$AJ$1204,MATCH(543,$S$5:$S$1204,0),11))</f>
        <v/>
      </c>
      <c r="L547" s="8" t="str">
        <f t="array" ref="L547">IF(543&gt;$S$1204,"",INDEX($T$5:$AJ$1204,MATCH(543,$S$5:$S$1204,0),12))</f>
        <v/>
      </c>
      <c r="M547" s="8" t="str">
        <f t="array" ref="M547">IF(543&gt;$S$1204,"",INDEX($T$5:$AJ$1204,MATCH(543,$S$5:$S$1204,0),13))</f>
        <v/>
      </c>
      <c r="N547" s="8" t="str">
        <f t="array" ref="N547">IF(543&gt;$S$1204,"",INDEX($T$5:$AJ$1204,MATCH(543,$S$5:$S$1204,0),14))</f>
        <v/>
      </c>
      <c r="O547" s="15" t="str">
        <f t="array" ref="O547">IF(543&gt;$S$1204,"",INDEX($T$5:$AJ$1204,MATCH(543,$S$5:$S$1204,0),15))</f>
        <v/>
      </c>
      <c r="P547" s="8" t="str">
        <f t="array" ref="P547">IF(543&gt;$S$1204,"",INDEX($T$5:$AJ$1204,MATCH(543,$S$5:$S$1204,0),16))</f>
        <v/>
      </c>
      <c r="Q547" s="8" t="str">
        <f t="array" ref="Q547">IF(543&gt;$S$1204,"",INDEX($T$5:$AJ$1204,MATCH(543,$S$5:$S$1204,0),17))</f>
        <v/>
      </c>
      <c r="R547" s="17"/>
      <c r="S547" s="17">
        <f>S546+IF(M3_Silleteria!A151="",0,1)</f>
        <v>0</v>
      </c>
      <c r="T547" s="17" t="str">
        <f>IF(M3_Silleteria!A151="","",IF(M3_Silleteria!A151="","",M3_Silleteria!A151))</f>
        <v/>
      </c>
      <c r="U547" s="17" t="str">
        <f>IF(M3_Silleteria!A151="","",IF(M3_Silleteria!Q151="","",M3_Silleteria!Q151))</f>
        <v/>
      </c>
      <c r="V547" s="17" t="str">
        <f>IF(M3_Silleteria!A151="","",IF(M3_Silleteria!D151="","",M3_Silleteria!D151))</f>
        <v/>
      </c>
      <c r="W547" s="17" t="str">
        <f>IF(M3_Silleteria!A151="","",IF(M3_Silleteria!B151="","",M3_Silleteria!B151))</f>
        <v/>
      </c>
      <c r="X547" s="17" t="str">
        <f>IF(M3_Silleteria!A151="","",IF(M3_Silleteria!C151="","",M3_Silleteria!C151))</f>
        <v/>
      </c>
      <c r="Y547" s="17" t="str">
        <f>IF(M3_Silleteria!A151="","",IF(M3_Silleteria!E151="","",M3_Silleteria!E151))</f>
        <v/>
      </c>
      <c r="Z547" s="17" t="str">
        <f>IF(M3_Silleteria!A151="","",IF(M3_Silleteria!F151="","",M3_Silleteria!F151))</f>
        <v/>
      </c>
      <c r="AA547" s="17" t="str">
        <f>IF(M3_Silleteria!A151="","","M3 Silletería")</f>
        <v/>
      </c>
      <c r="AB547" s="17" t="str">
        <f>IF(M3_Silleteria!A151="","",IF(M3_Silleteria!G151="","",M3_Silleteria!G151))</f>
        <v/>
      </c>
      <c r="AC547" s="17" t="str">
        <f>IF(M3_Silleteria!A151="","",IF(M3_Silleteria!L151="","",M3_Silleteria!L151))</f>
        <v/>
      </c>
      <c r="AD547" s="17" t="str">
        <f>IF(M3_Silleteria!A151="","","CD")</f>
        <v/>
      </c>
      <c r="AE547" s="17" t="str">
        <f>IF(M3_Silleteria!A151="","",IF(M3_Silleteria!N151="","",M3_Silleteria!N151))</f>
        <v/>
      </c>
      <c r="AF547" s="17" t="str">
        <f>IF(M3_Silleteria!A151="","",IF(M3_Silleteria!O151="","",M3_Silleteria!O151))</f>
        <v/>
      </c>
      <c r="AG547" s="17" t="str">
        <f>IF(M3_Silleteria!A151="","",IF(M3_Silleteria!P151="","",M3_Silleteria!P151))</f>
        <v/>
      </c>
      <c r="AH547" s="17" t="str">
        <f>IF(M3_Silleteria!A151="","",IF(M3_Silleteria!H151="","",M3_Silleteria!H151))</f>
        <v/>
      </c>
      <c r="AI547" s="17" t="str">
        <f>IF(M3_Silleteria!A151="","","M3_Silleteria!151")</f>
        <v/>
      </c>
      <c r="AJ547" s="17" t="str">
        <f>IF(M3_Silleteria!A151="","",IF(M3_Silleteria!L151="","Pendiente de resultado","Disponible"))</f>
        <v/>
      </c>
    </row>
    <row r="548" spans="1:36" ht="55.5" customHeight="1">
      <c r="A548" s="6" t="str">
        <f t="array" ref="A548">IF(544&gt;$S$1204,"",INDEX($T$5:$AJ$1204,MATCH(544,$S$5:$S$1204,0),1))</f>
        <v/>
      </c>
      <c r="B548" s="8" t="str">
        <f t="array" ref="B548">IF(544&gt;$S$1204,"",INDEX($T$5:$AJ$1204,MATCH(544,$S$5:$S$1204,0),2))</f>
        <v/>
      </c>
      <c r="C548" s="10" t="str">
        <f t="array" ref="C548">IF(544&gt;$S$1204,"",INDEX($T$5:$AJ$1204,MATCH(544,$S$5:$S$1204,0),3))</f>
        <v/>
      </c>
      <c r="D548" s="8" t="str">
        <f t="array" ref="D548">IF(544&gt;$S$1204,"",INDEX($T$5:$AJ$1204,MATCH(544,$S$5:$S$1204,0),4))</f>
        <v/>
      </c>
      <c r="E548" s="8" t="str">
        <f t="array" ref="E548">IF(544&gt;$S$1204,"",INDEX($T$5:$AJ$1204,MATCH(544,$S$5:$S$1204,0),5))</f>
        <v/>
      </c>
      <c r="F548" s="8" t="str">
        <f t="array" ref="F548">IF(544&gt;$S$1204,"",INDEX($T$5:$AJ$1204,MATCH(544,$S$5:$S$1204,0),6))</f>
        <v/>
      </c>
      <c r="G548" s="8" t="str">
        <f t="array" ref="G548">IF(544&gt;$S$1204,"",INDEX($T$5:$AJ$1204,MATCH(544,$S$5:$S$1204,0),7))</f>
        <v/>
      </c>
      <c r="H548" s="8" t="str">
        <f t="array" ref="H548">IF(544&gt;$S$1204,"",INDEX($T$5:$AJ$1204,MATCH(544,$S$5:$S$1204,0),8))</f>
        <v/>
      </c>
      <c r="I548" s="8" t="str">
        <f t="array" ref="I548">IF(544&gt;$S$1204,"",INDEX($T$5:$AJ$1204,MATCH(544,$S$5:$S$1204,0),9))</f>
        <v/>
      </c>
      <c r="J548" s="14" t="str">
        <f t="array" ref="J548">IF(544&gt;$S$1204,"",INDEX($T$5:$AJ$1204,MATCH(544,$S$5:$S$1204,0),10))</f>
        <v/>
      </c>
      <c r="K548" s="8" t="str">
        <f t="array" ref="K548">IF(544&gt;$S$1204,"",INDEX($T$5:$AJ$1204,MATCH(544,$S$5:$S$1204,0),11))</f>
        <v/>
      </c>
      <c r="L548" s="8" t="str">
        <f t="array" ref="L548">IF(544&gt;$S$1204,"",INDEX($T$5:$AJ$1204,MATCH(544,$S$5:$S$1204,0),12))</f>
        <v/>
      </c>
      <c r="M548" s="8" t="str">
        <f t="array" ref="M548">IF(544&gt;$S$1204,"",INDEX($T$5:$AJ$1204,MATCH(544,$S$5:$S$1204,0),13))</f>
        <v/>
      </c>
      <c r="N548" s="8" t="str">
        <f t="array" ref="N548">IF(544&gt;$S$1204,"",INDEX($T$5:$AJ$1204,MATCH(544,$S$5:$S$1204,0),14))</f>
        <v/>
      </c>
      <c r="O548" s="15" t="str">
        <f t="array" ref="O548">IF(544&gt;$S$1204,"",INDEX($T$5:$AJ$1204,MATCH(544,$S$5:$S$1204,0),15))</f>
        <v/>
      </c>
      <c r="P548" s="8" t="str">
        <f t="array" ref="P548">IF(544&gt;$S$1204,"",INDEX($T$5:$AJ$1204,MATCH(544,$S$5:$S$1204,0),16))</f>
        <v/>
      </c>
      <c r="Q548" s="8" t="str">
        <f t="array" ref="Q548">IF(544&gt;$S$1204,"",INDEX($T$5:$AJ$1204,MATCH(544,$S$5:$S$1204,0),17))</f>
        <v/>
      </c>
      <c r="R548" s="17"/>
      <c r="S548" s="17">
        <f>S547+IF(M3_Silleteria!A152="",0,1)</f>
        <v>0</v>
      </c>
      <c r="T548" s="17" t="str">
        <f>IF(M3_Silleteria!A152="","",IF(M3_Silleteria!A152="","",M3_Silleteria!A152))</f>
        <v/>
      </c>
      <c r="U548" s="17" t="str">
        <f>IF(M3_Silleteria!A152="","",IF(M3_Silleteria!Q152="","",M3_Silleteria!Q152))</f>
        <v/>
      </c>
      <c r="V548" s="17" t="str">
        <f>IF(M3_Silleteria!A152="","",IF(M3_Silleteria!D152="","",M3_Silleteria!D152))</f>
        <v/>
      </c>
      <c r="W548" s="17" t="str">
        <f>IF(M3_Silleteria!A152="","",IF(M3_Silleteria!B152="","",M3_Silleteria!B152))</f>
        <v/>
      </c>
      <c r="X548" s="17" t="str">
        <f>IF(M3_Silleteria!A152="","",IF(M3_Silleteria!C152="","",M3_Silleteria!C152))</f>
        <v/>
      </c>
      <c r="Y548" s="17" t="str">
        <f>IF(M3_Silleteria!A152="","",IF(M3_Silleteria!E152="","",M3_Silleteria!E152))</f>
        <v/>
      </c>
      <c r="Z548" s="17" t="str">
        <f>IF(M3_Silleteria!A152="","",IF(M3_Silleteria!F152="","",M3_Silleteria!F152))</f>
        <v/>
      </c>
      <c r="AA548" s="17" t="str">
        <f>IF(M3_Silleteria!A152="","","M3 Silletería")</f>
        <v/>
      </c>
      <c r="AB548" s="17" t="str">
        <f>IF(M3_Silleteria!A152="","",IF(M3_Silleteria!G152="","",M3_Silleteria!G152))</f>
        <v/>
      </c>
      <c r="AC548" s="17" t="str">
        <f>IF(M3_Silleteria!A152="","",IF(M3_Silleteria!L152="","",M3_Silleteria!L152))</f>
        <v/>
      </c>
      <c r="AD548" s="17" t="str">
        <f>IF(M3_Silleteria!A152="","","CD")</f>
        <v/>
      </c>
      <c r="AE548" s="17" t="str">
        <f>IF(M3_Silleteria!A152="","",IF(M3_Silleteria!N152="","",M3_Silleteria!N152))</f>
        <v/>
      </c>
      <c r="AF548" s="17" t="str">
        <f>IF(M3_Silleteria!A152="","",IF(M3_Silleteria!O152="","",M3_Silleteria!O152))</f>
        <v/>
      </c>
      <c r="AG548" s="17" t="str">
        <f>IF(M3_Silleteria!A152="","",IF(M3_Silleteria!P152="","",M3_Silleteria!P152))</f>
        <v/>
      </c>
      <c r="AH548" s="17" t="str">
        <f>IF(M3_Silleteria!A152="","",IF(M3_Silleteria!H152="","",M3_Silleteria!H152))</f>
        <v/>
      </c>
      <c r="AI548" s="17" t="str">
        <f>IF(M3_Silleteria!A152="","","M3_Silleteria!152")</f>
        <v/>
      </c>
      <c r="AJ548" s="17" t="str">
        <f>IF(M3_Silleteria!A152="","",IF(M3_Silleteria!L152="","Pendiente de resultado","Disponible"))</f>
        <v/>
      </c>
    </row>
    <row r="549" spans="1:36" ht="55.5" customHeight="1">
      <c r="A549" s="6" t="str">
        <f t="array" ref="A549">IF(545&gt;$S$1204,"",INDEX($T$5:$AJ$1204,MATCH(545,$S$5:$S$1204,0),1))</f>
        <v/>
      </c>
      <c r="B549" s="8" t="str">
        <f t="array" ref="B549">IF(545&gt;$S$1204,"",INDEX($T$5:$AJ$1204,MATCH(545,$S$5:$S$1204,0),2))</f>
        <v/>
      </c>
      <c r="C549" s="10" t="str">
        <f t="array" ref="C549">IF(545&gt;$S$1204,"",INDEX($T$5:$AJ$1204,MATCH(545,$S$5:$S$1204,0),3))</f>
        <v/>
      </c>
      <c r="D549" s="8" t="str">
        <f t="array" ref="D549">IF(545&gt;$S$1204,"",INDEX($T$5:$AJ$1204,MATCH(545,$S$5:$S$1204,0),4))</f>
        <v/>
      </c>
      <c r="E549" s="8" t="str">
        <f t="array" ref="E549">IF(545&gt;$S$1204,"",INDEX($T$5:$AJ$1204,MATCH(545,$S$5:$S$1204,0),5))</f>
        <v/>
      </c>
      <c r="F549" s="8" t="str">
        <f t="array" ref="F549">IF(545&gt;$S$1204,"",INDEX($T$5:$AJ$1204,MATCH(545,$S$5:$S$1204,0),6))</f>
        <v/>
      </c>
      <c r="G549" s="8" t="str">
        <f t="array" ref="G549">IF(545&gt;$S$1204,"",INDEX($T$5:$AJ$1204,MATCH(545,$S$5:$S$1204,0),7))</f>
        <v/>
      </c>
      <c r="H549" s="8" t="str">
        <f t="array" ref="H549">IF(545&gt;$S$1204,"",INDEX($T$5:$AJ$1204,MATCH(545,$S$5:$S$1204,0),8))</f>
        <v/>
      </c>
      <c r="I549" s="8" t="str">
        <f t="array" ref="I549">IF(545&gt;$S$1204,"",INDEX($T$5:$AJ$1204,MATCH(545,$S$5:$S$1204,0),9))</f>
        <v/>
      </c>
      <c r="J549" s="14" t="str">
        <f t="array" ref="J549">IF(545&gt;$S$1204,"",INDEX($T$5:$AJ$1204,MATCH(545,$S$5:$S$1204,0),10))</f>
        <v/>
      </c>
      <c r="K549" s="8" t="str">
        <f t="array" ref="K549">IF(545&gt;$S$1204,"",INDEX($T$5:$AJ$1204,MATCH(545,$S$5:$S$1204,0),11))</f>
        <v/>
      </c>
      <c r="L549" s="8" t="str">
        <f t="array" ref="L549">IF(545&gt;$S$1204,"",INDEX($T$5:$AJ$1204,MATCH(545,$S$5:$S$1204,0),12))</f>
        <v/>
      </c>
      <c r="M549" s="8" t="str">
        <f t="array" ref="M549">IF(545&gt;$S$1204,"",INDEX($T$5:$AJ$1204,MATCH(545,$S$5:$S$1204,0),13))</f>
        <v/>
      </c>
      <c r="N549" s="8" t="str">
        <f t="array" ref="N549">IF(545&gt;$S$1204,"",INDEX($T$5:$AJ$1204,MATCH(545,$S$5:$S$1204,0),14))</f>
        <v/>
      </c>
      <c r="O549" s="15" t="str">
        <f t="array" ref="O549">IF(545&gt;$S$1204,"",INDEX($T$5:$AJ$1204,MATCH(545,$S$5:$S$1204,0),15))</f>
        <v/>
      </c>
      <c r="P549" s="8" t="str">
        <f t="array" ref="P549">IF(545&gt;$S$1204,"",INDEX($T$5:$AJ$1204,MATCH(545,$S$5:$S$1204,0),16))</f>
        <v/>
      </c>
      <c r="Q549" s="8" t="str">
        <f t="array" ref="Q549">IF(545&gt;$S$1204,"",INDEX($T$5:$AJ$1204,MATCH(545,$S$5:$S$1204,0),17))</f>
        <v/>
      </c>
      <c r="R549" s="17"/>
      <c r="S549" s="17">
        <f>S548+IF(M3_Silleteria!A153="",0,1)</f>
        <v>0</v>
      </c>
      <c r="T549" s="17" t="str">
        <f>IF(M3_Silleteria!A153="","",IF(M3_Silleteria!A153="","",M3_Silleteria!A153))</f>
        <v/>
      </c>
      <c r="U549" s="17" t="str">
        <f>IF(M3_Silleteria!A153="","",IF(M3_Silleteria!Q153="","",M3_Silleteria!Q153))</f>
        <v/>
      </c>
      <c r="V549" s="17" t="str">
        <f>IF(M3_Silleteria!A153="","",IF(M3_Silleteria!D153="","",M3_Silleteria!D153))</f>
        <v/>
      </c>
      <c r="W549" s="17" t="str">
        <f>IF(M3_Silleteria!A153="","",IF(M3_Silleteria!B153="","",M3_Silleteria!B153))</f>
        <v/>
      </c>
      <c r="X549" s="17" t="str">
        <f>IF(M3_Silleteria!A153="","",IF(M3_Silleteria!C153="","",M3_Silleteria!C153))</f>
        <v/>
      </c>
      <c r="Y549" s="17" t="str">
        <f>IF(M3_Silleteria!A153="","",IF(M3_Silleteria!E153="","",M3_Silleteria!E153))</f>
        <v/>
      </c>
      <c r="Z549" s="17" t="str">
        <f>IF(M3_Silleteria!A153="","",IF(M3_Silleteria!F153="","",M3_Silleteria!F153))</f>
        <v/>
      </c>
      <c r="AA549" s="17" t="str">
        <f>IF(M3_Silleteria!A153="","","M3 Silletería")</f>
        <v/>
      </c>
      <c r="AB549" s="17" t="str">
        <f>IF(M3_Silleteria!A153="","",IF(M3_Silleteria!G153="","",M3_Silleteria!G153))</f>
        <v/>
      </c>
      <c r="AC549" s="17" t="str">
        <f>IF(M3_Silleteria!A153="","",IF(M3_Silleteria!L153="","",M3_Silleteria!L153))</f>
        <v/>
      </c>
      <c r="AD549" s="17" t="str">
        <f>IF(M3_Silleteria!A153="","","CD")</f>
        <v/>
      </c>
      <c r="AE549" s="17" t="str">
        <f>IF(M3_Silleteria!A153="","",IF(M3_Silleteria!N153="","",M3_Silleteria!N153))</f>
        <v/>
      </c>
      <c r="AF549" s="17" t="str">
        <f>IF(M3_Silleteria!A153="","",IF(M3_Silleteria!O153="","",M3_Silleteria!O153))</f>
        <v/>
      </c>
      <c r="AG549" s="17" t="str">
        <f>IF(M3_Silleteria!A153="","",IF(M3_Silleteria!P153="","",M3_Silleteria!P153))</f>
        <v/>
      </c>
      <c r="AH549" s="17" t="str">
        <f>IF(M3_Silleteria!A153="","",IF(M3_Silleteria!H153="","",M3_Silleteria!H153))</f>
        <v/>
      </c>
      <c r="AI549" s="17" t="str">
        <f>IF(M3_Silleteria!A153="","","M3_Silleteria!153")</f>
        <v/>
      </c>
      <c r="AJ549" s="17" t="str">
        <f>IF(M3_Silleteria!A153="","",IF(M3_Silleteria!L153="","Pendiente de resultado","Disponible"))</f>
        <v/>
      </c>
    </row>
    <row r="550" spans="1:36" ht="55.5" customHeight="1">
      <c r="A550" s="6" t="str">
        <f t="array" ref="A550">IF(546&gt;$S$1204,"",INDEX($T$5:$AJ$1204,MATCH(546,$S$5:$S$1204,0),1))</f>
        <v/>
      </c>
      <c r="B550" s="8" t="str">
        <f t="array" ref="B550">IF(546&gt;$S$1204,"",INDEX($T$5:$AJ$1204,MATCH(546,$S$5:$S$1204,0),2))</f>
        <v/>
      </c>
      <c r="C550" s="10" t="str">
        <f t="array" ref="C550">IF(546&gt;$S$1204,"",INDEX($T$5:$AJ$1204,MATCH(546,$S$5:$S$1204,0),3))</f>
        <v/>
      </c>
      <c r="D550" s="8" t="str">
        <f t="array" ref="D550">IF(546&gt;$S$1204,"",INDEX($T$5:$AJ$1204,MATCH(546,$S$5:$S$1204,0),4))</f>
        <v/>
      </c>
      <c r="E550" s="8" t="str">
        <f t="array" ref="E550">IF(546&gt;$S$1204,"",INDEX($T$5:$AJ$1204,MATCH(546,$S$5:$S$1204,0),5))</f>
        <v/>
      </c>
      <c r="F550" s="8" t="str">
        <f t="array" ref="F550">IF(546&gt;$S$1204,"",INDEX($T$5:$AJ$1204,MATCH(546,$S$5:$S$1204,0),6))</f>
        <v/>
      </c>
      <c r="G550" s="8" t="str">
        <f t="array" ref="G550">IF(546&gt;$S$1204,"",INDEX($T$5:$AJ$1204,MATCH(546,$S$5:$S$1204,0),7))</f>
        <v/>
      </c>
      <c r="H550" s="8" t="str">
        <f t="array" ref="H550">IF(546&gt;$S$1204,"",INDEX($T$5:$AJ$1204,MATCH(546,$S$5:$S$1204,0),8))</f>
        <v/>
      </c>
      <c r="I550" s="8" t="str">
        <f t="array" ref="I550">IF(546&gt;$S$1204,"",INDEX($T$5:$AJ$1204,MATCH(546,$S$5:$S$1204,0),9))</f>
        <v/>
      </c>
      <c r="J550" s="14" t="str">
        <f t="array" ref="J550">IF(546&gt;$S$1204,"",INDEX($T$5:$AJ$1204,MATCH(546,$S$5:$S$1204,0),10))</f>
        <v/>
      </c>
      <c r="K550" s="8" t="str">
        <f t="array" ref="K550">IF(546&gt;$S$1204,"",INDEX($T$5:$AJ$1204,MATCH(546,$S$5:$S$1204,0),11))</f>
        <v/>
      </c>
      <c r="L550" s="8" t="str">
        <f t="array" ref="L550">IF(546&gt;$S$1204,"",INDEX($T$5:$AJ$1204,MATCH(546,$S$5:$S$1204,0),12))</f>
        <v/>
      </c>
      <c r="M550" s="8" t="str">
        <f t="array" ref="M550">IF(546&gt;$S$1204,"",INDEX($T$5:$AJ$1204,MATCH(546,$S$5:$S$1204,0),13))</f>
        <v/>
      </c>
      <c r="N550" s="8" t="str">
        <f t="array" ref="N550">IF(546&gt;$S$1204,"",INDEX($T$5:$AJ$1204,MATCH(546,$S$5:$S$1204,0),14))</f>
        <v/>
      </c>
      <c r="O550" s="15" t="str">
        <f t="array" ref="O550">IF(546&gt;$S$1204,"",INDEX($T$5:$AJ$1204,MATCH(546,$S$5:$S$1204,0),15))</f>
        <v/>
      </c>
      <c r="P550" s="8" t="str">
        <f t="array" ref="P550">IF(546&gt;$S$1204,"",INDEX($T$5:$AJ$1204,MATCH(546,$S$5:$S$1204,0),16))</f>
        <v/>
      </c>
      <c r="Q550" s="8" t="str">
        <f t="array" ref="Q550">IF(546&gt;$S$1204,"",INDEX($T$5:$AJ$1204,MATCH(546,$S$5:$S$1204,0),17))</f>
        <v/>
      </c>
      <c r="R550" s="17"/>
      <c r="S550" s="17">
        <f>S549+IF(M3_Silleteria!A154="",0,1)</f>
        <v>0</v>
      </c>
      <c r="T550" s="17" t="str">
        <f>IF(M3_Silleteria!A154="","",IF(M3_Silleteria!A154="","",M3_Silleteria!A154))</f>
        <v/>
      </c>
      <c r="U550" s="17" t="str">
        <f>IF(M3_Silleteria!A154="","",IF(M3_Silleteria!Q154="","",M3_Silleteria!Q154))</f>
        <v/>
      </c>
      <c r="V550" s="17" t="str">
        <f>IF(M3_Silleteria!A154="","",IF(M3_Silleteria!D154="","",M3_Silleteria!D154))</f>
        <v/>
      </c>
      <c r="W550" s="17" t="str">
        <f>IF(M3_Silleteria!A154="","",IF(M3_Silleteria!B154="","",M3_Silleteria!B154))</f>
        <v/>
      </c>
      <c r="X550" s="17" t="str">
        <f>IF(M3_Silleteria!A154="","",IF(M3_Silleteria!C154="","",M3_Silleteria!C154))</f>
        <v/>
      </c>
      <c r="Y550" s="17" t="str">
        <f>IF(M3_Silleteria!A154="","",IF(M3_Silleteria!E154="","",M3_Silleteria!E154))</f>
        <v/>
      </c>
      <c r="Z550" s="17" t="str">
        <f>IF(M3_Silleteria!A154="","",IF(M3_Silleteria!F154="","",M3_Silleteria!F154))</f>
        <v/>
      </c>
      <c r="AA550" s="17" t="str">
        <f>IF(M3_Silleteria!A154="","","M3 Silletería")</f>
        <v/>
      </c>
      <c r="AB550" s="17" t="str">
        <f>IF(M3_Silleteria!A154="","",IF(M3_Silleteria!G154="","",M3_Silleteria!G154))</f>
        <v/>
      </c>
      <c r="AC550" s="17" t="str">
        <f>IF(M3_Silleteria!A154="","",IF(M3_Silleteria!L154="","",M3_Silleteria!L154))</f>
        <v/>
      </c>
      <c r="AD550" s="17" t="str">
        <f>IF(M3_Silleteria!A154="","","CD")</f>
        <v/>
      </c>
      <c r="AE550" s="17" t="str">
        <f>IF(M3_Silleteria!A154="","",IF(M3_Silleteria!N154="","",M3_Silleteria!N154))</f>
        <v/>
      </c>
      <c r="AF550" s="17" t="str">
        <f>IF(M3_Silleteria!A154="","",IF(M3_Silleteria!O154="","",M3_Silleteria!O154))</f>
        <v/>
      </c>
      <c r="AG550" s="17" t="str">
        <f>IF(M3_Silleteria!A154="","",IF(M3_Silleteria!P154="","",M3_Silleteria!P154))</f>
        <v/>
      </c>
      <c r="AH550" s="17" t="str">
        <f>IF(M3_Silleteria!A154="","",IF(M3_Silleteria!H154="","",M3_Silleteria!H154))</f>
        <v/>
      </c>
      <c r="AI550" s="17" t="str">
        <f>IF(M3_Silleteria!A154="","","M3_Silleteria!154")</f>
        <v/>
      </c>
      <c r="AJ550" s="17" t="str">
        <f>IF(M3_Silleteria!A154="","",IF(M3_Silleteria!L154="","Pendiente de resultado","Disponible"))</f>
        <v/>
      </c>
    </row>
    <row r="551" spans="1:36" ht="55.5" customHeight="1">
      <c r="A551" s="6" t="str">
        <f t="array" ref="A551">IF(547&gt;$S$1204,"",INDEX($T$5:$AJ$1204,MATCH(547,$S$5:$S$1204,0),1))</f>
        <v/>
      </c>
      <c r="B551" s="8" t="str">
        <f t="array" ref="B551">IF(547&gt;$S$1204,"",INDEX($T$5:$AJ$1204,MATCH(547,$S$5:$S$1204,0),2))</f>
        <v/>
      </c>
      <c r="C551" s="10" t="str">
        <f t="array" ref="C551">IF(547&gt;$S$1204,"",INDEX($T$5:$AJ$1204,MATCH(547,$S$5:$S$1204,0),3))</f>
        <v/>
      </c>
      <c r="D551" s="8" t="str">
        <f t="array" ref="D551">IF(547&gt;$S$1204,"",INDEX($T$5:$AJ$1204,MATCH(547,$S$5:$S$1204,0),4))</f>
        <v/>
      </c>
      <c r="E551" s="8" t="str">
        <f t="array" ref="E551">IF(547&gt;$S$1204,"",INDEX($T$5:$AJ$1204,MATCH(547,$S$5:$S$1204,0),5))</f>
        <v/>
      </c>
      <c r="F551" s="8" t="str">
        <f t="array" ref="F551">IF(547&gt;$S$1204,"",INDEX($T$5:$AJ$1204,MATCH(547,$S$5:$S$1204,0),6))</f>
        <v/>
      </c>
      <c r="G551" s="8" t="str">
        <f t="array" ref="G551">IF(547&gt;$S$1204,"",INDEX($T$5:$AJ$1204,MATCH(547,$S$5:$S$1204,0),7))</f>
        <v/>
      </c>
      <c r="H551" s="8" t="str">
        <f t="array" ref="H551">IF(547&gt;$S$1204,"",INDEX($T$5:$AJ$1204,MATCH(547,$S$5:$S$1204,0),8))</f>
        <v/>
      </c>
      <c r="I551" s="8" t="str">
        <f t="array" ref="I551">IF(547&gt;$S$1204,"",INDEX($T$5:$AJ$1204,MATCH(547,$S$5:$S$1204,0),9))</f>
        <v/>
      </c>
      <c r="J551" s="14" t="str">
        <f t="array" ref="J551">IF(547&gt;$S$1204,"",INDEX($T$5:$AJ$1204,MATCH(547,$S$5:$S$1204,0),10))</f>
        <v/>
      </c>
      <c r="K551" s="8" t="str">
        <f t="array" ref="K551">IF(547&gt;$S$1204,"",INDEX($T$5:$AJ$1204,MATCH(547,$S$5:$S$1204,0),11))</f>
        <v/>
      </c>
      <c r="L551" s="8" t="str">
        <f t="array" ref="L551">IF(547&gt;$S$1204,"",INDEX($T$5:$AJ$1204,MATCH(547,$S$5:$S$1204,0),12))</f>
        <v/>
      </c>
      <c r="M551" s="8" t="str">
        <f t="array" ref="M551">IF(547&gt;$S$1204,"",INDEX($T$5:$AJ$1204,MATCH(547,$S$5:$S$1204,0),13))</f>
        <v/>
      </c>
      <c r="N551" s="8" t="str">
        <f t="array" ref="N551">IF(547&gt;$S$1204,"",INDEX($T$5:$AJ$1204,MATCH(547,$S$5:$S$1204,0),14))</f>
        <v/>
      </c>
      <c r="O551" s="15" t="str">
        <f t="array" ref="O551">IF(547&gt;$S$1204,"",INDEX($T$5:$AJ$1204,MATCH(547,$S$5:$S$1204,0),15))</f>
        <v/>
      </c>
      <c r="P551" s="8" t="str">
        <f t="array" ref="P551">IF(547&gt;$S$1204,"",INDEX($T$5:$AJ$1204,MATCH(547,$S$5:$S$1204,0),16))</f>
        <v/>
      </c>
      <c r="Q551" s="8" t="str">
        <f t="array" ref="Q551">IF(547&gt;$S$1204,"",INDEX($T$5:$AJ$1204,MATCH(547,$S$5:$S$1204,0),17))</f>
        <v/>
      </c>
      <c r="R551" s="17"/>
      <c r="S551" s="17">
        <f>S550+IF(M3_Silleteria!A155="",0,1)</f>
        <v>0</v>
      </c>
      <c r="T551" s="17" t="str">
        <f>IF(M3_Silleteria!A155="","",IF(M3_Silleteria!A155="","",M3_Silleteria!A155))</f>
        <v/>
      </c>
      <c r="U551" s="17" t="str">
        <f>IF(M3_Silleteria!A155="","",IF(M3_Silleteria!Q155="","",M3_Silleteria!Q155))</f>
        <v/>
      </c>
      <c r="V551" s="17" t="str">
        <f>IF(M3_Silleteria!A155="","",IF(M3_Silleteria!D155="","",M3_Silleteria!D155))</f>
        <v/>
      </c>
      <c r="W551" s="17" t="str">
        <f>IF(M3_Silleteria!A155="","",IF(M3_Silleteria!B155="","",M3_Silleteria!B155))</f>
        <v/>
      </c>
      <c r="X551" s="17" t="str">
        <f>IF(M3_Silleteria!A155="","",IF(M3_Silleteria!C155="","",M3_Silleteria!C155))</f>
        <v/>
      </c>
      <c r="Y551" s="17" t="str">
        <f>IF(M3_Silleteria!A155="","",IF(M3_Silleteria!E155="","",M3_Silleteria!E155))</f>
        <v/>
      </c>
      <c r="Z551" s="17" t="str">
        <f>IF(M3_Silleteria!A155="","",IF(M3_Silleteria!F155="","",M3_Silleteria!F155))</f>
        <v/>
      </c>
      <c r="AA551" s="17" t="str">
        <f>IF(M3_Silleteria!A155="","","M3 Silletería")</f>
        <v/>
      </c>
      <c r="AB551" s="17" t="str">
        <f>IF(M3_Silleteria!A155="","",IF(M3_Silleteria!G155="","",M3_Silleteria!G155))</f>
        <v/>
      </c>
      <c r="AC551" s="17" t="str">
        <f>IF(M3_Silleteria!A155="","",IF(M3_Silleteria!L155="","",M3_Silleteria!L155))</f>
        <v/>
      </c>
      <c r="AD551" s="17" t="str">
        <f>IF(M3_Silleteria!A155="","","CD")</f>
        <v/>
      </c>
      <c r="AE551" s="17" t="str">
        <f>IF(M3_Silleteria!A155="","",IF(M3_Silleteria!N155="","",M3_Silleteria!N155))</f>
        <v/>
      </c>
      <c r="AF551" s="17" t="str">
        <f>IF(M3_Silleteria!A155="","",IF(M3_Silleteria!O155="","",M3_Silleteria!O155))</f>
        <v/>
      </c>
      <c r="AG551" s="17" t="str">
        <f>IF(M3_Silleteria!A155="","",IF(M3_Silleteria!P155="","",M3_Silleteria!P155))</f>
        <v/>
      </c>
      <c r="AH551" s="17" t="str">
        <f>IF(M3_Silleteria!A155="","",IF(M3_Silleteria!H155="","",M3_Silleteria!H155))</f>
        <v/>
      </c>
      <c r="AI551" s="17" t="str">
        <f>IF(M3_Silleteria!A155="","","M3_Silleteria!155")</f>
        <v/>
      </c>
      <c r="AJ551" s="17" t="str">
        <f>IF(M3_Silleteria!A155="","",IF(M3_Silleteria!L155="","Pendiente de resultado","Disponible"))</f>
        <v/>
      </c>
    </row>
    <row r="552" spans="1:36" ht="55.5" customHeight="1">
      <c r="A552" s="6" t="str">
        <f t="array" ref="A552">IF(548&gt;$S$1204,"",INDEX($T$5:$AJ$1204,MATCH(548,$S$5:$S$1204,0),1))</f>
        <v/>
      </c>
      <c r="B552" s="8" t="str">
        <f t="array" ref="B552">IF(548&gt;$S$1204,"",INDEX($T$5:$AJ$1204,MATCH(548,$S$5:$S$1204,0),2))</f>
        <v/>
      </c>
      <c r="C552" s="10" t="str">
        <f t="array" ref="C552">IF(548&gt;$S$1204,"",INDEX($T$5:$AJ$1204,MATCH(548,$S$5:$S$1204,0),3))</f>
        <v/>
      </c>
      <c r="D552" s="8" t="str">
        <f t="array" ref="D552">IF(548&gt;$S$1204,"",INDEX($T$5:$AJ$1204,MATCH(548,$S$5:$S$1204,0),4))</f>
        <v/>
      </c>
      <c r="E552" s="8" t="str">
        <f t="array" ref="E552">IF(548&gt;$S$1204,"",INDEX($T$5:$AJ$1204,MATCH(548,$S$5:$S$1204,0),5))</f>
        <v/>
      </c>
      <c r="F552" s="8" t="str">
        <f t="array" ref="F552">IF(548&gt;$S$1204,"",INDEX($T$5:$AJ$1204,MATCH(548,$S$5:$S$1204,0),6))</f>
        <v/>
      </c>
      <c r="G552" s="8" t="str">
        <f t="array" ref="G552">IF(548&gt;$S$1204,"",INDEX($T$5:$AJ$1204,MATCH(548,$S$5:$S$1204,0),7))</f>
        <v/>
      </c>
      <c r="H552" s="8" t="str">
        <f t="array" ref="H552">IF(548&gt;$S$1204,"",INDEX($T$5:$AJ$1204,MATCH(548,$S$5:$S$1204,0),8))</f>
        <v/>
      </c>
      <c r="I552" s="8" t="str">
        <f t="array" ref="I552">IF(548&gt;$S$1204,"",INDEX($T$5:$AJ$1204,MATCH(548,$S$5:$S$1204,0),9))</f>
        <v/>
      </c>
      <c r="J552" s="14" t="str">
        <f t="array" ref="J552">IF(548&gt;$S$1204,"",INDEX($T$5:$AJ$1204,MATCH(548,$S$5:$S$1204,0),10))</f>
        <v/>
      </c>
      <c r="K552" s="8" t="str">
        <f t="array" ref="K552">IF(548&gt;$S$1204,"",INDEX($T$5:$AJ$1204,MATCH(548,$S$5:$S$1204,0),11))</f>
        <v/>
      </c>
      <c r="L552" s="8" t="str">
        <f t="array" ref="L552">IF(548&gt;$S$1204,"",INDEX($T$5:$AJ$1204,MATCH(548,$S$5:$S$1204,0),12))</f>
        <v/>
      </c>
      <c r="M552" s="8" t="str">
        <f t="array" ref="M552">IF(548&gt;$S$1204,"",INDEX($T$5:$AJ$1204,MATCH(548,$S$5:$S$1204,0),13))</f>
        <v/>
      </c>
      <c r="N552" s="8" t="str">
        <f t="array" ref="N552">IF(548&gt;$S$1204,"",INDEX($T$5:$AJ$1204,MATCH(548,$S$5:$S$1204,0),14))</f>
        <v/>
      </c>
      <c r="O552" s="15" t="str">
        <f t="array" ref="O552">IF(548&gt;$S$1204,"",INDEX($T$5:$AJ$1204,MATCH(548,$S$5:$S$1204,0),15))</f>
        <v/>
      </c>
      <c r="P552" s="8" t="str">
        <f t="array" ref="P552">IF(548&gt;$S$1204,"",INDEX($T$5:$AJ$1204,MATCH(548,$S$5:$S$1204,0),16))</f>
        <v/>
      </c>
      <c r="Q552" s="8" t="str">
        <f t="array" ref="Q552">IF(548&gt;$S$1204,"",INDEX($T$5:$AJ$1204,MATCH(548,$S$5:$S$1204,0),17))</f>
        <v/>
      </c>
      <c r="R552" s="17"/>
      <c r="S552" s="17">
        <f>S551+IF(M3_Silleteria!A156="",0,1)</f>
        <v>0</v>
      </c>
      <c r="T552" s="17" t="str">
        <f>IF(M3_Silleteria!A156="","",IF(M3_Silleteria!A156="","",M3_Silleteria!A156))</f>
        <v/>
      </c>
      <c r="U552" s="17" t="str">
        <f>IF(M3_Silleteria!A156="","",IF(M3_Silleteria!Q156="","",M3_Silleteria!Q156))</f>
        <v/>
      </c>
      <c r="V552" s="17" t="str">
        <f>IF(M3_Silleteria!A156="","",IF(M3_Silleteria!D156="","",M3_Silleteria!D156))</f>
        <v/>
      </c>
      <c r="W552" s="17" t="str">
        <f>IF(M3_Silleteria!A156="","",IF(M3_Silleteria!B156="","",M3_Silleteria!B156))</f>
        <v/>
      </c>
      <c r="X552" s="17" t="str">
        <f>IF(M3_Silleteria!A156="","",IF(M3_Silleteria!C156="","",M3_Silleteria!C156))</f>
        <v/>
      </c>
      <c r="Y552" s="17" t="str">
        <f>IF(M3_Silleteria!A156="","",IF(M3_Silleteria!E156="","",M3_Silleteria!E156))</f>
        <v/>
      </c>
      <c r="Z552" s="17" t="str">
        <f>IF(M3_Silleteria!A156="","",IF(M3_Silleteria!F156="","",M3_Silleteria!F156))</f>
        <v/>
      </c>
      <c r="AA552" s="17" t="str">
        <f>IF(M3_Silleteria!A156="","","M3 Silletería")</f>
        <v/>
      </c>
      <c r="AB552" s="17" t="str">
        <f>IF(M3_Silleteria!A156="","",IF(M3_Silleteria!G156="","",M3_Silleteria!G156))</f>
        <v/>
      </c>
      <c r="AC552" s="17" t="str">
        <f>IF(M3_Silleteria!A156="","",IF(M3_Silleteria!L156="","",M3_Silleteria!L156))</f>
        <v/>
      </c>
      <c r="AD552" s="17" t="str">
        <f>IF(M3_Silleteria!A156="","","CD")</f>
        <v/>
      </c>
      <c r="AE552" s="17" t="str">
        <f>IF(M3_Silleteria!A156="","",IF(M3_Silleteria!N156="","",M3_Silleteria!N156))</f>
        <v/>
      </c>
      <c r="AF552" s="17" t="str">
        <f>IF(M3_Silleteria!A156="","",IF(M3_Silleteria!O156="","",M3_Silleteria!O156))</f>
        <v/>
      </c>
      <c r="AG552" s="17" t="str">
        <f>IF(M3_Silleteria!A156="","",IF(M3_Silleteria!P156="","",M3_Silleteria!P156))</f>
        <v/>
      </c>
      <c r="AH552" s="17" t="str">
        <f>IF(M3_Silleteria!A156="","",IF(M3_Silleteria!H156="","",M3_Silleteria!H156))</f>
        <v/>
      </c>
      <c r="AI552" s="17" t="str">
        <f>IF(M3_Silleteria!A156="","","M3_Silleteria!156")</f>
        <v/>
      </c>
      <c r="AJ552" s="17" t="str">
        <f>IF(M3_Silleteria!A156="","",IF(M3_Silleteria!L156="","Pendiente de resultado","Disponible"))</f>
        <v/>
      </c>
    </row>
    <row r="553" spans="1:36" ht="55.5" customHeight="1">
      <c r="A553" s="6" t="str">
        <f t="array" ref="A553">IF(549&gt;$S$1204,"",INDEX($T$5:$AJ$1204,MATCH(549,$S$5:$S$1204,0),1))</f>
        <v/>
      </c>
      <c r="B553" s="8" t="str">
        <f t="array" ref="B553">IF(549&gt;$S$1204,"",INDEX($T$5:$AJ$1204,MATCH(549,$S$5:$S$1204,0),2))</f>
        <v/>
      </c>
      <c r="C553" s="10" t="str">
        <f t="array" ref="C553">IF(549&gt;$S$1204,"",INDEX($T$5:$AJ$1204,MATCH(549,$S$5:$S$1204,0),3))</f>
        <v/>
      </c>
      <c r="D553" s="8" t="str">
        <f t="array" ref="D553">IF(549&gt;$S$1204,"",INDEX($T$5:$AJ$1204,MATCH(549,$S$5:$S$1204,0),4))</f>
        <v/>
      </c>
      <c r="E553" s="8" t="str">
        <f t="array" ref="E553">IF(549&gt;$S$1204,"",INDEX($T$5:$AJ$1204,MATCH(549,$S$5:$S$1204,0),5))</f>
        <v/>
      </c>
      <c r="F553" s="8" t="str">
        <f t="array" ref="F553">IF(549&gt;$S$1204,"",INDEX($T$5:$AJ$1204,MATCH(549,$S$5:$S$1204,0),6))</f>
        <v/>
      </c>
      <c r="G553" s="8" t="str">
        <f t="array" ref="G553">IF(549&gt;$S$1204,"",INDEX($T$5:$AJ$1204,MATCH(549,$S$5:$S$1204,0),7))</f>
        <v/>
      </c>
      <c r="H553" s="8" t="str">
        <f t="array" ref="H553">IF(549&gt;$S$1204,"",INDEX($T$5:$AJ$1204,MATCH(549,$S$5:$S$1204,0),8))</f>
        <v/>
      </c>
      <c r="I553" s="8" t="str">
        <f t="array" ref="I553">IF(549&gt;$S$1204,"",INDEX($T$5:$AJ$1204,MATCH(549,$S$5:$S$1204,0),9))</f>
        <v/>
      </c>
      <c r="J553" s="14" t="str">
        <f t="array" ref="J553">IF(549&gt;$S$1204,"",INDEX($T$5:$AJ$1204,MATCH(549,$S$5:$S$1204,0),10))</f>
        <v/>
      </c>
      <c r="K553" s="8" t="str">
        <f t="array" ref="K553">IF(549&gt;$S$1204,"",INDEX($T$5:$AJ$1204,MATCH(549,$S$5:$S$1204,0),11))</f>
        <v/>
      </c>
      <c r="L553" s="8" t="str">
        <f t="array" ref="L553">IF(549&gt;$S$1204,"",INDEX($T$5:$AJ$1204,MATCH(549,$S$5:$S$1204,0),12))</f>
        <v/>
      </c>
      <c r="M553" s="8" t="str">
        <f t="array" ref="M553">IF(549&gt;$S$1204,"",INDEX($T$5:$AJ$1204,MATCH(549,$S$5:$S$1204,0),13))</f>
        <v/>
      </c>
      <c r="N553" s="8" t="str">
        <f t="array" ref="N553">IF(549&gt;$S$1204,"",INDEX($T$5:$AJ$1204,MATCH(549,$S$5:$S$1204,0),14))</f>
        <v/>
      </c>
      <c r="O553" s="15" t="str">
        <f t="array" ref="O553">IF(549&gt;$S$1204,"",INDEX($T$5:$AJ$1204,MATCH(549,$S$5:$S$1204,0),15))</f>
        <v/>
      </c>
      <c r="P553" s="8" t="str">
        <f t="array" ref="P553">IF(549&gt;$S$1204,"",INDEX($T$5:$AJ$1204,MATCH(549,$S$5:$S$1204,0),16))</f>
        <v/>
      </c>
      <c r="Q553" s="8" t="str">
        <f t="array" ref="Q553">IF(549&gt;$S$1204,"",INDEX($T$5:$AJ$1204,MATCH(549,$S$5:$S$1204,0),17))</f>
        <v/>
      </c>
      <c r="R553" s="17"/>
      <c r="S553" s="17">
        <f>S552+IF(M3_Silleteria!A157="",0,1)</f>
        <v>0</v>
      </c>
      <c r="T553" s="17" t="str">
        <f>IF(M3_Silleteria!A157="","",IF(M3_Silleteria!A157="","",M3_Silleteria!A157))</f>
        <v/>
      </c>
      <c r="U553" s="17" t="str">
        <f>IF(M3_Silleteria!A157="","",IF(M3_Silleteria!Q157="","",M3_Silleteria!Q157))</f>
        <v/>
      </c>
      <c r="V553" s="17" t="str">
        <f>IF(M3_Silleteria!A157="","",IF(M3_Silleteria!D157="","",M3_Silleteria!D157))</f>
        <v/>
      </c>
      <c r="W553" s="17" t="str">
        <f>IF(M3_Silleteria!A157="","",IF(M3_Silleteria!B157="","",M3_Silleteria!B157))</f>
        <v/>
      </c>
      <c r="X553" s="17" t="str">
        <f>IF(M3_Silleteria!A157="","",IF(M3_Silleteria!C157="","",M3_Silleteria!C157))</f>
        <v/>
      </c>
      <c r="Y553" s="17" t="str">
        <f>IF(M3_Silleteria!A157="","",IF(M3_Silleteria!E157="","",M3_Silleteria!E157))</f>
        <v/>
      </c>
      <c r="Z553" s="17" t="str">
        <f>IF(M3_Silleteria!A157="","",IF(M3_Silleteria!F157="","",M3_Silleteria!F157))</f>
        <v/>
      </c>
      <c r="AA553" s="17" t="str">
        <f>IF(M3_Silleteria!A157="","","M3 Silletería")</f>
        <v/>
      </c>
      <c r="AB553" s="17" t="str">
        <f>IF(M3_Silleteria!A157="","",IF(M3_Silleteria!G157="","",M3_Silleteria!G157))</f>
        <v/>
      </c>
      <c r="AC553" s="17" t="str">
        <f>IF(M3_Silleteria!A157="","",IF(M3_Silleteria!L157="","",M3_Silleteria!L157))</f>
        <v/>
      </c>
      <c r="AD553" s="17" t="str">
        <f>IF(M3_Silleteria!A157="","","CD")</f>
        <v/>
      </c>
      <c r="AE553" s="17" t="str">
        <f>IF(M3_Silleteria!A157="","",IF(M3_Silleteria!N157="","",M3_Silleteria!N157))</f>
        <v/>
      </c>
      <c r="AF553" s="17" t="str">
        <f>IF(M3_Silleteria!A157="","",IF(M3_Silleteria!O157="","",M3_Silleteria!O157))</f>
        <v/>
      </c>
      <c r="AG553" s="17" t="str">
        <f>IF(M3_Silleteria!A157="","",IF(M3_Silleteria!P157="","",M3_Silleteria!P157))</f>
        <v/>
      </c>
      <c r="AH553" s="17" t="str">
        <f>IF(M3_Silleteria!A157="","",IF(M3_Silleteria!H157="","",M3_Silleteria!H157))</f>
        <v/>
      </c>
      <c r="AI553" s="17" t="str">
        <f>IF(M3_Silleteria!A157="","","M3_Silleteria!157")</f>
        <v/>
      </c>
      <c r="AJ553" s="17" t="str">
        <f>IF(M3_Silleteria!A157="","",IF(M3_Silleteria!L157="","Pendiente de resultado","Disponible"))</f>
        <v/>
      </c>
    </row>
    <row r="554" spans="1:36" ht="55.5" customHeight="1">
      <c r="A554" s="6" t="str">
        <f t="array" ref="A554">IF(550&gt;$S$1204,"",INDEX($T$5:$AJ$1204,MATCH(550,$S$5:$S$1204,0),1))</f>
        <v/>
      </c>
      <c r="B554" s="8" t="str">
        <f t="array" ref="B554">IF(550&gt;$S$1204,"",INDEX($T$5:$AJ$1204,MATCH(550,$S$5:$S$1204,0),2))</f>
        <v/>
      </c>
      <c r="C554" s="10" t="str">
        <f t="array" ref="C554">IF(550&gt;$S$1204,"",INDEX($T$5:$AJ$1204,MATCH(550,$S$5:$S$1204,0),3))</f>
        <v/>
      </c>
      <c r="D554" s="8" t="str">
        <f t="array" ref="D554">IF(550&gt;$S$1204,"",INDEX($T$5:$AJ$1204,MATCH(550,$S$5:$S$1204,0),4))</f>
        <v/>
      </c>
      <c r="E554" s="8" t="str">
        <f t="array" ref="E554">IF(550&gt;$S$1204,"",INDEX($T$5:$AJ$1204,MATCH(550,$S$5:$S$1204,0),5))</f>
        <v/>
      </c>
      <c r="F554" s="8" t="str">
        <f t="array" ref="F554">IF(550&gt;$S$1204,"",INDEX($T$5:$AJ$1204,MATCH(550,$S$5:$S$1204,0),6))</f>
        <v/>
      </c>
      <c r="G554" s="8" t="str">
        <f t="array" ref="G554">IF(550&gt;$S$1204,"",INDEX($T$5:$AJ$1204,MATCH(550,$S$5:$S$1204,0),7))</f>
        <v/>
      </c>
      <c r="H554" s="8" t="str">
        <f t="array" ref="H554">IF(550&gt;$S$1204,"",INDEX($T$5:$AJ$1204,MATCH(550,$S$5:$S$1204,0),8))</f>
        <v/>
      </c>
      <c r="I554" s="8" t="str">
        <f t="array" ref="I554">IF(550&gt;$S$1204,"",INDEX($T$5:$AJ$1204,MATCH(550,$S$5:$S$1204,0),9))</f>
        <v/>
      </c>
      <c r="J554" s="14" t="str">
        <f t="array" ref="J554">IF(550&gt;$S$1204,"",INDEX($T$5:$AJ$1204,MATCH(550,$S$5:$S$1204,0),10))</f>
        <v/>
      </c>
      <c r="K554" s="8" t="str">
        <f t="array" ref="K554">IF(550&gt;$S$1204,"",INDEX($T$5:$AJ$1204,MATCH(550,$S$5:$S$1204,0),11))</f>
        <v/>
      </c>
      <c r="L554" s="8" t="str">
        <f t="array" ref="L554">IF(550&gt;$S$1204,"",INDEX($T$5:$AJ$1204,MATCH(550,$S$5:$S$1204,0),12))</f>
        <v/>
      </c>
      <c r="M554" s="8" t="str">
        <f t="array" ref="M554">IF(550&gt;$S$1204,"",INDEX($T$5:$AJ$1204,MATCH(550,$S$5:$S$1204,0),13))</f>
        <v/>
      </c>
      <c r="N554" s="8" t="str">
        <f t="array" ref="N554">IF(550&gt;$S$1204,"",INDEX($T$5:$AJ$1204,MATCH(550,$S$5:$S$1204,0),14))</f>
        <v/>
      </c>
      <c r="O554" s="15" t="str">
        <f t="array" ref="O554">IF(550&gt;$S$1204,"",INDEX($T$5:$AJ$1204,MATCH(550,$S$5:$S$1204,0),15))</f>
        <v/>
      </c>
      <c r="P554" s="8" t="str">
        <f t="array" ref="P554">IF(550&gt;$S$1204,"",INDEX($T$5:$AJ$1204,MATCH(550,$S$5:$S$1204,0),16))</f>
        <v/>
      </c>
      <c r="Q554" s="8" t="str">
        <f t="array" ref="Q554">IF(550&gt;$S$1204,"",INDEX($T$5:$AJ$1204,MATCH(550,$S$5:$S$1204,0),17))</f>
        <v/>
      </c>
      <c r="R554" s="17"/>
      <c r="S554" s="17">
        <f>S553+IF(M3_Silleteria!A158="",0,1)</f>
        <v>0</v>
      </c>
      <c r="T554" s="17" t="str">
        <f>IF(M3_Silleteria!A158="","",IF(M3_Silleteria!A158="","",M3_Silleteria!A158))</f>
        <v/>
      </c>
      <c r="U554" s="17" t="str">
        <f>IF(M3_Silleteria!A158="","",IF(M3_Silleteria!Q158="","",M3_Silleteria!Q158))</f>
        <v/>
      </c>
      <c r="V554" s="17" t="str">
        <f>IF(M3_Silleteria!A158="","",IF(M3_Silleteria!D158="","",M3_Silleteria!D158))</f>
        <v/>
      </c>
      <c r="W554" s="17" t="str">
        <f>IF(M3_Silleteria!A158="","",IF(M3_Silleteria!B158="","",M3_Silleteria!B158))</f>
        <v/>
      </c>
      <c r="X554" s="17" t="str">
        <f>IF(M3_Silleteria!A158="","",IF(M3_Silleteria!C158="","",M3_Silleteria!C158))</f>
        <v/>
      </c>
      <c r="Y554" s="17" t="str">
        <f>IF(M3_Silleteria!A158="","",IF(M3_Silleteria!E158="","",M3_Silleteria!E158))</f>
        <v/>
      </c>
      <c r="Z554" s="17" t="str">
        <f>IF(M3_Silleteria!A158="","",IF(M3_Silleteria!F158="","",M3_Silleteria!F158))</f>
        <v/>
      </c>
      <c r="AA554" s="17" t="str">
        <f>IF(M3_Silleteria!A158="","","M3 Silletería")</f>
        <v/>
      </c>
      <c r="AB554" s="17" t="str">
        <f>IF(M3_Silleteria!A158="","",IF(M3_Silleteria!G158="","",M3_Silleteria!G158))</f>
        <v/>
      </c>
      <c r="AC554" s="17" t="str">
        <f>IF(M3_Silleteria!A158="","",IF(M3_Silleteria!L158="","",M3_Silleteria!L158))</f>
        <v/>
      </c>
      <c r="AD554" s="17" t="str">
        <f>IF(M3_Silleteria!A158="","","CD")</f>
        <v/>
      </c>
      <c r="AE554" s="17" t="str">
        <f>IF(M3_Silleteria!A158="","",IF(M3_Silleteria!N158="","",M3_Silleteria!N158))</f>
        <v/>
      </c>
      <c r="AF554" s="17" t="str">
        <f>IF(M3_Silleteria!A158="","",IF(M3_Silleteria!O158="","",M3_Silleteria!O158))</f>
        <v/>
      </c>
      <c r="AG554" s="17" t="str">
        <f>IF(M3_Silleteria!A158="","",IF(M3_Silleteria!P158="","",M3_Silleteria!P158))</f>
        <v/>
      </c>
      <c r="AH554" s="17" t="str">
        <f>IF(M3_Silleteria!A158="","",IF(M3_Silleteria!H158="","",M3_Silleteria!H158))</f>
        <v/>
      </c>
      <c r="AI554" s="17" t="str">
        <f>IF(M3_Silleteria!A158="","","M3_Silleteria!158")</f>
        <v/>
      </c>
      <c r="AJ554" s="17" t="str">
        <f>IF(M3_Silleteria!A158="","",IF(M3_Silleteria!L158="","Pendiente de resultado","Disponible"))</f>
        <v/>
      </c>
    </row>
    <row r="555" spans="1:36" ht="55.5" customHeight="1">
      <c r="A555" s="6" t="str">
        <f t="array" ref="A555">IF(551&gt;$S$1204,"",INDEX($T$5:$AJ$1204,MATCH(551,$S$5:$S$1204,0),1))</f>
        <v/>
      </c>
      <c r="B555" s="8" t="str">
        <f t="array" ref="B555">IF(551&gt;$S$1204,"",INDEX($T$5:$AJ$1204,MATCH(551,$S$5:$S$1204,0),2))</f>
        <v/>
      </c>
      <c r="C555" s="10" t="str">
        <f t="array" ref="C555">IF(551&gt;$S$1204,"",INDEX($T$5:$AJ$1204,MATCH(551,$S$5:$S$1204,0),3))</f>
        <v/>
      </c>
      <c r="D555" s="8" t="str">
        <f t="array" ref="D555">IF(551&gt;$S$1204,"",INDEX($T$5:$AJ$1204,MATCH(551,$S$5:$S$1204,0),4))</f>
        <v/>
      </c>
      <c r="E555" s="8" t="str">
        <f t="array" ref="E555">IF(551&gt;$S$1204,"",INDEX($T$5:$AJ$1204,MATCH(551,$S$5:$S$1204,0),5))</f>
        <v/>
      </c>
      <c r="F555" s="8" t="str">
        <f t="array" ref="F555">IF(551&gt;$S$1204,"",INDEX($T$5:$AJ$1204,MATCH(551,$S$5:$S$1204,0),6))</f>
        <v/>
      </c>
      <c r="G555" s="8" t="str">
        <f t="array" ref="G555">IF(551&gt;$S$1204,"",INDEX($T$5:$AJ$1204,MATCH(551,$S$5:$S$1204,0),7))</f>
        <v/>
      </c>
      <c r="H555" s="8" t="str">
        <f t="array" ref="H555">IF(551&gt;$S$1204,"",INDEX($T$5:$AJ$1204,MATCH(551,$S$5:$S$1204,0),8))</f>
        <v/>
      </c>
      <c r="I555" s="8" t="str">
        <f t="array" ref="I555">IF(551&gt;$S$1204,"",INDEX($T$5:$AJ$1204,MATCH(551,$S$5:$S$1204,0),9))</f>
        <v/>
      </c>
      <c r="J555" s="14" t="str">
        <f t="array" ref="J555">IF(551&gt;$S$1204,"",INDEX($T$5:$AJ$1204,MATCH(551,$S$5:$S$1204,0),10))</f>
        <v/>
      </c>
      <c r="K555" s="8" t="str">
        <f t="array" ref="K555">IF(551&gt;$S$1204,"",INDEX($T$5:$AJ$1204,MATCH(551,$S$5:$S$1204,0),11))</f>
        <v/>
      </c>
      <c r="L555" s="8" t="str">
        <f t="array" ref="L555">IF(551&gt;$S$1204,"",INDEX($T$5:$AJ$1204,MATCH(551,$S$5:$S$1204,0),12))</f>
        <v/>
      </c>
      <c r="M555" s="8" t="str">
        <f t="array" ref="M555">IF(551&gt;$S$1204,"",INDEX($T$5:$AJ$1204,MATCH(551,$S$5:$S$1204,0),13))</f>
        <v/>
      </c>
      <c r="N555" s="8" t="str">
        <f t="array" ref="N555">IF(551&gt;$S$1204,"",INDEX($T$5:$AJ$1204,MATCH(551,$S$5:$S$1204,0),14))</f>
        <v/>
      </c>
      <c r="O555" s="15" t="str">
        <f t="array" ref="O555">IF(551&gt;$S$1204,"",INDEX($T$5:$AJ$1204,MATCH(551,$S$5:$S$1204,0),15))</f>
        <v/>
      </c>
      <c r="P555" s="8" t="str">
        <f t="array" ref="P555">IF(551&gt;$S$1204,"",INDEX($T$5:$AJ$1204,MATCH(551,$S$5:$S$1204,0),16))</f>
        <v/>
      </c>
      <c r="Q555" s="8" t="str">
        <f t="array" ref="Q555">IF(551&gt;$S$1204,"",INDEX($T$5:$AJ$1204,MATCH(551,$S$5:$S$1204,0),17))</f>
        <v/>
      </c>
      <c r="R555" s="17"/>
      <c r="S555" s="17">
        <f>S554+IF(M3_Silleteria!A159="",0,1)</f>
        <v>0</v>
      </c>
      <c r="T555" s="17" t="str">
        <f>IF(M3_Silleteria!A159="","",IF(M3_Silleteria!A159="","",M3_Silleteria!A159))</f>
        <v/>
      </c>
      <c r="U555" s="17" t="str">
        <f>IF(M3_Silleteria!A159="","",IF(M3_Silleteria!Q159="","",M3_Silleteria!Q159))</f>
        <v/>
      </c>
      <c r="V555" s="17" t="str">
        <f>IF(M3_Silleteria!A159="","",IF(M3_Silleteria!D159="","",M3_Silleteria!D159))</f>
        <v/>
      </c>
      <c r="W555" s="17" t="str">
        <f>IF(M3_Silleteria!A159="","",IF(M3_Silleteria!B159="","",M3_Silleteria!B159))</f>
        <v/>
      </c>
      <c r="X555" s="17" t="str">
        <f>IF(M3_Silleteria!A159="","",IF(M3_Silleteria!C159="","",M3_Silleteria!C159))</f>
        <v/>
      </c>
      <c r="Y555" s="17" t="str">
        <f>IF(M3_Silleteria!A159="","",IF(M3_Silleteria!E159="","",M3_Silleteria!E159))</f>
        <v/>
      </c>
      <c r="Z555" s="17" t="str">
        <f>IF(M3_Silleteria!A159="","",IF(M3_Silleteria!F159="","",M3_Silleteria!F159))</f>
        <v/>
      </c>
      <c r="AA555" s="17" t="str">
        <f>IF(M3_Silleteria!A159="","","M3 Silletería")</f>
        <v/>
      </c>
      <c r="AB555" s="17" t="str">
        <f>IF(M3_Silleteria!A159="","",IF(M3_Silleteria!G159="","",M3_Silleteria!G159))</f>
        <v/>
      </c>
      <c r="AC555" s="17" t="str">
        <f>IF(M3_Silleteria!A159="","",IF(M3_Silleteria!L159="","",M3_Silleteria!L159))</f>
        <v/>
      </c>
      <c r="AD555" s="17" t="str">
        <f>IF(M3_Silleteria!A159="","","CD")</f>
        <v/>
      </c>
      <c r="AE555" s="17" t="str">
        <f>IF(M3_Silleteria!A159="","",IF(M3_Silleteria!N159="","",M3_Silleteria!N159))</f>
        <v/>
      </c>
      <c r="AF555" s="17" t="str">
        <f>IF(M3_Silleteria!A159="","",IF(M3_Silleteria!O159="","",M3_Silleteria!O159))</f>
        <v/>
      </c>
      <c r="AG555" s="17" t="str">
        <f>IF(M3_Silleteria!A159="","",IF(M3_Silleteria!P159="","",M3_Silleteria!P159))</f>
        <v/>
      </c>
      <c r="AH555" s="17" t="str">
        <f>IF(M3_Silleteria!A159="","",IF(M3_Silleteria!H159="","",M3_Silleteria!H159))</f>
        <v/>
      </c>
      <c r="AI555" s="17" t="str">
        <f>IF(M3_Silleteria!A159="","","M3_Silleteria!159")</f>
        <v/>
      </c>
      <c r="AJ555" s="17" t="str">
        <f>IF(M3_Silleteria!A159="","",IF(M3_Silleteria!L159="","Pendiente de resultado","Disponible"))</f>
        <v/>
      </c>
    </row>
    <row r="556" spans="1:36" ht="55.5" customHeight="1">
      <c r="A556" s="6" t="str">
        <f t="array" ref="A556">IF(552&gt;$S$1204,"",INDEX($T$5:$AJ$1204,MATCH(552,$S$5:$S$1204,0),1))</f>
        <v/>
      </c>
      <c r="B556" s="8" t="str">
        <f t="array" ref="B556">IF(552&gt;$S$1204,"",INDEX($T$5:$AJ$1204,MATCH(552,$S$5:$S$1204,0),2))</f>
        <v/>
      </c>
      <c r="C556" s="10" t="str">
        <f t="array" ref="C556">IF(552&gt;$S$1204,"",INDEX($T$5:$AJ$1204,MATCH(552,$S$5:$S$1204,0),3))</f>
        <v/>
      </c>
      <c r="D556" s="8" t="str">
        <f t="array" ref="D556">IF(552&gt;$S$1204,"",INDEX($T$5:$AJ$1204,MATCH(552,$S$5:$S$1204,0),4))</f>
        <v/>
      </c>
      <c r="E556" s="8" t="str">
        <f t="array" ref="E556">IF(552&gt;$S$1204,"",INDEX($T$5:$AJ$1204,MATCH(552,$S$5:$S$1204,0),5))</f>
        <v/>
      </c>
      <c r="F556" s="8" t="str">
        <f t="array" ref="F556">IF(552&gt;$S$1204,"",INDEX($T$5:$AJ$1204,MATCH(552,$S$5:$S$1204,0),6))</f>
        <v/>
      </c>
      <c r="G556" s="8" t="str">
        <f t="array" ref="G556">IF(552&gt;$S$1204,"",INDEX($T$5:$AJ$1204,MATCH(552,$S$5:$S$1204,0),7))</f>
        <v/>
      </c>
      <c r="H556" s="8" t="str">
        <f t="array" ref="H556">IF(552&gt;$S$1204,"",INDEX($T$5:$AJ$1204,MATCH(552,$S$5:$S$1204,0),8))</f>
        <v/>
      </c>
      <c r="I556" s="8" t="str">
        <f t="array" ref="I556">IF(552&gt;$S$1204,"",INDEX($T$5:$AJ$1204,MATCH(552,$S$5:$S$1204,0),9))</f>
        <v/>
      </c>
      <c r="J556" s="14" t="str">
        <f t="array" ref="J556">IF(552&gt;$S$1204,"",INDEX($T$5:$AJ$1204,MATCH(552,$S$5:$S$1204,0),10))</f>
        <v/>
      </c>
      <c r="K556" s="8" t="str">
        <f t="array" ref="K556">IF(552&gt;$S$1204,"",INDEX($T$5:$AJ$1204,MATCH(552,$S$5:$S$1204,0),11))</f>
        <v/>
      </c>
      <c r="L556" s="8" t="str">
        <f t="array" ref="L556">IF(552&gt;$S$1204,"",INDEX($T$5:$AJ$1204,MATCH(552,$S$5:$S$1204,0),12))</f>
        <v/>
      </c>
      <c r="M556" s="8" t="str">
        <f t="array" ref="M556">IF(552&gt;$S$1204,"",INDEX($T$5:$AJ$1204,MATCH(552,$S$5:$S$1204,0),13))</f>
        <v/>
      </c>
      <c r="N556" s="8" t="str">
        <f t="array" ref="N556">IF(552&gt;$S$1204,"",INDEX($T$5:$AJ$1204,MATCH(552,$S$5:$S$1204,0),14))</f>
        <v/>
      </c>
      <c r="O556" s="15" t="str">
        <f t="array" ref="O556">IF(552&gt;$S$1204,"",INDEX($T$5:$AJ$1204,MATCH(552,$S$5:$S$1204,0),15))</f>
        <v/>
      </c>
      <c r="P556" s="8" t="str">
        <f t="array" ref="P556">IF(552&gt;$S$1204,"",INDEX($T$5:$AJ$1204,MATCH(552,$S$5:$S$1204,0),16))</f>
        <v/>
      </c>
      <c r="Q556" s="8" t="str">
        <f t="array" ref="Q556">IF(552&gt;$S$1204,"",INDEX($T$5:$AJ$1204,MATCH(552,$S$5:$S$1204,0),17))</f>
        <v/>
      </c>
      <c r="R556" s="17"/>
      <c r="S556" s="17">
        <f>S555+IF(M3_Silleteria!A160="",0,1)</f>
        <v>0</v>
      </c>
      <c r="T556" s="17" t="str">
        <f>IF(M3_Silleteria!A160="","",IF(M3_Silleteria!A160="","",M3_Silleteria!A160))</f>
        <v/>
      </c>
      <c r="U556" s="17" t="str">
        <f>IF(M3_Silleteria!A160="","",IF(M3_Silleteria!Q160="","",M3_Silleteria!Q160))</f>
        <v/>
      </c>
      <c r="V556" s="17" t="str">
        <f>IF(M3_Silleteria!A160="","",IF(M3_Silleteria!D160="","",M3_Silleteria!D160))</f>
        <v/>
      </c>
      <c r="W556" s="17" t="str">
        <f>IF(M3_Silleteria!A160="","",IF(M3_Silleteria!B160="","",M3_Silleteria!B160))</f>
        <v/>
      </c>
      <c r="X556" s="17" t="str">
        <f>IF(M3_Silleteria!A160="","",IF(M3_Silleteria!C160="","",M3_Silleteria!C160))</f>
        <v/>
      </c>
      <c r="Y556" s="17" t="str">
        <f>IF(M3_Silleteria!A160="","",IF(M3_Silleteria!E160="","",M3_Silleteria!E160))</f>
        <v/>
      </c>
      <c r="Z556" s="17" t="str">
        <f>IF(M3_Silleteria!A160="","",IF(M3_Silleteria!F160="","",M3_Silleteria!F160))</f>
        <v/>
      </c>
      <c r="AA556" s="17" t="str">
        <f>IF(M3_Silleteria!A160="","","M3 Silletería")</f>
        <v/>
      </c>
      <c r="AB556" s="17" t="str">
        <f>IF(M3_Silleteria!A160="","",IF(M3_Silleteria!G160="","",M3_Silleteria!G160))</f>
        <v/>
      </c>
      <c r="AC556" s="17" t="str">
        <f>IF(M3_Silleteria!A160="","",IF(M3_Silleteria!L160="","",M3_Silleteria!L160))</f>
        <v/>
      </c>
      <c r="AD556" s="17" t="str">
        <f>IF(M3_Silleteria!A160="","","CD")</f>
        <v/>
      </c>
      <c r="AE556" s="17" t="str">
        <f>IF(M3_Silleteria!A160="","",IF(M3_Silleteria!N160="","",M3_Silleteria!N160))</f>
        <v/>
      </c>
      <c r="AF556" s="17" t="str">
        <f>IF(M3_Silleteria!A160="","",IF(M3_Silleteria!O160="","",M3_Silleteria!O160))</f>
        <v/>
      </c>
      <c r="AG556" s="17" t="str">
        <f>IF(M3_Silleteria!A160="","",IF(M3_Silleteria!P160="","",M3_Silleteria!P160))</f>
        <v/>
      </c>
      <c r="AH556" s="17" t="str">
        <f>IF(M3_Silleteria!A160="","",IF(M3_Silleteria!H160="","",M3_Silleteria!H160))</f>
        <v/>
      </c>
      <c r="AI556" s="17" t="str">
        <f>IF(M3_Silleteria!A160="","","M3_Silleteria!160")</f>
        <v/>
      </c>
      <c r="AJ556" s="17" t="str">
        <f>IF(M3_Silleteria!A160="","",IF(M3_Silleteria!L160="","Pendiente de resultado","Disponible"))</f>
        <v/>
      </c>
    </row>
    <row r="557" spans="1:36" ht="55.5" customHeight="1">
      <c r="A557" s="6" t="str">
        <f t="array" ref="A557">IF(553&gt;$S$1204,"",INDEX($T$5:$AJ$1204,MATCH(553,$S$5:$S$1204,0),1))</f>
        <v/>
      </c>
      <c r="B557" s="8" t="str">
        <f t="array" ref="B557">IF(553&gt;$S$1204,"",INDEX($T$5:$AJ$1204,MATCH(553,$S$5:$S$1204,0),2))</f>
        <v/>
      </c>
      <c r="C557" s="10" t="str">
        <f t="array" ref="C557">IF(553&gt;$S$1204,"",INDEX($T$5:$AJ$1204,MATCH(553,$S$5:$S$1204,0),3))</f>
        <v/>
      </c>
      <c r="D557" s="8" t="str">
        <f t="array" ref="D557">IF(553&gt;$S$1204,"",INDEX($T$5:$AJ$1204,MATCH(553,$S$5:$S$1204,0),4))</f>
        <v/>
      </c>
      <c r="E557" s="8" t="str">
        <f t="array" ref="E557">IF(553&gt;$S$1204,"",INDEX($T$5:$AJ$1204,MATCH(553,$S$5:$S$1204,0),5))</f>
        <v/>
      </c>
      <c r="F557" s="8" t="str">
        <f t="array" ref="F557">IF(553&gt;$S$1204,"",INDEX($T$5:$AJ$1204,MATCH(553,$S$5:$S$1204,0),6))</f>
        <v/>
      </c>
      <c r="G557" s="8" t="str">
        <f t="array" ref="G557">IF(553&gt;$S$1204,"",INDEX($T$5:$AJ$1204,MATCH(553,$S$5:$S$1204,0),7))</f>
        <v/>
      </c>
      <c r="H557" s="8" t="str">
        <f t="array" ref="H557">IF(553&gt;$S$1204,"",INDEX($T$5:$AJ$1204,MATCH(553,$S$5:$S$1204,0),8))</f>
        <v/>
      </c>
      <c r="I557" s="8" t="str">
        <f t="array" ref="I557">IF(553&gt;$S$1204,"",INDEX($T$5:$AJ$1204,MATCH(553,$S$5:$S$1204,0),9))</f>
        <v/>
      </c>
      <c r="J557" s="14" t="str">
        <f t="array" ref="J557">IF(553&gt;$S$1204,"",INDEX($T$5:$AJ$1204,MATCH(553,$S$5:$S$1204,0),10))</f>
        <v/>
      </c>
      <c r="K557" s="8" t="str">
        <f t="array" ref="K557">IF(553&gt;$S$1204,"",INDEX($T$5:$AJ$1204,MATCH(553,$S$5:$S$1204,0),11))</f>
        <v/>
      </c>
      <c r="L557" s="8" t="str">
        <f t="array" ref="L557">IF(553&gt;$S$1204,"",INDEX($T$5:$AJ$1204,MATCH(553,$S$5:$S$1204,0),12))</f>
        <v/>
      </c>
      <c r="M557" s="8" t="str">
        <f t="array" ref="M557">IF(553&gt;$S$1204,"",INDEX($T$5:$AJ$1204,MATCH(553,$S$5:$S$1204,0),13))</f>
        <v/>
      </c>
      <c r="N557" s="8" t="str">
        <f t="array" ref="N557">IF(553&gt;$S$1204,"",INDEX($T$5:$AJ$1204,MATCH(553,$S$5:$S$1204,0),14))</f>
        <v/>
      </c>
      <c r="O557" s="15" t="str">
        <f t="array" ref="O557">IF(553&gt;$S$1204,"",INDEX($T$5:$AJ$1204,MATCH(553,$S$5:$S$1204,0),15))</f>
        <v/>
      </c>
      <c r="P557" s="8" t="str">
        <f t="array" ref="P557">IF(553&gt;$S$1204,"",INDEX($T$5:$AJ$1204,MATCH(553,$S$5:$S$1204,0),16))</f>
        <v/>
      </c>
      <c r="Q557" s="8" t="str">
        <f t="array" ref="Q557">IF(553&gt;$S$1204,"",INDEX($T$5:$AJ$1204,MATCH(553,$S$5:$S$1204,0),17))</f>
        <v/>
      </c>
      <c r="R557" s="17"/>
      <c r="S557" s="17">
        <f>S556+IF(M3_Silleteria!A161="",0,1)</f>
        <v>0</v>
      </c>
      <c r="T557" s="17" t="str">
        <f>IF(M3_Silleteria!A161="","",IF(M3_Silleteria!A161="","",M3_Silleteria!A161))</f>
        <v/>
      </c>
      <c r="U557" s="17" t="str">
        <f>IF(M3_Silleteria!A161="","",IF(M3_Silleteria!Q161="","",M3_Silleteria!Q161))</f>
        <v/>
      </c>
      <c r="V557" s="17" t="str">
        <f>IF(M3_Silleteria!A161="","",IF(M3_Silleteria!D161="","",M3_Silleteria!D161))</f>
        <v/>
      </c>
      <c r="W557" s="17" t="str">
        <f>IF(M3_Silleteria!A161="","",IF(M3_Silleteria!B161="","",M3_Silleteria!B161))</f>
        <v/>
      </c>
      <c r="X557" s="17" t="str">
        <f>IF(M3_Silleteria!A161="","",IF(M3_Silleteria!C161="","",M3_Silleteria!C161))</f>
        <v/>
      </c>
      <c r="Y557" s="17" t="str">
        <f>IF(M3_Silleteria!A161="","",IF(M3_Silleteria!E161="","",M3_Silleteria!E161))</f>
        <v/>
      </c>
      <c r="Z557" s="17" t="str">
        <f>IF(M3_Silleteria!A161="","",IF(M3_Silleteria!F161="","",M3_Silleteria!F161))</f>
        <v/>
      </c>
      <c r="AA557" s="17" t="str">
        <f>IF(M3_Silleteria!A161="","","M3 Silletería")</f>
        <v/>
      </c>
      <c r="AB557" s="17" t="str">
        <f>IF(M3_Silleteria!A161="","",IF(M3_Silleteria!G161="","",M3_Silleteria!G161))</f>
        <v/>
      </c>
      <c r="AC557" s="17" t="str">
        <f>IF(M3_Silleteria!A161="","",IF(M3_Silleteria!L161="","",M3_Silleteria!L161))</f>
        <v/>
      </c>
      <c r="AD557" s="17" t="str">
        <f>IF(M3_Silleteria!A161="","","CD")</f>
        <v/>
      </c>
      <c r="AE557" s="17" t="str">
        <f>IF(M3_Silleteria!A161="","",IF(M3_Silleteria!N161="","",M3_Silleteria!N161))</f>
        <v/>
      </c>
      <c r="AF557" s="17" t="str">
        <f>IF(M3_Silleteria!A161="","",IF(M3_Silleteria!O161="","",M3_Silleteria!O161))</f>
        <v/>
      </c>
      <c r="AG557" s="17" t="str">
        <f>IF(M3_Silleteria!A161="","",IF(M3_Silleteria!P161="","",M3_Silleteria!P161))</f>
        <v/>
      </c>
      <c r="AH557" s="17" t="str">
        <f>IF(M3_Silleteria!A161="","",IF(M3_Silleteria!H161="","",M3_Silleteria!H161))</f>
        <v/>
      </c>
      <c r="AI557" s="17" t="str">
        <f>IF(M3_Silleteria!A161="","","M3_Silleteria!161")</f>
        <v/>
      </c>
      <c r="AJ557" s="17" t="str">
        <f>IF(M3_Silleteria!A161="","",IF(M3_Silleteria!L161="","Pendiente de resultado","Disponible"))</f>
        <v/>
      </c>
    </row>
    <row r="558" spans="1:36" ht="55.5" customHeight="1">
      <c r="A558" s="6" t="str">
        <f t="array" ref="A558">IF(554&gt;$S$1204,"",INDEX($T$5:$AJ$1204,MATCH(554,$S$5:$S$1204,0),1))</f>
        <v/>
      </c>
      <c r="B558" s="8" t="str">
        <f t="array" ref="B558">IF(554&gt;$S$1204,"",INDEX($T$5:$AJ$1204,MATCH(554,$S$5:$S$1204,0),2))</f>
        <v/>
      </c>
      <c r="C558" s="10" t="str">
        <f t="array" ref="C558">IF(554&gt;$S$1204,"",INDEX($T$5:$AJ$1204,MATCH(554,$S$5:$S$1204,0),3))</f>
        <v/>
      </c>
      <c r="D558" s="8" t="str">
        <f t="array" ref="D558">IF(554&gt;$S$1204,"",INDEX($T$5:$AJ$1204,MATCH(554,$S$5:$S$1204,0),4))</f>
        <v/>
      </c>
      <c r="E558" s="8" t="str">
        <f t="array" ref="E558">IF(554&gt;$S$1204,"",INDEX($T$5:$AJ$1204,MATCH(554,$S$5:$S$1204,0),5))</f>
        <v/>
      </c>
      <c r="F558" s="8" t="str">
        <f t="array" ref="F558">IF(554&gt;$S$1204,"",INDEX($T$5:$AJ$1204,MATCH(554,$S$5:$S$1204,0),6))</f>
        <v/>
      </c>
      <c r="G558" s="8" t="str">
        <f t="array" ref="G558">IF(554&gt;$S$1204,"",INDEX($T$5:$AJ$1204,MATCH(554,$S$5:$S$1204,0),7))</f>
        <v/>
      </c>
      <c r="H558" s="8" t="str">
        <f t="array" ref="H558">IF(554&gt;$S$1204,"",INDEX($T$5:$AJ$1204,MATCH(554,$S$5:$S$1204,0),8))</f>
        <v/>
      </c>
      <c r="I558" s="8" t="str">
        <f t="array" ref="I558">IF(554&gt;$S$1204,"",INDEX($T$5:$AJ$1204,MATCH(554,$S$5:$S$1204,0),9))</f>
        <v/>
      </c>
      <c r="J558" s="14" t="str">
        <f t="array" ref="J558">IF(554&gt;$S$1204,"",INDEX($T$5:$AJ$1204,MATCH(554,$S$5:$S$1204,0),10))</f>
        <v/>
      </c>
      <c r="K558" s="8" t="str">
        <f t="array" ref="K558">IF(554&gt;$S$1204,"",INDEX($T$5:$AJ$1204,MATCH(554,$S$5:$S$1204,0),11))</f>
        <v/>
      </c>
      <c r="L558" s="8" t="str">
        <f t="array" ref="L558">IF(554&gt;$S$1204,"",INDEX($T$5:$AJ$1204,MATCH(554,$S$5:$S$1204,0),12))</f>
        <v/>
      </c>
      <c r="M558" s="8" t="str">
        <f t="array" ref="M558">IF(554&gt;$S$1204,"",INDEX($T$5:$AJ$1204,MATCH(554,$S$5:$S$1204,0),13))</f>
        <v/>
      </c>
      <c r="N558" s="8" t="str">
        <f t="array" ref="N558">IF(554&gt;$S$1204,"",INDEX($T$5:$AJ$1204,MATCH(554,$S$5:$S$1204,0),14))</f>
        <v/>
      </c>
      <c r="O558" s="15" t="str">
        <f t="array" ref="O558">IF(554&gt;$S$1204,"",INDEX($T$5:$AJ$1204,MATCH(554,$S$5:$S$1204,0),15))</f>
        <v/>
      </c>
      <c r="P558" s="8" t="str">
        <f t="array" ref="P558">IF(554&gt;$S$1204,"",INDEX($T$5:$AJ$1204,MATCH(554,$S$5:$S$1204,0),16))</f>
        <v/>
      </c>
      <c r="Q558" s="8" t="str">
        <f t="array" ref="Q558">IF(554&gt;$S$1204,"",INDEX($T$5:$AJ$1204,MATCH(554,$S$5:$S$1204,0),17))</f>
        <v/>
      </c>
      <c r="R558" s="17"/>
      <c r="S558" s="17">
        <f>S557+IF(M3_Silleteria!A162="",0,1)</f>
        <v>0</v>
      </c>
      <c r="T558" s="17" t="str">
        <f>IF(M3_Silleteria!A162="","",IF(M3_Silleteria!A162="","",M3_Silleteria!A162))</f>
        <v/>
      </c>
      <c r="U558" s="17" t="str">
        <f>IF(M3_Silleteria!A162="","",IF(M3_Silleteria!Q162="","",M3_Silleteria!Q162))</f>
        <v/>
      </c>
      <c r="V558" s="17" t="str">
        <f>IF(M3_Silleteria!A162="","",IF(M3_Silleteria!D162="","",M3_Silleteria!D162))</f>
        <v/>
      </c>
      <c r="W558" s="17" t="str">
        <f>IF(M3_Silleteria!A162="","",IF(M3_Silleteria!B162="","",M3_Silleteria!B162))</f>
        <v/>
      </c>
      <c r="X558" s="17" t="str">
        <f>IF(M3_Silleteria!A162="","",IF(M3_Silleteria!C162="","",M3_Silleteria!C162))</f>
        <v/>
      </c>
      <c r="Y558" s="17" t="str">
        <f>IF(M3_Silleteria!A162="","",IF(M3_Silleteria!E162="","",M3_Silleteria!E162))</f>
        <v/>
      </c>
      <c r="Z558" s="17" t="str">
        <f>IF(M3_Silleteria!A162="","",IF(M3_Silleteria!F162="","",M3_Silleteria!F162))</f>
        <v/>
      </c>
      <c r="AA558" s="17" t="str">
        <f>IF(M3_Silleteria!A162="","","M3 Silletería")</f>
        <v/>
      </c>
      <c r="AB558" s="17" t="str">
        <f>IF(M3_Silleteria!A162="","",IF(M3_Silleteria!G162="","",M3_Silleteria!G162))</f>
        <v/>
      </c>
      <c r="AC558" s="17" t="str">
        <f>IF(M3_Silleteria!A162="","",IF(M3_Silleteria!L162="","",M3_Silleteria!L162))</f>
        <v/>
      </c>
      <c r="AD558" s="17" t="str">
        <f>IF(M3_Silleteria!A162="","","CD")</f>
        <v/>
      </c>
      <c r="AE558" s="17" t="str">
        <f>IF(M3_Silleteria!A162="","",IF(M3_Silleteria!N162="","",M3_Silleteria!N162))</f>
        <v/>
      </c>
      <c r="AF558" s="17" t="str">
        <f>IF(M3_Silleteria!A162="","",IF(M3_Silleteria!O162="","",M3_Silleteria!O162))</f>
        <v/>
      </c>
      <c r="AG558" s="17" t="str">
        <f>IF(M3_Silleteria!A162="","",IF(M3_Silleteria!P162="","",M3_Silleteria!P162))</f>
        <v/>
      </c>
      <c r="AH558" s="17" t="str">
        <f>IF(M3_Silleteria!A162="","",IF(M3_Silleteria!H162="","",M3_Silleteria!H162))</f>
        <v/>
      </c>
      <c r="AI558" s="17" t="str">
        <f>IF(M3_Silleteria!A162="","","M3_Silleteria!162")</f>
        <v/>
      </c>
      <c r="AJ558" s="17" t="str">
        <f>IF(M3_Silleteria!A162="","",IF(M3_Silleteria!L162="","Pendiente de resultado","Disponible"))</f>
        <v/>
      </c>
    </row>
    <row r="559" spans="1:36" ht="55.5" customHeight="1">
      <c r="A559" s="6" t="str">
        <f t="array" ref="A559">IF(555&gt;$S$1204,"",INDEX($T$5:$AJ$1204,MATCH(555,$S$5:$S$1204,0),1))</f>
        <v/>
      </c>
      <c r="B559" s="8" t="str">
        <f t="array" ref="B559">IF(555&gt;$S$1204,"",INDEX($T$5:$AJ$1204,MATCH(555,$S$5:$S$1204,0),2))</f>
        <v/>
      </c>
      <c r="C559" s="10" t="str">
        <f t="array" ref="C559">IF(555&gt;$S$1204,"",INDEX($T$5:$AJ$1204,MATCH(555,$S$5:$S$1204,0),3))</f>
        <v/>
      </c>
      <c r="D559" s="8" t="str">
        <f t="array" ref="D559">IF(555&gt;$S$1204,"",INDEX($T$5:$AJ$1204,MATCH(555,$S$5:$S$1204,0),4))</f>
        <v/>
      </c>
      <c r="E559" s="8" t="str">
        <f t="array" ref="E559">IF(555&gt;$S$1204,"",INDEX($T$5:$AJ$1204,MATCH(555,$S$5:$S$1204,0),5))</f>
        <v/>
      </c>
      <c r="F559" s="8" t="str">
        <f t="array" ref="F559">IF(555&gt;$S$1204,"",INDEX($T$5:$AJ$1204,MATCH(555,$S$5:$S$1204,0),6))</f>
        <v/>
      </c>
      <c r="G559" s="8" t="str">
        <f t="array" ref="G559">IF(555&gt;$S$1204,"",INDEX($T$5:$AJ$1204,MATCH(555,$S$5:$S$1204,0),7))</f>
        <v/>
      </c>
      <c r="H559" s="8" t="str">
        <f t="array" ref="H559">IF(555&gt;$S$1204,"",INDEX($T$5:$AJ$1204,MATCH(555,$S$5:$S$1204,0),8))</f>
        <v/>
      </c>
      <c r="I559" s="8" t="str">
        <f t="array" ref="I559">IF(555&gt;$S$1204,"",INDEX($T$5:$AJ$1204,MATCH(555,$S$5:$S$1204,0),9))</f>
        <v/>
      </c>
      <c r="J559" s="14" t="str">
        <f t="array" ref="J559">IF(555&gt;$S$1204,"",INDEX($T$5:$AJ$1204,MATCH(555,$S$5:$S$1204,0),10))</f>
        <v/>
      </c>
      <c r="K559" s="8" t="str">
        <f t="array" ref="K559">IF(555&gt;$S$1204,"",INDEX($T$5:$AJ$1204,MATCH(555,$S$5:$S$1204,0),11))</f>
        <v/>
      </c>
      <c r="L559" s="8" t="str">
        <f t="array" ref="L559">IF(555&gt;$S$1204,"",INDEX($T$5:$AJ$1204,MATCH(555,$S$5:$S$1204,0),12))</f>
        <v/>
      </c>
      <c r="M559" s="8" t="str">
        <f t="array" ref="M559">IF(555&gt;$S$1204,"",INDEX($T$5:$AJ$1204,MATCH(555,$S$5:$S$1204,0),13))</f>
        <v/>
      </c>
      <c r="N559" s="8" t="str">
        <f t="array" ref="N559">IF(555&gt;$S$1204,"",INDEX($T$5:$AJ$1204,MATCH(555,$S$5:$S$1204,0),14))</f>
        <v/>
      </c>
      <c r="O559" s="15" t="str">
        <f t="array" ref="O559">IF(555&gt;$S$1204,"",INDEX($T$5:$AJ$1204,MATCH(555,$S$5:$S$1204,0),15))</f>
        <v/>
      </c>
      <c r="P559" s="8" t="str">
        <f t="array" ref="P559">IF(555&gt;$S$1204,"",INDEX($T$5:$AJ$1204,MATCH(555,$S$5:$S$1204,0),16))</f>
        <v/>
      </c>
      <c r="Q559" s="8" t="str">
        <f t="array" ref="Q559">IF(555&gt;$S$1204,"",INDEX($T$5:$AJ$1204,MATCH(555,$S$5:$S$1204,0),17))</f>
        <v/>
      </c>
      <c r="R559" s="17"/>
      <c r="S559" s="17">
        <f>S558+IF(M3_Silleteria!A163="",0,1)</f>
        <v>0</v>
      </c>
      <c r="T559" s="17" t="str">
        <f>IF(M3_Silleteria!A163="","",IF(M3_Silleteria!A163="","",M3_Silleteria!A163))</f>
        <v/>
      </c>
      <c r="U559" s="17" t="str">
        <f>IF(M3_Silleteria!A163="","",IF(M3_Silleteria!Q163="","",M3_Silleteria!Q163))</f>
        <v/>
      </c>
      <c r="V559" s="17" t="str">
        <f>IF(M3_Silleteria!A163="","",IF(M3_Silleteria!D163="","",M3_Silleteria!D163))</f>
        <v/>
      </c>
      <c r="W559" s="17" t="str">
        <f>IF(M3_Silleteria!A163="","",IF(M3_Silleteria!B163="","",M3_Silleteria!B163))</f>
        <v/>
      </c>
      <c r="X559" s="17" t="str">
        <f>IF(M3_Silleteria!A163="","",IF(M3_Silleteria!C163="","",M3_Silleteria!C163))</f>
        <v/>
      </c>
      <c r="Y559" s="17" t="str">
        <f>IF(M3_Silleteria!A163="","",IF(M3_Silleteria!E163="","",M3_Silleteria!E163))</f>
        <v/>
      </c>
      <c r="Z559" s="17" t="str">
        <f>IF(M3_Silleteria!A163="","",IF(M3_Silleteria!F163="","",M3_Silleteria!F163))</f>
        <v/>
      </c>
      <c r="AA559" s="17" t="str">
        <f>IF(M3_Silleteria!A163="","","M3 Silletería")</f>
        <v/>
      </c>
      <c r="AB559" s="17" t="str">
        <f>IF(M3_Silleteria!A163="","",IF(M3_Silleteria!G163="","",M3_Silleteria!G163))</f>
        <v/>
      </c>
      <c r="AC559" s="17" t="str">
        <f>IF(M3_Silleteria!A163="","",IF(M3_Silleteria!L163="","",M3_Silleteria!L163))</f>
        <v/>
      </c>
      <c r="AD559" s="17" t="str">
        <f>IF(M3_Silleteria!A163="","","CD")</f>
        <v/>
      </c>
      <c r="AE559" s="17" t="str">
        <f>IF(M3_Silleteria!A163="","",IF(M3_Silleteria!N163="","",M3_Silleteria!N163))</f>
        <v/>
      </c>
      <c r="AF559" s="17" t="str">
        <f>IF(M3_Silleteria!A163="","",IF(M3_Silleteria!O163="","",M3_Silleteria!O163))</f>
        <v/>
      </c>
      <c r="AG559" s="17" t="str">
        <f>IF(M3_Silleteria!A163="","",IF(M3_Silleteria!P163="","",M3_Silleteria!P163))</f>
        <v/>
      </c>
      <c r="AH559" s="17" t="str">
        <f>IF(M3_Silleteria!A163="","",IF(M3_Silleteria!H163="","",M3_Silleteria!H163))</f>
        <v/>
      </c>
      <c r="AI559" s="17" t="str">
        <f>IF(M3_Silleteria!A163="","","M3_Silleteria!163")</f>
        <v/>
      </c>
      <c r="AJ559" s="17" t="str">
        <f>IF(M3_Silleteria!A163="","",IF(M3_Silleteria!L163="","Pendiente de resultado","Disponible"))</f>
        <v/>
      </c>
    </row>
    <row r="560" spans="1:36" ht="55.5" customHeight="1">
      <c r="A560" s="6" t="str">
        <f t="array" ref="A560">IF(556&gt;$S$1204,"",INDEX($T$5:$AJ$1204,MATCH(556,$S$5:$S$1204,0),1))</f>
        <v/>
      </c>
      <c r="B560" s="8" t="str">
        <f t="array" ref="B560">IF(556&gt;$S$1204,"",INDEX($T$5:$AJ$1204,MATCH(556,$S$5:$S$1204,0),2))</f>
        <v/>
      </c>
      <c r="C560" s="10" t="str">
        <f t="array" ref="C560">IF(556&gt;$S$1204,"",INDEX($T$5:$AJ$1204,MATCH(556,$S$5:$S$1204,0),3))</f>
        <v/>
      </c>
      <c r="D560" s="8" t="str">
        <f t="array" ref="D560">IF(556&gt;$S$1204,"",INDEX($T$5:$AJ$1204,MATCH(556,$S$5:$S$1204,0),4))</f>
        <v/>
      </c>
      <c r="E560" s="8" t="str">
        <f t="array" ref="E560">IF(556&gt;$S$1204,"",INDEX($T$5:$AJ$1204,MATCH(556,$S$5:$S$1204,0),5))</f>
        <v/>
      </c>
      <c r="F560" s="8" t="str">
        <f t="array" ref="F560">IF(556&gt;$S$1204,"",INDEX($T$5:$AJ$1204,MATCH(556,$S$5:$S$1204,0),6))</f>
        <v/>
      </c>
      <c r="G560" s="8" t="str">
        <f t="array" ref="G560">IF(556&gt;$S$1204,"",INDEX($T$5:$AJ$1204,MATCH(556,$S$5:$S$1204,0),7))</f>
        <v/>
      </c>
      <c r="H560" s="8" t="str">
        <f t="array" ref="H560">IF(556&gt;$S$1204,"",INDEX($T$5:$AJ$1204,MATCH(556,$S$5:$S$1204,0),8))</f>
        <v/>
      </c>
      <c r="I560" s="8" t="str">
        <f t="array" ref="I560">IF(556&gt;$S$1204,"",INDEX($T$5:$AJ$1204,MATCH(556,$S$5:$S$1204,0),9))</f>
        <v/>
      </c>
      <c r="J560" s="14" t="str">
        <f t="array" ref="J560">IF(556&gt;$S$1204,"",INDEX($T$5:$AJ$1204,MATCH(556,$S$5:$S$1204,0),10))</f>
        <v/>
      </c>
      <c r="K560" s="8" t="str">
        <f t="array" ref="K560">IF(556&gt;$S$1204,"",INDEX($T$5:$AJ$1204,MATCH(556,$S$5:$S$1204,0),11))</f>
        <v/>
      </c>
      <c r="L560" s="8" t="str">
        <f t="array" ref="L560">IF(556&gt;$S$1204,"",INDEX($T$5:$AJ$1204,MATCH(556,$S$5:$S$1204,0),12))</f>
        <v/>
      </c>
      <c r="M560" s="8" t="str">
        <f t="array" ref="M560">IF(556&gt;$S$1204,"",INDEX($T$5:$AJ$1204,MATCH(556,$S$5:$S$1204,0),13))</f>
        <v/>
      </c>
      <c r="N560" s="8" t="str">
        <f t="array" ref="N560">IF(556&gt;$S$1204,"",INDEX($T$5:$AJ$1204,MATCH(556,$S$5:$S$1204,0),14))</f>
        <v/>
      </c>
      <c r="O560" s="15" t="str">
        <f t="array" ref="O560">IF(556&gt;$S$1204,"",INDEX($T$5:$AJ$1204,MATCH(556,$S$5:$S$1204,0),15))</f>
        <v/>
      </c>
      <c r="P560" s="8" t="str">
        <f t="array" ref="P560">IF(556&gt;$S$1204,"",INDEX($T$5:$AJ$1204,MATCH(556,$S$5:$S$1204,0),16))</f>
        <v/>
      </c>
      <c r="Q560" s="8" t="str">
        <f t="array" ref="Q560">IF(556&gt;$S$1204,"",INDEX($T$5:$AJ$1204,MATCH(556,$S$5:$S$1204,0),17))</f>
        <v/>
      </c>
      <c r="R560" s="17"/>
      <c r="S560" s="17">
        <f>S559+IF(M3_Silleteria!A164="",0,1)</f>
        <v>0</v>
      </c>
      <c r="T560" s="17" t="str">
        <f>IF(M3_Silleteria!A164="","",IF(M3_Silleteria!A164="","",M3_Silleteria!A164))</f>
        <v/>
      </c>
      <c r="U560" s="17" t="str">
        <f>IF(M3_Silleteria!A164="","",IF(M3_Silleteria!Q164="","",M3_Silleteria!Q164))</f>
        <v/>
      </c>
      <c r="V560" s="17" t="str">
        <f>IF(M3_Silleteria!A164="","",IF(M3_Silleteria!D164="","",M3_Silleteria!D164))</f>
        <v/>
      </c>
      <c r="W560" s="17" t="str">
        <f>IF(M3_Silleteria!A164="","",IF(M3_Silleteria!B164="","",M3_Silleteria!B164))</f>
        <v/>
      </c>
      <c r="X560" s="17" t="str">
        <f>IF(M3_Silleteria!A164="","",IF(M3_Silleteria!C164="","",M3_Silleteria!C164))</f>
        <v/>
      </c>
      <c r="Y560" s="17" t="str">
        <f>IF(M3_Silleteria!A164="","",IF(M3_Silleteria!E164="","",M3_Silleteria!E164))</f>
        <v/>
      </c>
      <c r="Z560" s="17" t="str">
        <f>IF(M3_Silleteria!A164="","",IF(M3_Silleteria!F164="","",M3_Silleteria!F164))</f>
        <v/>
      </c>
      <c r="AA560" s="17" t="str">
        <f>IF(M3_Silleteria!A164="","","M3 Silletería")</f>
        <v/>
      </c>
      <c r="AB560" s="17" t="str">
        <f>IF(M3_Silleteria!A164="","",IF(M3_Silleteria!G164="","",M3_Silleteria!G164))</f>
        <v/>
      </c>
      <c r="AC560" s="17" t="str">
        <f>IF(M3_Silleteria!A164="","",IF(M3_Silleteria!L164="","",M3_Silleteria!L164))</f>
        <v/>
      </c>
      <c r="AD560" s="17" t="str">
        <f>IF(M3_Silleteria!A164="","","CD")</f>
        <v/>
      </c>
      <c r="AE560" s="17" t="str">
        <f>IF(M3_Silleteria!A164="","",IF(M3_Silleteria!N164="","",M3_Silleteria!N164))</f>
        <v/>
      </c>
      <c r="AF560" s="17" t="str">
        <f>IF(M3_Silleteria!A164="","",IF(M3_Silleteria!O164="","",M3_Silleteria!O164))</f>
        <v/>
      </c>
      <c r="AG560" s="17" t="str">
        <f>IF(M3_Silleteria!A164="","",IF(M3_Silleteria!P164="","",M3_Silleteria!P164))</f>
        <v/>
      </c>
      <c r="AH560" s="17" t="str">
        <f>IF(M3_Silleteria!A164="","",IF(M3_Silleteria!H164="","",M3_Silleteria!H164))</f>
        <v/>
      </c>
      <c r="AI560" s="17" t="str">
        <f>IF(M3_Silleteria!A164="","","M3_Silleteria!164")</f>
        <v/>
      </c>
      <c r="AJ560" s="17" t="str">
        <f>IF(M3_Silleteria!A164="","",IF(M3_Silleteria!L164="","Pendiente de resultado","Disponible"))</f>
        <v/>
      </c>
    </row>
    <row r="561" spans="1:36" ht="55.5" customHeight="1">
      <c r="A561" s="6" t="str">
        <f t="array" ref="A561">IF(557&gt;$S$1204,"",INDEX($T$5:$AJ$1204,MATCH(557,$S$5:$S$1204,0),1))</f>
        <v/>
      </c>
      <c r="B561" s="8" t="str">
        <f t="array" ref="B561">IF(557&gt;$S$1204,"",INDEX($T$5:$AJ$1204,MATCH(557,$S$5:$S$1204,0),2))</f>
        <v/>
      </c>
      <c r="C561" s="10" t="str">
        <f t="array" ref="C561">IF(557&gt;$S$1204,"",INDEX($T$5:$AJ$1204,MATCH(557,$S$5:$S$1204,0),3))</f>
        <v/>
      </c>
      <c r="D561" s="8" t="str">
        <f t="array" ref="D561">IF(557&gt;$S$1204,"",INDEX($T$5:$AJ$1204,MATCH(557,$S$5:$S$1204,0),4))</f>
        <v/>
      </c>
      <c r="E561" s="8" t="str">
        <f t="array" ref="E561">IF(557&gt;$S$1204,"",INDEX($T$5:$AJ$1204,MATCH(557,$S$5:$S$1204,0),5))</f>
        <v/>
      </c>
      <c r="F561" s="8" t="str">
        <f t="array" ref="F561">IF(557&gt;$S$1204,"",INDEX($T$5:$AJ$1204,MATCH(557,$S$5:$S$1204,0),6))</f>
        <v/>
      </c>
      <c r="G561" s="8" t="str">
        <f t="array" ref="G561">IF(557&gt;$S$1204,"",INDEX($T$5:$AJ$1204,MATCH(557,$S$5:$S$1204,0),7))</f>
        <v/>
      </c>
      <c r="H561" s="8" t="str">
        <f t="array" ref="H561">IF(557&gt;$S$1204,"",INDEX($T$5:$AJ$1204,MATCH(557,$S$5:$S$1204,0),8))</f>
        <v/>
      </c>
      <c r="I561" s="8" t="str">
        <f t="array" ref="I561">IF(557&gt;$S$1204,"",INDEX($T$5:$AJ$1204,MATCH(557,$S$5:$S$1204,0),9))</f>
        <v/>
      </c>
      <c r="J561" s="14" t="str">
        <f t="array" ref="J561">IF(557&gt;$S$1204,"",INDEX($T$5:$AJ$1204,MATCH(557,$S$5:$S$1204,0),10))</f>
        <v/>
      </c>
      <c r="K561" s="8" t="str">
        <f t="array" ref="K561">IF(557&gt;$S$1204,"",INDEX($T$5:$AJ$1204,MATCH(557,$S$5:$S$1204,0),11))</f>
        <v/>
      </c>
      <c r="L561" s="8" t="str">
        <f t="array" ref="L561">IF(557&gt;$S$1204,"",INDEX($T$5:$AJ$1204,MATCH(557,$S$5:$S$1204,0),12))</f>
        <v/>
      </c>
      <c r="M561" s="8" t="str">
        <f t="array" ref="M561">IF(557&gt;$S$1204,"",INDEX($T$5:$AJ$1204,MATCH(557,$S$5:$S$1204,0),13))</f>
        <v/>
      </c>
      <c r="N561" s="8" t="str">
        <f t="array" ref="N561">IF(557&gt;$S$1204,"",INDEX($T$5:$AJ$1204,MATCH(557,$S$5:$S$1204,0),14))</f>
        <v/>
      </c>
      <c r="O561" s="15" t="str">
        <f t="array" ref="O561">IF(557&gt;$S$1204,"",INDEX($T$5:$AJ$1204,MATCH(557,$S$5:$S$1204,0),15))</f>
        <v/>
      </c>
      <c r="P561" s="8" t="str">
        <f t="array" ref="P561">IF(557&gt;$S$1204,"",INDEX($T$5:$AJ$1204,MATCH(557,$S$5:$S$1204,0),16))</f>
        <v/>
      </c>
      <c r="Q561" s="8" t="str">
        <f t="array" ref="Q561">IF(557&gt;$S$1204,"",INDEX($T$5:$AJ$1204,MATCH(557,$S$5:$S$1204,0),17))</f>
        <v/>
      </c>
      <c r="R561" s="17"/>
      <c r="S561" s="17">
        <f>S560+IF(M3_Silleteria!A165="",0,1)</f>
        <v>0</v>
      </c>
      <c r="T561" s="17" t="str">
        <f>IF(M3_Silleteria!A165="","",IF(M3_Silleteria!A165="","",M3_Silleteria!A165))</f>
        <v/>
      </c>
      <c r="U561" s="17" t="str">
        <f>IF(M3_Silleteria!A165="","",IF(M3_Silleteria!Q165="","",M3_Silleteria!Q165))</f>
        <v/>
      </c>
      <c r="V561" s="17" t="str">
        <f>IF(M3_Silleteria!A165="","",IF(M3_Silleteria!D165="","",M3_Silleteria!D165))</f>
        <v/>
      </c>
      <c r="W561" s="17" t="str">
        <f>IF(M3_Silleteria!A165="","",IF(M3_Silleteria!B165="","",M3_Silleteria!B165))</f>
        <v/>
      </c>
      <c r="X561" s="17" t="str">
        <f>IF(M3_Silleteria!A165="","",IF(M3_Silleteria!C165="","",M3_Silleteria!C165))</f>
        <v/>
      </c>
      <c r="Y561" s="17" t="str">
        <f>IF(M3_Silleteria!A165="","",IF(M3_Silleteria!E165="","",M3_Silleteria!E165))</f>
        <v/>
      </c>
      <c r="Z561" s="17" t="str">
        <f>IF(M3_Silleteria!A165="","",IF(M3_Silleteria!F165="","",M3_Silleteria!F165))</f>
        <v/>
      </c>
      <c r="AA561" s="17" t="str">
        <f>IF(M3_Silleteria!A165="","","M3 Silletería")</f>
        <v/>
      </c>
      <c r="AB561" s="17" t="str">
        <f>IF(M3_Silleteria!A165="","",IF(M3_Silleteria!G165="","",M3_Silleteria!G165))</f>
        <v/>
      </c>
      <c r="AC561" s="17" t="str">
        <f>IF(M3_Silleteria!A165="","",IF(M3_Silleteria!L165="","",M3_Silleteria!L165))</f>
        <v/>
      </c>
      <c r="AD561" s="17" t="str">
        <f>IF(M3_Silleteria!A165="","","CD")</f>
        <v/>
      </c>
      <c r="AE561" s="17" t="str">
        <f>IF(M3_Silleteria!A165="","",IF(M3_Silleteria!N165="","",M3_Silleteria!N165))</f>
        <v/>
      </c>
      <c r="AF561" s="17" t="str">
        <f>IF(M3_Silleteria!A165="","",IF(M3_Silleteria!O165="","",M3_Silleteria!O165))</f>
        <v/>
      </c>
      <c r="AG561" s="17" t="str">
        <f>IF(M3_Silleteria!A165="","",IF(M3_Silleteria!P165="","",M3_Silleteria!P165))</f>
        <v/>
      </c>
      <c r="AH561" s="17" t="str">
        <f>IF(M3_Silleteria!A165="","",IF(M3_Silleteria!H165="","",M3_Silleteria!H165))</f>
        <v/>
      </c>
      <c r="AI561" s="17" t="str">
        <f>IF(M3_Silleteria!A165="","","M3_Silleteria!165")</f>
        <v/>
      </c>
      <c r="AJ561" s="17" t="str">
        <f>IF(M3_Silleteria!A165="","",IF(M3_Silleteria!L165="","Pendiente de resultado","Disponible"))</f>
        <v/>
      </c>
    </row>
    <row r="562" spans="1:36" ht="55.5" customHeight="1">
      <c r="A562" s="6" t="str">
        <f t="array" ref="A562">IF(558&gt;$S$1204,"",INDEX($T$5:$AJ$1204,MATCH(558,$S$5:$S$1204,0),1))</f>
        <v/>
      </c>
      <c r="B562" s="8" t="str">
        <f t="array" ref="B562">IF(558&gt;$S$1204,"",INDEX($T$5:$AJ$1204,MATCH(558,$S$5:$S$1204,0),2))</f>
        <v/>
      </c>
      <c r="C562" s="10" t="str">
        <f t="array" ref="C562">IF(558&gt;$S$1204,"",INDEX($T$5:$AJ$1204,MATCH(558,$S$5:$S$1204,0),3))</f>
        <v/>
      </c>
      <c r="D562" s="8" t="str">
        <f t="array" ref="D562">IF(558&gt;$S$1204,"",INDEX($T$5:$AJ$1204,MATCH(558,$S$5:$S$1204,0),4))</f>
        <v/>
      </c>
      <c r="E562" s="8" t="str">
        <f t="array" ref="E562">IF(558&gt;$S$1204,"",INDEX($T$5:$AJ$1204,MATCH(558,$S$5:$S$1204,0),5))</f>
        <v/>
      </c>
      <c r="F562" s="8" t="str">
        <f t="array" ref="F562">IF(558&gt;$S$1204,"",INDEX($T$5:$AJ$1204,MATCH(558,$S$5:$S$1204,0),6))</f>
        <v/>
      </c>
      <c r="G562" s="8" t="str">
        <f t="array" ref="G562">IF(558&gt;$S$1204,"",INDEX($T$5:$AJ$1204,MATCH(558,$S$5:$S$1204,0),7))</f>
        <v/>
      </c>
      <c r="H562" s="8" t="str">
        <f t="array" ref="H562">IF(558&gt;$S$1204,"",INDEX($T$5:$AJ$1204,MATCH(558,$S$5:$S$1204,0),8))</f>
        <v/>
      </c>
      <c r="I562" s="8" t="str">
        <f t="array" ref="I562">IF(558&gt;$S$1204,"",INDEX($T$5:$AJ$1204,MATCH(558,$S$5:$S$1204,0),9))</f>
        <v/>
      </c>
      <c r="J562" s="14" t="str">
        <f t="array" ref="J562">IF(558&gt;$S$1204,"",INDEX($T$5:$AJ$1204,MATCH(558,$S$5:$S$1204,0),10))</f>
        <v/>
      </c>
      <c r="K562" s="8" t="str">
        <f t="array" ref="K562">IF(558&gt;$S$1204,"",INDEX($T$5:$AJ$1204,MATCH(558,$S$5:$S$1204,0),11))</f>
        <v/>
      </c>
      <c r="L562" s="8" t="str">
        <f t="array" ref="L562">IF(558&gt;$S$1204,"",INDEX($T$5:$AJ$1204,MATCH(558,$S$5:$S$1204,0),12))</f>
        <v/>
      </c>
      <c r="M562" s="8" t="str">
        <f t="array" ref="M562">IF(558&gt;$S$1204,"",INDEX($T$5:$AJ$1204,MATCH(558,$S$5:$S$1204,0),13))</f>
        <v/>
      </c>
      <c r="N562" s="8" t="str">
        <f t="array" ref="N562">IF(558&gt;$S$1204,"",INDEX($T$5:$AJ$1204,MATCH(558,$S$5:$S$1204,0),14))</f>
        <v/>
      </c>
      <c r="O562" s="15" t="str">
        <f t="array" ref="O562">IF(558&gt;$S$1204,"",INDEX($T$5:$AJ$1204,MATCH(558,$S$5:$S$1204,0),15))</f>
        <v/>
      </c>
      <c r="P562" s="8" t="str">
        <f t="array" ref="P562">IF(558&gt;$S$1204,"",INDEX($T$5:$AJ$1204,MATCH(558,$S$5:$S$1204,0),16))</f>
        <v/>
      </c>
      <c r="Q562" s="8" t="str">
        <f t="array" ref="Q562">IF(558&gt;$S$1204,"",INDEX($T$5:$AJ$1204,MATCH(558,$S$5:$S$1204,0),17))</f>
        <v/>
      </c>
      <c r="R562" s="17"/>
      <c r="S562" s="17">
        <f>S561+IF(M3_Silleteria!A166="",0,1)</f>
        <v>0</v>
      </c>
      <c r="T562" s="17" t="str">
        <f>IF(M3_Silleteria!A166="","",IF(M3_Silleteria!A166="","",M3_Silleteria!A166))</f>
        <v/>
      </c>
      <c r="U562" s="17" t="str">
        <f>IF(M3_Silleteria!A166="","",IF(M3_Silleteria!Q166="","",M3_Silleteria!Q166))</f>
        <v/>
      </c>
      <c r="V562" s="17" t="str">
        <f>IF(M3_Silleteria!A166="","",IF(M3_Silleteria!D166="","",M3_Silleteria!D166))</f>
        <v/>
      </c>
      <c r="W562" s="17" t="str">
        <f>IF(M3_Silleteria!A166="","",IF(M3_Silleteria!B166="","",M3_Silleteria!B166))</f>
        <v/>
      </c>
      <c r="X562" s="17" t="str">
        <f>IF(M3_Silleteria!A166="","",IF(M3_Silleteria!C166="","",M3_Silleteria!C166))</f>
        <v/>
      </c>
      <c r="Y562" s="17" t="str">
        <f>IF(M3_Silleteria!A166="","",IF(M3_Silleteria!E166="","",M3_Silleteria!E166))</f>
        <v/>
      </c>
      <c r="Z562" s="17" t="str">
        <f>IF(M3_Silleteria!A166="","",IF(M3_Silleteria!F166="","",M3_Silleteria!F166))</f>
        <v/>
      </c>
      <c r="AA562" s="17" t="str">
        <f>IF(M3_Silleteria!A166="","","M3 Silletería")</f>
        <v/>
      </c>
      <c r="AB562" s="17" t="str">
        <f>IF(M3_Silleteria!A166="","",IF(M3_Silleteria!G166="","",M3_Silleteria!G166))</f>
        <v/>
      </c>
      <c r="AC562" s="17" t="str">
        <f>IF(M3_Silleteria!A166="","",IF(M3_Silleteria!L166="","",M3_Silleteria!L166))</f>
        <v/>
      </c>
      <c r="AD562" s="17" t="str">
        <f>IF(M3_Silleteria!A166="","","CD")</f>
        <v/>
      </c>
      <c r="AE562" s="17" t="str">
        <f>IF(M3_Silleteria!A166="","",IF(M3_Silleteria!N166="","",M3_Silleteria!N166))</f>
        <v/>
      </c>
      <c r="AF562" s="17" t="str">
        <f>IF(M3_Silleteria!A166="","",IF(M3_Silleteria!O166="","",M3_Silleteria!O166))</f>
        <v/>
      </c>
      <c r="AG562" s="17" t="str">
        <f>IF(M3_Silleteria!A166="","",IF(M3_Silleteria!P166="","",M3_Silleteria!P166))</f>
        <v/>
      </c>
      <c r="AH562" s="17" t="str">
        <f>IF(M3_Silleteria!A166="","",IF(M3_Silleteria!H166="","",M3_Silleteria!H166))</f>
        <v/>
      </c>
      <c r="AI562" s="17" t="str">
        <f>IF(M3_Silleteria!A166="","","M3_Silleteria!166")</f>
        <v/>
      </c>
      <c r="AJ562" s="17" t="str">
        <f>IF(M3_Silleteria!A166="","",IF(M3_Silleteria!L166="","Pendiente de resultado","Disponible"))</f>
        <v/>
      </c>
    </row>
    <row r="563" spans="1:36" ht="55.5" customHeight="1">
      <c r="A563" s="6" t="str">
        <f t="array" ref="A563">IF(559&gt;$S$1204,"",INDEX($T$5:$AJ$1204,MATCH(559,$S$5:$S$1204,0),1))</f>
        <v/>
      </c>
      <c r="B563" s="8" t="str">
        <f t="array" ref="B563">IF(559&gt;$S$1204,"",INDEX($T$5:$AJ$1204,MATCH(559,$S$5:$S$1204,0),2))</f>
        <v/>
      </c>
      <c r="C563" s="10" t="str">
        <f t="array" ref="C563">IF(559&gt;$S$1204,"",INDEX($T$5:$AJ$1204,MATCH(559,$S$5:$S$1204,0),3))</f>
        <v/>
      </c>
      <c r="D563" s="8" t="str">
        <f t="array" ref="D563">IF(559&gt;$S$1204,"",INDEX($T$5:$AJ$1204,MATCH(559,$S$5:$S$1204,0),4))</f>
        <v/>
      </c>
      <c r="E563" s="8" t="str">
        <f t="array" ref="E563">IF(559&gt;$S$1204,"",INDEX($T$5:$AJ$1204,MATCH(559,$S$5:$S$1204,0),5))</f>
        <v/>
      </c>
      <c r="F563" s="8" t="str">
        <f t="array" ref="F563">IF(559&gt;$S$1204,"",INDEX($T$5:$AJ$1204,MATCH(559,$S$5:$S$1204,0),6))</f>
        <v/>
      </c>
      <c r="G563" s="8" t="str">
        <f t="array" ref="G563">IF(559&gt;$S$1204,"",INDEX($T$5:$AJ$1204,MATCH(559,$S$5:$S$1204,0),7))</f>
        <v/>
      </c>
      <c r="H563" s="8" t="str">
        <f t="array" ref="H563">IF(559&gt;$S$1204,"",INDEX($T$5:$AJ$1204,MATCH(559,$S$5:$S$1204,0),8))</f>
        <v/>
      </c>
      <c r="I563" s="8" t="str">
        <f t="array" ref="I563">IF(559&gt;$S$1204,"",INDEX($T$5:$AJ$1204,MATCH(559,$S$5:$S$1204,0),9))</f>
        <v/>
      </c>
      <c r="J563" s="14" t="str">
        <f t="array" ref="J563">IF(559&gt;$S$1204,"",INDEX($T$5:$AJ$1204,MATCH(559,$S$5:$S$1204,0),10))</f>
        <v/>
      </c>
      <c r="K563" s="8" t="str">
        <f t="array" ref="K563">IF(559&gt;$S$1204,"",INDEX($T$5:$AJ$1204,MATCH(559,$S$5:$S$1204,0),11))</f>
        <v/>
      </c>
      <c r="L563" s="8" t="str">
        <f t="array" ref="L563">IF(559&gt;$S$1204,"",INDEX($T$5:$AJ$1204,MATCH(559,$S$5:$S$1204,0),12))</f>
        <v/>
      </c>
      <c r="M563" s="8" t="str">
        <f t="array" ref="M563">IF(559&gt;$S$1204,"",INDEX($T$5:$AJ$1204,MATCH(559,$S$5:$S$1204,0),13))</f>
        <v/>
      </c>
      <c r="N563" s="8" t="str">
        <f t="array" ref="N563">IF(559&gt;$S$1204,"",INDEX($T$5:$AJ$1204,MATCH(559,$S$5:$S$1204,0),14))</f>
        <v/>
      </c>
      <c r="O563" s="15" t="str">
        <f t="array" ref="O563">IF(559&gt;$S$1204,"",INDEX($T$5:$AJ$1204,MATCH(559,$S$5:$S$1204,0),15))</f>
        <v/>
      </c>
      <c r="P563" s="8" t="str">
        <f t="array" ref="P563">IF(559&gt;$S$1204,"",INDEX($T$5:$AJ$1204,MATCH(559,$S$5:$S$1204,0),16))</f>
        <v/>
      </c>
      <c r="Q563" s="8" t="str">
        <f t="array" ref="Q563">IF(559&gt;$S$1204,"",INDEX($T$5:$AJ$1204,MATCH(559,$S$5:$S$1204,0),17))</f>
        <v/>
      </c>
      <c r="R563" s="17"/>
      <c r="S563" s="17">
        <f>S562+IF(M3_Silleteria!A167="",0,1)</f>
        <v>0</v>
      </c>
      <c r="T563" s="17" t="str">
        <f>IF(M3_Silleteria!A167="","",IF(M3_Silleteria!A167="","",M3_Silleteria!A167))</f>
        <v/>
      </c>
      <c r="U563" s="17" t="str">
        <f>IF(M3_Silleteria!A167="","",IF(M3_Silleteria!Q167="","",M3_Silleteria!Q167))</f>
        <v/>
      </c>
      <c r="V563" s="17" t="str">
        <f>IF(M3_Silleteria!A167="","",IF(M3_Silleteria!D167="","",M3_Silleteria!D167))</f>
        <v/>
      </c>
      <c r="W563" s="17" t="str">
        <f>IF(M3_Silleteria!A167="","",IF(M3_Silleteria!B167="","",M3_Silleteria!B167))</f>
        <v/>
      </c>
      <c r="X563" s="17" t="str">
        <f>IF(M3_Silleteria!A167="","",IF(M3_Silleteria!C167="","",M3_Silleteria!C167))</f>
        <v/>
      </c>
      <c r="Y563" s="17" t="str">
        <f>IF(M3_Silleteria!A167="","",IF(M3_Silleteria!E167="","",M3_Silleteria!E167))</f>
        <v/>
      </c>
      <c r="Z563" s="17" t="str">
        <f>IF(M3_Silleteria!A167="","",IF(M3_Silleteria!F167="","",M3_Silleteria!F167))</f>
        <v/>
      </c>
      <c r="AA563" s="17" t="str">
        <f>IF(M3_Silleteria!A167="","","M3 Silletería")</f>
        <v/>
      </c>
      <c r="AB563" s="17" t="str">
        <f>IF(M3_Silleteria!A167="","",IF(M3_Silleteria!G167="","",M3_Silleteria!G167))</f>
        <v/>
      </c>
      <c r="AC563" s="17" t="str">
        <f>IF(M3_Silleteria!A167="","",IF(M3_Silleteria!L167="","",M3_Silleteria!L167))</f>
        <v/>
      </c>
      <c r="AD563" s="17" t="str">
        <f>IF(M3_Silleteria!A167="","","CD")</f>
        <v/>
      </c>
      <c r="AE563" s="17" t="str">
        <f>IF(M3_Silleteria!A167="","",IF(M3_Silleteria!N167="","",M3_Silleteria!N167))</f>
        <v/>
      </c>
      <c r="AF563" s="17" t="str">
        <f>IF(M3_Silleteria!A167="","",IF(M3_Silleteria!O167="","",M3_Silleteria!O167))</f>
        <v/>
      </c>
      <c r="AG563" s="17" t="str">
        <f>IF(M3_Silleteria!A167="","",IF(M3_Silleteria!P167="","",M3_Silleteria!P167))</f>
        <v/>
      </c>
      <c r="AH563" s="17" t="str">
        <f>IF(M3_Silleteria!A167="","",IF(M3_Silleteria!H167="","",M3_Silleteria!H167))</f>
        <v/>
      </c>
      <c r="AI563" s="17" t="str">
        <f>IF(M3_Silleteria!A167="","","M3_Silleteria!167")</f>
        <v/>
      </c>
      <c r="AJ563" s="17" t="str">
        <f>IF(M3_Silleteria!A167="","",IF(M3_Silleteria!L167="","Pendiente de resultado","Disponible"))</f>
        <v/>
      </c>
    </row>
    <row r="564" spans="1:36" ht="55.5" customHeight="1">
      <c r="A564" s="6" t="str">
        <f t="array" ref="A564">IF(560&gt;$S$1204,"",INDEX($T$5:$AJ$1204,MATCH(560,$S$5:$S$1204,0),1))</f>
        <v/>
      </c>
      <c r="B564" s="8" t="str">
        <f t="array" ref="B564">IF(560&gt;$S$1204,"",INDEX($T$5:$AJ$1204,MATCH(560,$S$5:$S$1204,0),2))</f>
        <v/>
      </c>
      <c r="C564" s="10" t="str">
        <f t="array" ref="C564">IF(560&gt;$S$1204,"",INDEX($T$5:$AJ$1204,MATCH(560,$S$5:$S$1204,0),3))</f>
        <v/>
      </c>
      <c r="D564" s="8" t="str">
        <f t="array" ref="D564">IF(560&gt;$S$1204,"",INDEX($T$5:$AJ$1204,MATCH(560,$S$5:$S$1204,0),4))</f>
        <v/>
      </c>
      <c r="E564" s="8" t="str">
        <f t="array" ref="E564">IF(560&gt;$S$1204,"",INDEX($T$5:$AJ$1204,MATCH(560,$S$5:$S$1204,0),5))</f>
        <v/>
      </c>
      <c r="F564" s="8" t="str">
        <f t="array" ref="F564">IF(560&gt;$S$1204,"",INDEX($T$5:$AJ$1204,MATCH(560,$S$5:$S$1204,0),6))</f>
        <v/>
      </c>
      <c r="G564" s="8" t="str">
        <f t="array" ref="G564">IF(560&gt;$S$1204,"",INDEX($T$5:$AJ$1204,MATCH(560,$S$5:$S$1204,0),7))</f>
        <v/>
      </c>
      <c r="H564" s="8" t="str">
        <f t="array" ref="H564">IF(560&gt;$S$1204,"",INDEX($T$5:$AJ$1204,MATCH(560,$S$5:$S$1204,0),8))</f>
        <v/>
      </c>
      <c r="I564" s="8" t="str">
        <f t="array" ref="I564">IF(560&gt;$S$1204,"",INDEX($T$5:$AJ$1204,MATCH(560,$S$5:$S$1204,0),9))</f>
        <v/>
      </c>
      <c r="J564" s="14" t="str">
        <f t="array" ref="J564">IF(560&gt;$S$1204,"",INDEX($T$5:$AJ$1204,MATCH(560,$S$5:$S$1204,0),10))</f>
        <v/>
      </c>
      <c r="K564" s="8" t="str">
        <f t="array" ref="K564">IF(560&gt;$S$1204,"",INDEX($T$5:$AJ$1204,MATCH(560,$S$5:$S$1204,0),11))</f>
        <v/>
      </c>
      <c r="L564" s="8" t="str">
        <f t="array" ref="L564">IF(560&gt;$S$1204,"",INDEX($T$5:$AJ$1204,MATCH(560,$S$5:$S$1204,0),12))</f>
        <v/>
      </c>
      <c r="M564" s="8" t="str">
        <f t="array" ref="M564">IF(560&gt;$S$1204,"",INDEX($T$5:$AJ$1204,MATCH(560,$S$5:$S$1204,0),13))</f>
        <v/>
      </c>
      <c r="N564" s="8" t="str">
        <f t="array" ref="N564">IF(560&gt;$S$1204,"",INDEX($T$5:$AJ$1204,MATCH(560,$S$5:$S$1204,0),14))</f>
        <v/>
      </c>
      <c r="O564" s="15" t="str">
        <f t="array" ref="O564">IF(560&gt;$S$1204,"",INDEX($T$5:$AJ$1204,MATCH(560,$S$5:$S$1204,0),15))</f>
        <v/>
      </c>
      <c r="P564" s="8" t="str">
        <f t="array" ref="P564">IF(560&gt;$S$1204,"",INDEX($T$5:$AJ$1204,MATCH(560,$S$5:$S$1204,0),16))</f>
        <v/>
      </c>
      <c r="Q564" s="8" t="str">
        <f t="array" ref="Q564">IF(560&gt;$S$1204,"",INDEX($T$5:$AJ$1204,MATCH(560,$S$5:$S$1204,0),17))</f>
        <v/>
      </c>
      <c r="R564" s="17"/>
      <c r="S564" s="17">
        <f>S563+IF(M3_Silleteria!A168="",0,1)</f>
        <v>0</v>
      </c>
      <c r="T564" s="17" t="str">
        <f>IF(M3_Silleteria!A168="","",IF(M3_Silleteria!A168="","",M3_Silleteria!A168))</f>
        <v/>
      </c>
      <c r="U564" s="17" t="str">
        <f>IF(M3_Silleteria!A168="","",IF(M3_Silleteria!Q168="","",M3_Silleteria!Q168))</f>
        <v/>
      </c>
      <c r="V564" s="17" t="str">
        <f>IF(M3_Silleteria!A168="","",IF(M3_Silleteria!D168="","",M3_Silleteria!D168))</f>
        <v/>
      </c>
      <c r="W564" s="17" t="str">
        <f>IF(M3_Silleteria!A168="","",IF(M3_Silleteria!B168="","",M3_Silleteria!B168))</f>
        <v/>
      </c>
      <c r="X564" s="17" t="str">
        <f>IF(M3_Silleteria!A168="","",IF(M3_Silleteria!C168="","",M3_Silleteria!C168))</f>
        <v/>
      </c>
      <c r="Y564" s="17" t="str">
        <f>IF(M3_Silleteria!A168="","",IF(M3_Silleteria!E168="","",M3_Silleteria!E168))</f>
        <v/>
      </c>
      <c r="Z564" s="17" t="str">
        <f>IF(M3_Silleteria!A168="","",IF(M3_Silleteria!F168="","",M3_Silleteria!F168))</f>
        <v/>
      </c>
      <c r="AA564" s="17" t="str">
        <f>IF(M3_Silleteria!A168="","","M3 Silletería")</f>
        <v/>
      </c>
      <c r="AB564" s="17" t="str">
        <f>IF(M3_Silleteria!A168="","",IF(M3_Silleteria!G168="","",M3_Silleteria!G168))</f>
        <v/>
      </c>
      <c r="AC564" s="17" t="str">
        <f>IF(M3_Silleteria!A168="","",IF(M3_Silleteria!L168="","",M3_Silleteria!L168))</f>
        <v/>
      </c>
      <c r="AD564" s="17" t="str">
        <f>IF(M3_Silleteria!A168="","","CD")</f>
        <v/>
      </c>
      <c r="AE564" s="17" t="str">
        <f>IF(M3_Silleteria!A168="","",IF(M3_Silleteria!N168="","",M3_Silleteria!N168))</f>
        <v/>
      </c>
      <c r="AF564" s="17" t="str">
        <f>IF(M3_Silleteria!A168="","",IF(M3_Silleteria!O168="","",M3_Silleteria!O168))</f>
        <v/>
      </c>
      <c r="AG564" s="17" t="str">
        <f>IF(M3_Silleteria!A168="","",IF(M3_Silleteria!P168="","",M3_Silleteria!P168))</f>
        <v/>
      </c>
      <c r="AH564" s="17" t="str">
        <f>IF(M3_Silleteria!A168="","",IF(M3_Silleteria!H168="","",M3_Silleteria!H168))</f>
        <v/>
      </c>
      <c r="AI564" s="17" t="str">
        <f>IF(M3_Silleteria!A168="","","M3_Silleteria!168")</f>
        <v/>
      </c>
      <c r="AJ564" s="17" t="str">
        <f>IF(M3_Silleteria!A168="","",IF(M3_Silleteria!L168="","Pendiente de resultado","Disponible"))</f>
        <v/>
      </c>
    </row>
    <row r="565" spans="1:36" ht="55.5" customHeight="1">
      <c r="A565" s="6" t="str">
        <f t="array" ref="A565">IF(561&gt;$S$1204,"",INDEX($T$5:$AJ$1204,MATCH(561,$S$5:$S$1204,0),1))</f>
        <v/>
      </c>
      <c r="B565" s="8" t="str">
        <f t="array" ref="B565">IF(561&gt;$S$1204,"",INDEX($T$5:$AJ$1204,MATCH(561,$S$5:$S$1204,0),2))</f>
        <v/>
      </c>
      <c r="C565" s="10" t="str">
        <f t="array" ref="C565">IF(561&gt;$S$1204,"",INDEX($T$5:$AJ$1204,MATCH(561,$S$5:$S$1204,0),3))</f>
        <v/>
      </c>
      <c r="D565" s="8" t="str">
        <f t="array" ref="D565">IF(561&gt;$S$1204,"",INDEX($T$5:$AJ$1204,MATCH(561,$S$5:$S$1204,0),4))</f>
        <v/>
      </c>
      <c r="E565" s="8" t="str">
        <f t="array" ref="E565">IF(561&gt;$S$1204,"",INDEX($T$5:$AJ$1204,MATCH(561,$S$5:$S$1204,0),5))</f>
        <v/>
      </c>
      <c r="F565" s="8" t="str">
        <f t="array" ref="F565">IF(561&gt;$S$1204,"",INDEX($T$5:$AJ$1204,MATCH(561,$S$5:$S$1204,0),6))</f>
        <v/>
      </c>
      <c r="G565" s="8" t="str">
        <f t="array" ref="G565">IF(561&gt;$S$1204,"",INDEX($T$5:$AJ$1204,MATCH(561,$S$5:$S$1204,0),7))</f>
        <v/>
      </c>
      <c r="H565" s="8" t="str">
        <f t="array" ref="H565">IF(561&gt;$S$1204,"",INDEX($T$5:$AJ$1204,MATCH(561,$S$5:$S$1204,0),8))</f>
        <v/>
      </c>
      <c r="I565" s="8" t="str">
        <f t="array" ref="I565">IF(561&gt;$S$1204,"",INDEX($T$5:$AJ$1204,MATCH(561,$S$5:$S$1204,0),9))</f>
        <v/>
      </c>
      <c r="J565" s="14" t="str">
        <f t="array" ref="J565">IF(561&gt;$S$1204,"",INDEX($T$5:$AJ$1204,MATCH(561,$S$5:$S$1204,0),10))</f>
        <v/>
      </c>
      <c r="K565" s="8" t="str">
        <f t="array" ref="K565">IF(561&gt;$S$1204,"",INDEX($T$5:$AJ$1204,MATCH(561,$S$5:$S$1204,0),11))</f>
        <v/>
      </c>
      <c r="L565" s="8" t="str">
        <f t="array" ref="L565">IF(561&gt;$S$1204,"",INDEX($T$5:$AJ$1204,MATCH(561,$S$5:$S$1204,0),12))</f>
        <v/>
      </c>
      <c r="M565" s="8" t="str">
        <f t="array" ref="M565">IF(561&gt;$S$1204,"",INDEX($T$5:$AJ$1204,MATCH(561,$S$5:$S$1204,0),13))</f>
        <v/>
      </c>
      <c r="N565" s="8" t="str">
        <f t="array" ref="N565">IF(561&gt;$S$1204,"",INDEX($T$5:$AJ$1204,MATCH(561,$S$5:$S$1204,0),14))</f>
        <v/>
      </c>
      <c r="O565" s="15" t="str">
        <f t="array" ref="O565">IF(561&gt;$S$1204,"",INDEX($T$5:$AJ$1204,MATCH(561,$S$5:$S$1204,0),15))</f>
        <v/>
      </c>
      <c r="P565" s="8" t="str">
        <f t="array" ref="P565">IF(561&gt;$S$1204,"",INDEX($T$5:$AJ$1204,MATCH(561,$S$5:$S$1204,0),16))</f>
        <v/>
      </c>
      <c r="Q565" s="8" t="str">
        <f t="array" ref="Q565">IF(561&gt;$S$1204,"",INDEX($T$5:$AJ$1204,MATCH(561,$S$5:$S$1204,0),17))</f>
        <v/>
      </c>
      <c r="R565" s="17"/>
      <c r="S565" s="17">
        <f>S564+IF(M3_Silleteria!A169="",0,1)</f>
        <v>0</v>
      </c>
      <c r="T565" s="17" t="str">
        <f>IF(M3_Silleteria!A169="","",IF(M3_Silleteria!A169="","",M3_Silleteria!A169))</f>
        <v/>
      </c>
      <c r="U565" s="17" t="str">
        <f>IF(M3_Silleteria!A169="","",IF(M3_Silleteria!Q169="","",M3_Silleteria!Q169))</f>
        <v/>
      </c>
      <c r="V565" s="17" t="str">
        <f>IF(M3_Silleteria!A169="","",IF(M3_Silleteria!D169="","",M3_Silleteria!D169))</f>
        <v/>
      </c>
      <c r="W565" s="17" t="str">
        <f>IF(M3_Silleteria!A169="","",IF(M3_Silleteria!B169="","",M3_Silleteria!B169))</f>
        <v/>
      </c>
      <c r="X565" s="17" t="str">
        <f>IF(M3_Silleteria!A169="","",IF(M3_Silleteria!C169="","",M3_Silleteria!C169))</f>
        <v/>
      </c>
      <c r="Y565" s="17" t="str">
        <f>IF(M3_Silleteria!A169="","",IF(M3_Silleteria!E169="","",M3_Silleteria!E169))</f>
        <v/>
      </c>
      <c r="Z565" s="17" t="str">
        <f>IF(M3_Silleteria!A169="","",IF(M3_Silleteria!F169="","",M3_Silleteria!F169))</f>
        <v/>
      </c>
      <c r="AA565" s="17" t="str">
        <f>IF(M3_Silleteria!A169="","","M3 Silletería")</f>
        <v/>
      </c>
      <c r="AB565" s="17" t="str">
        <f>IF(M3_Silleteria!A169="","",IF(M3_Silleteria!G169="","",M3_Silleteria!G169))</f>
        <v/>
      </c>
      <c r="AC565" s="17" t="str">
        <f>IF(M3_Silleteria!A169="","",IF(M3_Silleteria!L169="","",M3_Silleteria!L169))</f>
        <v/>
      </c>
      <c r="AD565" s="17" t="str">
        <f>IF(M3_Silleteria!A169="","","CD")</f>
        <v/>
      </c>
      <c r="AE565" s="17" t="str">
        <f>IF(M3_Silleteria!A169="","",IF(M3_Silleteria!N169="","",M3_Silleteria!N169))</f>
        <v/>
      </c>
      <c r="AF565" s="17" t="str">
        <f>IF(M3_Silleteria!A169="","",IF(M3_Silleteria!O169="","",M3_Silleteria!O169))</f>
        <v/>
      </c>
      <c r="AG565" s="17" t="str">
        <f>IF(M3_Silleteria!A169="","",IF(M3_Silleteria!P169="","",M3_Silleteria!P169))</f>
        <v/>
      </c>
      <c r="AH565" s="17" t="str">
        <f>IF(M3_Silleteria!A169="","",IF(M3_Silleteria!H169="","",M3_Silleteria!H169))</f>
        <v/>
      </c>
      <c r="AI565" s="17" t="str">
        <f>IF(M3_Silleteria!A169="","","M3_Silleteria!169")</f>
        <v/>
      </c>
      <c r="AJ565" s="17" t="str">
        <f>IF(M3_Silleteria!A169="","",IF(M3_Silleteria!L169="","Pendiente de resultado","Disponible"))</f>
        <v/>
      </c>
    </row>
    <row r="566" spans="1:36" ht="55.5" customHeight="1">
      <c r="A566" s="6" t="str">
        <f t="array" ref="A566">IF(562&gt;$S$1204,"",INDEX($T$5:$AJ$1204,MATCH(562,$S$5:$S$1204,0),1))</f>
        <v/>
      </c>
      <c r="B566" s="8" t="str">
        <f t="array" ref="B566">IF(562&gt;$S$1204,"",INDEX($T$5:$AJ$1204,MATCH(562,$S$5:$S$1204,0),2))</f>
        <v/>
      </c>
      <c r="C566" s="10" t="str">
        <f t="array" ref="C566">IF(562&gt;$S$1204,"",INDEX($T$5:$AJ$1204,MATCH(562,$S$5:$S$1204,0),3))</f>
        <v/>
      </c>
      <c r="D566" s="8" t="str">
        <f t="array" ref="D566">IF(562&gt;$S$1204,"",INDEX($T$5:$AJ$1204,MATCH(562,$S$5:$S$1204,0),4))</f>
        <v/>
      </c>
      <c r="E566" s="8" t="str">
        <f t="array" ref="E566">IF(562&gt;$S$1204,"",INDEX($T$5:$AJ$1204,MATCH(562,$S$5:$S$1204,0),5))</f>
        <v/>
      </c>
      <c r="F566" s="8" t="str">
        <f t="array" ref="F566">IF(562&gt;$S$1204,"",INDEX($T$5:$AJ$1204,MATCH(562,$S$5:$S$1204,0),6))</f>
        <v/>
      </c>
      <c r="G566" s="8" t="str">
        <f t="array" ref="G566">IF(562&gt;$S$1204,"",INDEX($T$5:$AJ$1204,MATCH(562,$S$5:$S$1204,0),7))</f>
        <v/>
      </c>
      <c r="H566" s="8" t="str">
        <f t="array" ref="H566">IF(562&gt;$S$1204,"",INDEX($T$5:$AJ$1204,MATCH(562,$S$5:$S$1204,0),8))</f>
        <v/>
      </c>
      <c r="I566" s="8" t="str">
        <f t="array" ref="I566">IF(562&gt;$S$1204,"",INDEX($T$5:$AJ$1204,MATCH(562,$S$5:$S$1204,0),9))</f>
        <v/>
      </c>
      <c r="J566" s="14" t="str">
        <f t="array" ref="J566">IF(562&gt;$S$1204,"",INDEX($T$5:$AJ$1204,MATCH(562,$S$5:$S$1204,0),10))</f>
        <v/>
      </c>
      <c r="K566" s="8" t="str">
        <f t="array" ref="K566">IF(562&gt;$S$1204,"",INDEX($T$5:$AJ$1204,MATCH(562,$S$5:$S$1204,0),11))</f>
        <v/>
      </c>
      <c r="L566" s="8" t="str">
        <f t="array" ref="L566">IF(562&gt;$S$1204,"",INDEX($T$5:$AJ$1204,MATCH(562,$S$5:$S$1204,0),12))</f>
        <v/>
      </c>
      <c r="M566" s="8" t="str">
        <f t="array" ref="M566">IF(562&gt;$S$1204,"",INDEX($T$5:$AJ$1204,MATCH(562,$S$5:$S$1204,0),13))</f>
        <v/>
      </c>
      <c r="N566" s="8" t="str">
        <f t="array" ref="N566">IF(562&gt;$S$1204,"",INDEX($T$5:$AJ$1204,MATCH(562,$S$5:$S$1204,0),14))</f>
        <v/>
      </c>
      <c r="O566" s="15" t="str">
        <f t="array" ref="O566">IF(562&gt;$S$1204,"",INDEX($T$5:$AJ$1204,MATCH(562,$S$5:$S$1204,0),15))</f>
        <v/>
      </c>
      <c r="P566" s="8" t="str">
        <f t="array" ref="P566">IF(562&gt;$S$1204,"",INDEX($T$5:$AJ$1204,MATCH(562,$S$5:$S$1204,0),16))</f>
        <v/>
      </c>
      <c r="Q566" s="8" t="str">
        <f t="array" ref="Q566">IF(562&gt;$S$1204,"",INDEX($T$5:$AJ$1204,MATCH(562,$S$5:$S$1204,0),17))</f>
        <v/>
      </c>
      <c r="R566" s="17"/>
      <c r="S566" s="17">
        <f>S565+IF(M3_Silleteria!A170="",0,1)</f>
        <v>0</v>
      </c>
      <c r="T566" s="17" t="str">
        <f>IF(M3_Silleteria!A170="","",IF(M3_Silleteria!A170="","",M3_Silleteria!A170))</f>
        <v/>
      </c>
      <c r="U566" s="17" t="str">
        <f>IF(M3_Silleteria!A170="","",IF(M3_Silleteria!Q170="","",M3_Silleteria!Q170))</f>
        <v/>
      </c>
      <c r="V566" s="17" t="str">
        <f>IF(M3_Silleteria!A170="","",IF(M3_Silleteria!D170="","",M3_Silleteria!D170))</f>
        <v/>
      </c>
      <c r="W566" s="17" t="str">
        <f>IF(M3_Silleteria!A170="","",IF(M3_Silleteria!B170="","",M3_Silleteria!B170))</f>
        <v/>
      </c>
      <c r="X566" s="17" t="str">
        <f>IF(M3_Silleteria!A170="","",IF(M3_Silleteria!C170="","",M3_Silleteria!C170))</f>
        <v/>
      </c>
      <c r="Y566" s="17" t="str">
        <f>IF(M3_Silleteria!A170="","",IF(M3_Silleteria!E170="","",M3_Silleteria!E170))</f>
        <v/>
      </c>
      <c r="Z566" s="17" t="str">
        <f>IF(M3_Silleteria!A170="","",IF(M3_Silleteria!F170="","",M3_Silleteria!F170))</f>
        <v/>
      </c>
      <c r="AA566" s="17" t="str">
        <f>IF(M3_Silleteria!A170="","","M3 Silletería")</f>
        <v/>
      </c>
      <c r="AB566" s="17" t="str">
        <f>IF(M3_Silleteria!A170="","",IF(M3_Silleteria!G170="","",M3_Silleteria!G170))</f>
        <v/>
      </c>
      <c r="AC566" s="17" t="str">
        <f>IF(M3_Silleteria!A170="","",IF(M3_Silleteria!L170="","",M3_Silleteria!L170))</f>
        <v/>
      </c>
      <c r="AD566" s="17" t="str">
        <f>IF(M3_Silleteria!A170="","","CD")</f>
        <v/>
      </c>
      <c r="AE566" s="17" t="str">
        <f>IF(M3_Silleteria!A170="","",IF(M3_Silleteria!N170="","",M3_Silleteria!N170))</f>
        <v/>
      </c>
      <c r="AF566" s="17" t="str">
        <f>IF(M3_Silleteria!A170="","",IF(M3_Silleteria!O170="","",M3_Silleteria!O170))</f>
        <v/>
      </c>
      <c r="AG566" s="17" t="str">
        <f>IF(M3_Silleteria!A170="","",IF(M3_Silleteria!P170="","",M3_Silleteria!P170))</f>
        <v/>
      </c>
      <c r="AH566" s="17" t="str">
        <f>IF(M3_Silleteria!A170="","",IF(M3_Silleteria!H170="","",M3_Silleteria!H170))</f>
        <v/>
      </c>
      <c r="AI566" s="17" t="str">
        <f>IF(M3_Silleteria!A170="","","M3_Silleteria!170")</f>
        <v/>
      </c>
      <c r="AJ566" s="17" t="str">
        <f>IF(M3_Silleteria!A170="","",IF(M3_Silleteria!L170="","Pendiente de resultado","Disponible"))</f>
        <v/>
      </c>
    </row>
    <row r="567" spans="1:36" ht="55.5" customHeight="1">
      <c r="A567" s="6" t="str">
        <f t="array" ref="A567">IF(563&gt;$S$1204,"",INDEX($T$5:$AJ$1204,MATCH(563,$S$5:$S$1204,0),1))</f>
        <v/>
      </c>
      <c r="B567" s="8" t="str">
        <f t="array" ref="B567">IF(563&gt;$S$1204,"",INDEX($T$5:$AJ$1204,MATCH(563,$S$5:$S$1204,0),2))</f>
        <v/>
      </c>
      <c r="C567" s="10" t="str">
        <f t="array" ref="C567">IF(563&gt;$S$1204,"",INDEX($T$5:$AJ$1204,MATCH(563,$S$5:$S$1204,0),3))</f>
        <v/>
      </c>
      <c r="D567" s="8" t="str">
        <f t="array" ref="D567">IF(563&gt;$S$1204,"",INDEX($T$5:$AJ$1204,MATCH(563,$S$5:$S$1204,0),4))</f>
        <v/>
      </c>
      <c r="E567" s="8" t="str">
        <f t="array" ref="E567">IF(563&gt;$S$1204,"",INDEX($T$5:$AJ$1204,MATCH(563,$S$5:$S$1204,0),5))</f>
        <v/>
      </c>
      <c r="F567" s="8" t="str">
        <f t="array" ref="F567">IF(563&gt;$S$1204,"",INDEX($T$5:$AJ$1204,MATCH(563,$S$5:$S$1204,0),6))</f>
        <v/>
      </c>
      <c r="G567" s="8" t="str">
        <f t="array" ref="G567">IF(563&gt;$S$1204,"",INDEX($T$5:$AJ$1204,MATCH(563,$S$5:$S$1204,0),7))</f>
        <v/>
      </c>
      <c r="H567" s="8" t="str">
        <f t="array" ref="H567">IF(563&gt;$S$1204,"",INDEX($T$5:$AJ$1204,MATCH(563,$S$5:$S$1204,0),8))</f>
        <v/>
      </c>
      <c r="I567" s="8" t="str">
        <f t="array" ref="I567">IF(563&gt;$S$1204,"",INDEX($T$5:$AJ$1204,MATCH(563,$S$5:$S$1204,0),9))</f>
        <v/>
      </c>
      <c r="J567" s="14" t="str">
        <f t="array" ref="J567">IF(563&gt;$S$1204,"",INDEX($T$5:$AJ$1204,MATCH(563,$S$5:$S$1204,0),10))</f>
        <v/>
      </c>
      <c r="K567" s="8" t="str">
        <f t="array" ref="K567">IF(563&gt;$S$1204,"",INDEX($T$5:$AJ$1204,MATCH(563,$S$5:$S$1204,0),11))</f>
        <v/>
      </c>
      <c r="L567" s="8" t="str">
        <f t="array" ref="L567">IF(563&gt;$S$1204,"",INDEX($T$5:$AJ$1204,MATCH(563,$S$5:$S$1204,0),12))</f>
        <v/>
      </c>
      <c r="M567" s="8" t="str">
        <f t="array" ref="M567">IF(563&gt;$S$1204,"",INDEX($T$5:$AJ$1204,MATCH(563,$S$5:$S$1204,0),13))</f>
        <v/>
      </c>
      <c r="N567" s="8" t="str">
        <f t="array" ref="N567">IF(563&gt;$S$1204,"",INDEX($T$5:$AJ$1204,MATCH(563,$S$5:$S$1204,0),14))</f>
        <v/>
      </c>
      <c r="O567" s="15" t="str">
        <f t="array" ref="O567">IF(563&gt;$S$1204,"",INDEX($T$5:$AJ$1204,MATCH(563,$S$5:$S$1204,0),15))</f>
        <v/>
      </c>
      <c r="P567" s="8" t="str">
        <f t="array" ref="P567">IF(563&gt;$S$1204,"",INDEX($T$5:$AJ$1204,MATCH(563,$S$5:$S$1204,0),16))</f>
        <v/>
      </c>
      <c r="Q567" s="8" t="str">
        <f t="array" ref="Q567">IF(563&gt;$S$1204,"",INDEX($T$5:$AJ$1204,MATCH(563,$S$5:$S$1204,0),17))</f>
        <v/>
      </c>
      <c r="R567" s="17"/>
      <c r="S567" s="17">
        <f>S566+IF(M3_Silleteria!A171="",0,1)</f>
        <v>0</v>
      </c>
      <c r="T567" s="17" t="str">
        <f>IF(M3_Silleteria!A171="","",IF(M3_Silleteria!A171="","",M3_Silleteria!A171))</f>
        <v/>
      </c>
      <c r="U567" s="17" t="str">
        <f>IF(M3_Silleteria!A171="","",IF(M3_Silleteria!Q171="","",M3_Silleteria!Q171))</f>
        <v/>
      </c>
      <c r="V567" s="17" t="str">
        <f>IF(M3_Silleteria!A171="","",IF(M3_Silleteria!D171="","",M3_Silleteria!D171))</f>
        <v/>
      </c>
      <c r="W567" s="17" t="str">
        <f>IF(M3_Silleteria!A171="","",IF(M3_Silleteria!B171="","",M3_Silleteria!B171))</f>
        <v/>
      </c>
      <c r="X567" s="17" t="str">
        <f>IF(M3_Silleteria!A171="","",IF(M3_Silleteria!C171="","",M3_Silleteria!C171))</f>
        <v/>
      </c>
      <c r="Y567" s="17" t="str">
        <f>IF(M3_Silleteria!A171="","",IF(M3_Silleteria!E171="","",M3_Silleteria!E171))</f>
        <v/>
      </c>
      <c r="Z567" s="17" t="str">
        <f>IF(M3_Silleteria!A171="","",IF(M3_Silleteria!F171="","",M3_Silleteria!F171))</f>
        <v/>
      </c>
      <c r="AA567" s="17" t="str">
        <f>IF(M3_Silleteria!A171="","","M3 Silletería")</f>
        <v/>
      </c>
      <c r="AB567" s="17" t="str">
        <f>IF(M3_Silleteria!A171="","",IF(M3_Silleteria!G171="","",M3_Silleteria!G171))</f>
        <v/>
      </c>
      <c r="AC567" s="17" t="str">
        <f>IF(M3_Silleteria!A171="","",IF(M3_Silleteria!L171="","",M3_Silleteria!L171))</f>
        <v/>
      </c>
      <c r="AD567" s="17" t="str">
        <f>IF(M3_Silleteria!A171="","","CD")</f>
        <v/>
      </c>
      <c r="AE567" s="17" t="str">
        <f>IF(M3_Silleteria!A171="","",IF(M3_Silleteria!N171="","",M3_Silleteria!N171))</f>
        <v/>
      </c>
      <c r="AF567" s="17" t="str">
        <f>IF(M3_Silleteria!A171="","",IF(M3_Silleteria!O171="","",M3_Silleteria!O171))</f>
        <v/>
      </c>
      <c r="AG567" s="17" t="str">
        <f>IF(M3_Silleteria!A171="","",IF(M3_Silleteria!P171="","",M3_Silleteria!P171))</f>
        <v/>
      </c>
      <c r="AH567" s="17" t="str">
        <f>IF(M3_Silleteria!A171="","",IF(M3_Silleteria!H171="","",M3_Silleteria!H171))</f>
        <v/>
      </c>
      <c r="AI567" s="17" t="str">
        <f>IF(M3_Silleteria!A171="","","M3_Silleteria!171")</f>
        <v/>
      </c>
      <c r="AJ567" s="17" t="str">
        <f>IF(M3_Silleteria!A171="","",IF(M3_Silleteria!L171="","Pendiente de resultado","Disponible"))</f>
        <v/>
      </c>
    </row>
    <row r="568" spans="1:36" ht="55.5" customHeight="1">
      <c r="A568" s="6" t="str">
        <f t="array" ref="A568">IF(564&gt;$S$1204,"",INDEX($T$5:$AJ$1204,MATCH(564,$S$5:$S$1204,0),1))</f>
        <v/>
      </c>
      <c r="B568" s="8" t="str">
        <f t="array" ref="B568">IF(564&gt;$S$1204,"",INDEX($T$5:$AJ$1204,MATCH(564,$S$5:$S$1204,0),2))</f>
        <v/>
      </c>
      <c r="C568" s="10" t="str">
        <f t="array" ref="C568">IF(564&gt;$S$1204,"",INDEX($T$5:$AJ$1204,MATCH(564,$S$5:$S$1204,0),3))</f>
        <v/>
      </c>
      <c r="D568" s="8" t="str">
        <f t="array" ref="D568">IF(564&gt;$S$1204,"",INDEX($T$5:$AJ$1204,MATCH(564,$S$5:$S$1204,0),4))</f>
        <v/>
      </c>
      <c r="E568" s="8" t="str">
        <f t="array" ref="E568">IF(564&gt;$S$1204,"",INDEX($T$5:$AJ$1204,MATCH(564,$S$5:$S$1204,0),5))</f>
        <v/>
      </c>
      <c r="F568" s="8" t="str">
        <f t="array" ref="F568">IF(564&gt;$S$1204,"",INDEX($T$5:$AJ$1204,MATCH(564,$S$5:$S$1204,0),6))</f>
        <v/>
      </c>
      <c r="G568" s="8" t="str">
        <f t="array" ref="G568">IF(564&gt;$S$1204,"",INDEX($T$5:$AJ$1204,MATCH(564,$S$5:$S$1204,0),7))</f>
        <v/>
      </c>
      <c r="H568" s="8" t="str">
        <f t="array" ref="H568">IF(564&gt;$S$1204,"",INDEX($T$5:$AJ$1204,MATCH(564,$S$5:$S$1204,0),8))</f>
        <v/>
      </c>
      <c r="I568" s="8" t="str">
        <f t="array" ref="I568">IF(564&gt;$S$1204,"",INDEX($T$5:$AJ$1204,MATCH(564,$S$5:$S$1204,0),9))</f>
        <v/>
      </c>
      <c r="J568" s="14" t="str">
        <f t="array" ref="J568">IF(564&gt;$S$1204,"",INDEX($T$5:$AJ$1204,MATCH(564,$S$5:$S$1204,0),10))</f>
        <v/>
      </c>
      <c r="K568" s="8" t="str">
        <f t="array" ref="K568">IF(564&gt;$S$1204,"",INDEX($T$5:$AJ$1204,MATCH(564,$S$5:$S$1204,0),11))</f>
        <v/>
      </c>
      <c r="L568" s="8" t="str">
        <f t="array" ref="L568">IF(564&gt;$S$1204,"",INDEX($T$5:$AJ$1204,MATCH(564,$S$5:$S$1204,0),12))</f>
        <v/>
      </c>
      <c r="M568" s="8" t="str">
        <f t="array" ref="M568">IF(564&gt;$S$1204,"",INDEX($T$5:$AJ$1204,MATCH(564,$S$5:$S$1204,0),13))</f>
        <v/>
      </c>
      <c r="N568" s="8" t="str">
        <f t="array" ref="N568">IF(564&gt;$S$1204,"",INDEX($T$5:$AJ$1204,MATCH(564,$S$5:$S$1204,0),14))</f>
        <v/>
      </c>
      <c r="O568" s="15" t="str">
        <f t="array" ref="O568">IF(564&gt;$S$1204,"",INDEX($T$5:$AJ$1204,MATCH(564,$S$5:$S$1204,0),15))</f>
        <v/>
      </c>
      <c r="P568" s="8" t="str">
        <f t="array" ref="P568">IF(564&gt;$S$1204,"",INDEX($T$5:$AJ$1204,MATCH(564,$S$5:$S$1204,0),16))</f>
        <v/>
      </c>
      <c r="Q568" s="8" t="str">
        <f t="array" ref="Q568">IF(564&gt;$S$1204,"",INDEX($T$5:$AJ$1204,MATCH(564,$S$5:$S$1204,0),17))</f>
        <v/>
      </c>
      <c r="R568" s="17"/>
      <c r="S568" s="17">
        <f>S567+IF(M3_Silleteria!A172="",0,1)</f>
        <v>0</v>
      </c>
      <c r="T568" s="17" t="str">
        <f>IF(M3_Silleteria!A172="","",IF(M3_Silleteria!A172="","",M3_Silleteria!A172))</f>
        <v/>
      </c>
      <c r="U568" s="17" t="str">
        <f>IF(M3_Silleteria!A172="","",IF(M3_Silleteria!Q172="","",M3_Silleteria!Q172))</f>
        <v/>
      </c>
      <c r="V568" s="17" t="str">
        <f>IF(M3_Silleteria!A172="","",IF(M3_Silleteria!D172="","",M3_Silleteria!D172))</f>
        <v/>
      </c>
      <c r="W568" s="17" t="str">
        <f>IF(M3_Silleteria!A172="","",IF(M3_Silleteria!B172="","",M3_Silleteria!B172))</f>
        <v/>
      </c>
      <c r="X568" s="17" t="str">
        <f>IF(M3_Silleteria!A172="","",IF(M3_Silleteria!C172="","",M3_Silleteria!C172))</f>
        <v/>
      </c>
      <c r="Y568" s="17" t="str">
        <f>IF(M3_Silleteria!A172="","",IF(M3_Silleteria!E172="","",M3_Silleteria!E172))</f>
        <v/>
      </c>
      <c r="Z568" s="17" t="str">
        <f>IF(M3_Silleteria!A172="","",IF(M3_Silleteria!F172="","",M3_Silleteria!F172))</f>
        <v/>
      </c>
      <c r="AA568" s="17" t="str">
        <f>IF(M3_Silleteria!A172="","","M3 Silletería")</f>
        <v/>
      </c>
      <c r="AB568" s="17" t="str">
        <f>IF(M3_Silleteria!A172="","",IF(M3_Silleteria!G172="","",M3_Silleteria!G172))</f>
        <v/>
      </c>
      <c r="AC568" s="17" t="str">
        <f>IF(M3_Silleteria!A172="","",IF(M3_Silleteria!L172="","",M3_Silleteria!L172))</f>
        <v/>
      </c>
      <c r="AD568" s="17" t="str">
        <f>IF(M3_Silleteria!A172="","","CD")</f>
        <v/>
      </c>
      <c r="AE568" s="17" t="str">
        <f>IF(M3_Silleteria!A172="","",IF(M3_Silleteria!N172="","",M3_Silleteria!N172))</f>
        <v/>
      </c>
      <c r="AF568" s="17" t="str">
        <f>IF(M3_Silleteria!A172="","",IF(M3_Silleteria!O172="","",M3_Silleteria!O172))</f>
        <v/>
      </c>
      <c r="AG568" s="17" t="str">
        <f>IF(M3_Silleteria!A172="","",IF(M3_Silleteria!P172="","",M3_Silleteria!P172))</f>
        <v/>
      </c>
      <c r="AH568" s="17" t="str">
        <f>IF(M3_Silleteria!A172="","",IF(M3_Silleteria!H172="","",M3_Silleteria!H172))</f>
        <v/>
      </c>
      <c r="AI568" s="17" t="str">
        <f>IF(M3_Silleteria!A172="","","M3_Silleteria!172")</f>
        <v/>
      </c>
      <c r="AJ568" s="17" t="str">
        <f>IF(M3_Silleteria!A172="","",IF(M3_Silleteria!L172="","Pendiente de resultado","Disponible"))</f>
        <v/>
      </c>
    </row>
    <row r="569" spans="1:36" ht="55.5" customHeight="1">
      <c r="A569" s="6" t="str">
        <f t="array" ref="A569">IF(565&gt;$S$1204,"",INDEX($T$5:$AJ$1204,MATCH(565,$S$5:$S$1204,0),1))</f>
        <v/>
      </c>
      <c r="B569" s="8" t="str">
        <f t="array" ref="B569">IF(565&gt;$S$1204,"",INDEX($T$5:$AJ$1204,MATCH(565,$S$5:$S$1204,0),2))</f>
        <v/>
      </c>
      <c r="C569" s="10" t="str">
        <f t="array" ref="C569">IF(565&gt;$S$1204,"",INDEX($T$5:$AJ$1204,MATCH(565,$S$5:$S$1204,0),3))</f>
        <v/>
      </c>
      <c r="D569" s="8" t="str">
        <f t="array" ref="D569">IF(565&gt;$S$1204,"",INDEX($T$5:$AJ$1204,MATCH(565,$S$5:$S$1204,0),4))</f>
        <v/>
      </c>
      <c r="E569" s="8" t="str">
        <f t="array" ref="E569">IF(565&gt;$S$1204,"",INDEX($T$5:$AJ$1204,MATCH(565,$S$5:$S$1204,0),5))</f>
        <v/>
      </c>
      <c r="F569" s="8" t="str">
        <f t="array" ref="F569">IF(565&gt;$S$1204,"",INDEX($T$5:$AJ$1204,MATCH(565,$S$5:$S$1204,0),6))</f>
        <v/>
      </c>
      <c r="G569" s="8" t="str">
        <f t="array" ref="G569">IF(565&gt;$S$1204,"",INDEX($T$5:$AJ$1204,MATCH(565,$S$5:$S$1204,0),7))</f>
        <v/>
      </c>
      <c r="H569" s="8" t="str">
        <f t="array" ref="H569">IF(565&gt;$S$1204,"",INDEX($T$5:$AJ$1204,MATCH(565,$S$5:$S$1204,0),8))</f>
        <v/>
      </c>
      <c r="I569" s="8" t="str">
        <f t="array" ref="I569">IF(565&gt;$S$1204,"",INDEX($T$5:$AJ$1204,MATCH(565,$S$5:$S$1204,0),9))</f>
        <v/>
      </c>
      <c r="J569" s="14" t="str">
        <f t="array" ref="J569">IF(565&gt;$S$1204,"",INDEX($T$5:$AJ$1204,MATCH(565,$S$5:$S$1204,0),10))</f>
        <v/>
      </c>
      <c r="K569" s="8" t="str">
        <f t="array" ref="K569">IF(565&gt;$S$1204,"",INDEX($T$5:$AJ$1204,MATCH(565,$S$5:$S$1204,0),11))</f>
        <v/>
      </c>
      <c r="L569" s="8" t="str">
        <f t="array" ref="L569">IF(565&gt;$S$1204,"",INDEX($T$5:$AJ$1204,MATCH(565,$S$5:$S$1204,0),12))</f>
        <v/>
      </c>
      <c r="M569" s="8" t="str">
        <f t="array" ref="M569">IF(565&gt;$S$1204,"",INDEX($T$5:$AJ$1204,MATCH(565,$S$5:$S$1204,0),13))</f>
        <v/>
      </c>
      <c r="N569" s="8" t="str">
        <f t="array" ref="N569">IF(565&gt;$S$1204,"",INDEX($T$5:$AJ$1204,MATCH(565,$S$5:$S$1204,0),14))</f>
        <v/>
      </c>
      <c r="O569" s="15" t="str">
        <f t="array" ref="O569">IF(565&gt;$S$1204,"",INDEX($T$5:$AJ$1204,MATCH(565,$S$5:$S$1204,0),15))</f>
        <v/>
      </c>
      <c r="P569" s="8" t="str">
        <f t="array" ref="P569">IF(565&gt;$S$1204,"",INDEX($T$5:$AJ$1204,MATCH(565,$S$5:$S$1204,0),16))</f>
        <v/>
      </c>
      <c r="Q569" s="8" t="str">
        <f t="array" ref="Q569">IF(565&gt;$S$1204,"",INDEX($T$5:$AJ$1204,MATCH(565,$S$5:$S$1204,0),17))</f>
        <v/>
      </c>
      <c r="R569" s="17"/>
      <c r="S569" s="17">
        <f>S568+IF(M3_Silleteria!A173="",0,1)</f>
        <v>0</v>
      </c>
      <c r="T569" s="17" t="str">
        <f>IF(M3_Silleteria!A173="","",IF(M3_Silleteria!A173="","",M3_Silleteria!A173))</f>
        <v/>
      </c>
      <c r="U569" s="17" t="str">
        <f>IF(M3_Silleteria!A173="","",IF(M3_Silleteria!Q173="","",M3_Silleteria!Q173))</f>
        <v/>
      </c>
      <c r="V569" s="17" t="str">
        <f>IF(M3_Silleteria!A173="","",IF(M3_Silleteria!D173="","",M3_Silleteria!D173))</f>
        <v/>
      </c>
      <c r="W569" s="17" t="str">
        <f>IF(M3_Silleteria!A173="","",IF(M3_Silleteria!B173="","",M3_Silleteria!B173))</f>
        <v/>
      </c>
      <c r="X569" s="17" t="str">
        <f>IF(M3_Silleteria!A173="","",IF(M3_Silleteria!C173="","",M3_Silleteria!C173))</f>
        <v/>
      </c>
      <c r="Y569" s="17" t="str">
        <f>IF(M3_Silleteria!A173="","",IF(M3_Silleteria!E173="","",M3_Silleteria!E173))</f>
        <v/>
      </c>
      <c r="Z569" s="17" t="str">
        <f>IF(M3_Silleteria!A173="","",IF(M3_Silleteria!F173="","",M3_Silleteria!F173))</f>
        <v/>
      </c>
      <c r="AA569" s="17" t="str">
        <f>IF(M3_Silleteria!A173="","","M3 Silletería")</f>
        <v/>
      </c>
      <c r="AB569" s="17" t="str">
        <f>IF(M3_Silleteria!A173="","",IF(M3_Silleteria!G173="","",M3_Silleteria!G173))</f>
        <v/>
      </c>
      <c r="AC569" s="17" t="str">
        <f>IF(M3_Silleteria!A173="","",IF(M3_Silleteria!L173="","",M3_Silleteria!L173))</f>
        <v/>
      </c>
      <c r="AD569" s="17" t="str">
        <f>IF(M3_Silleteria!A173="","","CD")</f>
        <v/>
      </c>
      <c r="AE569" s="17" t="str">
        <f>IF(M3_Silleteria!A173="","",IF(M3_Silleteria!N173="","",M3_Silleteria!N173))</f>
        <v/>
      </c>
      <c r="AF569" s="17" t="str">
        <f>IF(M3_Silleteria!A173="","",IF(M3_Silleteria!O173="","",M3_Silleteria!O173))</f>
        <v/>
      </c>
      <c r="AG569" s="17" t="str">
        <f>IF(M3_Silleteria!A173="","",IF(M3_Silleteria!P173="","",M3_Silleteria!P173))</f>
        <v/>
      </c>
      <c r="AH569" s="17" t="str">
        <f>IF(M3_Silleteria!A173="","",IF(M3_Silleteria!H173="","",M3_Silleteria!H173))</f>
        <v/>
      </c>
      <c r="AI569" s="17" t="str">
        <f>IF(M3_Silleteria!A173="","","M3_Silleteria!173")</f>
        <v/>
      </c>
      <c r="AJ569" s="17" t="str">
        <f>IF(M3_Silleteria!A173="","",IF(M3_Silleteria!L173="","Pendiente de resultado","Disponible"))</f>
        <v/>
      </c>
    </row>
    <row r="570" spans="1:36" ht="55.5" customHeight="1">
      <c r="A570" s="6" t="str">
        <f t="array" ref="A570">IF(566&gt;$S$1204,"",INDEX($T$5:$AJ$1204,MATCH(566,$S$5:$S$1204,0),1))</f>
        <v/>
      </c>
      <c r="B570" s="8" t="str">
        <f t="array" ref="B570">IF(566&gt;$S$1204,"",INDEX($T$5:$AJ$1204,MATCH(566,$S$5:$S$1204,0),2))</f>
        <v/>
      </c>
      <c r="C570" s="10" t="str">
        <f t="array" ref="C570">IF(566&gt;$S$1204,"",INDEX($T$5:$AJ$1204,MATCH(566,$S$5:$S$1204,0),3))</f>
        <v/>
      </c>
      <c r="D570" s="8" t="str">
        <f t="array" ref="D570">IF(566&gt;$S$1204,"",INDEX($T$5:$AJ$1204,MATCH(566,$S$5:$S$1204,0),4))</f>
        <v/>
      </c>
      <c r="E570" s="8" t="str">
        <f t="array" ref="E570">IF(566&gt;$S$1204,"",INDEX($T$5:$AJ$1204,MATCH(566,$S$5:$S$1204,0),5))</f>
        <v/>
      </c>
      <c r="F570" s="8" t="str">
        <f t="array" ref="F570">IF(566&gt;$S$1204,"",INDEX($T$5:$AJ$1204,MATCH(566,$S$5:$S$1204,0),6))</f>
        <v/>
      </c>
      <c r="G570" s="8" t="str">
        <f t="array" ref="G570">IF(566&gt;$S$1204,"",INDEX($T$5:$AJ$1204,MATCH(566,$S$5:$S$1204,0),7))</f>
        <v/>
      </c>
      <c r="H570" s="8" t="str">
        <f t="array" ref="H570">IF(566&gt;$S$1204,"",INDEX($T$5:$AJ$1204,MATCH(566,$S$5:$S$1204,0),8))</f>
        <v/>
      </c>
      <c r="I570" s="8" t="str">
        <f t="array" ref="I570">IF(566&gt;$S$1204,"",INDEX($T$5:$AJ$1204,MATCH(566,$S$5:$S$1204,0),9))</f>
        <v/>
      </c>
      <c r="J570" s="14" t="str">
        <f t="array" ref="J570">IF(566&gt;$S$1204,"",INDEX($T$5:$AJ$1204,MATCH(566,$S$5:$S$1204,0),10))</f>
        <v/>
      </c>
      <c r="K570" s="8" t="str">
        <f t="array" ref="K570">IF(566&gt;$S$1204,"",INDEX($T$5:$AJ$1204,MATCH(566,$S$5:$S$1204,0),11))</f>
        <v/>
      </c>
      <c r="L570" s="8" t="str">
        <f t="array" ref="L570">IF(566&gt;$S$1204,"",INDEX($T$5:$AJ$1204,MATCH(566,$S$5:$S$1204,0),12))</f>
        <v/>
      </c>
      <c r="M570" s="8" t="str">
        <f t="array" ref="M570">IF(566&gt;$S$1204,"",INDEX($T$5:$AJ$1204,MATCH(566,$S$5:$S$1204,0),13))</f>
        <v/>
      </c>
      <c r="N570" s="8" t="str">
        <f t="array" ref="N570">IF(566&gt;$S$1204,"",INDEX($T$5:$AJ$1204,MATCH(566,$S$5:$S$1204,0),14))</f>
        <v/>
      </c>
      <c r="O570" s="15" t="str">
        <f t="array" ref="O570">IF(566&gt;$S$1204,"",INDEX($T$5:$AJ$1204,MATCH(566,$S$5:$S$1204,0),15))</f>
        <v/>
      </c>
      <c r="P570" s="8" t="str">
        <f t="array" ref="P570">IF(566&gt;$S$1204,"",INDEX($T$5:$AJ$1204,MATCH(566,$S$5:$S$1204,0),16))</f>
        <v/>
      </c>
      <c r="Q570" s="8" t="str">
        <f t="array" ref="Q570">IF(566&gt;$S$1204,"",INDEX($T$5:$AJ$1204,MATCH(566,$S$5:$S$1204,0),17))</f>
        <v/>
      </c>
      <c r="R570" s="17"/>
      <c r="S570" s="17">
        <f>S569+IF(M3_Silleteria!A174="",0,1)</f>
        <v>0</v>
      </c>
      <c r="T570" s="17" t="str">
        <f>IF(M3_Silleteria!A174="","",IF(M3_Silleteria!A174="","",M3_Silleteria!A174))</f>
        <v/>
      </c>
      <c r="U570" s="17" t="str">
        <f>IF(M3_Silleteria!A174="","",IF(M3_Silleteria!Q174="","",M3_Silleteria!Q174))</f>
        <v/>
      </c>
      <c r="V570" s="17" t="str">
        <f>IF(M3_Silleteria!A174="","",IF(M3_Silleteria!D174="","",M3_Silleteria!D174))</f>
        <v/>
      </c>
      <c r="W570" s="17" t="str">
        <f>IF(M3_Silleteria!A174="","",IF(M3_Silleteria!B174="","",M3_Silleteria!B174))</f>
        <v/>
      </c>
      <c r="X570" s="17" t="str">
        <f>IF(M3_Silleteria!A174="","",IF(M3_Silleteria!C174="","",M3_Silleteria!C174))</f>
        <v/>
      </c>
      <c r="Y570" s="17" t="str">
        <f>IF(M3_Silleteria!A174="","",IF(M3_Silleteria!E174="","",M3_Silleteria!E174))</f>
        <v/>
      </c>
      <c r="Z570" s="17" t="str">
        <f>IF(M3_Silleteria!A174="","",IF(M3_Silleteria!F174="","",M3_Silleteria!F174))</f>
        <v/>
      </c>
      <c r="AA570" s="17" t="str">
        <f>IF(M3_Silleteria!A174="","","M3 Silletería")</f>
        <v/>
      </c>
      <c r="AB570" s="17" t="str">
        <f>IF(M3_Silleteria!A174="","",IF(M3_Silleteria!G174="","",M3_Silleteria!G174))</f>
        <v/>
      </c>
      <c r="AC570" s="17" t="str">
        <f>IF(M3_Silleteria!A174="","",IF(M3_Silleteria!L174="","",M3_Silleteria!L174))</f>
        <v/>
      </c>
      <c r="AD570" s="17" t="str">
        <f>IF(M3_Silleteria!A174="","","CD")</f>
        <v/>
      </c>
      <c r="AE570" s="17" t="str">
        <f>IF(M3_Silleteria!A174="","",IF(M3_Silleteria!N174="","",M3_Silleteria!N174))</f>
        <v/>
      </c>
      <c r="AF570" s="17" t="str">
        <f>IF(M3_Silleteria!A174="","",IF(M3_Silleteria!O174="","",M3_Silleteria!O174))</f>
        <v/>
      </c>
      <c r="AG570" s="17" t="str">
        <f>IF(M3_Silleteria!A174="","",IF(M3_Silleteria!P174="","",M3_Silleteria!P174))</f>
        <v/>
      </c>
      <c r="AH570" s="17" t="str">
        <f>IF(M3_Silleteria!A174="","",IF(M3_Silleteria!H174="","",M3_Silleteria!H174))</f>
        <v/>
      </c>
      <c r="AI570" s="17" t="str">
        <f>IF(M3_Silleteria!A174="","","M3_Silleteria!174")</f>
        <v/>
      </c>
      <c r="AJ570" s="17" t="str">
        <f>IF(M3_Silleteria!A174="","",IF(M3_Silleteria!L174="","Pendiente de resultado","Disponible"))</f>
        <v/>
      </c>
    </row>
    <row r="571" spans="1:36" ht="55.5" customHeight="1">
      <c r="A571" s="6" t="str">
        <f t="array" ref="A571">IF(567&gt;$S$1204,"",INDEX($T$5:$AJ$1204,MATCH(567,$S$5:$S$1204,0),1))</f>
        <v/>
      </c>
      <c r="B571" s="8" t="str">
        <f t="array" ref="B571">IF(567&gt;$S$1204,"",INDEX($T$5:$AJ$1204,MATCH(567,$S$5:$S$1204,0),2))</f>
        <v/>
      </c>
      <c r="C571" s="10" t="str">
        <f t="array" ref="C571">IF(567&gt;$S$1204,"",INDEX($T$5:$AJ$1204,MATCH(567,$S$5:$S$1204,0),3))</f>
        <v/>
      </c>
      <c r="D571" s="8" t="str">
        <f t="array" ref="D571">IF(567&gt;$S$1204,"",INDEX($T$5:$AJ$1204,MATCH(567,$S$5:$S$1204,0),4))</f>
        <v/>
      </c>
      <c r="E571" s="8" t="str">
        <f t="array" ref="E571">IF(567&gt;$S$1204,"",INDEX($T$5:$AJ$1204,MATCH(567,$S$5:$S$1204,0),5))</f>
        <v/>
      </c>
      <c r="F571" s="8" t="str">
        <f t="array" ref="F571">IF(567&gt;$S$1204,"",INDEX($T$5:$AJ$1204,MATCH(567,$S$5:$S$1204,0),6))</f>
        <v/>
      </c>
      <c r="G571" s="8" t="str">
        <f t="array" ref="G571">IF(567&gt;$S$1204,"",INDEX($T$5:$AJ$1204,MATCH(567,$S$5:$S$1204,0),7))</f>
        <v/>
      </c>
      <c r="H571" s="8" t="str">
        <f t="array" ref="H571">IF(567&gt;$S$1204,"",INDEX($T$5:$AJ$1204,MATCH(567,$S$5:$S$1204,0),8))</f>
        <v/>
      </c>
      <c r="I571" s="8" t="str">
        <f t="array" ref="I571">IF(567&gt;$S$1204,"",INDEX($T$5:$AJ$1204,MATCH(567,$S$5:$S$1204,0),9))</f>
        <v/>
      </c>
      <c r="J571" s="14" t="str">
        <f t="array" ref="J571">IF(567&gt;$S$1204,"",INDEX($T$5:$AJ$1204,MATCH(567,$S$5:$S$1204,0),10))</f>
        <v/>
      </c>
      <c r="K571" s="8" t="str">
        <f t="array" ref="K571">IF(567&gt;$S$1204,"",INDEX($T$5:$AJ$1204,MATCH(567,$S$5:$S$1204,0),11))</f>
        <v/>
      </c>
      <c r="L571" s="8" t="str">
        <f t="array" ref="L571">IF(567&gt;$S$1204,"",INDEX($T$5:$AJ$1204,MATCH(567,$S$5:$S$1204,0),12))</f>
        <v/>
      </c>
      <c r="M571" s="8" t="str">
        <f t="array" ref="M571">IF(567&gt;$S$1204,"",INDEX($T$5:$AJ$1204,MATCH(567,$S$5:$S$1204,0),13))</f>
        <v/>
      </c>
      <c r="N571" s="8" t="str">
        <f t="array" ref="N571">IF(567&gt;$S$1204,"",INDEX($T$5:$AJ$1204,MATCH(567,$S$5:$S$1204,0),14))</f>
        <v/>
      </c>
      <c r="O571" s="15" t="str">
        <f t="array" ref="O571">IF(567&gt;$S$1204,"",INDEX($T$5:$AJ$1204,MATCH(567,$S$5:$S$1204,0),15))</f>
        <v/>
      </c>
      <c r="P571" s="8" t="str">
        <f t="array" ref="P571">IF(567&gt;$S$1204,"",INDEX($T$5:$AJ$1204,MATCH(567,$S$5:$S$1204,0),16))</f>
        <v/>
      </c>
      <c r="Q571" s="8" t="str">
        <f t="array" ref="Q571">IF(567&gt;$S$1204,"",INDEX($T$5:$AJ$1204,MATCH(567,$S$5:$S$1204,0),17))</f>
        <v/>
      </c>
      <c r="R571" s="17"/>
      <c r="S571" s="17">
        <f>S570+IF(M3_Silleteria!A175="",0,1)</f>
        <v>0</v>
      </c>
      <c r="T571" s="17" t="str">
        <f>IF(M3_Silleteria!A175="","",IF(M3_Silleteria!A175="","",M3_Silleteria!A175))</f>
        <v/>
      </c>
      <c r="U571" s="17" t="str">
        <f>IF(M3_Silleteria!A175="","",IF(M3_Silleteria!Q175="","",M3_Silleteria!Q175))</f>
        <v/>
      </c>
      <c r="V571" s="17" t="str">
        <f>IF(M3_Silleteria!A175="","",IF(M3_Silleteria!D175="","",M3_Silleteria!D175))</f>
        <v/>
      </c>
      <c r="W571" s="17" t="str">
        <f>IF(M3_Silleteria!A175="","",IF(M3_Silleteria!B175="","",M3_Silleteria!B175))</f>
        <v/>
      </c>
      <c r="X571" s="17" t="str">
        <f>IF(M3_Silleteria!A175="","",IF(M3_Silleteria!C175="","",M3_Silleteria!C175))</f>
        <v/>
      </c>
      <c r="Y571" s="17" t="str">
        <f>IF(M3_Silleteria!A175="","",IF(M3_Silleteria!E175="","",M3_Silleteria!E175))</f>
        <v/>
      </c>
      <c r="Z571" s="17" t="str">
        <f>IF(M3_Silleteria!A175="","",IF(M3_Silleteria!F175="","",M3_Silleteria!F175))</f>
        <v/>
      </c>
      <c r="AA571" s="17" t="str">
        <f>IF(M3_Silleteria!A175="","","M3 Silletería")</f>
        <v/>
      </c>
      <c r="AB571" s="17" t="str">
        <f>IF(M3_Silleteria!A175="","",IF(M3_Silleteria!G175="","",M3_Silleteria!G175))</f>
        <v/>
      </c>
      <c r="AC571" s="17" t="str">
        <f>IF(M3_Silleteria!A175="","",IF(M3_Silleteria!L175="","",M3_Silleteria!L175))</f>
        <v/>
      </c>
      <c r="AD571" s="17" t="str">
        <f>IF(M3_Silleteria!A175="","","CD")</f>
        <v/>
      </c>
      <c r="AE571" s="17" t="str">
        <f>IF(M3_Silleteria!A175="","",IF(M3_Silleteria!N175="","",M3_Silleteria!N175))</f>
        <v/>
      </c>
      <c r="AF571" s="17" t="str">
        <f>IF(M3_Silleteria!A175="","",IF(M3_Silleteria!O175="","",M3_Silleteria!O175))</f>
        <v/>
      </c>
      <c r="AG571" s="17" t="str">
        <f>IF(M3_Silleteria!A175="","",IF(M3_Silleteria!P175="","",M3_Silleteria!P175))</f>
        <v/>
      </c>
      <c r="AH571" s="17" t="str">
        <f>IF(M3_Silleteria!A175="","",IF(M3_Silleteria!H175="","",M3_Silleteria!H175))</f>
        <v/>
      </c>
      <c r="AI571" s="17" t="str">
        <f>IF(M3_Silleteria!A175="","","M3_Silleteria!175")</f>
        <v/>
      </c>
      <c r="AJ571" s="17" t="str">
        <f>IF(M3_Silleteria!A175="","",IF(M3_Silleteria!L175="","Pendiente de resultado","Disponible"))</f>
        <v/>
      </c>
    </row>
    <row r="572" spans="1:36" ht="55.5" customHeight="1">
      <c r="A572" s="6" t="str">
        <f t="array" ref="A572">IF(568&gt;$S$1204,"",INDEX($T$5:$AJ$1204,MATCH(568,$S$5:$S$1204,0),1))</f>
        <v/>
      </c>
      <c r="B572" s="8" t="str">
        <f t="array" ref="B572">IF(568&gt;$S$1204,"",INDEX($T$5:$AJ$1204,MATCH(568,$S$5:$S$1204,0),2))</f>
        <v/>
      </c>
      <c r="C572" s="10" t="str">
        <f t="array" ref="C572">IF(568&gt;$S$1204,"",INDEX($T$5:$AJ$1204,MATCH(568,$S$5:$S$1204,0),3))</f>
        <v/>
      </c>
      <c r="D572" s="8" t="str">
        <f t="array" ref="D572">IF(568&gt;$S$1204,"",INDEX($T$5:$AJ$1204,MATCH(568,$S$5:$S$1204,0),4))</f>
        <v/>
      </c>
      <c r="E572" s="8" t="str">
        <f t="array" ref="E572">IF(568&gt;$S$1204,"",INDEX($T$5:$AJ$1204,MATCH(568,$S$5:$S$1204,0),5))</f>
        <v/>
      </c>
      <c r="F572" s="8" t="str">
        <f t="array" ref="F572">IF(568&gt;$S$1204,"",INDEX($T$5:$AJ$1204,MATCH(568,$S$5:$S$1204,0),6))</f>
        <v/>
      </c>
      <c r="G572" s="8" t="str">
        <f t="array" ref="G572">IF(568&gt;$S$1204,"",INDEX($T$5:$AJ$1204,MATCH(568,$S$5:$S$1204,0),7))</f>
        <v/>
      </c>
      <c r="H572" s="8" t="str">
        <f t="array" ref="H572">IF(568&gt;$S$1204,"",INDEX($T$5:$AJ$1204,MATCH(568,$S$5:$S$1204,0),8))</f>
        <v/>
      </c>
      <c r="I572" s="8" t="str">
        <f t="array" ref="I572">IF(568&gt;$S$1204,"",INDEX($T$5:$AJ$1204,MATCH(568,$S$5:$S$1204,0),9))</f>
        <v/>
      </c>
      <c r="J572" s="14" t="str">
        <f t="array" ref="J572">IF(568&gt;$S$1204,"",INDEX($T$5:$AJ$1204,MATCH(568,$S$5:$S$1204,0),10))</f>
        <v/>
      </c>
      <c r="K572" s="8" t="str">
        <f t="array" ref="K572">IF(568&gt;$S$1204,"",INDEX($T$5:$AJ$1204,MATCH(568,$S$5:$S$1204,0),11))</f>
        <v/>
      </c>
      <c r="L572" s="8" t="str">
        <f t="array" ref="L572">IF(568&gt;$S$1204,"",INDEX($T$5:$AJ$1204,MATCH(568,$S$5:$S$1204,0),12))</f>
        <v/>
      </c>
      <c r="M572" s="8" t="str">
        <f t="array" ref="M572">IF(568&gt;$S$1204,"",INDEX($T$5:$AJ$1204,MATCH(568,$S$5:$S$1204,0),13))</f>
        <v/>
      </c>
      <c r="N572" s="8" t="str">
        <f t="array" ref="N572">IF(568&gt;$S$1204,"",INDEX($T$5:$AJ$1204,MATCH(568,$S$5:$S$1204,0),14))</f>
        <v/>
      </c>
      <c r="O572" s="15" t="str">
        <f t="array" ref="O572">IF(568&gt;$S$1204,"",INDEX($T$5:$AJ$1204,MATCH(568,$S$5:$S$1204,0),15))</f>
        <v/>
      </c>
      <c r="P572" s="8" t="str">
        <f t="array" ref="P572">IF(568&gt;$S$1204,"",INDEX($T$5:$AJ$1204,MATCH(568,$S$5:$S$1204,0),16))</f>
        <v/>
      </c>
      <c r="Q572" s="8" t="str">
        <f t="array" ref="Q572">IF(568&gt;$S$1204,"",INDEX($T$5:$AJ$1204,MATCH(568,$S$5:$S$1204,0),17))</f>
        <v/>
      </c>
      <c r="R572" s="17"/>
      <c r="S572" s="17">
        <f>S571+IF(M3_Silleteria!A176="",0,1)</f>
        <v>0</v>
      </c>
      <c r="T572" s="17" t="str">
        <f>IF(M3_Silleteria!A176="","",IF(M3_Silleteria!A176="","",M3_Silleteria!A176))</f>
        <v/>
      </c>
      <c r="U572" s="17" t="str">
        <f>IF(M3_Silleteria!A176="","",IF(M3_Silleteria!Q176="","",M3_Silleteria!Q176))</f>
        <v/>
      </c>
      <c r="V572" s="17" t="str">
        <f>IF(M3_Silleteria!A176="","",IF(M3_Silleteria!D176="","",M3_Silleteria!D176))</f>
        <v/>
      </c>
      <c r="W572" s="17" t="str">
        <f>IF(M3_Silleteria!A176="","",IF(M3_Silleteria!B176="","",M3_Silleteria!B176))</f>
        <v/>
      </c>
      <c r="X572" s="17" t="str">
        <f>IF(M3_Silleteria!A176="","",IF(M3_Silleteria!C176="","",M3_Silleteria!C176))</f>
        <v/>
      </c>
      <c r="Y572" s="17" t="str">
        <f>IF(M3_Silleteria!A176="","",IF(M3_Silleteria!E176="","",M3_Silleteria!E176))</f>
        <v/>
      </c>
      <c r="Z572" s="17" t="str">
        <f>IF(M3_Silleteria!A176="","",IF(M3_Silleteria!F176="","",M3_Silleteria!F176))</f>
        <v/>
      </c>
      <c r="AA572" s="17" t="str">
        <f>IF(M3_Silleteria!A176="","","M3 Silletería")</f>
        <v/>
      </c>
      <c r="AB572" s="17" t="str">
        <f>IF(M3_Silleteria!A176="","",IF(M3_Silleteria!G176="","",M3_Silleteria!G176))</f>
        <v/>
      </c>
      <c r="AC572" s="17" t="str">
        <f>IF(M3_Silleteria!A176="","",IF(M3_Silleteria!L176="","",M3_Silleteria!L176))</f>
        <v/>
      </c>
      <c r="AD572" s="17" t="str">
        <f>IF(M3_Silleteria!A176="","","CD")</f>
        <v/>
      </c>
      <c r="AE572" s="17" t="str">
        <f>IF(M3_Silleteria!A176="","",IF(M3_Silleteria!N176="","",M3_Silleteria!N176))</f>
        <v/>
      </c>
      <c r="AF572" s="17" t="str">
        <f>IF(M3_Silleteria!A176="","",IF(M3_Silleteria!O176="","",M3_Silleteria!O176))</f>
        <v/>
      </c>
      <c r="AG572" s="17" t="str">
        <f>IF(M3_Silleteria!A176="","",IF(M3_Silleteria!P176="","",M3_Silleteria!P176))</f>
        <v/>
      </c>
      <c r="AH572" s="17" t="str">
        <f>IF(M3_Silleteria!A176="","",IF(M3_Silleteria!H176="","",M3_Silleteria!H176))</f>
        <v/>
      </c>
      <c r="AI572" s="17" t="str">
        <f>IF(M3_Silleteria!A176="","","M3_Silleteria!176")</f>
        <v/>
      </c>
      <c r="AJ572" s="17" t="str">
        <f>IF(M3_Silleteria!A176="","",IF(M3_Silleteria!L176="","Pendiente de resultado","Disponible"))</f>
        <v/>
      </c>
    </row>
    <row r="573" spans="1:36" ht="55.5" customHeight="1">
      <c r="A573" s="6" t="str">
        <f t="array" ref="A573">IF(569&gt;$S$1204,"",INDEX($T$5:$AJ$1204,MATCH(569,$S$5:$S$1204,0),1))</f>
        <v/>
      </c>
      <c r="B573" s="8" t="str">
        <f t="array" ref="B573">IF(569&gt;$S$1204,"",INDEX($T$5:$AJ$1204,MATCH(569,$S$5:$S$1204,0),2))</f>
        <v/>
      </c>
      <c r="C573" s="10" t="str">
        <f t="array" ref="C573">IF(569&gt;$S$1204,"",INDEX($T$5:$AJ$1204,MATCH(569,$S$5:$S$1204,0),3))</f>
        <v/>
      </c>
      <c r="D573" s="8" t="str">
        <f t="array" ref="D573">IF(569&gt;$S$1204,"",INDEX($T$5:$AJ$1204,MATCH(569,$S$5:$S$1204,0),4))</f>
        <v/>
      </c>
      <c r="E573" s="8" t="str">
        <f t="array" ref="E573">IF(569&gt;$S$1204,"",INDEX($T$5:$AJ$1204,MATCH(569,$S$5:$S$1204,0),5))</f>
        <v/>
      </c>
      <c r="F573" s="8" t="str">
        <f t="array" ref="F573">IF(569&gt;$S$1204,"",INDEX($T$5:$AJ$1204,MATCH(569,$S$5:$S$1204,0),6))</f>
        <v/>
      </c>
      <c r="G573" s="8" t="str">
        <f t="array" ref="G573">IF(569&gt;$S$1204,"",INDEX($T$5:$AJ$1204,MATCH(569,$S$5:$S$1204,0),7))</f>
        <v/>
      </c>
      <c r="H573" s="8" t="str">
        <f t="array" ref="H573">IF(569&gt;$S$1204,"",INDEX($T$5:$AJ$1204,MATCH(569,$S$5:$S$1204,0),8))</f>
        <v/>
      </c>
      <c r="I573" s="8" t="str">
        <f t="array" ref="I573">IF(569&gt;$S$1204,"",INDEX($T$5:$AJ$1204,MATCH(569,$S$5:$S$1204,0),9))</f>
        <v/>
      </c>
      <c r="J573" s="14" t="str">
        <f t="array" ref="J573">IF(569&gt;$S$1204,"",INDEX($T$5:$AJ$1204,MATCH(569,$S$5:$S$1204,0),10))</f>
        <v/>
      </c>
      <c r="K573" s="8" t="str">
        <f t="array" ref="K573">IF(569&gt;$S$1204,"",INDEX($T$5:$AJ$1204,MATCH(569,$S$5:$S$1204,0),11))</f>
        <v/>
      </c>
      <c r="L573" s="8" t="str">
        <f t="array" ref="L573">IF(569&gt;$S$1204,"",INDEX($T$5:$AJ$1204,MATCH(569,$S$5:$S$1204,0),12))</f>
        <v/>
      </c>
      <c r="M573" s="8" t="str">
        <f t="array" ref="M573">IF(569&gt;$S$1204,"",INDEX($T$5:$AJ$1204,MATCH(569,$S$5:$S$1204,0),13))</f>
        <v/>
      </c>
      <c r="N573" s="8" t="str">
        <f t="array" ref="N573">IF(569&gt;$S$1204,"",INDEX($T$5:$AJ$1204,MATCH(569,$S$5:$S$1204,0),14))</f>
        <v/>
      </c>
      <c r="O573" s="15" t="str">
        <f t="array" ref="O573">IF(569&gt;$S$1204,"",INDEX($T$5:$AJ$1204,MATCH(569,$S$5:$S$1204,0),15))</f>
        <v/>
      </c>
      <c r="P573" s="8" t="str">
        <f t="array" ref="P573">IF(569&gt;$S$1204,"",INDEX($T$5:$AJ$1204,MATCH(569,$S$5:$S$1204,0),16))</f>
        <v/>
      </c>
      <c r="Q573" s="8" t="str">
        <f t="array" ref="Q573">IF(569&gt;$S$1204,"",INDEX($T$5:$AJ$1204,MATCH(569,$S$5:$S$1204,0),17))</f>
        <v/>
      </c>
      <c r="R573" s="17"/>
      <c r="S573" s="17">
        <f>S572+IF(M3_Silleteria!A177="",0,1)</f>
        <v>0</v>
      </c>
      <c r="T573" s="17" t="str">
        <f>IF(M3_Silleteria!A177="","",IF(M3_Silleteria!A177="","",M3_Silleteria!A177))</f>
        <v/>
      </c>
      <c r="U573" s="17" t="str">
        <f>IF(M3_Silleteria!A177="","",IF(M3_Silleteria!Q177="","",M3_Silleteria!Q177))</f>
        <v/>
      </c>
      <c r="V573" s="17" t="str">
        <f>IF(M3_Silleteria!A177="","",IF(M3_Silleteria!D177="","",M3_Silleteria!D177))</f>
        <v/>
      </c>
      <c r="W573" s="17" t="str">
        <f>IF(M3_Silleteria!A177="","",IF(M3_Silleteria!B177="","",M3_Silleteria!B177))</f>
        <v/>
      </c>
      <c r="X573" s="17" t="str">
        <f>IF(M3_Silleteria!A177="","",IF(M3_Silleteria!C177="","",M3_Silleteria!C177))</f>
        <v/>
      </c>
      <c r="Y573" s="17" t="str">
        <f>IF(M3_Silleteria!A177="","",IF(M3_Silleteria!E177="","",M3_Silleteria!E177))</f>
        <v/>
      </c>
      <c r="Z573" s="17" t="str">
        <f>IF(M3_Silleteria!A177="","",IF(M3_Silleteria!F177="","",M3_Silleteria!F177))</f>
        <v/>
      </c>
      <c r="AA573" s="17" t="str">
        <f>IF(M3_Silleteria!A177="","","M3 Silletería")</f>
        <v/>
      </c>
      <c r="AB573" s="17" t="str">
        <f>IF(M3_Silleteria!A177="","",IF(M3_Silleteria!G177="","",M3_Silleteria!G177))</f>
        <v/>
      </c>
      <c r="AC573" s="17" t="str">
        <f>IF(M3_Silleteria!A177="","",IF(M3_Silleteria!L177="","",M3_Silleteria!L177))</f>
        <v/>
      </c>
      <c r="AD573" s="17" t="str">
        <f>IF(M3_Silleteria!A177="","","CD")</f>
        <v/>
      </c>
      <c r="AE573" s="17" t="str">
        <f>IF(M3_Silleteria!A177="","",IF(M3_Silleteria!N177="","",M3_Silleteria!N177))</f>
        <v/>
      </c>
      <c r="AF573" s="17" t="str">
        <f>IF(M3_Silleteria!A177="","",IF(M3_Silleteria!O177="","",M3_Silleteria!O177))</f>
        <v/>
      </c>
      <c r="AG573" s="17" t="str">
        <f>IF(M3_Silleteria!A177="","",IF(M3_Silleteria!P177="","",M3_Silleteria!P177))</f>
        <v/>
      </c>
      <c r="AH573" s="17" t="str">
        <f>IF(M3_Silleteria!A177="","",IF(M3_Silleteria!H177="","",M3_Silleteria!H177))</f>
        <v/>
      </c>
      <c r="AI573" s="17" t="str">
        <f>IF(M3_Silleteria!A177="","","M3_Silleteria!177")</f>
        <v/>
      </c>
      <c r="AJ573" s="17" t="str">
        <f>IF(M3_Silleteria!A177="","",IF(M3_Silleteria!L177="","Pendiente de resultado","Disponible"))</f>
        <v/>
      </c>
    </row>
    <row r="574" spans="1:36" ht="55.5" customHeight="1">
      <c r="A574" s="6" t="str">
        <f t="array" ref="A574">IF(570&gt;$S$1204,"",INDEX($T$5:$AJ$1204,MATCH(570,$S$5:$S$1204,0),1))</f>
        <v/>
      </c>
      <c r="B574" s="8" t="str">
        <f t="array" ref="B574">IF(570&gt;$S$1204,"",INDEX($T$5:$AJ$1204,MATCH(570,$S$5:$S$1204,0),2))</f>
        <v/>
      </c>
      <c r="C574" s="10" t="str">
        <f t="array" ref="C574">IF(570&gt;$S$1204,"",INDEX($T$5:$AJ$1204,MATCH(570,$S$5:$S$1204,0),3))</f>
        <v/>
      </c>
      <c r="D574" s="8" t="str">
        <f t="array" ref="D574">IF(570&gt;$S$1204,"",INDEX($T$5:$AJ$1204,MATCH(570,$S$5:$S$1204,0),4))</f>
        <v/>
      </c>
      <c r="E574" s="8" t="str">
        <f t="array" ref="E574">IF(570&gt;$S$1204,"",INDEX($T$5:$AJ$1204,MATCH(570,$S$5:$S$1204,0),5))</f>
        <v/>
      </c>
      <c r="F574" s="8" t="str">
        <f t="array" ref="F574">IF(570&gt;$S$1204,"",INDEX($T$5:$AJ$1204,MATCH(570,$S$5:$S$1204,0),6))</f>
        <v/>
      </c>
      <c r="G574" s="8" t="str">
        <f t="array" ref="G574">IF(570&gt;$S$1204,"",INDEX($T$5:$AJ$1204,MATCH(570,$S$5:$S$1204,0),7))</f>
        <v/>
      </c>
      <c r="H574" s="8" t="str">
        <f t="array" ref="H574">IF(570&gt;$S$1204,"",INDEX($T$5:$AJ$1204,MATCH(570,$S$5:$S$1204,0),8))</f>
        <v/>
      </c>
      <c r="I574" s="8" t="str">
        <f t="array" ref="I574">IF(570&gt;$S$1204,"",INDEX($T$5:$AJ$1204,MATCH(570,$S$5:$S$1204,0),9))</f>
        <v/>
      </c>
      <c r="J574" s="14" t="str">
        <f t="array" ref="J574">IF(570&gt;$S$1204,"",INDEX($T$5:$AJ$1204,MATCH(570,$S$5:$S$1204,0),10))</f>
        <v/>
      </c>
      <c r="K574" s="8" t="str">
        <f t="array" ref="K574">IF(570&gt;$S$1204,"",INDEX($T$5:$AJ$1204,MATCH(570,$S$5:$S$1204,0),11))</f>
        <v/>
      </c>
      <c r="L574" s="8" t="str">
        <f t="array" ref="L574">IF(570&gt;$S$1204,"",INDEX($T$5:$AJ$1204,MATCH(570,$S$5:$S$1204,0),12))</f>
        <v/>
      </c>
      <c r="M574" s="8" t="str">
        <f t="array" ref="M574">IF(570&gt;$S$1204,"",INDEX($T$5:$AJ$1204,MATCH(570,$S$5:$S$1204,0),13))</f>
        <v/>
      </c>
      <c r="N574" s="8" t="str">
        <f t="array" ref="N574">IF(570&gt;$S$1204,"",INDEX($T$5:$AJ$1204,MATCH(570,$S$5:$S$1204,0),14))</f>
        <v/>
      </c>
      <c r="O574" s="15" t="str">
        <f t="array" ref="O574">IF(570&gt;$S$1204,"",INDEX($T$5:$AJ$1204,MATCH(570,$S$5:$S$1204,0),15))</f>
        <v/>
      </c>
      <c r="P574" s="8" t="str">
        <f t="array" ref="P574">IF(570&gt;$S$1204,"",INDEX($T$5:$AJ$1204,MATCH(570,$S$5:$S$1204,0),16))</f>
        <v/>
      </c>
      <c r="Q574" s="8" t="str">
        <f t="array" ref="Q574">IF(570&gt;$S$1204,"",INDEX($T$5:$AJ$1204,MATCH(570,$S$5:$S$1204,0),17))</f>
        <v/>
      </c>
      <c r="R574" s="17"/>
      <c r="S574" s="17">
        <f>S573+IF(M3_Silleteria!A178="",0,1)</f>
        <v>0</v>
      </c>
      <c r="T574" s="17" t="str">
        <f>IF(M3_Silleteria!A178="","",IF(M3_Silleteria!A178="","",M3_Silleteria!A178))</f>
        <v/>
      </c>
      <c r="U574" s="17" t="str">
        <f>IF(M3_Silleteria!A178="","",IF(M3_Silleteria!Q178="","",M3_Silleteria!Q178))</f>
        <v/>
      </c>
      <c r="V574" s="17" t="str">
        <f>IF(M3_Silleteria!A178="","",IF(M3_Silleteria!D178="","",M3_Silleteria!D178))</f>
        <v/>
      </c>
      <c r="W574" s="17" t="str">
        <f>IF(M3_Silleteria!A178="","",IF(M3_Silleteria!B178="","",M3_Silleteria!B178))</f>
        <v/>
      </c>
      <c r="X574" s="17" t="str">
        <f>IF(M3_Silleteria!A178="","",IF(M3_Silleteria!C178="","",M3_Silleteria!C178))</f>
        <v/>
      </c>
      <c r="Y574" s="17" t="str">
        <f>IF(M3_Silleteria!A178="","",IF(M3_Silleteria!E178="","",M3_Silleteria!E178))</f>
        <v/>
      </c>
      <c r="Z574" s="17" t="str">
        <f>IF(M3_Silleteria!A178="","",IF(M3_Silleteria!F178="","",M3_Silleteria!F178))</f>
        <v/>
      </c>
      <c r="AA574" s="17" t="str">
        <f>IF(M3_Silleteria!A178="","","M3 Silletería")</f>
        <v/>
      </c>
      <c r="AB574" s="17" t="str">
        <f>IF(M3_Silleteria!A178="","",IF(M3_Silleteria!G178="","",M3_Silleteria!G178))</f>
        <v/>
      </c>
      <c r="AC574" s="17" t="str">
        <f>IF(M3_Silleteria!A178="","",IF(M3_Silleteria!L178="","",M3_Silleteria!L178))</f>
        <v/>
      </c>
      <c r="AD574" s="17" t="str">
        <f>IF(M3_Silleteria!A178="","","CD")</f>
        <v/>
      </c>
      <c r="AE574" s="17" t="str">
        <f>IF(M3_Silleteria!A178="","",IF(M3_Silleteria!N178="","",M3_Silleteria!N178))</f>
        <v/>
      </c>
      <c r="AF574" s="17" t="str">
        <f>IF(M3_Silleteria!A178="","",IF(M3_Silleteria!O178="","",M3_Silleteria!O178))</f>
        <v/>
      </c>
      <c r="AG574" s="17" t="str">
        <f>IF(M3_Silleteria!A178="","",IF(M3_Silleteria!P178="","",M3_Silleteria!P178))</f>
        <v/>
      </c>
      <c r="AH574" s="17" t="str">
        <f>IF(M3_Silleteria!A178="","",IF(M3_Silleteria!H178="","",M3_Silleteria!H178))</f>
        <v/>
      </c>
      <c r="AI574" s="17" t="str">
        <f>IF(M3_Silleteria!A178="","","M3_Silleteria!178")</f>
        <v/>
      </c>
      <c r="AJ574" s="17" t="str">
        <f>IF(M3_Silleteria!A178="","",IF(M3_Silleteria!L178="","Pendiente de resultado","Disponible"))</f>
        <v/>
      </c>
    </row>
    <row r="575" spans="1:36" ht="55.5" customHeight="1">
      <c r="A575" s="6" t="str">
        <f t="array" ref="A575">IF(571&gt;$S$1204,"",INDEX($T$5:$AJ$1204,MATCH(571,$S$5:$S$1204,0),1))</f>
        <v/>
      </c>
      <c r="B575" s="8" t="str">
        <f t="array" ref="B575">IF(571&gt;$S$1204,"",INDEX($T$5:$AJ$1204,MATCH(571,$S$5:$S$1204,0),2))</f>
        <v/>
      </c>
      <c r="C575" s="10" t="str">
        <f t="array" ref="C575">IF(571&gt;$S$1204,"",INDEX($T$5:$AJ$1204,MATCH(571,$S$5:$S$1204,0),3))</f>
        <v/>
      </c>
      <c r="D575" s="8" t="str">
        <f t="array" ref="D575">IF(571&gt;$S$1204,"",INDEX($T$5:$AJ$1204,MATCH(571,$S$5:$S$1204,0),4))</f>
        <v/>
      </c>
      <c r="E575" s="8" t="str">
        <f t="array" ref="E575">IF(571&gt;$S$1204,"",INDEX($T$5:$AJ$1204,MATCH(571,$S$5:$S$1204,0),5))</f>
        <v/>
      </c>
      <c r="F575" s="8" t="str">
        <f t="array" ref="F575">IF(571&gt;$S$1204,"",INDEX($T$5:$AJ$1204,MATCH(571,$S$5:$S$1204,0),6))</f>
        <v/>
      </c>
      <c r="G575" s="8" t="str">
        <f t="array" ref="G575">IF(571&gt;$S$1204,"",INDEX($T$5:$AJ$1204,MATCH(571,$S$5:$S$1204,0),7))</f>
        <v/>
      </c>
      <c r="H575" s="8" t="str">
        <f t="array" ref="H575">IF(571&gt;$S$1204,"",INDEX($T$5:$AJ$1204,MATCH(571,$S$5:$S$1204,0),8))</f>
        <v/>
      </c>
      <c r="I575" s="8" t="str">
        <f t="array" ref="I575">IF(571&gt;$S$1204,"",INDEX($T$5:$AJ$1204,MATCH(571,$S$5:$S$1204,0),9))</f>
        <v/>
      </c>
      <c r="J575" s="14" t="str">
        <f t="array" ref="J575">IF(571&gt;$S$1204,"",INDEX($T$5:$AJ$1204,MATCH(571,$S$5:$S$1204,0),10))</f>
        <v/>
      </c>
      <c r="K575" s="8" t="str">
        <f t="array" ref="K575">IF(571&gt;$S$1204,"",INDEX($T$5:$AJ$1204,MATCH(571,$S$5:$S$1204,0),11))</f>
        <v/>
      </c>
      <c r="L575" s="8" t="str">
        <f t="array" ref="L575">IF(571&gt;$S$1204,"",INDEX($T$5:$AJ$1204,MATCH(571,$S$5:$S$1204,0),12))</f>
        <v/>
      </c>
      <c r="M575" s="8" t="str">
        <f t="array" ref="M575">IF(571&gt;$S$1204,"",INDEX($T$5:$AJ$1204,MATCH(571,$S$5:$S$1204,0),13))</f>
        <v/>
      </c>
      <c r="N575" s="8" t="str">
        <f t="array" ref="N575">IF(571&gt;$S$1204,"",INDEX($T$5:$AJ$1204,MATCH(571,$S$5:$S$1204,0),14))</f>
        <v/>
      </c>
      <c r="O575" s="15" t="str">
        <f t="array" ref="O575">IF(571&gt;$S$1204,"",INDEX($T$5:$AJ$1204,MATCH(571,$S$5:$S$1204,0),15))</f>
        <v/>
      </c>
      <c r="P575" s="8" t="str">
        <f t="array" ref="P575">IF(571&gt;$S$1204,"",INDEX($T$5:$AJ$1204,MATCH(571,$S$5:$S$1204,0),16))</f>
        <v/>
      </c>
      <c r="Q575" s="8" t="str">
        <f t="array" ref="Q575">IF(571&gt;$S$1204,"",INDEX($T$5:$AJ$1204,MATCH(571,$S$5:$S$1204,0),17))</f>
        <v/>
      </c>
      <c r="R575" s="17"/>
      <c r="S575" s="17">
        <f>S574+IF(M3_Silleteria!A179="",0,1)</f>
        <v>0</v>
      </c>
      <c r="T575" s="17" t="str">
        <f>IF(M3_Silleteria!A179="","",IF(M3_Silleteria!A179="","",M3_Silleteria!A179))</f>
        <v/>
      </c>
      <c r="U575" s="17" t="str">
        <f>IF(M3_Silleteria!A179="","",IF(M3_Silleteria!Q179="","",M3_Silleteria!Q179))</f>
        <v/>
      </c>
      <c r="V575" s="17" t="str">
        <f>IF(M3_Silleteria!A179="","",IF(M3_Silleteria!D179="","",M3_Silleteria!D179))</f>
        <v/>
      </c>
      <c r="W575" s="17" t="str">
        <f>IF(M3_Silleteria!A179="","",IF(M3_Silleteria!B179="","",M3_Silleteria!B179))</f>
        <v/>
      </c>
      <c r="X575" s="17" t="str">
        <f>IF(M3_Silleteria!A179="","",IF(M3_Silleteria!C179="","",M3_Silleteria!C179))</f>
        <v/>
      </c>
      <c r="Y575" s="17" t="str">
        <f>IF(M3_Silleteria!A179="","",IF(M3_Silleteria!E179="","",M3_Silleteria!E179))</f>
        <v/>
      </c>
      <c r="Z575" s="17" t="str">
        <f>IF(M3_Silleteria!A179="","",IF(M3_Silleteria!F179="","",M3_Silleteria!F179))</f>
        <v/>
      </c>
      <c r="AA575" s="17" t="str">
        <f>IF(M3_Silleteria!A179="","","M3 Silletería")</f>
        <v/>
      </c>
      <c r="AB575" s="17" t="str">
        <f>IF(M3_Silleteria!A179="","",IF(M3_Silleteria!G179="","",M3_Silleteria!G179))</f>
        <v/>
      </c>
      <c r="AC575" s="17" t="str">
        <f>IF(M3_Silleteria!A179="","",IF(M3_Silleteria!L179="","",M3_Silleteria!L179))</f>
        <v/>
      </c>
      <c r="AD575" s="17" t="str">
        <f>IF(M3_Silleteria!A179="","","CD")</f>
        <v/>
      </c>
      <c r="AE575" s="17" t="str">
        <f>IF(M3_Silleteria!A179="","",IF(M3_Silleteria!N179="","",M3_Silleteria!N179))</f>
        <v/>
      </c>
      <c r="AF575" s="17" t="str">
        <f>IF(M3_Silleteria!A179="","",IF(M3_Silleteria!O179="","",M3_Silleteria!O179))</f>
        <v/>
      </c>
      <c r="AG575" s="17" t="str">
        <f>IF(M3_Silleteria!A179="","",IF(M3_Silleteria!P179="","",M3_Silleteria!P179))</f>
        <v/>
      </c>
      <c r="AH575" s="17" t="str">
        <f>IF(M3_Silleteria!A179="","",IF(M3_Silleteria!H179="","",M3_Silleteria!H179))</f>
        <v/>
      </c>
      <c r="AI575" s="17" t="str">
        <f>IF(M3_Silleteria!A179="","","M3_Silleteria!179")</f>
        <v/>
      </c>
      <c r="AJ575" s="17" t="str">
        <f>IF(M3_Silleteria!A179="","",IF(M3_Silleteria!L179="","Pendiente de resultado","Disponible"))</f>
        <v/>
      </c>
    </row>
    <row r="576" spans="1:36" ht="55.5" customHeight="1">
      <c r="A576" s="6" t="str">
        <f t="array" ref="A576">IF(572&gt;$S$1204,"",INDEX($T$5:$AJ$1204,MATCH(572,$S$5:$S$1204,0),1))</f>
        <v/>
      </c>
      <c r="B576" s="8" t="str">
        <f t="array" ref="B576">IF(572&gt;$S$1204,"",INDEX($T$5:$AJ$1204,MATCH(572,$S$5:$S$1204,0),2))</f>
        <v/>
      </c>
      <c r="C576" s="10" t="str">
        <f t="array" ref="C576">IF(572&gt;$S$1204,"",INDEX($T$5:$AJ$1204,MATCH(572,$S$5:$S$1204,0),3))</f>
        <v/>
      </c>
      <c r="D576" s="8" t="str">
        <f t="array" ref="D576">IF(572&gt;$S$1204,"",INDEX($T$5:$AJ$1204,MATCH(572,$S$5:$S$1204,0),4))</f>
        <v/>
      </c>
      <c r="E576" s="8" t="str">
        <f t="array" ref="E576">IF(572&gt;$S$1204,"",INDEX($T$5:$AJ$1204,MATCH(572,$S$5:$S$1204,0),5))</f>
        <v/>
      </c>
      <c r="F576" s="8" t="str">
        <f t="array" ref="F576">IF(572&gt;$S$1204,"",INDEX($T$5:$AJ$1204,MATCH(572,$S$5:$S$1204,0),6))</f>
        <v/>
      </c>
      <c r="G576" s="8" t="str">
        <f t="array" ref="G576">IF(572&gt;$S$1204,"",INDEX($T$5:$AJ$1204,MATCH(572,$S$5:$S$1204,0),7))</f>
        <v/>
      </c>
      <c r="H576" s="8" t="str">
        <f t="array" ref="H576">IF(572&gt;$S$1204,"",INDEX($T$5:$AJ$1204,MATCH(572,$S$5:$S$1204,0),8))</f>
        <v/>
      </c>
      <c r="I576" s="8" t="str">
        <f t="array" ref="I576">IF(572&gt;$S$1204,"",INDEX($T$5:$AJ$1204,MATCH(572,$S$5:$S$1204,0),9))</f>
        <v/>
      </c>
      <c r="J576" s="14" t="str">
        <f t="array" ref="J576">IF(572&gt;$S$1204,"",INDEX($T$5:$AJ$1204,MATCH(572,$S$5:$S$1204,0),10))</f>
        <v/>
      </c>
      <c r="K576" s="8" t="str">
        <f t="array" ref="K576">IF(572&gt;$S$1204,"",INDEX($T$5:$AJ$1204,MATCH(572,$S$5:$S$1204,0),11))</f>
        <v/>
      </c>
      <c r="L576" s="8" t="str">
        <f t="array" ref="L576">IF(572&gt;$S$1204,"",INDEX($T$5:$AJ$1204,MATCH(572,$S$5:$S$1204,0),12))</f>
        <v/>
      </c>
      <c r="M576" s="8" t="str">
        <f t="array" ref="M576">IF(572&gt;$S$1204,"",INDEX($T$5:$AJ$1204,MATCH(572,$S$5:$S$1204,0),13))</f>
        <v/>
      </c>
      <c r="N576" s="8" t="str">
        <f t="array" ref="N576">IF(572&gt;$S$1204,"",INDEX($T$5:$AJ$1204,MATCH(572,$S$5:$S$1204,0),14))</f>
        <v/>
      </c>
      <c r="O576" s="15" t="str">
        <f t="array" ref="O576">IF(572&gt;$S$1204,"",INDEX($T$5:$AJ$1204,MATCH(572,$S$5:$S$1204,0),15))</f>
        <v/>
      </c>
      <c r="P576" s="8" t="str">
        <f t="array" ref="P576">IF(572&gt;$S$1204,"",INDEX($T$5:$AJ$1204,MATCH(572,$S$5:$S$1204,0),16))</f>
        <v/>
      </c>
      <c r="Q576" s="8" t="str">
        <f t="array" ref="Q576">IF(572&gt;$S$1204,"",INDEX($T$5:$AJ$1204,MATCH(572,$S$5:$S$1204,0),17))</f>
        <v/>
      </c>
      <c r="R576" s="17"/>
      <c r="S576" s="17">
        <f>S575+IF(M3_Silleteria!A180="",0,1)</f>
        <v>0</v>
      </c>
      <c r="T576" s="17" t="str">
        <f>IF(M3_Silleteria!A180="","",IF(M3_Silleteria!A180="","",M3_Silleteria!A180))</f>
        <v/>
      </c>
      <c r="U576" s="17" t="str">
        <f>IF(M3_Silleteria!A180="","",IF(M3_Silleteria!Q180="","",M3_Silleteria!Q180))</f>
        <v/>
      </c>
      <c r="V576" s="17" t="str">
        <f>IF(M3_Silleteria!A180="","",IF(M3_Silleteria!D180="","",M3_Silleteria!D180))</f>
        <v/>
      </c>
      <c r="W576" s="17" t="str">
        <f>IF(M3_Silleteria!A180="","",IF(M3_Silleteria!B180="","",M3_Silleteria!B180))</f>
        <v/>
      </c>
      <c r="X576" s="17" t="str">
        <f>IF(M3_Silleteria!A180="","",IF(M3_Silleteria!C180="","",M3_Silleteria!C180))</f>
        <v/>
      </c>
      <c r="Y576" s="17" t="str">
        <f>IF(M3_Silleteria!A180="","",IF(M3_Silleteria!E180="","",M3_Silleteria!E180))</f>
        <v/>
      </c>
      <c r="Z576" s="17" t="str">
        <f>IF(M3_Silleteria!A180="","",IF(M3_Silleteria!F180="","",M3_Silleteria!F180))</f>
        <v/>
      </c>
      <c r="AA576" s="17" t="str">
        <f>IF(M3_Silleteria!A180="","","M3 Silletería")</f>
        <v/>
      </c>
      <c r="AB576" s="17" t="str">
        <f>IF(M3_Silleteria!A180="","",IF(M3_Silleteria!G180="","",M3_Silleteria!G180))</f>
        <v/>
      </c>
      <c r="AC576" s="17" t="str">
        <f>IF(M3_Silleteria!A180="","",IF(M3_Silleteria!L180="","",M3_Silleteria!L180))</f>
        <v/>
      </c>
      <c r="AD576" s="17" t="str">
        <f>IF(M3_Silleteria!A180="","","CD")</f>
        <v/>
      </c>
      <c r="AE576" s="17" t="str">
        <f>IF(M3_Silleteria!A180="","",IF(M3_Silleteria!N180="","",M3_Silleteria!N180))</f>
        <v/>
      </c>
      <c r="AF576" s="17" t="str">
        <f>IF(M3_Silleteria!A180="","",IF(M3_Silleteria!O180="","",M3_Silleteria!O180))</f>
        <v/>
      </c>
      <c r="AG576" s="17" t="str">
        <f>IF(M3_Silleteria!A180="","",IF(M3_Silleteria!P180="","",M3_Silleteria!P180))</f>
        <v/>
      </c>
      <c r="AH576" s="17" t="str">
        <f>IF(M3_Silleteria!A180="","",IF(M3_Silleteria!H180="","",M3_Silleteria!H180))</f>
        <v/>
      </c>
      <c r="AI576" s="17" t="str">
        <f>IF(M3_Silleteria!A180="","","M3_Silleteria!180")</f>
        <v/>
      </c>
      <c r="AJ576" s="17" t="str">
        <f>IF(M3_Silleteria!A180="","",IF(M3_Silleteria!L180="","Pendiente de resultado","Disponible"))</f>
        <v/>
      </c>
    </row>
    <row r="577" spans="1:36" ht="55.5" customHeight="1">
      <c r="A577" s="6" t="str">
        <f t="array" ref="A577">IF(573&gt;$S$1204,"",INDEX($T$5:$AJ$1204,MATCH(573,$S$5:$S$1204,0),1))</f>
        <v/>
      </c>
      <c r="B577" s="8" t="str">
        <f t="array" ref="B577">IF(573&gt;$S$1204,"",INDEX($T$5:$AJ$1204,MATCH(573,$S$5:$S$1204,0),2))</f>
        <v/>
      </c>
      <c r="C577" s="10" t="str">
        <f t="array" ref="C577">IF(573&gt;$S$1204,"",INDEX($T$5:$AJ$1204,MATCH(573,$S$5:$S$1204,0),3))</f>
        <v/>
      </c>
      <c r="D577" s="8" t="str">
        <f t="array" ref="D577">IF(573&gt;$S$1204,"",INDEX($T$5:$AJ$1204,MATCH(573,$S$5:$S$1204,0),4))</f>
        <v/>
      </c>
      <c r="E577" s="8" t="str">
        <f t="array" ref="E577">IF(573&gt;$S$1204,"",INDEX($T$5:$AJ$1204,MATCH(573,$S$5:$S$1204,0),5))</f>
        <v/>
      </c>
      <c r="F577" s="8" t="str">
        <f t="array" ref="F577">IF(573&gt;$S$1204,"",INDEX($T$5:$AJ$1204,MATCH(573,$S$5:$S$1204,0),6))</f>
        <v/>
      </c>
      <c r="G577" s="8" t="str">
        <f t="array" ref="G577">IF(573&gt;$S$1204,"",INDEX($T$5:$AJ$1204,MATCH(573,$S$5:$S$1204,0),7))</f>
        <v/>
      </c>
      <c r="H577" s="8" t="str">
        <f t="array" ref="H577">IF(573&gt;$S$1204,"",INDEX($T$5:$AJ$1204,MATCH(573,$S$5:$S$1204,0),8))</f>
        <v/>
      </c>
      <c r="I577" s="8" t="str">
        <f t="array" ref="I577">IF(573&gt;$S$1204,"",INDEX($T$5:$AJ$1204,MATCH(573,$S$5:$S$1204,0),9))</f>
        <v/>
      </c>
      <c r="J577" s="14" t="str">
        <f t="array" ref="J577">IF(573&gt;$S$1204,"",INDEX($T$5:$AJ$1204,MATCH(573,$S$5:$S$1204,0),10))</f>
        <v/>
      </c>
      <c r="K577" s="8" t="str">
        <f t="array" ref="K577">IF(573&gt;$S$1204,"",INDEX($T$5:$AJ$1204,MATCH(573,$S$5:$S$1204,0),11))</f>
        <v/>
      </c>
      <c r="L577" s="8" t="str">
        <f t="array" ref="L577">IF(573&gt;$S$1204,"",INDEX($T$5:$AJ$1204,MATCH(573,$S$5:$S$1204,0),12))</f>
        <v/>
      </c>
      <c r="M577" s="8" t="str">
        <f t="array" ref="M577">IF(573&gt;$S$1204,"",INDEX($T$5:$AJ$1204,MATCH(573,$S$5:$S$1204,0),13))</f>
        <v/>
      </c>
      <c r="N577" s="8" t="str">
        <f t="array" ref="N577">IF(573&gt;$S$1204,"",INDEX($T$5:$AJ$1204,MATCH(573,$S$5:$S$1204,0),14))</f>
        <v/>
      </c>
      <c r="O577" s="15" t="str">
        <f t="array" ref="O577">IF(573&gt;$S$1204,"",INDEX($T$5:$AJ$1204,MATCH(573,$S$5:$S$1204,0),15))</f>
        <v/>
      </c>
      <c r="P577" s="8" t="str">
        <f t="array" ref="P577">IF(573&gt;$S$1204,"",INDEX($T$5:$AJ$1204,MATCH(573,$S$5:$S$1204,0),16))</f>
        <v/>
      </c>
      <c r="Q577" s="8" t="str">
        <f t="array" ref="Q577">IF(573&gt;$S$1204,"",INDEX($T$5:$AJ$1204,MATCH(573,$S$5:$S$1204,0),17))</f>
        <v/>
      </c>
      <c r="R577" s="17"/>
      <c r="S577" s="17">
        <f>S576+IF(M3_Silleteria!A181="",0,1)</f>
        <v>0</v>
      </c>
      <c r="T577" s="17" t="str">
        <f>IF(M3_Silleteria!A181="","",IF(M3_Silleteria!A181="","",M3_Silleteria!A181))</f>
        <v/>
      </c>
      <c r="U577" s="17" t="str">
        <f>IF(M3_Silleteria!A181="","",IF(M3_Silleteria!Q181="","",M3_Silleteria!Q181))</f>
        <v/>
      </c>
      <c r="V577" s="17" t="str">
        <f>IF(M3_Silleteria!A181="","",IF(M3_Silleteria!D181="","",M3_Silleteria!D181))</f>
        <v/>
      </c>
      <c r="W577" s="17" t="str">
        <f>IF(M3_Silleteria!A181="","",IF(M3_Silleteria!B181="","",M3_Silleteria!B181))</f>
        <v/>
      </c>
      <c r="X577" s="17" t="str">
        <f>IF(M3_Silleteria!A181="","",IF(M3_Silleteria!C181="","",M3_Silleteria!C181))</f>
        <v/>
      </c>
      <c r="Y577" s="17" t="str">
        <f>IF(M3_Silleteria!A181="","",IF(M3_Silleteria!E181="","",M3_Silleteria!E181))</f>
        <v/>
      </c>
      <c r="Z577" s="17" t="str">
        <f>IF(M3_Silleteria!A181="","",IF(M3_Silleteria!F181="","",M3_Silleteria!F181))</f>
        <v/>
      </c>
      <c r="AA577" s="17" t="str">
        <f>IF(M3_Silleteria!A181="","","M3 Silletería")</f>
        <v/>
      </c>
      <c r="AB577" s="17" t="str">
        <f>IF(M3_Silleteria!A181="","",IF(M3_Silleteria!G181="","",M3_Silleteria!G181))</f>
        <v/>
      </c>
      <c r="AC577" s="17" t="str">
        <f>IF(M3_Silleteria!A181="","",IF(M3_Silleteria!L181="","",M3_Silleteria!L181))</f>
        <v/>
      </c>
      <c r="AD577" s="17" t="str">
        <f>IF(M3_Silleteria!A181="","","CD")</f>
        <v/>
      </c>
      <c r="AE577" s="17" t="str">
        <f>IF(M3_Silleteria!A181="","",IF(M3_Silleteria!N181="","",M3_Silleteria!N181))</f>
        <v/>
      </c>
      <c r="AF577" s="17" t="str">
        <f>IF(M3_Silleteria!A181="","",IF(M3_Silleteria!O181="","",M3_Silleteria!O181))</f>
        <v/>
      </c>
      <c r="AG577" s="17" t="str">
        <f>IF(M3_Silleteria!A181="","",IF(M3_Silleteria!P181="","",M3_Silleteria!P181))</f>
        <v/>
      </c>
      <c r="AH577" s="17" t="str">
        <f>IF(M3_Silleteria!A181="","",IF(M3_Silleteria!H181="","",M3_Silleteria!H181))</f>
        <v/>
      </c>
      <c r="AI577" s="17" t="str">
        <f>IF(M3_Silleteria!A181="","","M3_Silleteria!181")</f>
        <v/>
      </c>
      <c r="AJ577" s="17" t="str">
        <f>IF(M3_Silleteria!A181="","",IF(M3_Silleteria!L181="","Pendiente de resultado","Disponible"))</f>
        <v/>
      </c>
    </row>
    <row r="578" spans="1:36" ht="55.5" customHeight="1">
      <c r="A578" s="6" t="str">
        <f t="array" ref="A578">IF(574&gt;$S$1204,"",INDEX($T$5:$AJ$1204,MATCH(574,$S$5:$S$1204,0),1))</f>
        <v/>
      </c>
      <c r="B578" s="8" t="str">
        <f t="array" ref="B578">IF(574&gt;$S$1204,"",INDEX($T$5:$AJ$1204,MATCH(574,$S$5:$S$1204,0),2))</f>
        <v/>
      </c>
      <c r="C578" s="10" t="str">
        <f t="array" ref="C578">IF(574&gt;$S$1204,"",INDEX($T$5:$AJ$1204,MATCH(574,$S$5:$S$1204,0),3))</f>
        <v/>
      </c>
      <c r="D578" s="8" t="str">
        <f t="array" ref="D578">IF(574&gt;$S$1204,"",INDEX($T$5:$AJ$1204,MATCH(574,$S$5:$S$1204,0),4))</f>
        <v/>
      </c>
      <c r="E578" s="8" t="str">
        <f t="array" ref="E578">IF(574&gt;$S$1204,"",INDEX($T$5:$AJ$1204,MATCH(574,$S$5:$S$1204,0),5))</f>
        <v/>
      </c>
      <c r="F578" s="8" t="str">
        <f t="array" ref="F578">IF(574&gt;$S$1204,"",INDEX($T$5:$AJ$1204,MATCH(574,$S$5:$S$1204,0),6))</f>
        <v/>
      </c>
      <c r="G578" s="8" t="str">
        <f t="array" ref="G578">IF(574&gt;$S$1204,"",INDEX($T$5:$AJ$1204,MATCH(574,$S$5:$S$1204,0),7))</f>
        <v/>
      </c>
      <c r="H578" s="8" t="str">
        <f t="array" ref="H578">IF(574&gt;$S$1204,"",INDEX($T$5:$AJ$1204,MATCH(574,$S$5:$S$1204,0),8))</f>
        <v/>
      </c>
      <c r="I578" s="8" t="str">
        <f t="array" ref="I578">IF(574&gt;$S$1204,"",INDEX($T$5:$AJ$1204,MATCH(574,$S$5:$S$1204,0),9))</f>
        <v/>
      </c>
      <c r="J578" s="14" t="str">
        <f t="array" ref="J578">IF(574&gt;$S$1204,"",INDEX($T$5:$AJ$1204,MATCH(574,$S$5:$S$1204,0),10))</f>
        <v/>
      </c>
      <c r="K578" s="8" t="str">
        <f t="array" ref="K578">IF(574&gt;$S$1204,"",INDEX($T$5:$AJ$1204,MATCH(574,$S$5:$S$1204,0),11))</f>
        <v/>
      </c>
      <c r="L578" s="8" t="str">
        <f t="array" ref="L578">IF(574&gt;$S$1204,"",INDEX($T$5:$AJ$1204,MATCH(574,$S$5:$S$1204,0),12))</f>
        <v/>
      </c>
      <c r="M578" s="8" t="str">
        <f t="array" ref="M578">IF(574&gt;$S$1204,"",INDEX($T$5:$AJ$1204,MATCH(574,$S$5:$S$1204,0),13))</f>
        <v/>
      </c>
      <c r="N578" s="8" t="str">
        <f t="array" ref="N578">IF(574&gt;$S$1204,"",INDEX($T$5:$AJ$1204,MATCH(574,$S$5:$S$1204,0),14))</f>
        <v/>
      </c>
      <c r="O578" s="15" t="str">
        <f t="array" ref="O578">IF(574&gt;$S$1204,"",INDEX($T$5:$AJ$1204,MATCH(574,$S$5:$S$1204,0),15))</f>
        <v/>
      </c>
      <c r="P578" s="8" t="str">
        <f t="array" ref="P578">IF(574&gt;$S$1204,"",INDEX($T$5:$AJ$1204,MATCH(574,$S$5:$S$1204,0),16))</f>
        <v/>
      </c>
      <c r="Q578" s="8" t="str">
        <f t="array" ref="Q578">IF(574&gt;$S$1204,"",INDEX($T$5:$AJ$1204,MATCH(574,$S$5:$S$1204,0),17))</f>
        <v/>
      </c>
      <c r="R578" s="17"/>
      <c r="S578" s="17">
        <f>S577+IF(M3_Silleteria!A182="",0,1)</f>
        <v>0</v>
      </c>
      <c r="T578" s="17" t="str">
        <f>IF(M3_Silleteria!A182="","",IF(M3_Silleteria!A182="","",M3_Silleteria!A182))</f>
        <v/>
      </c>
      <c r="U578" s="17" t="str">
        <f>IF(M3_Silleteria!A182="","",IF(M3_Silleteria!Q182="","",M3_Silleteria!Q182))</f>
        <v/>
      </c>
      <c r="V578" s="17" t="str">
        <f>IF(M3_Silleteria!A182="","",IF(M3_Silleteria!D182="","",M3_Silleteria!D182))</f>
        <v/>
      </c>
      <c r="W578" s="17" t="str">
        <f>IF(M3_Silleteria!A182="","",IF(M3_Silleteria!B182="","",M3_Silleteria!B182))</f>
        <v/>
      </c>
      <c r="X578" s="17" t="str">
        <f>IF(M3_Silleteria!A182="","",IF(M3_Silleteria!C182="","",M3_Silleteria!C182))</f>
        <v/>
      </c>
      <c r="Y578" s="17" t="str">
        <f>IF(M3_Silleteria!A182="","",IF(M3_Silleteria!E182="","",M3_Silleteria!E182))</f>
        <v/>
      </c>
      <c r="Z578" s="17" t="str">
        <f>IF(M3_Silleteria!A182="","",IF(M3_Silleteria!F182="","",M3_Silleteria!F182))</f>
        <v/>
      </c>
      <c r="AA578" s="17" t="str">
        <f>IF(M3_Silleteria!A182="","","M3 Silletería")</f>
        <v/>
      </c>
      <c r="AB578" s="17" t="str">
        <f>IF(M3_Silleteria!A182="","",IF(M3_Silleteria!G182="","",M3_Silleteria!G182))</f>
        <v/>
      </c>
      <c r="AC578" s="17" t="str">
        <f>IF(M3_Silleteria!A182="","",IF(M3_Silleteria!L182="","",M3_Silleteria!L182))</f>
        <v/>
      </c>
      <c r="AD578" s="17" t="str">
        <f>IF(M3_Silleteria!A182="","","CD")</f>
        <v/>
      </c>
      <c r="AE578" s="17" t="str">
        <f>IF(M3_Silleteria!A182="","",IF(M3_Silleteria!N182="","",M3_Silleteria!N182))</f>
        <v/>
      </c>
      <c r="AF578" s="17" t="str">
        <f>IF(M3_Silleteria!A182="","",IF(M3_Silleteria!O182="","",M3_Silleteria!O182))</f>
        <v/>
      </c>
      <c r="AG578" s="17" t="str">
        <f>IF(M3_Silleteria!A182="","",IF(M3_Silleteria!P182="","",M3_Silleteria!P182))</f>
        <v/>
      </c>
      <c r="AH578" s="17" t="str">
        <f>IF(M3_Silleteria!A182="","",IF(M3_Silleteria!H182="","",M3_Silleteria!H182))</f>
        <v/>
      </c>
      <c r="AI578" s="17" t="str">
        <f>IF(M3_Silleteria!A182="","","M3_Silleteria!182")</f>
        <v/>
      </c>
      <c r="AJ578" s="17" t="str">
        <f>IF(M3_Silleteria!A182="","",IF(M3_Silleteria!L182="","Pendiente de resultado","Disponible"))</f>
        <v/>
      </c>
    </row>
    <row r="579" spans="1:36" ht="55.5" customHeight="1">
      <c r="A579" s="6" t="str">
        <f t="array" ref="A579">IF(575&gt;$S$1204,"",INDEX($T$5:$AJ$1204,MATCH(575,$S$5:$S$1204,0),1))</f>
        <v/>
      </c>
      <c r="B579" s="8" t="str">
        <f t="array" ref="B579">IF(575&gt;$S$1204,"",INDEX($T$5:$AJ$1204,MATCH(575,$S$5:$S$1204,0),2))</f>
        <v/>
      </c>
      <c r="C579" s="10" t="str">
        <f t="array" ref="C579">IF(575&gt;$S$1204,"",INDEX($T$5:$AJ$1204,MATCH(575,$S$5:$S$1204,0),3))</f>
        <v/>
      </c>
      <c r="D579" s="8" t="str">
        <f t="array" ref="D579">IF(575&gt;$S$1204,"",INDEX($T$5:$AJ$1204,MATCH(575,$S$5:$S$1204,0),4))</f>
        <v/>
      </c>
      <c r="E579" s="8" t="str">
        <f t="array" ref="E579">IF(575&gt;$S$1204,"",INDEX($T$5:$AJ$1204,MATCH(575,$S$5:$S$1204,0),5))</f>
        <v/>
      </c>
      <c r="F579" s="8" t="str">
        <f t="array" ref="F579">IF(575&gt;$S$1204,"",INDEX($T$5:$AJ$1204,MATCH(575,$S$5:$S$1204,0),6))</f>
        <v/>
      </c>
      <c r="G579" s="8" t="str">
        <f t="array" ref="G579">IF(575&gt;$S$1204,"",INDEX($T$5:$AJ$1204,MATCH(575,$S$5:$S$1204,0),7))</f>
        <v/>
      </c>
      <c r="H579" s="8" t="str">
        <f t="array" ref="H579">IF(575&gt;$S$1204,"",INDEX($T$5:$AJ$1204,MATCH(575,$S$5:$S$1204,0),8))</f>
        <v/>
      </c>
      <c r="I579" s="8" t="str">
        <f t="array" ref="I579">IF(575&gt;$S$1204,"",INDEX($T$5:$AJ$1204,MATCH(575,$S$5:$S$1204,0),9))</f>
        <v/>
      </c>
      <c r="J579" s="14" t="str">
        <f t="array" ref="J579">IF(575&gt;$S$1204,"",INDEX($T$5:$AJ$1204,MATCH(575,$S$5:$S$1204,0),10))</f>
        <v/>
      </c>
      <c r="K579" s="8" t="str">
        <f t="array" ref="K579">IF(575&gt;$S$1204,"",INDEX($T$5:$AJ$1204,MATCH(575,$S$5:$S$1204,0),11))</f>
        <v/>
      </c>
      <c r="L579" s="8" t="str">
        <f t="array" ref="L579">IF(575&gt;$S$1204,"",INDEX($T$5:$AJ$1204,MATCH(575,$S$5:$S$1204,0),12))</f>
        <v/>
      </c>
      <c r="M579" s="8" t="str">
        <f t="array" ref="M579">IF(575&gt;$S$1204,"",INDEX($T$5:$AJ$1204,MATCH(575,$S$5:$S$1204,0),13))</f>
        <v/>
      </c>
      <c r="N579" s="8" t="str">
        <f t="array" ref="N579">IF(575&gt;$S$1204,"",INDEX($T$5:$AJ$1204,MATCH(575,$S$5:$S$1204,0),14))</f>
        <v/>
      </c>
      <c r="O579" s="15" t="str">
        <f t="array" ref="O579">IF(575&gt;$S$1204,"",INDEX($T$5:$AJ$1204,MATCH(575,$S$5:$S$1204,0),15))</f>
        <v/>
      </c>
      <c r="P579" s="8" t="str">
        <f t="array" ref="P579">IF(575&gt;$S$1204,"",INDEX($T$5:$AJ$1204,MATCH(575,$S$5:$S$1204,0),16))</f>
        <v/>
      </c>
      <c r="Q579" s="8" t="str">
        <f t="array" ref="Q579">IF(575&gt;$S$1204,"",INDEX($T$5:$AJ$1204,MATCH(575,$S$5:$S$1204,0),17))</f>
        <v/>
      </c>
      <c r="R579" s="17"/>
      <c r="S579" s="17">
        <f>S578+IF(M3_Silleteria!A183="",0,1)</f>
        <v>0</v>
      </c>
      <c r="T579" s="17" t="str">
        <f>IF(M3_Silleteria!A183="","",IF(M3_Silleteria!A183="","",M3_Silleteria!A183))</f>
        <v/>
      </c>
      <c r="U579" s="17" t="str">
        <f>IF(M3_Silleteria!A183="","",IF(M3_Silleteria!Q183="","",M3_Silleteria!Q183))</f>
        <v/>
      </c>
      <c r="V579" s="17" t="str">
        <f>IF(M3_Silleteria!A183="","",IF(M3_Silleteria!D183="","",M3_Silleteria!D183))</f>
        <v/>
      </c>
      <c r="W579" s="17" t="str">
        <f>IF(M3_Silleteria!A183="","",IF(M3_Silleteria!B183="","",M3_Silleteria!B183))</f>
        <v/>
      </c>
      <c r="X579" s="17" t="str">
        <f>IF(M3_Silleteria!A183="","",IF(M3_Silleteria!C183="","",M3_Silleteria!C183))</f>
        <v/>
      </c>
      <c r="Y579" s="17" t="str">
        <f>IF(M3_Silleteria!A183="","",IF(M3_Silleteria!E183="","",M3_Silleteria!E183))</f>
        <v/>
      </c>
      <c r="Z579" s="17" t="str">
        <f>IF(M3_Silleteria!A183="","",IF(M3_Silleteria!F183="","",M3_Silleteria!F183))</f>
        <v/>
      </c>
      <c r="AA579" s="17" t="str">
        <f>IF(M3_Silleteria!A183="","","M3 Silletería")</f>
        <v/>
      </c>
      <c r="AB579" s="17" t="str">
        <f>IF(M3_Silleteria!A183="","",IF(M3_Silleteria!G183="","",M3_Silleteria!G183))</f>
        <v/>
      </c>
      <c r="AC579" s="17" t="str">
        <f>IF(M3_Silleteria!A183="","",IF(M3_Silleteria!L183="","",M3_Silleteria!L183))</f>
        <v/>
      </c>
      <c r="AD579" s="17" t="str">
        <f>IF(M3_Silleteria!A183="","","CD")</f>
        <v/>
      </c>
      <c r="AE579" s="17" t="str">
        <f>IF(M3_Silleteria!A183="","",IF(M3_Silleteria!N183="","",M3_Silleteria!N183))</f>
        <v/>
      </c>
      <c r="AF579" s="17" t="str">
        <f>IF(M3_Silleteria!A183="","",IF(M3_Silleteria!O183="","",M3_Silleteria!O183))</f>
        <v/>
      </c>
      <c r="AG579" s="17" t="str">
        <f>IF(M3_Silleteria!A183="","",IF(M3_Silleteria!P183="","",M3_Silleteria!P183))</f>
        <v/>
      </c>
      <c r="AH579" s="17" t="str">
        <f>IF(M3_Silleteria!A183="","",IF(M3_Silleteria!H183="","",M3_Silleteria!H183))</f>
        <v/>
      </c>
      <c r="AI579" s="17" t="str">
        <f>IF(M3_Silleteria!A183="","","M3_Silleteria!183")</f>
        <v/>
      </c>
      <c r="AJ579" s="17" t="str">
        <f>IF(M3_Silleteria!A183="","",IF(M3_Silleteria!L183="","Pendiente de resultado","Disponible"))</f>
        <v/>
      </c>
    </row>
    <row r="580" spans="1:36" ht="55.5" customHeight="1">
      <c r="A580" s="6" t="str">
        <f t="array" ref="A580">IF(576&gt;$S$1204,"",INDEX($T$5:$AJ$1204,MATCH(576,$S$5:$S$1204,0),1))</f>
        <v/>
      </c>
      <c r="B580" s="8" t="str">
        <f t="array" ref="B580">IF(576&gt;$S$1204,"",INDEX($T$5:$AJ$1204,MATCH(576,$S$5:$S$1204,0),2))</f>
        <v/>
      </c>
      <c r="C580" s="10" t="str">
        <f t="array" ref="C580">IF(576&gt;$S$1204,"",INDEX($T$5:$AJ$1204,MATCH(576,$S$5:$S$1204,0),3))</f>
        <v/>
      </c>
      <c r="D580" s="8" t="str">
        <f t="array" ref="D580">IF(576&gt;$S$1204,"",INDEX($T$5:$AJ$1204,MATCH(576,$S$5:$S$1204,0),4))</f>
        <v/>
      </c>
      <c r="E580" s="8" t="str">
        <f t="array" ref="E580">IF(576&gt;$S$1204,"",INDEX($T$5:$AJ$1204,MATCH(576,$S$5:$S$1204,0),5))</f>
        <v/>
      </c>
      <c r="F580" s="8" t="str">
        <f t="array" ref="F580">IF(576&gt;$S$1204,"",INDEX($T$5:$AJ$1204,MATCH(576,$S$5:$S$1204,0),6))</f>
        <v/>
      </c>
      <c r="G580" s="8" t="str">
        <f t="array" ref="G580">IF(576&gt;$S$1204,"",INDEX($T$5:$AJ$1204,MATCH(576,$S$5:$S$1204,0),7))</f>
        <v/>
      </c>
      <c r="H580" s="8" t="str">
        <f t="array" ref="H580">IF(576&gt;$S$1204,"",INDEX($T$5:$AJ$1204,MATCH(576,$S$5:$S$1204,0),8))</f>
        <v/>
      </c>
      <c r="I580" s="8" t="str">
        <f t="array" ref="I580">IF(576&gt;$S$1204,"",INDEX($T$5:$AJ$1204,MATCH(576,$S$5:$S$1204,0),9))</f>
        <v/>
      </c>
      <c r="J580" s="14" t="str">
        <f t="array" ref="J580">IF(576&gt;$S$1204,"",INDEX($T$5:$AJ$1204,MATCH(576,$S$5:$S$1204,0),10))</f>
        <v/>
      </c>
      <c r="K580" s="8" t="str">
        <f t="array" ref="K580">IF(576&gt;$S$1204,"",INDEX($T$5:$AJ$1204,MATCH(576,$S$5:$S$1204,0),11))</f>
        <v/>
      </c>
      <c r="L580" s="8" t="str">
        <f t="array" ref="L580">IF(576&gt;$S$1204,"",INDEX($T$5:$AJ$1204,MATCH(576,$S$5:$S$1204,0),12))</f>
        <v/>
      </c>
      <c r="M580" s="8" t="str">
        <f t="array" ref="M580">IF(576&gt;$S$1204,"",INDEX($T$5:$AJ$1204,MATCH(576,$S$5:$S$1204,0),13))</f>
        <v/>
      </c>
      <c r="N580" s="8" t="str">
        <f t="array" ref="N580">IF(576&gt;$S$1204,"",INDEX($T$5:$AJ$1204,MATCH(576,$S$5:$S$1204,0),14))</f>
        <v/>
      </c>
      <c r="O580" s="15" t="str">
        <f t="array" ref="O580">IF(576&gt;$S$1204,"",INDEX($T$5:$AJ$1204,MATCH(576,$S$5:$S$1204,0),15))</f>
        <v/>
      </c>
      <c r="P580" s="8" t="str">
        <f t="array" ref="P580">IF(576&gt;$S$1204,"",INDEX($T$5:$AJ$1204,MATCH(576,$S$5:$S$1204,0),16))</f>
        <v/>
      </c>
      <c r="Q580" s="8" t="str">
        <f t="array" ref="Q580">IF(576&gt;$S$1204,"",INDEX($T$5:$AJ$1204,MATCH(576,$S$5:$S$1204,0),17))</f>
        <v/>
      </c>
      <c r="R580" s="17"/>
      <c r="S580" s="17">
        <f>S579+IF(M3_Silleteria!A184="",0,1)</f>
        <v>0</v>
      </c>
      <c r="T580" s="17" t="str">
        <f>IF(M3_Silleteria!A184="","",IF(M3_Silleteria!A184="","",M3_Silleteria!A184))</f>
        <v/>
      </c>
      <c r="U580" s="17" t="str">
        <f>IF(M3_Silleteria!A184="","",IF(M3_Silleteria!Q184="","",M3_Silleteria!Q184))</f>
        <v/>
      </c>
      <c r="V580" s="17" t="str">
        <f>IF(M3_Silleteria!A184="","",IF(M3_Silleteria!D184="","",M3_Silleteria!D184))</f>
        <v/>
      </c>
      <c r="W580" s="17" t="str">
        <f>IF(M3_Silleteria!A184="","",IF(M3_Silleteria!B184="","",M3_Silleteria!B184))</f>
        <v/>
      </c>
      <c r="X580" s="17" t="str">
        <f>IF(M3_Silleteria!A184="","",IF(M3_Silleteria!C184="","",M3_Silleteria!C184))</f>
        <v/>
      </c>
      <c r="Y580" s="17" t="str">
        <f>IF(M3_Silleteria!A184="","",IF(M3_Silleteria!E184="","",M3_Silleteria!E184))</f>
        <v/>
      </c>
      <c r="Z580" s="17" t="str">
        <f>IF(M3_Silleteria!A184="","",IF(M3_Silleteria!F184="","",M3_Silleteria!F184))</f>
        <v/>
      </c>
      <c r="AA580" s="17" t="str">
        <f>IF(M3_Silleteria!A184="","","M3 Silletería")</f>
        <v/>
      </c>
      <c r="AB580" s="17" t="str">
        <f>IF(M3_Silleteria!A184="","",IF(M3_Silleteria!G184="","",M3_Silleteria!G184))</f>
        <v/>
      </c>
      <c r="AC580" s="17" t="str">
        <f>IF(M3_Silleteria!A184="","",IF(M3_Silleteria!L184="","",M3_Silleteria!L184))</f>
        <v/>
      </c>
      <c r="AD580" s="17" t="str">
        <f>IF(M3_Silleteria!A184="","","CD")</f>
        <v/>
      </c>
      <c r="AE580" s="17" t="str">
        <f>IF(M3_Silleteria!A184="","",IF(M3_Silleteria!N184="","",M3_Silleteria!N184))</f>
        <v/>
      </c>
      <c r="AF580" s="17" t="str">
        <f>IF(M3_Silleteria!A184="","",IF(M3_Silleteria!O184="","",M3_Silleteria!O184))</f>
        <v/>
      </c>
      <c r="AG580" s="17" t="str">
        <f>IF(M3_Silleteria!A184="","",IF(M3_Silleteria!P184="","",M3_Silleteria!P184))</f>
        <v/>
      </c>
      <c r="AH580" s="17" t="str">
        <f>IF(M3_Silleteria!A184="","",IF(M3_Silleteria!H184="","",M3_Silleteria!H184))</f>
        <v/>
      </c>
      <c r="AI580" s="17" t="str">
        <f>IF(M3_Silleteria!A184="","","M3_Silleteria!184")</f>
        <v/>
      </c>
      <c r="AJ580" s="17" t="str">
        <f>IF(M3_Silleteria!A184="","",IF(M3_Silleteria!L184="","Pendiente de resultado","Disponible"))</f>
        <v/>
      </c>
    </row>
    <row r="581" spans="1:36" ht="55.5" customHeight="1">
      <c r="A581" s="6" t="str">
        <f t="array" ref="A581">IF(577&gt;$S$1204,"",INDEX($T$5:$AJ$1204,MATCH(577,$S$5:$S$1204,0),1))</f>
        <v/>
      </c>
      <c r="B581" s="8" t="str">
        <f t="array" ref="B581">IF(577&gt;$S$1204,"",INDEX($T$5:$AJ$1204,MATCH(577,$S$5:$S$1204,0),2))</f>
        <v/>
      </c>
      <c r="C581" s="10" t="str">
        <f t="array" ref="C581">IF(577&gt;$S$1204,"",INDEX($T$5:$AJ$1204,MATCH(577,$S$5:$S$1204,0),3))</f>
        <v/>
      </c>
      <c r="D581" s="8" t="str">
        <f t="array" ref="D581">IF(577&gt;$S$1204,"",INDEX($T$5:$AJ$1204,MATCH(577,$S$5:$S$1204,0),4))</f>
        <v/>
      </c>
      <c r="E581" s="8" t="str">
        <f t="array" ref="E581">IF(577&gt;$S$1204,"",INDEX($T$5:$AJ$1204,MATCH(577,$S$5:$S$1204,0),5))</f>
        <v/>
      </c>
      <c r="F581" s="8" t="str">
        <f t="array" ref="F581">IF(577&gt;$S$1204,"",INDEX($T$5:$AJ$1204,MATCH(577,$S$5:$S$1204,0),6))</f>
        <v/>
      </c>
      <c r="G581" s="8" t="str">
        <f t="array" ref="G581">IF(577&gt;$S$1204,"",INDEX($T$5:$AJ$1204,MATCH(577,$S$5:$S$1204,0),7))</f>
        <v/>
      </c>
      <c r="H581" s="8" t="str">
        <f t="array" ref="H581">IF(577&gt;$S$1204,"",INDEX($T$5:$AJ$1204,MATCH(577,$S$5:$S$1204,0),8))</f>
        <v/>
      </c>
      <c r="I581" s="8" t="str">
        <f t="array" ref="I581">IF(577&gt;$S$1204,"",INDEX($T$5:$AJ$1204,MATCH(577,$S$5:$S$1204,0),9))</f>
        <v/>
      </c>
      <c r="J581" s="14" t="str">
        <f t="array" ref="J581">IF(577&gt;$S$1204,"",INDEX($T$5:$AJ$1204,MATCH(577,$S$5:$S$1204,0),10))</f>
        <v/>
      </c>
      <c r="K581" s="8" t="str">
        <f t="array" ref="K581">IF(577&gt;$S$1204,"",INDEX($T$5:$AJ$1204,MATCH(577,$S$5:$S$1204,0),11))</f>
        <v/>
      </c>
      <c r="L581" s="8" t="str">
        <f t="array" ref="L581">IF(577&gt;$S$1204,"",INDEX($T$5:$AJ$1204,MATCH(577,$S$5:$S$1204,0),12))</f>
        <v/>
      </c>
      <c r="M581" s="8" t="str">
        <f t="array" ref="M581">IF(577&gt;$S$1204,"",INDEX($T$5:$AJ$1204,MATCH(577,$S$5:$S$1204,0),13))</f>
        <v/>
      </c>
      <c r="N581" s="8" t="str">
        <f t="array" ref="N581">IF(577&gt;$S$1204,"",INDEX($T$5:$AJ$1204,MATCH(577,$S$5:$S$1204,0),14))</f>
        <v/>
      </c>
      <c r="O581" s="15" t="str">
        <f t="array" ref="O581">IF(577&gt;$S$1204,"",INDEX($T$5:$AJ$1204,MATCH(577,$S$5:$S$1204,0),15))</f>
        <v/>
      </c>
      <c r="P581" s="8" t="str">
        <f t="array" ref="P581">IF(577&gt;$S$1204,"",INDEX($T$5:$AJ$1204,MATCH(577,$S$5:$S$1204,0),16))</f>
        <v/>
      </c>
      <c r="Q581" s="8" t="str">
        <f t="array" ref="Q581">IF(577&gt;$S$1204,"",INDEX($T$5:$AJ$1204,MATCH(577,$S$5:$S$1204,0),17))</f>
        <v/>
      </c>
      <c r="R581" s="17"/>
      <c r="S581" s="17">
        <f>S580+IF(M3_Silleteria!A185="",0,1)</f>
        <v>0</v>
      </c>
      <c r="T581" s="17" t="str">
        <f>IF(M3_Silleteria!A185="","",IF(M3_Silleteria!A185="","",M3_Silleteria!A185))</f>
        <v/>
      </c>
      <c r="U581" s="17" t="str">
        <f>IF(M3_Silleteria!A185="","",IF(M3_Silleteria!Q185="","",M3_Silleteria!Q185))</f>
        <v/>
      </c>
      <c r="V581" s="17" t="str">
        <f>IF(M3_Silleteria!A185="","",IF(M3_Silleteria!D185="","",M3_Silleteria!D185))</f>
        <v/>
      </c>
      <c r="W581" s="17" t="str">
        <f>IF(M3_Silleteria!A185="","",IF(M3_Silleteria!B185="","",M3_Silleteria!B185))</f>
        <v/>
      </c>
      <c r="X581" s="17" t="str">
        <f>IF(M3_Silleteria!A185="","",IF(M3_Silleteria!C185="","",M3_Silleteria!C185))</f>
        <v/>
      </c>
      <c r="Y581" s="17" t="str">
        <f>IF(M3_Silleteria!A185="","",IF(M3_Silleteria!E185="","",M3_Silleteria!E185))</f>
        <v/>
      </c>
      <c r="Z581" s="17" t="str">
        <f>IF(M3_Silleteria!A185="","",IF(M3_Silleteria!F185="","",M3_Silleteria!F185))</f>
        <v/>
      </c>
      <c r="AA581" s="17" t="str">
        <f>IF(M3_Silleteria!A185="","","M3 Silletería")</f>
        <v/>
      </c>
      <c r="AB581" s="17" t="str">
        <f>IF(M3_Silleteria!A185="","",IF(M3_Silleteria!G185="","",M3_Silleteria!G185))</f>
        <v/>
      </c>
      <c r="AC581" s="17" t="str">
        <f>IF(M3_Silleteria!A185="","",IF(M3_Silleteria!L185="","",M3_Silleteria!L185))</f>
        <v/>
      </c>
      <c r="AD581" s="17" t="str">
        <f>IF(M3_Silleteria!A185="","","CD")</f>
        <v/>
      </c>
      <c r="AE581" s="17" t="str">
        <f>IF(M3_Silleteria!A185="","",IF(M3_Silleteria!N185="","",M3_Silleteria!N185))</f>
        <v/>
      </c>
      <c r="AF581" s="17" t="str">
        <f>IF(M3_Silleteria!A185="","",IF(M3_Silleteria!O185="","",M3_Silleteria!O185))</f>
        <v/>
      </c>
      <c r="AG581" s="17" t="str">
        <f>IF(M3_Silleteria!A185="","",IF(M3_Silleteria!P185="","",M3_Silleteria!P185))</f>
        <v/>
      </c>
      <c r="AH581" s="17" t="str">
        <f>IF(M3_Silleteria!A185="","",IF(M3_Silleteria!H185="","",M3_Silleteria!H185))</f>
        <v/>
      </c>
      <c r="AI581" s="17" t="str">
        <f>IF(M3_Silleteria!A185="","","M3_Silleteria!185")</f>
        <v/>
      </c>
      <c r="AJ581" s="17" t="str">
        <f>IF(M3_Silleteria!A185="","",IF(M3_Silleteria!L185="","Pendiente de resultado","Disponible"))</f>
        <v/>
      </c>
    </row>
    <row r="582" spans="1:36" ht="55.5" customHeight="1">
      <c r="A582" s="6" t="str">
        <f t="array" ref="A582">IF(578&gt;$S$1204,"",INDEX($T$5:$AJ$1204,MATCH(578,$S$5:$S$1204,0),1))</f>
        <v/>
      </c>
      <c r="B582" s="8" t="str">
        <f t="array" ref="B582">IF(578&gt;$S$1204,"",INDEX($T$5:$AJ$1204,MATCH(578,$S$5:$S$1204,0),2))</f>
        <v/>
      </c>
      <c r="C582" s="10" t="str">
        <f t="array" ref="C582">IF(578&gt;$S$1204,"",INDEX($T$5:$AJ$1204,MATCH(578,$S$5:$S$1204,0),3))</f>
        <v/>
      </c>
      <c r="D582" s="8" t="str">
        <f t="array" ref="D582">IF(578&gt;$S$1204,"",INDEX($T$5:$AJ$1204,MATCH(578,$S$5:$S$1204,0),4))</f>
        <v/>
      </c>
      <c r="E582" s="8" t="str">
        <f t="array" ref="E582">IF(578&gt;$S$1204,"",INDEX($T$5:$AJ$1204,MATCH(578,$S$5:$S$1204,0),5))</f>
        <v/>
      </c>
      <c r="F582" s="8" t="str">
        <f t="array" ref="F582">IF(578&gt;$S$1204,"",INDEX($T$5:$AJ$1204,MATCH(578,$S$5:$S$1204,0),6))</f>
        <v/>
      </c>
      <c r="G582" s="8" t="str">
        <f t="array" ref="G582">IF(578&gt;$S$1204,"",INDEX($T$5:$AJ$1204,MATCH(578,$S$5:$S$1204,0),7))</f>
        <v/>
      </c>
      <c r="H582" s="8" t="str">
        <f t="array" ref="H582">IF(578&gt;$S$1204,"",INDEX($T$5:$AJ$1204,MATCH(578,$S$5:$S$1204,0),8))</f>
        <v/>
      </c>
      <c r="I582" s="8" t="str">
        <f t="array" ref="I582">IF(578&gt;$S$1204,"",INDEX($T$5:$AJ$1204,MATCH(578,$S$5:$S$1204,0),9))</f>
        <v/>
      </c>
      <c r="J582" s="14" t="str">
        <f t="array" ref="J582">IF(578&gt;$S$1204,"",INDEX($T$5:$AJ$1204,MATCH(578,$S$5:$S$1204,0),10))</f>
        <v/>
      </c>
      <c r="K582" s="8" t="str">
        <f t="array" ref="K582">IF(578&gt;$S$1204,"",INDEX($T$5:$AJ$1204,MATCH(578,$S$5:$S$1204,0),11))</f>
        <v/>
      </c>
      <c r="L582" s="8" t="str">
        <f t="array" ref="L582">IF(578&gt;$S$1204,"",INDEX($T$5:$AJ$1204,MATCH(578,$S$5:$S$1204,0),12))</f>
        <v/>
      </c>
      <c r="M582" s="8" t="str">
        <f t="array" ref="M582">IF(578&gt;$S$1204,"",INDEX($T$5:$AJ$1204,MATCH(578,$S$5:$S$1204,0),13))</f>
        <v/>
      </c>
      <c r="N582" s="8" t="str">
        <f t="array" ref="N582">IF(578&gt;$S$1204,"",INDEX($T$5:$AJ$1204,MATCH(578,$S$5:$S$1204,0),14))</f>
        <v/>
      </c>
      <c r="O582" s="15" t="str">
        <f t="array" ref="O582">IF(578&gt;$S$1204,"",INDEX($T$5:$AJ$1204,MATCH(578,$S$5:$S$1204,0),15))</f>
        <v/>
      </c>
      <c r="P582" s="8" t="str">
        <f t="array" ref="P582">IF(578&gt;$S$1204,"",INDEX($T$5:$AJ$1204,MATCH(578,$S$5:$S$1204,0),16))</f>
        <v/>
      </c>
      <c r="Q582" s="8" t="str">
        <f t="array" ref="Q582">IF(578&gt;$S$1204,"",INDEX($T$5:$AJ$1204,MATCH(578,$S$5:$S$1204,0),17))</f>
        <v/>
      </c>
      <c r="R582" s="17"/>
      <c r="S582" s="17">
        <f>S581+IF(M3_Silleteria!A186="",0,1)</f>
        <v>0</v>
      </c>
      <c r="T582" s="17" t="str">
        <f>IF(M3_Silleteria!A186="","",IF(M3_Silleteria!A186="","",M3_Silleteria!A186))</f>
        <v/>
      </c>
      <c r="U582" s="17" t="str">
        <f>IF(M3_Silleteria!A186="","",IF(M3_Silleteria!Q186="","",M3_Silleteria!Q186))</f>
        <v/>
      </c>
      <c r="V582" s="17" t="str">
        <f>IF(M3_Silleteria!A186="","",IF(M3_Silleteria!D186="","",M3_Silleteria!D186))</f>
        <v/>
      </c>
      <c r="W582" s="17" t="str">
        <f>IF(M3_Silleteria!A186="","",IF(M3_Silleteria!B186="","",M3_Silleteria!B186))</f>
        <v/>
      </c>
      <c r="X582" s="17" t="str">
        <f>IF(M3_Silleteria!A186="","",IF(M3_Silleteria!C186="","",M3_Silleteria!C186))</f>
        <v/>
      </c>
      <c r="Y582" s="17" t="str">
        <f>IF(M3_Silleteria!A186="","",IF(M3_Silleteria!E186="","",M3_Silleteria!E186))</f>
        <v/>
      </c>
      <c r="Z582" s="17" t="str">
        <f>IF(M3_Silleteria!A186="","",IF(M3_Silleteria!F186="","",M3_Silleteria!F186))</f>
        <v/>
      </c>
      <c r="AA582" s="17" t="str">
        <f>IF(M3_Silleteria!A186="","","M3 Silletería")</f>
        <v/>
      </c>
      <c r="AB582" s="17" t="str">
        <f>IF(M3_Silleteria!A186="","",IF(M3_Silleteria!G186="","",M3_Silleteria!G186))</f>
        <v/>
      </c>
      <c r="AC582" s="17" t="str">
        <f>IF(M3_Silleteria!A186="","",IF(M3_Silleteria!L186="","",M3_Silleteria!L186))</f>
        <v/>
      </c>
      <c r="AD582" s="17" t="str">
        <f>IF(M3_Silleteria!A186="","","CD")</f>
        <v/>
      </c>
      <c r="AE582" s="17" t="str">
        <f>IF(M3_Silleteria!A186="","",IF(M3_Silleteria!N186="","",M3_Silleteria!N186))</f>
        <v/>
      </c>
      <c r="AF582" s="17" t="str">
        <f>IF(M3_Silleteria!A186="","",IF(M3_Silleteria!O186="","",M3_Silleteria!O186))</f>
        <v/>
      </c>
      <c r="AG582" s="17" t="str">
        <f>IF(M3_Silleteria!A186="","",IF(M3_Silleteria!P186="","",M3_Silleteria!P186))</f>
        <v/>
      </c>
      <c r="AH582" s="17" t="str">
        <f>IF(M3_Silleteria!A186="","",IF(M3_Silleteria!H186="","",M3_Silleteria!H186))</f>
        <v/>
      </c>
      <c r="AI582" s="17" t="str">
        <f>IF(M3_Silleteria!A186="","","M3_Silleteria!186")</f>
        <v/>
      </c>
      <c r="AJ582" s="17" t="str">
        <f>IF(M3_Silleteria!A186="","",IF(M3_Silleteria!L186="","Pendiente de resultado","Disponible"))</f>
        <v/>
      </c>
    </row>
    <row r="583" spans="1:36" ht="55.5" customHeight="1">
      <c r="A583" s="6" t="str">
        <f t="array" ref="A583">IF(579&gt;$S$1204,"",INDEX($T$5:$AJ$1204,MATCH(579,$S$5:$S$1204,0),1))</f>
        <v/>
      </c>
      <c r="B583" s="8" t="str">
        <f t="array" ref="B583">IF(579&gt;$S$1204,"",INDEX($T$5:$AJ$1204,MATCH(579,$S$5:$S$1204,0),2))</f>
        <v/>
      </c>
      <c r="C583" s="10" t="str">
        <f t="array" ref="C583">IF(579&gt;$S$1204,"",INDEX($T$5:$AJ$1204,MATCH(579,$S$5:$S$1204,0),3))</f>
        <v/>
      </c>
      <c r="D583" s="8" t="str">
        <f t="array" ref="D583">IF(579&gt;$S$1204,"",INDEX($T$5:$AJ$1204,MATCH(579,$S$5:$S$1204,0),4))</f>
        <v/>
      </c>
      <c r="E583" s="8" t="str">
        <f t="array" ref="E583">IF(579&gt;$S$1204,"",INDEX($T$5:$AJ$1204,MATCH(579,$S$5:$S$1204,0),5))</f>
        <v/>
      </c>
      <c r="F583" s="8" t="str">
        <f t="array" ref="F583">IF(579&gt;$S$1204,"",INDEX($T$5:$AJ$1204,MATCH(579,$S$5:$S$1204,0),6))</f>
        <v/>
      </c>
      <c r="G583" s="8" t="str">
        <f t="array" ref="G583">IF(579&gt;$S$1204,"",INDEX($T$5:$AJ$1204,MATCH(579,$S$5:$S$1204,0),7))</f>
        <v/>
      </c>
      <c r="H583" s="8" t="str">
        <f t="array" ref="H583">IF(579&gt;$S$1204,"",INDEX($T$5:$AJ$1204,MATCH(579,$S$5:$S$1204,0),8))</f>
        <v/>
      </c>
      <c r="I583" s="8" t="str">
        <f t="array" ref="I583">IF(579&gt;$S$1204,"",INDEX($T$5:$AJ$1204,MATCH(579,$S$5:$S$1204,0),9))</f>
        <v/>
      </c>
      <c r="J583" s="14" t="str">
        <f t="array" ref="J583">IF(579&gt;$S$1204,"",INDEX($T$5:$AJ$1204,MATCH(579,$S$5:$S$1204,0),10))</f>
        <v/>
      </c>
      <c r="K583" s="8" t="str">
        <f t="array" ref="K583">IF(579&gt;$S$1204,"",INDEX($T$5:$AJ$1204,MATCH(579,$S$5:$S$1204,0),11))</f>
        <v/>
      </c>
      <c r="L583" s="8" t="str">
        <f t="array" ref="L583">IF(579&gt;$S$1204,"",INDEX($T$5:$AJ$1204,MATCH(579,$S$5:$S$1204,0),12))</f>
        <v/>
      </c>
      <c r="M583" s="8" t="str">
        <f t="array" ref="M583">IF(579&gt;$S$1204,"",INDEX($T$5:$AJ$1204,MATCH(579,$S$5:$S$1204,0),13))</f>
        <v/>
      </c>
      <c r="N583" s="8" t="str">
        <f t="array" ref="N583">IF(579&gt;$S$1204,"",INDEX($T$5:$AJ$1204,MATCH(579,$S$5:$S$1204,0),14))</f>
        <v/>
      </c>
      <c r="O583" s="15" t="str">
        <f t="array" ref="O583">IF(579&gt;$S$1204,"",INDEX($T$5:$AJ$1204,MATCH(579,$S$5:$S$1204,0),15))</f>
        <v/>
      </c>
      <c r="P583" s="8" t="str">
        <f t="array" ref="P583">IF(579&gt;$S$1204,"",INDEX($T$5:$AJ$1204,MATCH(579,$S$5:$S$1204,0),16))</f>
        <v/>
      </c>
      <c r="Q583" s="8" t="str">
        <f t="array" ref="Q583">IF(579&gt;$S$1204,"",INDEX($T$5:$AJ$1204,MATCH(579,$S$5:$S$1204,0),17))</f>
        <v/>
      </c>
      <c r="R583" s="17"/>
      <c r="S583" s="17">
        <f>S582+IF(M3_Silleteria!A187="",0,1)</f>
        <v>0</v>
      </c>
      <c r="T583" s="17" t="str">
        <f>IF(M3_Silleteria!A187="","",IF(M3_Silleteria!A187="","",M3_Silleteria!A187))</f>
        <v/>
      </c>
      <c r="U583" s="17" t="str">
        <f>IF(M3_Silleteria!A187="","",IF(M3_Silleteria!Q187="","",M3_Silleteria!Q187))</f>
        <v/>
      </c>
      <c r="V583" s="17" t="str">
        <f>IF(M3_Silleteria!A187="","",IF(M3_Silleteria!D187="","",M3_Silleteria!D187))</f>
        <v/>
      </c>
      <c r="W583" s="17" t="str">
        <f>IF(M3_Silleteria!A187="","",IF(M3_Silleteria!B187="","",M3_Silleteria!B187))</f>
        <v/>
      </c>
      <c r="X583" s="17" t="str">
        <f>IF(M3_Silleteria!A187="","",IF(M3_Silleteria!C187="","",M3_Silleteria!C187))</f>
        <v/>
      </c>
      <c r="Y583" s="17" t="str">
        <f>IF(M3_Silleteria!A187="","",IF(M3_Silleteria!E187="","",M3_Silleteria!E187))</f>
        <v/>
      </c>
      <c r="Z583" s="17" t="str">
        <f>IF(M3_Silleteria!A187="","",IF(M3_Silleteria!F187="","",M3_Silleteria!F187))</f>
        <v/>
      </c>
      <c r="AA583" s="17" t="str">
        <f>IF(M3_Silleteria!A187="","","M3 Silletería")</f>
        <v/>
      </c>
      <c r="AB583" s="17" t="str">
        <f>IF(M3_Silleteria!A187="","",IF(M3_Silleteria!G187="","",M3_Silleteria!G187))</f>
        <v/>
      </c>
      <c r="AC583" s="17" t="str">
        <f>IF(M3_Silleteria!A187="","",IF(M3_Silleteria!L187="","",M3_Silleteria!L187))</f>
        <v/>
      </c>
      <c r="AD583" s="17" t="str">
        <f>IF(M3_Silleteria!A187="","","CD")</f>
        <v/>
      </c>
      <c r="AE583" s="17" t="str">
        <f>IF(M3_Silleteria!A187="","",IF(M3_Silleteria!N187="","",M3_Silleteria!N187))</f>
        <v/>
      </c>
      <c r="AF583" s="17" t="str">
        <f>IF(M3_Silleteria!A187="","",IF(M3_Silleteria!O187="","",M3_Silleteria!O187))</f>
        <v/>
      </c>
      <c r="AG583" s="17" t="str">
        <f>IF(M3_Silleteria!A187="","",IF(M3_Silleteria!P187="","",M3_Silleteria!P187))</f>
        <v/>
      </c>
      <c r="AH583" s="17" t="str">
        <f>IF(M3_Silleteria!A187="","",IF(M3_Silleteria!H187="","",M3_Silleteria!H187))</f>
        <v/>
      </c>
      <c r="AI583" s="17" t="str">
        <f>IF(M3_Silleteria!A187="","","M3_Silleteria!187")</f>
        <v/>
      </c>
      <c r="AJ583" s="17" t="str">
        <f>IF(M3_Silleteria!A187="","",IF(M3_Silleteria!L187="","Pendiente de resultado","Disponible"))</f>
        <v/>
      </c>
    </row>
    <row r="584" spans="1:36" ht="55.5" customHeight="1">
      <c r="A584" s="6" t="str">
        <f t="array" ref="A584">IF(580&gt;$S$1204,"",INDEX($T$5:$AJ$1204,MATCH(580,$S$5:$S$1204,0),1))</f>
        <v/>
      </c>
      <c r="B584" s="8" t="str">
        <f t="array" ref="B584">IF(580&gt;$S$1204,"",INDEX($T$5:$AJ$1204,MATCH(580,$S$5:$S$1204,0),2))</f>
        <v/>
      </c>
      <c r="C584" s="10" t="str">
        <f t="array" ref="C584">IF(580&gt;$S$1204,"",INDEX($T$5:$AJ$1204,MATCH(580,$S$5:$S$1204,0),3))</f>
        <v/>
      </c>
      <c r="D584" s="8" t="str">
        <f t="array" ref="D584">IF(580&gt;$S$1204,"",INDEX($T$5:$AJ$1204,MATCH(580,$S$5:$S$1204,0),4))</f>
        <v/>
      </c>
      <c r="E584" s="8" t="str">
        <f t="array" ref="E584">IF(580&gt;$S$1204,"",INDEX($T$5:$AJ$1204,MATCH(580,$S$5:$S$1204,0),5))</f>
        <v/>
      </c>
      <c r="F584" s="8" t="str">
        <f t="array" ref="F584">IF(580&gt;$S$1204,"",INDEX($T$5:$AJ$1204,MATCH(580,$S$5:$S$1204,0),6))</f>
        <v/>
      </c>
      <c r="G584" s="8" t="str">
        <f t="array" ref="G584">IF(580&gt;$S$1204,"",INDEX($T$5:$AJ$1204,MATCH(580,$S$5:$S$1204,0),7))</f>
        <v/>
      </c>
      <c r="H584" s="8" t="str">
        <f t="array" ref="H584">IF(580&gt;$S$1204,"",INDEX($T$5:$AJ$1204,MATCH(580,$S$5:$S$1204,0),8))</f>
        <v/>
      </c>
      <c r="I584" s="8" t="str">
        <f t="array" ref="I584">IF(580&gt;$S$1204,"",INDEX($T$5:$AJ$1204,MATCH(580,$S$5:$S$1204,0),9))</f>
        <v/>
      </c>
      <c r="J584" s="14" t="str">
        <f t="array" ref="J584">IF(580&gt;$S$1204,"",INDEX($T$5:$AJ$1204,MATCH(580,$S$5:$S$1204,0),10))</f>
        <v/>
      </c>
      <c r="K584" s="8" t="str">
        <f t="array" ref="K584">IF(580&gt;$S$1204,"",INDEX($T$5:$AJ$1204,MATCH(580,$S$5:$S$1204,0),11))</f>
        <v/>
      </c>
      <c r="L584" s="8" t="str">
        <f t="array" ref="L584">IF(580&gt;$S$1204,"",INDEX($T$5:$AJ$1204,MATCH(580,$S$5:$S$1204,0),12))</f>
        <v/>
      </c>
      <c r="M584" s="8" t="str">
        <f t="array" ref="M584">IF(580&gt;$S$1204,"",INDEX($T$5:$AJ$1204,MATCH(580,$S$5:$S$1204,0),13))</f>
        <v/>
      </c>
      <c r="N584" s="8" t="str">
        <f t="array" ref="N584">IF(580&gt;$S$1204,"",INDEX($T$5:$AJ$1204,MATCH(580,$S$5:$S$1204,0),14))</f>
        <v/>
      </c>
      <c r="O584" s="15" t="str">
        <f t="array" ref="O584">IF(580&gt;$S$1204,"",INDEX($T$5:$AJ$1204,MATCH(580,$S$5:$S$1204,0),15))</f>
        <v/>
      </c>
      <c r="P584" s="8" t="str">
        <f t="array" ref="P584">IF(580&gt;$S$1204,"",INDEX($T$5:$AJ$1204,MATCH(580,$S$5:$S$1204,0),16))</f>
        <v/>
      </c>
      <c r="Q584" s="8" t="str">
        <f t="array" ref="Q584">IF(580&gt;$S$1204,"",INDEX($T$5:$AJ$1204,MATCH(580,$S$5:$S$1204,0),17))</f>
        <v/>
      </c>
      <c r="R584" s="17"/>
      <c r="S584" s="17">
        <f>S583+IF(M3_Silleteria!A188="",0,1)</f>
        <v>0</v>
      </c>
      <c r="T584" s="17" t="str">
        <f>IF(M3_Silleteria!A188="","",IF(M3_Silleteria!A188="","",M3_Silleteria!A188))</f>
        <v/>
      </c>
      <c r="U584" s="17" t="str">
        <f>IF(M3_Silleteria!A188="","",IF(M3_Silleteria!Q188="","",M3_Silleteria!Q188))</f>
        <v/>
      </c>
      <c r="V584" s="17" t="str">
        <f>IF(M3_Silleteria!A188="","",IF(M3_Silleteria!D188="","",M3_Silleteria!D188))</f>
        <v/>
      </c>
      <c r="W584" s="17" t="str">
        <f>IF(M3_Silleteria!A188="","",IF(M3_Silleteria!B188="","",M3_Silleteria!B188))</f>
        <v/>
      </c>
      <c r="X584" s="17" t="str">
        <f>IF(M3_Silleteria!A188="","",IF(M3_Silleteria!C188="","",M3_Silleteria!C188))</f>
        <v/>
      </c>
      <c r="Y584" s="17" t="str">
        <f>IF(M3_Silleteria!A188="","",IF(M3_Silleteria!E188="","",M3_Silleteria!E188))</f>
        <v/>
      </c>
      <c r="Z584" s="17" t="str">
        <f>IF(M3_Silleteria!A188="","",IF(M3_Silleteria!F188="","",M3_Silleteria!F188))</f>
        <v/>
      </c>
      <c r="AA584" s="17" t="str">
        <f>IF(M3_Silleteria!A188="","","M3 Silletería")</f>
        <v/>
      </c>
      <c r="AB584" s="17" t="str">
        <f>IF(M3_Silleteria!A188="","",IF(M3_Silleteria!G188="","",M3_Silleteria!G188))</f>
        <v/>
      </c>
      <c r="AC584" s="17" t="str">
        <f>IF(M3_Silleteria!A188="","",IF(M3_Silleteria!L188="","",M3_Silleteria!L188))</f>
        <v/>
      </c>
      <c r="AD584" s="17" t="str">
        <f>IF(M3_Silleteria!A188="","","CD")</f>
        <v/>
      </c>
      <c r="AE584" s="17" t="str">
        <f>IF(M3_Silleteria!A188="","",IF(M3_Silleteria!N188="","",M3_Silleteria!N188))</f>
        <v/>
      </c>
      <c r="AF584" s="17" t="str">
        <f>IF(M3_Silleteria!A188="","",IF(M3_Silleteria!O188="","",M3_Silleteria!O188))</f>
        <v/>
      </c>
      <c r="AG584" s="17" t="str">
        <f>IF(M3_Silleteria!A188="","",IF(M3_Silleteria!P188="","",M3_Silleteria!P188))</f>
        <v/>
      </c>
      <c r="AH584" s="17" t="str">
        <f>IF(M3_Silleteria!A188="","",IF(M3_Silleteria!H188="","",M3_Silleteria!H188))</f>
        <v/>
      </c>
      <c r="AI584" s="17" t="str">
        <f>IF(M3_Silleteria!A188="","","M3_Silleteria!188")</f>
        <v/>
      </c>
      <c r="AJ584" s="17" t="str">
        <f>IF(M3_Silleteria!A188="","",IF(M3_Silleteria!L188="","Pendiente de resultado","Disponible"))</f>
        <v/>
      </c>
    </row>
    <row r="585" spans="1:36" ht="55.5" customHeight="1">
      <c r="A585" s="6" t="str">
        <f t="array" ref="A585">IF(581&gt;$S$1204,"",INDEX($T$5:$AJ$1204,MATCH(581,$S$5:$S$1204,0),1))</f>
        <v/>
      </c>
      <c r="B585" s="8" t="str">
        <f t="array" ref="B585">IF(581&gt;$S$1204,"",INDEX($T$5:$AJ$1204,MATCH(581,$S$5:$S$1204,0),2))</f>
        <v/>
      </c>
      <c r="C585" s="10" t="str">
        <f t="array" ref="C585">IF(581&gt;$S$1204,"",INDEX($T$5:$AJ$1204,MATCH(581,$S$5:$S$1204,0),3))</f>
        <v/>
      </c>
      <c r="D585" s="8" t="str">
        <f t="array" ref="D585">IF(581&gt;$S$1204,"",INDEX($T$5:$AJ$1204,MATCH(581,$S$5:$S$1204,0),4))</f>
        <v/>
      </c>
      <c r="E585" s="8" t="str">
        <f t="array" ref="E585">IF(581&gt;$S$1204,"",INDEX($T$5:$AJ$1204,MATCH(581,$S$5:$S$1204,0),5))</f>
        <v/>
      </c>
      <c r="F585" s="8" t="str">
        <f t="array" ref="F585">IF(581&gt;$S$1204,"",INDEX($T$5:$AJ$1204,MATCH(581,$S$5:$S$1204,0),6))</f>
        <v/>
      </c>
      <c r="G585" s="8" t="str">
        <f t="array" ref="G585">IF(581&gt;$S$1204,"",INDEX($T$5:$AJ$1204,MATCH(581,$S$5:$S$1204,0),7))</f>
        <v/>
      </c>
      <c r="H585" s="8" t="str">
        <f t="array" ref="H585">IF(581&gt;$S$1204,"",INDEX($T$5:$AJ$1204,MATCH(581,$S$5:$S$1204,0),8))</f>
        <v/>
      </c>
      <c r="I585" s="8" t="str">
        <f t="array" ref="I585">IF(581&gt;$S$1204,"",INDEX($T$5:$AJ$1204,MATCH(581,$S$5:$S$1204,0),9))</f>
        <v/>
      </c>
      <c r="J585" s="14" t="str">
        <f t="array" ref="J585">IF(581&gt;$S$1204,"",INDEX($T$5:$AJ$1204,MATCH(581,$S$5:$S$1204,0),10))</f>
        <v/>
      </c>
      <c r="K585" s="8" t="str">
        <f t="array" ref="K585">IF(581&gt;$S$1204,"",INDEX($T$5:$AJ$1204,MATCH(581,$S$5:$S$1204,0),11))</f>
        <v/>
      </c>
      <c r="L585" s="8" t="str">
        <f t="array" ref="L585">IF(581&gt;$S$1204,"",INDEX($T$5:$AJ$1204,MATCH(581,$S$5:$S$1204,0),12))</f>
        <v/>
      </c>
      <c r="M585" s="8" t="str">
        <f t="array" ref="M585">IF(581&gt;$S$1204,"",INDEX($T$5:$AJ$1204,MATCH(581,$S$5:$S$1204,0),13))</f>
        <v/>
      </c>
      <c r="N585" s="8" t="str">
        <f t="array" ref="N585">IF(581&gt;$S$1204,"",INDEX($T$5:$AJ$1204,MATCH(581,$S$5:$S$1204,0),14))</f>
        <v/>
      </c>
      <c r="O585" s="15" t="str">
        <f t="array" ref="O585">IF(581&gt;$S$1204,"",INDEX($T$5:$AJ$1204,MATCH(581,$S$5:$S$1204,0),15))</f>
        <v/>
      </c>
      <c r="P585" s="8" t="str">
        <f t="array" ref="P585">IF(581&gt;$S$1204,"",INDEX($T$5:$AJ$1204,MATCH(581,$S$5:$S$1204,0),16))</f>
        <v/>
      </c>
      <c r="Q585" s="8" t="str">
        <f t="array" ref="Q585">IF(581&gt;$S$1204,"",INDEX($T$5:$AJ$1204,MATCH(581,$S$5:$S$1204,0),17))</f>
        <v/>
      </c>
      <c r="R585" s="17"/>
      <c r="S585" s="17">
        <f>S584+IF(M3_Silleteria!A189="",0,1)</f>
        <v>0</v>
      </c>
      <c r="T585" s="17" t="str">
        <f>IF(M3_Silleteria!A189="","",IF(M3_Silleteria!A189="","",M3_Silleteria!A189))</f>
        <v/>
      </c>
      <c r="U585" s="17" t="str">
        <f>IF(M3_Silleteria!A189="","",IF(M3_Silleteria!Q189="","",M3_Silleteria!Q189))</f>
        <v/>
      </c>
      <c r="V585" s="17" t="str">
        <f>IF(M3_Silleteria!A189="","",IF(M3_Silleteria!D189="","",M3_Silleteria!D189))</f>
        <v/>
      </c>
      <c r="W585" s="17" t="str">
        <f>IF(M3_Silleteria!A189="","",IF(M3_Silleteria!B189="","",M3_Silleteria!B189))</f>
        <v/>
      </c>
      <c r="X585" s="17" t="str">
        <f>IF(M3_Silleteria!A189="","",IF(M3_Silleteria!C189="","",M3_Silleteria!C189))</f>
        <v/>
      </c>
      <c r="Y585" s="17" t="str">
        <f>IF(M3_Silleteria!A189="","",IF(M3_Silleteria!E189="","",M3_Silleteria!E189))</f>
        <v/>
      </c>
      <c r="Z585" s="17" t="str">
        <f>IF(M3_Silleteria!A189="","",IF(M3_Silleteria!F189="","",M3_Silleteria!F189))</f>
        <v/>
      </c>
      <c r="AA585" s="17" t="str">
        <f>IF(M3_Silleteria!A189="","","M3 Silletería")</f>
        <v/>
      </c>
      <c r="AB585" s="17" t="str">
        <f>IF(M3_Silleteria!A189="","",IF(M3_Silleteria!G189="","",M3_Silleteria!G189))</f>
        <v/>
      </c>
      <c r="AC585" s="17" t="str">
        <f>IF(M3_Silleteria!A189="","",IF(M3_Silleteria!L189="","",M3_Silleteria!L189))</f>
        <v/>
      </c>
      <c r="AD585" s="17" t="str">
        <f>IF(M3_Silleteria!A189="","","CD")</f>
        <v/>
      </c>
      <c r="AE585" s="17" t="str">
        <f>IF(M3_Silleteria!A189="","",IF(M3_Silleteria!N189="","",M3_Silleteria!N189))</f>
        <v/>
      </c>
      <c r="AF585" s="17" t="str">
        <f>IF(M3_Silleteria!A189="","",IF(M3_Silleteria!O189="","",M3_Silleteria!O189))</f>
        <v/>
      </c>
      <c r="AG585" s="17" t="str">
        <f>IF(M3_Silleteria!A189="","",IF(M3_Silleteria!P189="","",M3_Silleteria!P189))</f>
        <v/>
      </c>
      <c r="AH585" s="17" t="str">
        <f>IF(M3_Silleteria!A189="","",IF(M3_Silleteria!H189="","",M3_Silleteria!H189))</f>
        <v/>
      </c>
      <c r="AI585" s="17" t="str">
        <f>IF(M3_Silleteria!A189="","","M3_Silleteria!189")</f>
        <v/>
      </c>
      <c r="AJ585" s="17" t="str">
        <f>IF(M3_Silleteria!A189="","",IF(M3_Silleteria!L189="","Pendiente de resultado","Disponible"))</f>
        <v/>
      </c>
    </row>
    <row r="586" spans="1:36" ht="55.5" customHeight="1">
      <c r="A586" s="6" t="str">
        <f t="array" ref="A586">IF(582&gt;$S$1204,"",INDEX($T$5:$AJ$1204,MATCH(582,$S$5:$S$1204,0),1))</f>
        <v/>
      </c>
      <c r="B586" s="8" t="str">
        <f t="array" ref="B586">IF(582&gt;$S$1204,"",INDEX($T$5:$AJ$1204,MATCH(582,$S$5:$S$1204,0),2))</f>
        <v/>
      </c>
      <c r="C586" s="10" t="str">
        <f t="array" ref="C586">IF(582&gt;$S$1204,"",INDEX($T$5:$AJ$1204,MATCH(582,$S$5:$S$1204,0),3))</f>
        <v/>
      </c>
      <c r="D586" s="8" t="str">
        <f t="array" ref="D586">IF(582&gt;$S$1204,"",INDEX($T$5:$AJ$1204,MATCH(582,$S$5:$S$1204,0),4))</f>
        <v/>
      </c>
      <c r="E586" s="8" t="str">
        <f t="array" ref="E586">IF(582&gt;$S$1204,"",INDEX($T$5:$AJ$1204,MATCH(582,$S$5:$S$1204,0),5))</f>
        <v/>
      </c>
      <c r="F586" s="8" t="str">
        <f t="array" ref="F586">IF(582&gt;$S$1204,"",INDEX($T$5:$AJ$1204,MATCH(582,$S$5:$S$1204,0),6))</f>
        <v/>
      </c>
      <c r="G586" s="8" t="str">
        <f t="array" ref="G586">IF(582&gt;$S$1204,"",INDEX($T$5:$AJ$1204,MATCH(582,$S$5:$S$1204,0),7))</f>
        <v/>
      </c>
      <c r="H586" s="8" t="str">
        <f t="array" ref="H586">IF(582&gt;$S$1204,"",INDEX($T$5:$AJ$1204,MATCH(582,$S$5:$S$1204,0),8))</f>
        <v/>
      </c>
      <c r="I586" s="8" t="str">
        <f t="array" ref="I586">IF(582&gt;$S$1204,"",INDEX($T$5:$AJ$1204,MATCH(582,$S$5:$S$1204,0),9))</f>
        <v/>
      </c>
      <c r="J586" s="14" t="str">
        <f t="array" ref="J586">IF(582&gt;$S$1204,"",INDEX($T$5:$AJ$1204,MATCH(582,$S$5:$S$1204,0),10))</f>
        <v/>
      </c>
      <c r="K586" s="8" t="str">
        <f t="array" ref="K586">IF(582&gt;$S$1204,"",INDEX($T$5:$AJ$1204,MATCH(582,$S$5:$S$1204,0),11))</f>
        <v/>
      </c>
      <c r="L586" s="8" t="str">
        <f t="array" ref="L586">IF(582&gt;$S$1204,"",INDEX($T$5:$AJ$1204,MATCH(582,$S$5:$S$1204,0),12))</f>
        <v/>
      </c>
      <c r="M586" s="8" t="str">
        <f t="array" ref="M586">IF(582&gt;$S$1204,"",INDEX($T$5:$AJ$1204,MATCH(582,$S$5:$S$1204,0),13))</f>
        <v/>
      </c>
      <c r="N586" s="8" t="str">
        <f t="array" ref="N586">IF(582&gt;$S$1204,"",INDEX($T$5:$AJ$1204,MATCH(582,$S$5:$S$1204,0),14))</f>
        <v/>
      </c>
      <c r="O586" s="15" t="str">
        <f t="array" ref="O586">IF(582&gt;$S$1204,"",INDEX($T$5:$AJ$1204,MATCH(582,$S$5:$S$1204,0),15))</f>
        <v/>
      </c>
      <c r="P586" s="8" t="str">
        <f t="array" ref="P586">IF(582&gt;$S$1204,"",INDEX($T$5:$AJ$1204,MATCH(582,$S$5:$S$1204,0),16))</f>
        <v/>
      </c>
      <c r="Q586" s="8" t="str">
        <f t="array" ref="Q586">IF(582&gt;$S$1204,"",INDEX($T$5:$AJ$1204,MATCH(582,$S$5:$S$1204,0),17))</f>
        <v/>
      </c>
      <c r="R586" s="17"/>
      <c r="S586" s="17">
        <f>S585+IF(M3_Silleteria!A190="",0,1)</f>
        <v>0</v>
      </c>
      <c r="T586" s="17" t="str">
        <f>IF(M3_Silleteria!A190="","",IF(M3_Silleteria!A190="","",M3_Silleteria!A190))</f>
        <v/>
      </c>
      <c r="U586" s="17" t="str">
        <f>IF(M3_Silleteria!A190="","",IF(M3_Silleteria!Q190="","",M3_Silleteria!Q190))</f>
        <v/>
      </c>
      <c r="V586" s="17" t="str">
        <f>IF(M3_Silleteria!A190="","",IF(M3_Silleteria!D190="","",M3_Silleteria!D190))</f>
        <v/>
      </c>
      <c r="W586" s="17" t="str">
        <f>IF(M3_Silleteria!A190="","",IF(M3_Silleteria!B190="","",M3_Silleteria!B190))</f>
        <v/>
      </c>
      <c r="X586" s="17" t="str">
        <f>IF(M3_Silleteria!A190="","",IF(M3_Silleteria!C190="","",M3_Silleteria!C190))</f>
        <v/>
      </c>
      <c r="Y586" s="17" t="str">
        <f>IF(M3_Silleteria!A190="","",IF(M3_Silleteria!E190="","",M3_Silleteria!E190))</f>
        <v/>
      </c>
      <c r="Z586" s="17" t="str">
        <f>IF(M3_Silleteria!A190="","",IF(M3_Silleteria!F190="","",M3_Silleteria!F190))</f>
        <v/>
      </c>
      <c r="AA586" s="17" t="str">
        <f>IF(M3_Silleteria!A190="","","M3 Silletería")</f>
        <v/>
      </c>
      <c r="AB586" s="17" t="str">
        <f>IF(M3_Silleteria!A190="","",IF(M3_Silleteria!G190="","",M3_Silleteria!G190))</f>
        <v/>
      </c>
      <c r="AC586" s="17" t="str">
        <f>IF(M3_Silleteria!A190="","",IF(M3_Silleteria!L190="","",M3_Silleteria!L190))</f>
        <v/>
      </c>
      <c r="AD586" s="17" t="str">
        <f>IF(M3_Silleteria!A190="","","CD")</f>
        <v/>
      </c>
      <c r="AE586" s="17" t="str">
        <f>IF(M3_Silleteria!A190="","",IF(M3_Silleteria!N190="","",M3_Silleteria!N190))</f>
        <v/>
      </c>
      <c r="AF586" s="17" t="str">
        <f>IF(M3_Silleteria!A190="","",IF(M3_Silleteria!O190="","",M3_Silleteria!O190))</f>
        <v/>
      </c>
      <c r="AG586" s="17" t="str">
        <f>IF(M3_Silleteria!A190="","",IF(M3_Silleteria!P190="","",M3_Silleteria!P190))</f>
        <v/>
      </c>
      <c r="AH586" s="17" t="str">
        <f>IF(M3_Silleteria!A190="","",IF(M3_Silleteria!H190="","",M3_Silleteria!H190))</f>
        <v/>
      </c>
      <c r="AI586" s="17" t="str">
        <f>IF(M3_Silleteria!A190="","","M3_Silleteria!190")</f>
        <v/>
      </c>
      <c r="AJ586" s="17" t="str">
        <f>IF(M3_Silleteria!A190="","",IF(M3_Silleteria!L190="","Pendiente de resultado","Disponible"))</f>
        <v/>
      </c>
    </row>
    <row r="587" spans="1:36" ht="55.5" customHeight="1">
      <c r="A587" s="6" t="str">
        <f t="array" ref="A587">IF(583&gt;$S$1204,"",INDEX($T$5:$AJ$1204,MATCH(583,$S$5:$S$1204,0),1))</f>
        <v/>
      </c>
      <c r="B587" s="8" t="str">
        <f t="array" ref="B587">IF(583&gt;$S$1204,"",INDEX($T$5:$AJ$1204,MATCH(583,$S$5:$S$1204,0),2))</f>
        <v/>
      </c>
      <c r="C587" s="10" t="str">
        <f t="array" ref="C587">IF(583&gt;$S$1204,"",INDEX($T$5:$AJ$1204,MATCH(583,$S$5:$S$1204,0),3))</f>
        <v/>
      </c>
      <c r="D587" s="8" t="str">
        <f t="array" ref="D587">IF(583&gt;$S$1204,"",INDEX($T$5:$AJ$1204,MATCH(583,$S$5:$S$1204,0),4))</f>
        <v/>
      </c>
      <c r="E587" s="8" t="str">
        <f t="array" ref="E587">IF(583&gt;$S$1204,"",INDEX($T$5:$AJ$1204,MATCH(583,$S$5:$S$1204,0),5))</f>
        <v/>
      </c>
      <c r="F587" s="8" t="str">
        <f t="array" ref="F587">IF(583&gt;$S$1204,"",INDEX($T$5:$AJ$1204,MATCH(583,$S$5:$S$1204,0),6))</f>
        <v/>
      </c>
      <c r="G587" s="8" t="str">
        <f t="array" ref="G587">IF(583&gt;$S$1204,"",INDEX($T$5:$AJ$1204,MATCH(583,$S$5:$S$1204,0),7))</f>
        <v/>
      </c>
      <c r="H587" s="8" t="str">
        <f t="array" ref="H587">IF(583&gt;$S$1204,"",INDEX($T$5:$AJ$1204,MATCH(583,$S$5:$S$1204,0),8))</f>
        <v/>
      </c>
      <c r="I587" s="8" t="str">
        <f t="array" ref="I587">IF(583&gt;$S$1204,"",INDEX($T$5:$AJ$1204,MATCH(583,$S$5:$S$1204,0),9))</f>
        <v/>
      </c>
      <c r="J587" s="14" t="str">
        <f t="array" ref="J587">IF(583&gt;$S$1204,"",INDEX($T$5:$AJ$1204,MATCH(583,$S$5:$S$1204,0),10))</f>
        <v/>
      </c>
      <c r="K587" s="8" t="str">
        <f t="array" ref="K587">IF(583&gt;$S$1204,"",INDEX($T$5:$AJ$1204,MATCH(583,$S$5:$S$1204,0),11))</f>
        <v/>
      </c>
      <c r="L587" s="8" t="str">
        <f t="array" ref="L587">IF(583&gt;$S$1204,"",INDEX($T$5:$AJ$1204,MATCH(583,$S$5:$S$1204,0),12))</f>
        <v/>
      </c>
      <c r="M587" s="8" t="str">
        <f t="array" ref="M587">IF(583&gt;$S$1204,"",INDEX($T$5:$AJ$1204,MATCH(583,$S$5:$S$1204,0),13))</f>
        <v/>
      </c>
      <c r="N587" s="8" t="str">
        <f t="array" ref="N587">IF(583&gt;$S$1204,"",INDEX($T$5:$AJ$1204,MATCH(583,$S$5:$S$1204,0),14))</f>
        <v/>
      </c>
      <c r="O587" s="15" t="str">
        <f t="array" ref="O587">IF(583&gt;$S$1204,"",INDEX($T$5:$AJ$1204,MATCH(583,$S$5:$S$1204,0),15))</f>
        <v/>
      </c>
      <c r="P587" s="8" t="str">
        <f t="array" ref="P587">IF(583&gt;$S$1204,"",INDEX($T$5:$AJ$1204,MATCH(583,$S$5:$S$1204,0),16))</f>
        <v/>
      </c>
      <c r="Q587" s="8" t="str">
        <f t="array" ref="Q587">IF(583&gt;$S$1204,"",INDEX($T$5:$AJ$1204,MATCH(583,$S$5:$S$1204,0),17))</f>
        <v/>
      </c>
      <c r="R587" s="17"/>
      <c r="S587" s="17">
        <f>S586+IF(M3_Silleteria!A191="",0,1)</f>
        <v>0</v>
      </c>
      <c r="T587" s="17" t="str">
        <f>IF(M3_Silleteria!A191="","",IF(M3_Silleteria!A191="","",M3_Silleteria!A191))</f>
        <v/>
      </c>
      <c r="U587" s="17" t="str">
        <f>IF(M3_Silleteria!A191="","",IF(M3_Silleteria!Q191="","",M3_Silleteria!Q191))</f>
        <v/>
      </c>
      <c r="V587" s="17" t="str">
        <f>IF(M3_Silleteria!A191="","",IF(M3_Silleteria!D191="","",M3_Silleteria!D191))</f>
        <v/>
      </c>
      <c r="W587" s="17" t="str">
        <f>IF(M3_Silleteria!A191="","",IF(M3_Silleteria!B191="","",M3_Silleteria!B191))</f>
        <v/>
      </c>
      <c r="X587" s="17" t="str">
        <f>IF(M3_Silleteria!A191="","",IF(M3_Silleteria!C191="","",M3_Silleteria!C191))</f>
        <v/>
      </c>
      <c r="Y587" s="17" t="str">
        <f>IF(M3_Silleteria!A191="","",IF(M3_Silleteria!E191="","",M3_Silleteria!E191))</f>
        <v/>
      </c>
      <c r="Z587" s="17" t="str">
        <f>IF(M3_Silleteria!A191="","",IF(M3_Silleteria!F191="","",M3_Silleteria!F191))</f>
        <v/>
      </c>
      <c r="AA587" s="17" t="str">
        <f>IF(M3_Silleteria!A191="","","M3 Silletería")</f>
        <v/>
      </c>
      <c r="AB587" s="17" t="str">
        <f>IF(M3_Silleteria!A191="","",IF(M3_Silleteria!G191="","",M3_Silleteria!G191))</f>
        <v/>
      </c>
      <c r="AC587" s="17" t="str">
        <f>IF(M3_Silleteria!A191="","",IF(M3_Silleteria!L191="","",M3_Silleteria!L191))</f>
        <v/>
      </c>
      <c r="AD587" s="17" t="str">
        <f>IF(M3_Silleteria!A191="","","CD")</f>
        <v/>
      </c>
      <c r="AE587" s="17" t="str">
        <f>IF(M3_Silleteria!A191="","",IF(M3_Silleteria!N191="","",M3_Silleteria!N191))</f>
        <v/>
      </c>
      <c r="AF587" s="17" t="str">
        <f>IF(M3_Silleteria!A191="","",IF(M3_Silleteria!O191="","",M3_Silleteria!O191))</f>
        <v/>
      </c>
      <c r="AG587" s="17" t="str">
        <f>IF(M3_Silleteria!A191="","",IF(M3_Silleteria!P191="","",M3_Silleteria!P191))</f>
        <v/>
      </c>
      <c r="AH587" s="17" t="str">
        <f>IF(M3_Silleteria!A191="","",IF(M3_Silleteria!H191="","",M3_Silleteria!H191))</f>
        <v/>
      </c>
      <c r="AI587" s="17" t="str">
        <f>IF(M3_Silleteria!A191="","","M3_Silleteria!191")</f>
        <v/>
      </c>
      <c r="AJ587" s="17" t="str">
        <f>IF(M3_Silleteria!A191="","",IF(M3_Silleteria!L191="","Pendiente de resultado","Disponible"))</f>
        <v/>
      </c>
    </row>
    <row r="588" spans="1:36" ht="55.5" customHeight="1">
      <c r="A588" s="6" t="str">
        <f t="array" ref="A588">IF(584&gt;$S$1204,"",INDEX($T$5:$AJ$1204,MATCH(584,$S$5:$S$1204,0),1))</f>
        <v/>
      </c>
      <c r="B588" s="8" t="str">
        <f t="array" ref="B588">IF(584&gt;$S$1204,"",INDEX($T$5:$AJ$1204,MATCH(584,$S$5:$S$1204,0),2))</f>
        <v/>
      </c>
      <c r="C588" s="10" t="str">
        <f t="array" ref="C588">IF(584&gt;$S$1204,"",INDEX($T$5:$AJ$1204,MATCH(584,$S$5:$S$1204,0),3))</f>
        <v/>
      </c>
      <c r="D588" s="8" t="str">
        <f t="array" ref="D588">IF(584&gt;$S$1204,"",INDEX($T$5:$AJ$1204,MATCH(584,$S$5:$S$1204,0),4))</f>
        <v/>
      </c>
      <c r="E588" s="8" t="str">
        <f t="array" ref="E588">IF(584&gt;$S$1204,"",INDEX($T$5:$AJ$1204,MATCH(584,$S$5:$S$1204,0),5))</f>
        <v/>
      </c>
      <c r="F588" s="8" t="str">
        <f t="array" ref="F588">IF(584&gt;$S$1204,"",INDEX($T$5:$AJ$1204,MATCH(584,$S$5:$S$1204,0),6))</f>
        <v/>
      </c>
      <c r="G588" s="8" t="str">
        <f t="array" ref="G588">IF(584&gt;$S$1204,"",INDEX($T$5:$AJ$1204,MATCH(584,$S$5:$S$1204,0),7))</f>
        <v/>
      </c>
      <c r="H588" s="8" t="str">
        <f t="array" ref="H588">IF(584&gt;$S$1204,"",INDEX($T$5:$AJ$1204,MATCH(584,$S$5:$S$1204,0),8))</f>
        <v/>
      </c>
      <c r="I588" s="8" t="str">
        <f t="array" ref="I588">IF(584&gt;$S$1204,"",INDEX($T$5:$AJ$1204,MATCH(584,$S$5:$S$1204,0),9))</f>
        <v/>
      </c>
      <c r="J588" s="14" t="str">
        <f t="array" ref="J588">IF(584&gt;$S$1204,"",INDEX($T$5:$AJ$1204,MATCH(584,$S$5:$S$1204,0),10))</f>
        <v/>
      </c>
      <c r="K588" s="8" t="str">
        <f t="array" ref="K588">IF(584&gt;$S$1204,"",INDEX($T$5:$AJ$1204,MATCH(584,$S$5:$S$1204,0),11))</f>
        <v/>
      </c>
      <c r="L588" s="8" t="str">
        <f t="array" ref="L588">IF(584&gt;$S$1204,"",INDEX($T$5:$AJ$1204,MATCH(584,$S$5:$S$1204,0),12))</f>
        <v/>
      </c>
      <c r="M588" s="8" t="str">
        <f t="array" ref="M588">IF(584&gt;$S$1204,"",INDEX($T$5:$AJ$1204,MATCH(584,$S$5:$S$1204,0),13))</f>
        <v/>
      </c>
      <c r="N588" s="8" t="str">
        <f t="array" ref="N588">IF(584&gt;$S$1204,"",INDEX($T$5:$AJ$1204,MATCH(584,$S$5:$S$1204,0),14))</f>
        <v/>
      </c>
      <c r="O588" s="15" t="str">
        <f t="array" ref="O588">IF(584&gt;$S$1204,"",INDEX($T$5:$AJ$1204,MATCH(584,$S$5:$S$1204,0),15))</f>
        <v/>
      </c>
      <c r="P588" s="8" t="str">
        <f t="array" ref="P588">IF(584&gt;$S$1204,"",INDEX($T$5:$AJ$1204,MATCH(584,$S$5:$S$1204,0),16))</f>
        <v/>
      </c>
      <c r="Q588" s="8" t="str">
        <f t="array" ref="Q588">IF(584&gt;$S$1204,"",INDEX($T$5:$AJ$1204,MATCH(584,$S$5:$S$1204,0),17))</f>
        <v/>
      </c>
      <c r="R588" s="17"/>
      <c r="S588" s="17">
        <f>S587+IF(M3_Silleteria!A192="",0,1)</f>
        <v>0</v>
      </c>
      <c r="T588" s="17" t="str">
        <f>IF(M3_Silleteria!A192="","",IF(M3_Silleteria!A192="","",M3_Silleteria!A192))</f>
        <v/>
      </c>
      <c r="U588" s="17" t="str">
        <f>IF(M3_Silleteria!A192="","",IF(M3_Silleteria!Q192="","",M3_Silleteria!Q192))</f>
        <v/>
      </c>
      <c r="V588" s="17" t="str">
        <f>IF(M3_Silleteria!A192="","",IF(M3_Silleteria!D192="","",M3_Silleteria!D192))</f>
        <v/>
      </c>
      <c r="W588" s="17" t="str">
        <f>IF(M3_Silleteria!A192="","",IF(M3_Silleteria!B192="","",M3_Silleteria!B192))</f>
        <v/>
      </c>
      <c r="X588" s="17" t="str">
        <f>IF(M3_Silleteria!A192="","",IF(M3_Silleteria!C192="","",M3_Silleteria!C192))</f>
        <v/>
      </c>
      <c r="Y588" s="17" t="str">
        <f>IF(M3_Silleteria!A192="","",IF(M3_Silleteria!E192="","",M3_Silleteria!E192))</f>
        <v/>
      </c>
      <c r="Z588" s="17" t="str">
        <f>IF(M3_Silleteria!A192="","",IF(M3_Silleteria!F192="","",M3_Silleteria!F192))</f>
        <v/>
      </c>
      <c r="AA588" s="17" t="str">
        <f>IF(M3_Silleteria!A192="","","M3 Silletería")</f>
        <v/>
      </c>
      <c r="AB588" s="17" t="str">
        <f>IF(M3_Silleteria!A192="","",IF(M3_Silleteria!G192="","",M3_Silleteria!G192))</f>
        <v/>
      </c>
      <c r="AC588" s="17" t="str">
        <f>IF(M3_Silleteria!A192="","",IF(M3_Silleteria!L192="","",M3_Silleteria!L192))</f>
        <v/>
      </c>
      <c r="AD588" s="17" t="str">
        <f>IF(M3_Silleteria!A192="","","CD")</f>
        <v/>
      </c>
      <c r="AE588" s="17" t="str">
        <f>IF(M3_Silleteria!A192="","",IF(M3_Silleteria!N192="","",M3_Silleteria!N192))</f>
        <v/>
      </c>
      <c r="AF588" s="17" t="str">
        <f>IF(M3_Silleteria!A192="","",IF(M3_Silleteria!O192="","",M3_Silleteria!O192))</f>
        <v/>
      </c>
      <c r="AG588" s="17" t="str">
        <f>IF(M3_Silleteria!A192="","",IF(M3_Silleteria!P192="","",M3_Silleteria!P192))</f>
        <v/>
      </c>
      <c r="AH588" s="17" t="str">
        <f>IF(M3_Silleteria!A192="","",IF(M3_Silleteria!H192="","",M3_Silleteria!H192))</f>
        <v/>
      </c>
      <c r="AI588" s="17" t="str">
        <f>IF(M3_Silleteria!A192="","","M3_Silleteria!192")</f>
        <v/>
      </c>
      <c r="AJ588" s="17" t="str">
        <f>IF(M3_Silleteria!A192="","",IF(M3_Silleteria!L192="","Pendiente de resultado","Disponible"))</f>
        <v/>
      </c>
    </row>
    <row r="589" spans="1:36" ht="55.5" customHeight="1">
      <c r="A589" s="6" t="str">
        <f t="array" ref="A589">IF(585&gt;$S$1204,"",INDEX($T$5:$AJ$1204,MATCH(585,$S$5:$S$1204,0),1))</f>
        <v/>
      </c>
      <c r="B589" s="8" t="str">
        <f t="array" ref="B589">IF(585&gt;$S$1204,"",INDEX($T$5:$AJ$1204,MATCH(585,$S$5:$S$1204,0),2))</f>
        <v/>
      </c>
      <c r="C589" s="10" t="str">
        <f t="array" ref="C589">IF(585&gt;$S$1204,"",INDEX($T$5:$AJ$1204,MATCH(585,$S$5:$S$1204,0),3))</f>
        <v/>
      </c>
      <c r="D589" s="8" t="str">
        <f t="array" ref="D589">IF(585&gt;$S$1204,"",INDEX($T$5:$AJ$1204,MATCH(585,$S$5:$S$1204,0),4))</f>
        <v/>
      </c>
      <c r="E589" s="8" t="str">
        <f t="array" ref="E589">IF(585&gt;$S$1204,"",INDEX($T$5:$AJ$1204,MATCH(585,$S$5:$S$1204,0),5))</f>
        <v/>
      </c>
      <c r="F589" s="8" t="str">
        <f t="array" ref="F589">IF(585&gt;$S$1204,"",INDEX($T$5:$AJ$1204,MATCH(585,$S$5:$S$1204,0),6))</f>
        <v/>
      </c>
      <c r="G589" s="8" t="str">
        <f t="array" ref="G589">IF(585&gt;$S$1204,"",INDEX($T$5:$AJ$1204,MATCH(585,$S$5:$S$1204,0),7))</f>
        <v/>
      </c>
      <c r="H589" s="8" t="str">
        <f t="array" ref="H589">IF(585&gt;$S$1204,"",INDEX($T$5:$AJ$1204,MATCH(585,$S$5:$S$1204,0),8))</f>
        <v/>
      </c>
      <c r="I589" s="8" t="str">
        <f t="array" ref="I589">IF(585&gt;$S$1204,"",INDEX($T$5:$AJ$1204,MATCH(585,$S$5:$S$1204,0),9))</f>
        <v/>
      </c>
      <c r="J589" s="14" t="str">
        <f t="array" ref="J589">IF(585&gt;$S$1204,"",INDEX($T$5:$AJ$1204,MATCH(585,$S$5:$S$1204,0),10))</f>
        <v/>
      </c>
      <c r="K589" s="8" t="str">
        <f t="array" ref="K589">IF(585&gt;$S$1204,"",INDEX($T$5:$AJ$1204,MATCH(585,$S$5:$S$1204,0),11))</f>
        <v/>
      </c>
      <c r="L589" s="8" t="str">
        <f t="array" ref="L589">IF(585&gt;$S$1204,"",INDEX($T$5:$AJ$1204,MATCH(585,$S$5:$S$1204,0),12))</f>
        <v/>
      </c>
      <c r="M589" s="8" t="str">
        <f t="array" ref="M589">IF(585&gt;$S$1204,"",INDEX($T$5:$AJ$1204,MATCH(585,$S$5:$S$1204,0),13))</f>
        <v/>
      </c>
      <c r="N589" s="8" t="str">
        <f t="array" ref="N589">IF(585&gt;$S$1204,"",INDEX($T$5:$AJ$1204,MATCH(585,$S$5:$S$1204,0),14))</f>
        <v/>
      </c>
      <c r="O589" s="15" t="str">
        <f t="array" ref="O589">IF(585&gt;$S$1204,"",INDEX($T$5:$AJ$1204,MATCH(585,$S$5:$S$1204,0),15))</f>
        <v/>
      </c>
      <c r="P589" s="8" t="str">
        <f t="array" ref="P589">IF(585&gt;$S$1204,"",INDEX($T$5:$AJ$1204,MATCH(585,$S$5:$S$1204,0),16))</f>
        <v/>
      </c>
      <c r="Q589" s="8" t="str">
        <f t="array" ref="Q589">IF(585&gt;$S$1204,"",INDEX($T$5:$AJ$1204,MATCH(585,$S$5:$S$1204,0),17))</f>
        <v/>
      </c>
      <c r="R589" s="17"/>
      <c r="S589" s="17">
        <f>S588+IF(M3_Silleteria!A193="",0,1)</f>
        <v>0</v>
      </c>
      <c r="T589" s="17" t="str">
        <f>IF(M3_Silleteria!A193="","",IF(M3_Silleteria!A193="","",M3_Silleteria!A193))</f>
        <v/>
      </c>
      <c r="U589" s="17" t="str">
        <f>IF(M3_Silleteria!A193="","",IF(M3_Silleteria!Q193="","",M3_Silleteria!Q193))</f>
        <v/>
      </c>
      <c r="V589" s="17" t="str">
        <f>IF(M3_Silleteria!A193="","",IF(M3_Silleteria!D193="","",M3_Silleteria!D193))</f>
        <v/>
      </c>
      <c r="W589" s="17" t="str">
        <f>IF(M3_Silleteria!A193="","",IF(M3_Silleteria!B193="","",M3_Silleteria!B193))</f>
        <v/>
      </c>
      <c r="X589" s="17" t="str">
        <f>IF(M3_Silleteria!A193="","",IF(M3_Silleteria!C193="","",M3_Silleteria!C193))</f>
        <v/>
      </c>
      <c r="Y589" s="17" t="str">
        <f>IF(M3_Silleteria!A193="","",IF(M3_Silleteria!E193="","",M3_Silleteria!E193))</f>
        <v/>
      </c>
      <c r="Z589" s="17" t="str">
        <f>IF(M3_Silleteria!A193="","",IF(M3_Silleteria!F193="","",M3_Silleteria!F193))</f>
        <v/>
      </c>
      <c r="AA589" s="17" t="str">
        <f>IF(M3_Silleteria!A193="","","M3 Silletería")</f>
        <v/>
      </c>
      <c r="AB589" s="17" t="str">
        <f>IF(M3_Silleteria!A193="","",IF(M3_Silleteria!G193="","",M3_Silleteria!G193))</f>
        <v/>
      </c>
      <c r="AC589" s="17" t="str">
        <f>IF(M3_Silleteria!A193="","",IF(M3_Silleteria!L193="","",M3_Silleteria!L193))</f>
        <v/>
      </c>
      <c r="AD589" s="17" t="str">
        <f>IF(M3_Silleteria!A193="","","CD")</f>
        <v/>
      </c>
      <c r="AE589" s="17" t="str">
        <f>IF(M3_Silleteria!A193="","",IF(M3_Silleteria!N193="","",M3_Silleteria!N193))</f>
        <v/>
      </c>
      <c r="AF589" s="17" t="str">
        <f>IF(M3_Silleteria!A193="","",IF(M3_Silleteria!O193="","",M3_Silleteria!O193))</f>
        <v/>
      </c>
      <c r="AG589" s="17" t="str">
        <f>IF(M3_Silleteria!A193="","",IF(M3_Silleteria!P193="","",M3_Silleteria!P193))</f>
        <v/>
      </c>
      <c r="AH589" s="17" t="str">
        <f>IF(M3_Silleteria!A193="","",IF(M3_Silleteria!H193="","",M3_Silleteria!H193))</f>
        <v/>
      </c>
      <c r="AI589" s="17" t="str">
        <f>IF(M3_Silleteria!A193="","","M3_Silleteria!193")</f>
        <v/>
      </c>
      <c r="AJ589" s="17" t="str">
        <f>IF(M3_Silleteria!A193="","",IF(M3_Silleteria!L193="","Pendiente de resultado","Disponible"))</f>
        <v/>
      </c>
    </row>
    <row r="590" spans="1:36" ht="55.5" customHeight="1">
      <c r="A590" s="6" t="str">
        <f t="array" ref="A590">IF(586&gt;$S$1204,"",INDEX($T$5:$AJ$1204,MATCH(586,$S$5:$S$1204,0),1))</f>
        <v/>
      </c>
      <c r="B590" s="8" t="str">
        <f t="array" ref="B590">IF(586&gt;$S$1204,"",INDEX($T$5:$AJ$1204,MATCH(586,$S$5:$S$1204,0),2))</f>
        <v/>
      </c>
      <c r="C590" s="10" t="str">
        <f t="array" ref="C590">IF(586&gt;$S$1204,"",INDEX($T$5:$AJ$1204,MATCH(586,$S$5:$S$1204,0),3))</f>
        <v/>
      </c>
      <c r="D590" s="8" t="str">
        <f t="array" ref="D590">IF(586&gt;$S$1204,"",INDEX($T$5:$AJ$1204,MATCH(586,$S$5:$S$1204,0),4))</f>
        <v/>
      </c>
      <c r="E590" s="8" t="str">
        <f t="array" ref="E590">IF(586&gt;$S$1204,"",INDEX($T$5:$AJ$1204,MATCH(586,$S$5:$S$1204,0),5))</f>
        <v/>
      </c>
      <c r="F590" s="8" t="str">
        <f t="array" ref="F590">IF(586&gt;$S$1204,"",INDEX($T$5:$AJ$1204,MATCH(586,$S$5:$S$1204,0),6))</f>
        <v/>
      </c>
      <c r="G590" s="8" t="str">
        <f t="array" ref="G590">IF(586&gt;$S$1204,"",INDEX($T$5:$AJ$1204,MATCH(586,$S$5:$S$1204,0),7))</f>
        <v/>
      </c>
      <c r="H590" s="8" t="str">
        <f t="array" ref="H590">IF(586&gt;$S$1204,"",INDEX($T$5:$AJ$1204,MATCH(586,$S$5:$S$1204,0),8))</f>
        <v/>
      </c>
      <c r="I590" s="8" t="str">
        <f t="array" ref="I590">IF(586&gt;$S$1204,"",INDEX($T$5:$AJ$1204,MATCH(586,$S$5:$S$1204,0),9))</f>
        <v/>
      </c>
      <c r="J590" s="14" t="str">
        <f t="array" ref="J590">IF(586&gt;$S$1204,"",INDEX($T$5:$AJ$1204,MATCH(586,$S$5:$S$1204,0),10))</f>
        <v/>
      </c>
      <c r="K590" s="8" t="str">
        <f t="array" ref="K590">IF(586&gt;$S$1204,"",INDEX($T$5:$AJ$1204,MATCH(586,$S$5:$S$1204,0),11))</f>
        <v/>
      </c>
      <c r="L590" s="8" t="str">
        <f t="array" ref="L590">IF(586&gt;$S$1204,"",INDEX($T$5:$AJ$1204,MATCH(586,$S$5:$S$1204,0),12))</f>
        <v/>
      </c>
      <c r="M590" s="8" t="str">
        <f t="array" ref="M590">IF(586&gt;$S$1204,"",INDEX($T$5:$AJ$1204,MATCH(586,$S$5:$S$1204,0),13))</f>
        <v/>
      </c>
      <c r="N590" s="8" t="str">
        <f t="array" ref="N590">IF(586&gt;$S$1204,"",INDEX($T$5:$AJ$1204,MATCH(586,$S$5:$S$1204,0),14))</f>
        <v/>
      </c>
      <c r="O590" s="15" t="str">
        <f t="array" ref="O590">IF(586&gt;$S$1204,"",INDEX($T$5:$AJ$1204,MATCH(586,$S$5:$S$1204,0),15))</f>
        <v/>
      </c>
      <c r="P590" s="8" t="str">
        <f t="array" ref="P590">IF(586&gt;$S$1204,"",INDEX($T$5:$AJ$1204,MATCH(586,$S$5:$S$1204,0),16))</f>
        <v/>
      </c>
      <c r="Q590" s="8" t="str">
        <f t="array" ref="Q590">IF(586&gt;$S$1204,"",INDEX($T$5:$AJ$1204,MATCH(586,$S$5:$S$1204,0),17))</f>
        <v/>
      </c>
      <c r="R590" s="17"/>
      <c r="S590" s="17">
        <f>S589+IF(M3_Silleteria!A194="",0,1)</f>
        <v>0</v>
      </c>
      <c r="T590" s="17" t="str">
        <f>IF(M3_Silleteria!A194="","",IF(M3_Silleteria!A194="","",M3_Silleteria!A194))</f>
        <v/>
      </c>
      <c r="U590" s="17" t="str">
        <f>IF(M3_Silleteria!A194="","",IF(M3_Silleteria!Q194="","",M3_Silleteria!Q194))</f>
        <v/>
      </c>
      <c r="V590" s="17" t="str">
        <f>IF(M3_Silleteria!A194="","",IF(M3_Silleteria!D194="","",M3_Silleteria!D194))</f>
        <v/>
      </c>
      <c r="W590" s="17" t="str">
        <f>IF(M3_Silleteria!A194="","",IF(M3_Silleteria!B194="","",M3_Silleteria!B194))</f>
        <v/>
      </c>
      <c r="X590" s="17" t="str">
        <f>IF(M3_Silleteria!A194="","",IF(M3_Silleteria!C194="","",M3_Silleteria!C194))</f>
        <v/>
      </c>
      <c r="Y590" s="17" t="str">
        <f>IF(M3_Silleteria!A194="","",IF(M3_Silleteria!E194="","",M3_Silleteria!E194))</f>
        <v/>
      </c>
      <c r="Z590" s="17" t="str">
        <f>IF(M3_Silleteria!A194="","",IF(M3_Silleteria!F194="","",M3_Silleteria!F194))</f>
        <v/>
      </c>
      <c r="AA590" s="17" t="str">
        <f>IF(M3_Silleteria!A194="","","M3 Silletería")</f>
        <v/>
      </c>
      <c r="AB590" s="17" t="str">
        <f>IF(M3_Silleteria!A194="","",IF(M3_Silleteria!G194="","",M3_Silleteria!G194))</f>
        <v/>
      </c>
      <c r="AC590" s="17" t="str">
        <f>IF(M3_Silleteria!A194="","",IF(M3_Silleteria!L194="","",M3_Silleteria!L194))</f>
        <v/>
      </c>
      <c r="AD590" s="17" t="str">
        <f>IF(M3_Silleteria!A194="","","CD")</f>
        <v/>
      </c>
      <c r="AE590" s="17" t="str">
        <f>IF(M3_Silleteria!A194="","",IF(M3_Silleteria!N194="","",M3_Silleteria!N194))</f>
        <v/>
      </c>
      <c r="AF590" s="17" t="str">
        <f>IF(M3_Silleteria!A194="","",IF(M3_Silleteria!O194="","",M3_Silleteria!O194))</f>
        <v/>
      </c>
      <c r="AG590" s="17" t="str">
        <f>IF(M3_Silleteria!A194="","",IF(M3_Silleteria!P194="","",M3_Silleteria!P194))</f>
        <v/>
      </c>
      <c r="AH590" s="17" t="str">
        <f>IF(M3_Silleteria!A194="","",IF(M3_Silleteria!H194="","",M3_Silleteria!H194))</f>
        <v/>
      </c>
      <c r="AI590" s="17" t="str">
        <f>IF(M3_Silleteria!A194="","","M3_Silleteria!194")</f>
        <v/>
      </c>
      <c r="AJ590" s="17" t="str">
        <f>IF(M3_Silleteria!A194="","",IF(M3_Silleteria!L194="","Pendiente de resultado","Disponible"))</f>
        <v/>
      </c>
    </row>
    <row r="591" spans="1:36" ht="55.5" customHeight="1">
      <c r="A591" s="6" t="str">
        <f t="array" ref="A591">IF(587&gt;$S$1204,"",INDEX($T$5:$AJ$1204,MATCH(587,$S$5:$S$1204,0),1))</f>
        <v/>
      </c>
      <c r="B591" s="8" t="str">
        <f t="array" ref="B591">IF(587&gt;$S$1204,"",INDEX($T$5:$AJ$1204,MATCH(587,$S$5:$S$1204,0),2))</f>
        <v/>
      </c>
      <c r="C591" s="10" t="str">
        <f t="array" ref="C591">IF(587&gt;$S$1204,"",INDEX($T$5:$AJ$1204,MATCH(587,$S$5:$S$1204,0),3))</f>
        <v/>
      </c>
      <c r="D591" s="8" t="str">
        <f t="array" ref="D591">IF(587&gt;$S$1204,"",INDEX($T$5:$AJ$1204,MATCH(587,$S$5:$S$1204,0),4))</f>
        <v/>
      </c>
      <c r="E591" s="8" t="str">
        <f t="array" ref="E591">IF(587&gt;$S$1204,"",INDEX($T$5:$AJ$1204,MATCH(587,$S$5:$S$1204,0),5))</f>
        <v/>
      </c>
      <c r="F591" s="8" t="str">
        <f t="array" ref="F591">IF(587&gt;$S$1204,"",INDEX($T$5:$AJ$1204,MATCH(587,$S$5:$S$1204,0),6))</f>
        <v/>
      </c>
      <c r="G591" s="8" t="str">
        <f t="array" ref="G591">IF(587&gt;$S$1204,"",INDEX($T$5:$AJ$1204,MATCH(587,$S$5:$S$1204,0),7))</f>
        <v/>
      </c>
      <c r="H591" s="8" t="str">
        <f t="array" ref="H591">IF(587&gt;$S$1204,"",INDEX($T$5:$AJ$1204,MATCH(587,$S$5:$S$1204,0),8))</f>
        <v/>
      </c>
      <c r="I591" s="8" t="str">
        <f t="array" ref="I591">IF(587&gt;$S$1204,"",INDEX($T$5:$AJ$1204,MATCH(587,$S$5:$S$1204,0),9))</f>
        <v/>
      </c>
      <c r="J591" s="14" t="str">
        <f t="array" ref="J591">IF(587&gt;$S$1204,"",INDEX($T$5:$AJ$1204,MATCH(587,$S$5:$S$1204,0),10))</f>
        <v/>
      </c>
      <c r="K591" s="8" t="str">
        <f t="array" ref="K591">IF(587&gt;$S$1204,"",INDEX($T$5:$AJ$1204,MATCH(587,$S$5:$S$1204,0),11))</f>
        <v/>
      </c>
      <c r="L591" s="8" t="str">
        <f t="array" ref="L591">IF(587&gt;$S$1204,"",INDEX($T$5:$AJ$1204,MATCH(587,$S$5:$S$1204,0),12))</f>
        <v/>
      </c>
      <c r="M591" s="8" t="str">
        <f t="array" ref="M591">IF(587&gt;$S$1204,"",INDEX($T$5:$AJ$1204,MATCH(587,$S$5:$S$1204,0),13))</f>
        <v/>
      </c>
      <c r="N591" s="8" t="str">
        <f t="array" ref="N591">IF(587&gt;$S$1204,"",INDEX($T$5:$AJ$1204,MATCH(587,$S$5:$S$1204,0),14))</f>
        <v/>
      </c>
      <c r="O591" s="15" t="str">
        <f t="array" ref="O591">IF(587&gt;$S$1204,"",INDEX($T$5:$AJ$1204,MATCH(587,$S$5:$S$1204,0),15))</f>
        <v/>
      </c>
      <c r="P591" s="8" t="str">
        <f t="array" ref="P591">IF(587&gt;$S$1204,"",INDEX($T$5:$AJ$1204,MATCH(587,$S$5:$S$1204,0),16))</f>
        <v/>
      </c>
      <c r="Q591" s="8" t="str">
        <f t="array" ref="Q591">IF(587&gt;$S$1204,"",INDEX($T$5:$AJ$1204,MATCH(587,$S$5:$S$1204,0),17))</f>
        <v/>
      </c>
      <c r="R591" s="17"/>
      <c r="S591" s="17">
        <f>S590+IF(M3_Silleteria!A195="",0,1)</f>
        <v>0</v>
      </c>
      <c r="T591" s="17" t="str">
        <f>IF(M3_Silleteria!A195="","",IF(M3_Silleteria!A195="","",M3_Silleteria!A195))</f>
        <v/>
      </c>
      <c r="U591" s="17" t="str">
        <f>IF(M3_Silleteria!A195="","",IF(M3_Silleteria!Q195="","",M3_Silleteria!Q195))</f>
        <v/>
      </c>
      <c r="V591" s="17" t="str">
        <f>IF(M3_Silleteria!A195="","",IF(M3_Silleteria!D195="","",M3_Silleteria!D195))</f>
        <v/>
      </c>
      <c r="W591" s="17" t="str">
        <f>IF(M3_Silleteria!A195="","",IF(M3_Silleteria!B195="","",M3_Silleteria!B195))</f>
        <v/>
      </c>
      <c r="X591" s="17" t="str">
        <f>IF(M3_Silleteria!A195="","",IF(M3_Silleteria!C195="","",M3_Silleteria!C195))</f>
        <v/>
      </c>
      <c r="Y591" s="17" t="str">
        <f>IF(M3_Silleteria!A195="","",IF(M3_Silleteria!E195="","",M3_Silleteria!E195))</f>
        <v/>
      </c>
      <c r="Z591" s="17" t="str">
        <f>IF(M3_Silleteria!A195="","",IF(M3_Silleteria!F195="","",M3_Silleteria!F195))</f>
        <v/>
      </c>
      <c r="AA591" s="17" t="str">
        <f>IF(M3_Silleteria!A195="","","M3 Silletería")</f>
        <v/>
      </c>
      <c r="AB591" s="17" t="str">
        <f>IF(M3_Silleteria!A195="","",IF(M3_Silleteria!G195="","",M3_Silleteria!G195))</f>
        <v/>
      </c>
      <c r="AC591" s="17" t="str">
        <f>IF(M3_Silleteria!A195="","",IF(M3_Silleteria!L195="","",M3_Silleteria!L195))</f>
        <v/>
      </c>
      <c r="AD591" s="17" t="str">
        <f>IF(M3_Silleteria!A195="","","CD")</f>
        <v/>
      </c>
      <c r="AE591" s="17" t="str">
        <f>IF(M3_Silleteria!A195="","",IF(M3_Silleteria!N195="","",M3_Silleteria!N195))</f>
        <v/>
      </c>
      <c r="AF591" s="17" t="str">
        <f>IF(M3_Silleteria!A195="","",IF(M3_Silleteria!O195="","",M3_Silleteria!O195))</f>
        <v/>
      </c>
      <c r="AG591" s="17" t="str">
        <f>IF(M3_Silleteria!A195="","",IF(M3_Silleteria!P195="","",M3_Silleteria!P195))</f>
        <v/>
      </c>
      <c r="AH591" s="17" t="str">
        <f>IF(M3_Silleteria!A195="","",IF(M3_Silleteria!H195="","",M3_Silleteria!H195))</f>
        <v/>
      </c>
      <c r="AI591" s="17" t="str">
        <f>IF(M3_Silleteria!A195="","","M3_Silleteria!195")</f>
        <v/>
      </c>
      <c r="AJ591" s="17" t="str">
        <f>IF(M3_Silleteria!A195="","",IF(M3_Silleteria!L195="","Pendiente de resultado","Disponible"))</f>
        <v/>
      </c>
    </row>
    <row r="592" spans="1:36" ht="55.5" customHeight="1">
      <c r="A592" s="6" t="str">
        <f t="array" ref="A592">IF(588&gt;$S$1204,"",INDEX($T$5:$AJ$1204,MATCH(588,$S$5:$S$1204,0),1))</f>
        <v/>
      </c>
      <c r="B592" s="8" t="str">
        <f t="array" ref="B592">IF(588&gt;$S$1204,"",INDEX($T$5:$AJ$1204,MATCH(588,$S$5:$S$1204,0),2))</f>
        <v/>
      </c>
      <c r="C592" s="10" t="str">
        <f t="array" ref="C592">IF(588&gt;$S$1204,"",INDEX($T$5:$AJ$1204,MATCH(588,$S$5:$S$1204,0),3))</f>
        <v/>
      </c>
      <c r="D592" s="8" t="str">
        <f t="array" ref="D592">IF(588&gt;$S$1204,"",INDEX($T$5:$AJ$1204,MATCH(588,$S$5:$S$1204,0),4))</f>
        <v/>
      </c>
      <c r="E592" s="8" t="str">
        <f t="array" ref="E592">IF(588&gt;$S$1204,"",INDEX($T$5:$AJ$1204,MATCH(588,$S$5:$S$1204,0),5))</f>
        <v/>
      </c>
      <c r="F592" s="8" t="str">
        <f t="array" ref="F592">IF(588&gt;$S$1204,"",INDEX($T$5:$AJ$1204,MATCH(588,$S$5:$S$1204,0),6))</f>
        <v/>
      </c>
      <c r="G592" s="8" t="str">
        <f t="array" ref="G592">IF(588&gt;$S$1204,"",INDEX($T$5:$AJ$1204,MATCH(588,$S$5:$S$1204,0),7))</f>
        <v/>
      </c>
      <c r="H592" s="8" t="str">
        <f t="array" ref="H592">IF(588&gt;$S$1204,"",INDEX($T$5:$AJ$1204,MATCH(588,$S$5:$S$1204,0),8))</f>
        <v/>
      </c>
      <c r="I592" s="8" t="str">
        <f t="array" ref="I592">IF(588&gt;$S$1204,"",INDEX($T$5:$AJ$1204,MATCH(588,$S$5:$S$1204,0),9))</f>
        <v/>
      </c>
      <c r="J592" s="14" t="str">
        <f t="array" ref="J592">IF(588&gt;$S$1204,"",INDEX($T$5:$AJ$1204,MATCH(588,$S$5:$S$1204,0),10))</f>
        <v/>
      </c>
      <c r="K592" s="8" t="str">
        <f t="array" ref="K592">IF(588&gt;$S$1204,"",INDEX($T$5:$AJ$1204,MATCH(588,$S$5:$S$1204,0),11))</f>
        <v/>
      </c>
      <c r="L592" s="8" t="str">
        <f t="array" ref="L592">IF(588&gt;$S$1204,"",INDEX($T$5:$AJ$1204,MATCH(588,$S$5:$S$1204,0),12))</f>
        <v/>
      </c>
      <c r="M592" s="8" t="str">
        <f t="array" ref="M592">IF(588&gt;$S$1204,"",INDEX($T$5:$AJ$1204,MATCH(588,$S$5:$S$1204,0),13))</f>
        <v/>
      </c>
      <c r="N592" s="8" t="str">
        <f t="array" ref="N592">IF(588&gt;$S$1204,"",INDEX($T$5:$AJ$1204,MATCH(588,$S$5:$S$1204,0),14))</f>
        <v/>
      </c>
      <c r="O592" s="15" t="str">
        <f t="array" ref="O592">IF(588&gt;$S$1204,"",INDEX($T$5:$AJ$1204,MATCH(588,$S$5:$S$1204,0),15))</f>
        <v/>
      </c>
      <c r="P592" s="8" t="str">
        <f t="array" ref="P592">IF(588&gt;$S$1204,"",INDEX($T$5:$AJ$1204,MATCH(588,$S$5:$S$1204,0),16))</f>
        <v/>
      </c>
      <c r="Q592" s="8" t="str">
        <f t="array" ref="Q592">IF(588&gt;$S$1204,"",INDEX($T$5:$AJ$1204,MATCH(588,$S$5:$S$1204,0),17))</f>
        <v/>
      </c>
      <c r="R592" s="17"/>
      <c r="S592" s="17">
        <f>S591+IF(M3_Silleteria!A196="",0,1)</f>
        <v>0</v>
      </c>
      <c r="T592" s="17" t="str">
        <f>IF(M3_Silleteria!A196="","",IF(M3_Silleteria!A196="","",M3_Silleteria!A196))</f>
        <v/>
      </c>
      <c r="U592" s="17" t="str">
        <f>IF(M3_Silleteria!A196="","",IF(M3_Silleteria!Q196="","",M3_Silleteria!Q196))</f>
        <v/>
      </c>
      <c r="V592" s="17" t="str">
        <f>IF(M3_Silleteria!A196="","",IF(M3_Silleteria!D196="","",M3_Silleteria!D196))</f>
        <v/>
      </c>
      <c r="W592" s="17" t="str">
        <f>IF(M3_Silleteria!A196="","",IF(M3_Silleteria!B196="","",M3_Silleteria!B196))</f>
        <v/>
      </c>
      <c r="X592" s="17" t="str">
        <f>IF(M3_Silleteria!A196="","",IF(M3_Silleteria!C196="","",M3_Silleteria!C196))</f>
        <v/>
      </c>
      <c r="Y592" s="17" t="str">
        <f>IF(M3_Silleteria!A196="","",IF(M3_Silleteria!E196="","",M3_Silleteria!E196))</f>
        <v/>
      </c>
      <c r="Z592" s="17" t="str">
        <f>IF(M3_Silleteria!A196="","",IF(M3_Silleteria!F196="","",M3_Silleteria!F196))</f>
        <v/>
      </c>
      <c r="AA592" s="17" t="str">
        <f>IF(M3_Silleteria!A196="","","M3 Silletería")</f>
        <v/>
      </c>
      <c r="AB592" s="17" t="str">
        <f>IF(M3_Silleteria!A196="","",IF(M3_Silleteria!G196="","",M3_Silleteria!G196))</f>
        <v/>
      </c>
      <c r="AC592" s="17" t="str">
        <f>IF(M3_Silleteria!A196="","",IF(M3_Silleteria!L196="","",M3_Silleteria!L196))</f>
        <v/>
      </c>
      <c r="AD592" s="17" t="str">
        <f>IF(M3_Silleteria!A196="","","CD")</f>
        <v/>
      </c>
      <c r="AE592" s="17" t="str">
        <f>IF(M3_Silleteria!A196="","",IF(M3_Silleteria!N196="","",M3_Silleteria!N196))</f>
        <v/>
      </c>
      <c r="AF592" s="17" t="str">
        <f>IF(M3_Silleteria!A196="","",IF(M3_Silleteria!O196="","",M3_Silleteria!O196))</f>
        <v/>
      </c>
      <c r="AG592" s="17" t="str">
        <f>IF(M3_Silleteria!A196="","",IF(M3_Silleteria!P196="","",M3_Silleteria!P196))</f>
        <v/>
      </c>
      <c r="AH592" s="17" t="str">
        <f>IF(M3_Silleteria!A196="","",IF(M3_Silleteria!H196="","",M3_Silleteria!H196))</f>
        <v/>
      </c>
      <c r="AI592" s="17" t="str">
        <f>IF(M3_Silleteria!A196="","","M3_Silleteria!196")</f>
        <v/>
      </c>
      <c r="AJ592" s="17" t="str">
        <f>IF(M3_Silleteria!A196="","",IF(M3_Silleteria!L196="","Pendiente de resultado","Disponible"))</f>
        <v/>
      </c>
    </row>
    <row r="593" spans="1:36" ht="55.5" customHeight="1">
      <c r="A593" s="6" t="str">
        <f t="array" ref="A593">IF(589&gt;$S$1204,"",INDEX($T$5:$AJ$1204,MATCH(589,$S$5:$S$1204,0),1))</f>
        <v/>
      </c>
      <c r="B593" s="8" t="str">
        <f t="array" ref="B593">IF(589&gt;$S$1204,"",INDEX($T$5:$AJ$1204,MATCH(589,$S$5:$S$1204,0),2))</f>
        <v/>
      </c>
      <c r="C593" s="10" t="str">
        <f t="array" ref="C593">IF(589&gt;$S$1204,"",INDEX($T$5:$AJ$1204,MATCH(589,$S$5:$S$1204,0),3))</f>
        <v/>
      </c>
      <c r="D593" s="8" t="str">
        <f t="array" ref="D593">IF(589&gt;$S$1204,"",INDEX($T$5:$AJ$1204,MATCH(589,$S$5:$S$1204,0),4))</f>
        <v/>
      </c>
      <c r="E593" s="8" t="str">
        <f t="array" ref="E593">IF(589&gt;$S$1204,"",INDEX($T$5:$AJ$1204,MATCH(589,$S$5:$S$1204,0),5))</f>
        <v/>
      </c>
      <c r="F593" s="8" t="str">
        <f t="array" ref="F593">IF(589&gt;$S$1204,"",INDEX($T$5:$AJ$1204,MATCH(589,$S$5:$S$1204,0),6))</f>
        <v/>
      </c>
      <c r="G593" s="8" t="str">
        <f t="array" ref="G593">IF(589&gt;$S$1204,"",INDEX($T$5:$AJ$1204,MATCH(589,$S$5:$S$1204,0),7))</f>
        <v/>
      </c>
      <c r="H593" s="8" t="str">
        <f t="array" ref="H593">IF(589&gt;$S$1204,"",INDEX($T$5:$AJ$1204,MATCH(589,$S$5:$S$1204,0),8))</f>
        <v/>
      </c>
      <c r="I593" s="8" t="str">
        <f t="array" ref="I593">IF(589&gt;$S$1204,"",INDEX($T$5:$AJ$1204,MATCH(589,$S$5:$S$1204,0),9))</f>
        <v/>
      </c>
      <c r="J593" s="14" t="str">
        <f t="array" ref="J593">IF(589&gt;$S$1204,"",INDEX($T$5:$AJ$1204,MATCH(589,$S$5:$S$1204,0),10))</f>
        <v/>
      </c>
      <c r="K593" s="8" t="str">
        <f t="array" ref="K593">IF(589&gt;$S$1204,"",INDEX($T$5:$AJ$1204,MATCH(589,$S$5:$S$1204,0),11))</f>
        <v/>
      </c>
      <c r="L593" s="8" t="str">
        <f t="array" ref="L593">IF(589&gt;$S$1204,"",INDEX($T$5:$AJ$1204,MATCH(589,$S$5:$S$1204,0),12))</f>
        <v/>
      </c>
      <c r="M593" s="8" t="str">
        <f t="array" ref="M593">IF(589&gt;$S$1204,"",INDEX($T$5:$AJ$1204,MATCH(589,$S$5:$S$1204,0),13))</f>
        <v/>
      </c>
      <c r="N593" s="8" t="str">
        <f t="array" ref="N593">IF(589&gt;$S$1204,"",INDEX($T$5:$AJ$1204,MATCH(589,$S$5:$S$1204,0),14))</f>
        <v/>
      </c>
      <c r="O593" s="15" t="str">
        <f t="array" ref="O593">IF(589&gt;$S$1204,"",INDEX($T$5:$AJ$1204,MATCH(589,$S$5:$S$1204,0),15))</f>
        <v/>
      </c>
      <c r="P593" s="8" t="str">
        <f t="array" ref="P593">IF(589&gt;$S$1204,"",INDEX($T$5:$AJ$1204,MATCH(589,$S$5:$S$1204,0),16))</f>
        <v/>
      </c>
      <c r="Q593" s="8" t="str">
        <f t="array" ref="Q593">IF(589&gt;$S$1204,"",INDEX($T$5:$AJ$1204,MATCH(589,$S$5:$S$1204,0),17))</f>
        <v/>
      </c>
      <c r="R593" s="17"/>
      <c r="S593" s="17">
        <f>S592+IF(M3_Silleteria!A197="",0,1)</f>
        <v>0</v>
      </c>
      <c r="T593" s="17" t="str">
        <f>IF(M3_Silleteria!A197="","",IF(M3_Silleteria!A197="","",M3_Silleteria!A197))</f>
        <v/>
      </c>
      <c r="U593" s="17" t="str">
        <f>IF(M3_Silleteria!A197="","",IF(M3_Silleteria!Q197="","",M3_Silleteria!Q197))</f>
        <v/>
      </c>
      <c r="V593" s="17" t="str">
        <f>IF(M3_Silleteria!A197="","",IF(M3_Silleteria!D197="","",M3_Silleteria!D197))</f>
        <v/>
      </c>
      <c r="W593" s="17" t="str">
        <f>IF(M3_Silleteria!A197="","",IF(M3_Silleteria!B197="","",M3_Silleteria!B197))</f>
        <v/>
      </c>
      <c r="X593" s="17" t="str">
        <f>IF(M3_Silleteria!A197="","",IF(M3_Silleteria!C197="","",M3_Silleteria!C197))</f>
        <v/>
      </c>
      <c r="Y593" s="17" t="str">
        <f>IF(M3_Silleteria!A197="","",IF(M3_Silleteria!E197="","",M3_Silleteria!E197))</f>
        <v/>
      </c>
      <c r="Z593" s="17" t="str">
        <f>IF(M3_Silleteria!A197="","",IF(M3_Silleteria!F197="","",M3_Silleteria!F197))</f>
        <v/>
      </c>
      <c r="AA593" s="17" t="str">
        <f>IF(M3_Silleteria!A197="","","M3 Silletería")</f>
        <v/>
      </c>
      <c r="AB593" s="17" t="str">
        <f>IF(M3_Silleteria!A197="","",IF(M3_Silleteria!G197="","",M3_Silleteria!G197))</f>
        <v/>
      </c>
      <c r="AC593" s="17" t="str">
        <f>IF(M3_Silleteria!A197="","",IF(M3_Silleteria!L197="","",M3_Silleteria!L197))</f>
        <v/>
      </c>
      <c r="AD593" s="17" t="str">
        <f>IF(M3_Silleteria!A197="","","CD")</f>
        <v/>
      </c>
      <c r="AE593" s="17" t="str">
        <f>IF(M3_Silleteria!A197="","",IF(M3_Silleteria!N197="","",M3_Silleteria!N197))</f>
        <v/>
      </c>
      <c r="AF593" s="17" t="str">
        <f>IF(M3_Silleteria!A197="","",IF(M3_Silleteria!O197="","",M3_Silleteria!O197))</f>
        <v/>
      </c>
      <c r="AG593" s="17" t="str">
        <f>IF(M3_Silleteria!A197="","",IF(M3_Silleteria!P197="","",M3_Silleteria!P197))</f>
        <v/>
      </c>
      <c r="AH593" s="17" t="str">
        <f>IF(M3_Silleteria!A197="","",IF(M3_Silleteria!H197="","",M3_Silleteria!H197))</f>
        <v/>
      </c>
      <c r="AI593" s="17" t="str">
        <f>IF(M3_Silleteria!A197="","","M3_Silleteria!197")</f>
        <v/>
      </c>
      <c r="AJ593" s="17" t="str">
        <f>IF(M3_Silleteria!A197="","",IF(M3_Silleteria!L197="","Pendiente de resultado","Disponible"))</f>
        <v/>
      </c>
    </row>
    <row r="594" spans="1:36" ht="55.5" customHeight="1">
      <c r="A594" s="6" t="str">
        <f t="array" ref="A594">IF(590&gt;$S$1204,"",INDEX($T$5:$AJ$1204,MATCH(590,$S$5:$S$1204,0),1))</f>
        <v/>
      </c>
      <c r="B594" s="8" t="str">
        <f t="array" ref="B594">IF(590&gt;$S$1204,"",INDEX($T$5:$AJ$1204,MATCH(590,$S$5:$S$1204,0),2))</f>
        <v/>
      </c>
      <c r="C594" s="10" t="str">
        <f t="array" ref="C594">IF(590&gt;$S$1204,"",INDEX($T$5:$AJ$1204,MATCH(590,$S$5:$S$1204,0),3))</f>
        <v/>
      </c>
      <c r="D594" s="8" t="str">
        <f t="array" ref="D594">IF(590&gt;$S$1204,"",INDEX($T$5:$AJ$1204,MATCH(590,$S$5:$S$1204,0),4))</f>
        <v/>
      </c>
      <c r="E594" s="8" t="str">
        <f t="array" ref="E594">IF(590&gt;$S$1204,"",INDEX($T$5:$AJ$1204,MATCH(590,$S$5:$S$1204,0),5))</f>
        <v/>
      </c>
      <c r="F594" s="8" t="str">
        <f t="array" ref="F594">IF(590&gt;$S$1204,"",INDEX($T$5:$AJ$1204,MATCH(590,$S$5:$S$1204,0),6))</f>
        <v/>
      </c>
      <c r="G594" s="8" t="str">
        <f t="array" ref="G594">IF(590&gt;$S$1204,"",INDEX($T$5:$AJ$1204,MATCH(590,$S$5:$S$1204,0),7))</f>
        <v/>
      </c>
      <c r="H594" s="8" t="str">
        <f t="array" ref="H594">IF(590&gt;$S$1204,"",INDEX($T$5:$AJ$1204,MATCH(590,$S$5:$S$1204,0),8))</f>
        <v/>
      </c>
      <c r="I594" s="8" t="str">
        <f t="array" ref="I594">IF(590&gt;$S$1204,"",INDEX($T$5:$AJ$1204,MATCH(590,$S$5:$S$1204,0),9))</f>
        <v/>
      </c>
      <c r="J594" s="14" t="str">
        <f t="array" ref="J594">IF(590&gt;$S$1204,"",INDEX($T$5:$AJ$1204,MATCH(590,$S$5:$S$1204,0),10))</f>
        <v/>
      </c>
      <c r="K594" s="8" t="str">
        <f t="array" ref="K594">IF(590&gt;$S$1204,"",INDEX($T$5:$AJ$1204,MATCH(590,$S$5:$S$1204,0),11))</f>
        <v/>
      </c>
      <c r="L594" s="8" t="str">
        <f t="array" ref="L594">IF(590&gt;$S$1204,"",INDEX($T$5:$AJ$1204,MATCH(590,$S$5:$S$1204,0),12))</f>
        <v/>
      </c>
      <c r="M594" s="8" t="str">
        <f t="array" ref="M594">IF(590&gt;$S$1204,"",INDEX($T$5:$AJ$1204,MATCH(590,$S$5:$S$1204,0),13))</f>
        <v/>
      </c>
      <c r="N594" s="8" t="str">
        <f t="array" ref="N594">IF(590&gt;$S$1204,"",INDEX($T$5:$AJ$1204,MATCH(590,$S$5:$S$1204,0),14))</f>
        <v/>
      </c>
      <c r="O594" s="15" t="str">
        <f t="array" ref="O594">IF(590&gt;$S$1204,"",INDEX($T$5:$AJ$1204,MATCH(590,$S$5:$S$1204,0),15))</f>
        <v/>
      </c>
      <c r="P594" s="8" t="str">
        <f t="array" ref="P594">IF(590&gt;$S$1204,"",INDEX($T$5:$AJ$1204,MATCH(590,$S$5:$S$1204,0),16))</f>
        <v/>
      </c>
      <c r="Q594" s="8" t="str">
        <f t="array" ref="Q594">IF(590&gt;$S$1204,"",INDEX($T$5:$AJ$1204,MATCH(590,$S$5:$S$1204,0),17))</f>
        <v/>
      </c>
      <c r="R594" s="17"/>
      <c r="S594" s="17">
        <f>S593+IF(M3_Silleteria!A198="",0,1)</f>
        <v>0</v>
      </c>
      <c r="T594" s="17" t="str">
        <f>IF(M3_Silleteria!A198="","",IF(M3_Silleteria!A198="","",M3_Silleteria!A198))</f>
        <v/>
      </c>
      <c r="U594" s="17" t="str">
        <f>IF(M3_Silleteria!A198="","",IF(M3_Silleteria!Q198="","",M3_Silleteria!Q198))</f>
        <v/>
      </c>
      <c r="V594" s="17" t="str">
        <f>IF(M3_Silleteria!A198="","",IF(M3_Silleteria!D198="","",M3_Silleteria!D198))</f>
        <v/>
      </c>
      <c r="W594" s="17" t="str">
        <f>IF(M3_Silleteria!A198="","",IF(M3_Silleteria!B198="","",M3_Silleteria!B198))</f>
        <v/>
      </c>
      <c r="X594" s="17" t="str">
        <f>IF(M3_Silleteria!A198="","",IF(M3_Silleteria!C198="","",M3_Silleteria!C198))</f>
        <v/>
      </c>
      <c r="Y594" s="17" t="str">
        <f>IF(M3_Silleteria!A198="","",IF(M3_Silleteria!E198="","",M3_Silleteria!E198))</f>
        <v/>
      </c>
      <c r="Z594" s="17" t="str">
        <f>IF(M3_Silleteria!A198="","",IF(M3_Silleteria!F198="","",M3_Silleteria!F198))</f>
        <v/>
      </c>
      <c r="AA594" s="17" t="str">
        <f>IF(M3_Silleteria!A198="","","M3 Silletería")</f>
        <v/>
      </c>
      <c r="AB594" s="17" t="str">
        <f>IF(M3_Silleteria!A198="","",IF(M3_Silleteria!G198="","",M3_Silleteria!G198))</f>
        <v/>
      </c>
      <c r="AC594" s="17" t="str">
        <f>IF(M3_Silleteria!A198="","",IF(M3_Silleteria!L198="","",M3_Silleteria!L198))</f>
        <v/>
      </c>
      <c r="AD594" s="17" t="str">
        <f>IF(M3_Silleteria!A198="","","CD")</f>
        <v/>
      </c>
      <c r="AE594" s="17" t="str">
        <f>IF(M3_Silleteria!A198="","",IF(M3_Silleteria!N198="","",M3_Silleteria!N198))</f>
        <v/>
      </c>
      <c r="AF594" s="17" t="str">
        <f>IF(M3_Silleteria!A198="","",IF(M3_Silleteria!O198="","",M3_Silleteria!O198))</f>
        <v/>
      </c>
      <c r="AG594" s="17" t="str">
        <f>IF(M3_Silleteria!A198="","",IF(M3_Silleteria!P198="","",M3_Silleteria!P198))</f>
        <v/>
      </c>
      <c r="AH594" s="17" t="str">
        <f>IF(M3_Silleteria!A198="","",IF(M3_Silleteria!H198="","",M3_Silleteria!H198))</f>
        <v/>
      </c>
      <c r="AI594" s="17" t="str">
        <f>IF(M3_Silleteria!A198="","","M3_Silleteria!198")</f>
        <v/>
      </c>
      <c r="AJ594" s="17" t="str">
        <f>IF(M3_Silleteria!A198="","",IF(M3_Silleteria!L198="","Pendiente de resultado","Disponible"))</f>
        <v/>
      </c>
    </row>
    <row r="595" spans="1:36" ht="55.5" customHeight="1">
      <c r="A595" s="6" t="str">
        <f t="array" ref="A595">IF(591&gt;$S$1204,"",INDEX($T$5:$AJ$1204,MATCH(591,$S$5:$S$1204,0),1))</f>
        <v/>
      </c>
      <c r="B595" s="8" t="str">
        <f t="array" ref="B595">IF(591&gt;$S$1204,"",INDEX($T$5:$AJ$1204,MATCH(591,$S$5:$S$1204,0),2))</f>
        <v/>
      </c>
      <c r="C595" s="10" t="str">
        <f t="array" ref="C595">IF(591&gt;$S$1204,"",INDEX($T$5:$AJ$1204,MATCH(591,$S$5:$S$1204,0),3))</f>
        <v/>
      </c>
      <c r="D595" s="8" t="str">
        <f t="array" ref="D595">IF(591&gt;$S$1204,"",INDEX($T$5:$AJ$1204,MATCH(591,$S$5:$S$1204,0),4))</f>
        <v/>
      </c>
      <c r="E595" s="8" t="str">
        <f t="array" ref="E595">IF(591&gt;$S$1204,"",INDEX($T$5:$AJ$1204,MATCH(591,$S$5:$S$1204,0),5))</f>
        <v/>
      </c>
      <c r="F595" s="8" t="str">
        <f t="array" ref="F595">IF(591&gt;$S$1204,"",INDEX($T$5:$AJ$1204,MATCH(591,$S$5:$S$1204,0),6))</f>
        <v/>
      </c>
      <c r="G595" s="8" t="str">
        <f t="array" ref="G595">IF(591&gt;$S$1204,"",INDEX($T$5:$AJ$1204,MATCH(591,$S$5:$S$1204,0),7))</f>
        <v/>
      </c>
      <c r="H595" s="8" t="str">
        <f t="array" ref="H595">IF(591&gt;$S$1204,"",INDEX($T$5:$AJ$1204,MATCH(591,$S$5:$S$1204,0),8))</f>
        <v/>
      </c>
      <c r="I595" s="8" t="str">
        <f t="array" ref="I595">IF(591&gt;$S$1204,"",INDEX($T$5:$AJ$1204,MATCH(591,$S$5:$S$1204,0),9))</f>
        <v/>
      </c>
      <c r="J595" s="14" t="str">
        <f t="array" ref="J595">IF(591&gt;$S$1204,"",INDEX($T$5:$AJ$1204,MATCH(591,$S$5:$S$1204,0),10))</f>
        <v/>
      </c>
      <c r="K595" s="8" t="str">
        <f t="array" ref="K595">IF(591&gt;$S$1204,"",INDEX($T$5:$AJ$1204,MATCH(591,$S$5:$S$1204,0),11))</f>
        <v/>
      </c>
      <c r="L595" s="8" t="str">
        <f t="array" ref="L595">IF(591&gt;$S$1204,"",INDEX($T$5:$AJ$1204,MATCH(591,$S$5:$S$1204,0),12))</f>
        <v/>
      </c>
      <c r="M595" s="8" t="str">
        <f t="array" ref="M595">IF(591&gt;$S$1204,"",INDEX($T$5:$AJ$1204,MATCH(591,$S$5:$S$1204,0),13))</f>
        <v/>
      </c>
      <c r="N595" s="8" t="str">
        <f t="array" ref="N595">IF(591&gt;$S$1204,"",INDEX($T$5:$AJ$1204,MATCH(591,$S$5:$S$1204,0),14))</f>
        <v/>
      </c>
      <c r="O595" s="15" t="str">
        <f t="array" ref="O595">IF(591&gt;$S$1204,"",INDEX($T$5:$AJ$1204,MATCH(591,$S$5:$S$1204,0),15))</f>
        <v/>
      </c>
      <c r="P595" s="8" t="str">
        <f t="array" ref="P595">IF(591&gt;$S$1204,"",INDEX($T$5:$AJ$1204,MATCH(591,$S$5:$S$1204,0),16))</f>
        <v/>
      </c>
      <c r="Q595" s="8" t="str">
        <f t="array" ref="Q595">IF(591&gt;$S$1204,"",INDEX($T$5:$AJ$1204,MATCH(591,$S$5:$S$1204,0),17))</f>
        <v/>
      </c>
      <c r="R595" s="17"/>
      <c r="S595" s="17">
        <f>S594+IF(M3_Silleteria!A199="",0,1)</f>
        <v>0</v>
      </c>
      <c r="T595" s="17" t="str">
        <f>IF(M3_Silleteria!A199="","",IF(M3_Silleteria!A199="","",M3_Silleteria!A199))</f>
        <v/>
      </c>
      <c r="U595" s="17" t="str">
        <f>IF(M3_Silleteria!A199="","",IF(M3_Silleteria!Q199="","",M3_Silleteria!Q199))</f>
        <v/>
      </c>
      <c r="V595" s="17" t="str">
        <f>IF(M3_Silleteria!A199="","",IF(M3_Silleteria!D199="","",M3_Silleteria!D199))</f>
        <v/>
      </c>
      <c r="W595" s="17" t="str">
        <f>IF(M3_Silleteria!A199="","",IF(M3_Silleteria!B199="","",M3_Silleteria!B199))</f>
        <v/>
      </c>
      <c r="X595" s="17" t="str">
        <f>IF(M3_Silleteria!A199="","",IF(M3_Silleteria!C199="","",M3_Silleteria!C199))</f>
        <v/>
      </c>
      <c r="Y595" s="17" t="str">
        <f>IF(M3_Silleteria!A199="","",IF(M3_Silleteria!E199="","",M3_Silleteria!E199))</f>
        <v/>
      </c>
      <c r="Z595" s="17" t="str">
        <f>IF(M3_Silleteria!A199="","",IF(M3_Silleteria!F199="","",M3_Silleteria!F199))</f>
        <v/>
      </c>
      <c r="AA595" s="17" t="str">
        <f>IF(M3_Silleteria!A199="","","M3 Silletería")</f>
        <v/>
      </c>
      <c r="AB595" s="17" t="str">
        <f>IF(M3_Silleteria!A199="","",IF(M3_Silleteria!G199="","",M3_Silleteria!G199))</f>
        <v/>
      </c>
      <c r="AC595" s="17" t="str">
        <f>IF(M3_Silleteria!A199="","",IF(M3_Silleteria!L199="","",M3_Silleteria!L199))</f>
        <v/>
      </c>
      <c r="AD595" s="17" t="str">
        <f>IF(M3_Silleteria!A199="","","CD")</f>
        <v/>
      </c>
      <c r="AE595" s="17" t="str">
        <f>IF(M3_Silleteria!A199="","",IF(M3_Silleteria!N199="","",M3_Silleteria!N199))</f>
        <v/>
      </c>
      <c r="AF595" s="17" t="str">
        <f>IF(M3_Silleteria!A199="","",IF(M3_Silleteria!O199="","",M3_Silleteria!O199))</f>
        <v/>
      </c>
      <c r="AG595" s="17" t="str">
        <f>IF(M3_Silleteria!A199="","",IF(M3_Silleteria!P199="","",M3_Silleteria!P199))</f>
        <v/>
      </c>
      <c r="AH595" s="17" t="str">
        <f>IF(M3_Silleteria!A199="","",IF(M3_Silleteria!H199="","",M3_Silleteria!H199))</f>
        <v/>
      </c>
      <c r="AI595" s="17" t="str">
        <f>IF(M3_Silleteria!A199="","","M3_Silleteria!199")</f>
        <v/>
      </c>
      <c r="AJ595" s="17" t="str">
        <f>IF(M3_Silleteria!A199="","",IF(M3_Silleteria!L199="","Pendiente de resultado","Disponible"))</f>
        <v/>
      </c>
    </row>
    <row r="596" spans="1:36" ht="55.5" customHeight="1">
      <c r="A596" s="6" t="str">
        <f t="array" ref="A596">IF(592&gt;$S$1204,"",INDEX($T$5:$AJ$1204,MATCH(592,$S$5:$S$1204,0),1))</f>
        <v/>
      </c>
      <c r="B596" s="8" t="str">
        <f t="array" ref="B596">IF(592&gt;$S$1204,"",INDEX($T$5:$AJ$1204,MATCH(592,$S$5:$S$1204,0),2))</f>
        <v/>
      </c>
      <c r="C596" s="10" t="str">
        <f t="array" ref="C596">IF(592&gt;$S$1204,"",INDEX($T$5:$AJ$1204,MATCH(592,$S$5:$S$1204,0),3))</f>
        <v/>
      </c>
      <c r="D596" s="8" t="str">
        <f t="array" ref="D596">IF(592&gt;$S$1204,"",INDEX($T$5:$AJ$1204,MATCH(592,$S$5:$S$1204,0),4))</f>
        <v/>
      </c>
      <c r="E596" s="8" t="str">
        <f t="array" ref="E596">IF(592&gt;$S$1204,"",INDEX($T$5:$AJ$1204,MATCH(592,$S$5:$S$1204,0),5))</f>
        <v/>
      </c>
      <c r="F596" s="8" t="str">
        <f t="array" ref="F596">IF(592&gt;$S$1204,"",INDEX($T$5:$AJ$1204,MATCH(592,$S$5:$S$1204,0),6))</f>
        <v/>
      </c>
      <c r="G596" s="8" t="str">
        <f t="array" ref="G596">IF(592&gt;$S$1204,"",INDEX($T$5:$AJ$1204,MATCH(592,$S$5:$S$1204,0),7))</f>
        <v/>
      </c>
      <c r="H596" s="8" t="str">
        <f t="array" ref="H596">IF(592&gt;$S$1204,"",INDEX($T$5:$AJ$1204,MATCH(592,$S$5:$S$1204,0),8))</f>
        <v/>
      </c>
      <c r="I596" s="8" t="str">
        <f t="array" ref="I596">IF(592&gt;$S$1204,"",INDEX($T$5:$AJ$1204,MATCH(592,$S$5:$S$1204,0),9))</f>
        <v/>
      </c>
      <c r="J596" s="14" t="str">
        <f t="array" ref="J596">IF(592&gt;$S$1204,"",INDEX($T$5:$AJ$1204,MATCH(592,$S$5:$S$1204,0),10))</f>
        <v/>
      </c>
      <c r="K596" s="8" t="str">
        <f t="array" ref="K596">IF(592&gt;$S$1204,"",INDEX($T$5:$AJ$1204,MATCH(592,$S$5:$S$1204,0),11))</f>
        <v/>
      </c>
      <c r="L596" s="8" t="str">
        <f t="array" ref="L596">IF(592&gt;$S$1204,"",INDEX($T$5:$AJ$1204,MATCH(592,$S$5:$S$1204,0),12))</f>
        <v/>
      </c>
      <c r="M596" s="8" t="str">
        <f t="array" ref="M596">IF(592&gt;$S$1204,"",INDEX($T$5:$AJ$1204,MATCH(592,$S$5:$S$1204,0),13))</f>
        <v/>
      </c>
      <c r="N596" s="8" t="str">
        <f t="array" ref="N596">IF(592&gt;$S$1204,"",INDEX($T$5:$AJ$1204,MATCH(592,$S$5:$S$1204,0),14))</f>
        <v/>
      </c>
      <c r="O596" s="15" t="str">
        <f t="array" ref="O596">IF(592&gt;$S$1204,"",INDEX($T$5:$AJ$1204,MATCH(592,$S$5:$S$1204,0),15))</f>
        <v/>
      </c>
      <c r="P596" s="8" t="str">
        <f t="array" ref="P596">IF(592&gt;$S$1204,"",INDEX($T$5:$AJ$1204,MATCH(592,$S$5:$S$1204,0),16))</f>
        <v/>
      </c>
      <c r="Q596" s="8" t="str">
        <f t="array" ref="Q596">IF(592&gt;$S$1204,"",INDEX($T$5:$AJ$1204,MATCH(592,$S$5:$S$1204,0),17))</f>
        <v/>
      </c>
      <c r="R596" s="17"/>
      <c r="S596" s="17">
        <f>S595+IF(M3_Silleteria!A200="",0,1)</f>
        <v>0</v>
      </c>
      <c r="T596" s="17" t="str">
        <f>IF(M3_Silleteria!A200="","",IF(M3_Silleteria!A200="","",M3_Silleteria!A200))</f>
        <v/>
      </c>
      <c r="U596" s="17" t="str">
        <f>IF(M3_Silleteria!A200="","",IF(M3_Silleteria!Q200="","",M3_Silleteria!Q200))</f>
        <v/>
      </c>
      <c r="V596" s="17" t="str">
        <f>IF(M3_Silleteria!A200="","",IF(M3_Silleteria!D200="","",M3_Silleteria!D200))</f>
        <v/>
      </c>
      <c r="W596" s="17" t="str">
        <f>IF(M3_Silleteria!A200="","",IF(M3_Silleteria!B200="","",M3_Silleteria!B200))</f>
        <v/>
      </c>
      <c r="X596" s="17" t="str">
        <f>IF(M3_Silleteria!A200="","",IF(M3_Silleteria!C200="","",M3_Silleteria!C200))</f>
        <v/>
      </c>
      <c r="Y596" s="17" t="str">
        <f>IF(M3_Silleteria!A200="","",IF(M3_Silleteria!E200="","",M3_Silleteria!E200))</f>
        <v/>
      </c>
      <c r="Z596" s="17" t="str">
        <f>IF(M3_Silleteria!A200="","",IF(M3_Silleteria!F200="","",M3_Silleteria!F200))</f>
        <v/>
      </c>
      <c r="AA596" s="17" t="str">
        <f>IF(M3_Silleteria!A200="","","M3 Silletería")</f>
        <v/>
      </c>
      <c r="AB596" s="17" t="str">
        <f>IF(M3_Silleteria!A200="","",IF(M3_Silleteria!G200="","",M3_Silleteria!G200))</f>
        <v/>
      </c>
      <c r="AC596" s="17" t="str">
        <f>IF(M3_Silleteria!A200="","",IF(M3_Silleteria!L200="","",M3_Silleteria!L200))</f>
        <v/>
      </c>
      <c r="AD596" s="17" t="str">
        <f>IF(M3_Silleteria!A200="","","CD")</f>
        <v/>
      </c>
      <c r="AE596" s="17" t="str">
        <f>IF(M3_Silleteria!A200="","",IF(M3_Silleteria!N200="","",M3_Silleteria!N200))</f>
        <v/>
      </c>
      <c r="AF596" s="17" t="str">
        <f>IF(M3_Silleteria!A200="","",IF(M3_Silleteria!O200="","",M3_Silleteria!O200))</f>
        <v/>
      </c>
      <c r="AG596" s="17" t="str">
        <f>IF(M3_Silleteria!A200="","",IF(M3_Silleteria!P200="","",M3_Silleteria!P200))</f>
        <v/>
      </c>
      <c r="AH596" s="17" t="str">
        <f>IF(M3_Silleteria!A200="","",IF(M3_Silleteria!H200="","",M3_Silleteria!H200))</f>
        <v/>
      </c>
      <c r="AI596" s="17" t="str">
        <f>IF(M3_Silleteria!A200="","","M3_Silleteria!200")</f>
        <v/>
      </c>
      <c r="AJ596" s="17" t="str">
        <f>IF(M3_Silleteria!A200="","",IF(M3_Silleteria!L200="","Pendiente de resultado","Disponible"))</f>
        <v/>
      </c>
    </row>
    <row r="597" spans="1:36" ht="55.5" customHeight="1">
      <c r="A597" s="6" t="str">
        <f t="array" ref="A597">IF(593&gt;$S$1204,"",INDEX($T$5:$AJ$1204,MATCH(593,$S$5:$S$1204,0),1))</f>
        <v/>
      </c>
      <c r="B597" s="8" t="str">
        <f t="array" ref="B597">IF(593&gt;$S$1204,"",INDEX($T$5:$AJ$1204,MATCH(593,$S$5:$S$1204,0),2))</f>
        <v/>
      </c>
      <c r="C597" s="10" t="str">
        <f t="array" ref="C597">IF(593&gt;$S$1204,"",INDEX($T$5:$AJ$1204,MATCH(593,$S$5:$S$1204,0),3))</f>
        <v/>
      </c>
      <c r="D597" s="8" t="str">
        <f t="array" ref="D597">IF(593&gt;$S$1204,"",INDEX($T$5:$AJ$1204,MATCH(593,$S$5:$S$1204,0),4))</f>
        <v/>
      </c>
      <c r="E597" s="8" t="str">
        <f t="array" ref="E597">IF(593&gt;$S$1204,"",INDEX($T$5:$AJ$1204,MATCH(593,$S$5:$S$1204,0),5))</f>
        <v/>
      </c>
      <c r="F597" s="8" t="str">
        <f t="array" ref="F597">IF(593&gt;$S$1204,"",INDEX($T$5:$AJ$1204,MATCH(593,$S$5:$S$1204,0),6))</f>
        <v/>
      </c>
      <c r="G597" s="8" t="str">
        <f t="array" ref="G597">IF(593&gt;$S$1204,"",INDEX($T$5:$AJ$1204,MATCH(593,$S$5:$S$1204,0),7))</f>
        <v/>
      </c>
      <c r="H597" s="8" t="str">
        <f t="array" ref="H597">IF(593&gt;$S$1204,"",INDEX($T$5:$AJ$1204,MATCH(593,$S$5:$S$1204,0),8))</f>
        <v/>
      </c>
      <c r="I597" s="8" t="str">
        <f t="array" ref="I597">IF(593&gt;$S$1204,"",INDEX($T$5:$AJ$1204,MATCH(593,$S$5:$S$1204,0),9))</f>
        <v/>
      </c>
      <c r="J597" s="14" t="str">
        <f t="array" ref="J597">IF(593&gt;$S$1204,"",INDEX($T$5:$AJ$1204,MATCH(593,$S$5:$S$1204,0),10))</f>
        <v/>
      </c>
      <c r="K597" s="8" t="str">
        <f t="array" ref="K597">IF(593&gt;$S$1204,"",INDEX($T$5:$AJ$1204,MATCH(593,$S$5:$S$1204,0),11))</f>
        <v/>
      </c>
      <c r="L597" s="8" t="str">
        <f t="array" ref="L597">IF(593&gt;$S$1204,"",INDEX($T$5:$AJ$1204,MATCH(593,$S$5:$S$1204,0),12))</f>
        <v/>
      </c>
      <c r="M597" s="8" t="str">
        <f t="array" ref="M597">IF(593&gt;$S$1204,"",INDEX($T$5:$AJ$1204,MATCH(593,$S$5:$S$1204,0),13))</f>
        <v/>
      </c>
      <c r="N597" s="8" t="str">
        <f t="array" ref="N597">IF(593&gt;$S$1204,"",INDEX($T$5:$AJ$1204,MATCH(593,$S$5:$S$1204,0),14))</f>
        <v/>
      </c>
      <c r="O597" s="15" t="str">
        <f t="array" ref="O597">IF(593&gt;$S$1204,"",INDEX($T$5:$AJ$1204,MATCH(593,$S$5:$S$1204,0),15))</f>
        <v/>
      </c>
      <c r="P597" s="8" t="str">
        <f t="array" ref="P597">IF(593&gt;$S$1204,"",INDEX($T$5:$AJ$1204,MATCH(593,$S$5:$S$1204,0),16))</f>
        <v/>
      </c>
      <c r="Q597" s="8" t="str">
        <f t="array" ref="Q597">IF(593&gt;$S$1204,"",INDEX($T$5:$AJ$1204,MATCH(593,$S$5:$S$1204,0),17))</f>
        <v/>
      </c>
      <c r="R597" s="17"/>
      <c r="S597" s="17">
        <f>S596+IF(M3_Silleteria!A201="",0,1)</f>
        <v>0</v>
      </c>
      <c r="T597" s="17" t="str">
        <f>IF(M3_Silleteria!A201="","",IF(M3_Silleteria!A201="","",M3_Silleteria!A201))</f>
        <v/>
      </c>
      <c r="U597" s="17" t="str">
        <f>IF(M3_Silleteria!A201="","",IF(M3_Silleteria!Q201="","",M3_Silleteria!Q201))</f>
        <v/>
      </c>
      <c r="V597" s="17" t="str">
        <f>IF(M3_Silleteria!A201="","",IF(M3_Silleteria!D201="","",M3_Silleteria!D201))</f>
        <v/>
      </c>
      <c r="W597" s="17" t="str">
        <f>IF(M3_Silleteria!A201="","",IF(M3_Silleteria!B201="","",M3_Silleteria!B201))</f>
        <v/>
      </c>
      <c r="X597" s="17" t="str">
        <f>IF(M3_Silleteria!A201="","",IF(M3_Silleteria!C201="","",M3_Silleteria!C201))</f>
        <v/>
      </c>
      <c r="Y597" s="17" t="str">
        <f>IF(M3_Silleteria!A201="","",IF(M3_Silleteria!E201="","",M3_Silleteria!E201))</f>
        <v/>
      </c>
      <c r="Z597" s="17" t="str">
        <f>IF(M3_Silleteria!A201="","",IF(M3_Silleteria!F201="","",M3_Silleteria!F201))</f>
        <v/>
      </c>
      <c r="AA597" s="17" t="str">
        <f>IF(M3_Silleteria!A201="","","M3 Silletería")</f>
        <v/>
      </c>
      <c r="AB597" s="17" t="str">
        <f>IF(M3_Silleteria!A201="","",IF(M3_Silleteria!G201="","",M3_Silleteria!G201))</f>
        <v/>
      </c>
      <c r="AC597" s="17" t="str">
        <f>IF(M3_Silleteria!A201="","",IF(M3_Silleteria!L201="","",M3_Silleteria!L201))</f>
        <v/>
      </c>
      <c r="AD597" s="17" t="str">
        <f>IF(M3_Silleteria!A201="","","CD")</f>
        <v/>
      </c>
      <c r="AE597" s="17" t="str">
        <f>IF(M3_Silleteria!A201="","",IF(M3_Silleteria!N201="","",M3_Silleteria!N201))</f>
        <v/>
      </c>
      <c r="AF597" s="17" t="str">
        <f>IF(M3_Silleteria!A201="","",IF(M3_Silleteria!O201="","",M3_Silleteria!O201))</f>
        <v/>
      </c>
      <c r="AG597" s="17" t="str">
        <f>IF(M3_Silleteria!A201="","",IF(M3_Silleteria!P201="","",M3_Silleteria!P201))</f>
        <v/>
      </c>
      <c r="AH597" s="17" t="str">
        <f>IF(M3_Silleteria!A201="","",IF(M3_Silleteria!H201="","",M3_Silleteria!H201))</f>
        <v/>
      </c>
      <c r="AI597" s="17" t="str">
        <f>IF(M3_Silleteria!A201="","","M3_Silleteria!201")</f>
        <v/>
      </c>
      <c r="AJ597" s="17" t="str">
        <f>IF(M3_Silleteria!A201="","",IF(M3_Silleteria!L201="","Pendiente de resultado","Disponible"))</f>
        <v/>
      </c>
    </row>
    <row r="598" spans="1:36" ht="55.5" customHeight="1">
      <c r="A598" s="6" t="str">
        <f t="array" ref="A598">IF(594&gt;$S$1204,"",INDEX($T$5:$AJ$1204,MATCH(594,$S$5:$S$1204,0),1))</f>
        <v/>
      </c>
      <c r="B598" s="8" t="str">
        <f t="array" ref="B598">IF(594&gt;$S$1204,"",INDEX($T$5:$AJ$1204,MATCH(594,$S$5:$S$1204,0),2))</f>
        <v/>
      </c>
      <c r="C598" s="10" t="str">
        <f t="array" ref="C598">IF(594&gt;$S$1204,"",INDEX($T$5:$AJ$1204,MATCH(594,$S$5:$S$1204,0),3))</f>
        <v/>
      </c>
      <c r="D598" s="8" t="str">
        <f t="array" ref="D598">IF(594&gt;$S$1204,"",INDEX($T$5:$AJ$1204,MATCH(594,$S$5:$S$1204,0),4))</f>
        <v/>
      </c>
      <c r="E598" s="8" t="str">
        <f t="array" ref="E598">IF(594&gt;$S$1204,"",INDEX($T$5:$AJ$1204,MATCH(594,$S$5:$S$1204,0),5))</f>
        <v/>
      </c>
      <c r="F598" s="8" t="str">
        <f t="array" ref="F598">IF(594&gt;$S$1204,"",INDEX($T$5:$AJ$1204,MATCH(594,$S$5:$S$1204,0),6))</f>
        <v/>
      </c>
      <c r="G598" s="8" t="str">
        <f t="array" ref="G598">IF(594&gt;$S$1204,"",INDEX($T$5:$AJ$1204,MATCH(594,$S$5:$S$1204,0),7))</f>
        <v/>
      </c>
      <c r="H598" s="8" t="str">
        <f t="array" ref="H598">IF(594&gt;$S$1204,"",INDEX($T$5:$AJ$1204,MATCH(594,$S$5:$S$1204,0),8))</f>
        <v/>
      </c>
      <c r="I598" s="8" t="str">
        <f t="array" ref="I598">IF(594&gt;$S$1204,"",INDEX($T$5:$AJ$1204,MATCH(594,$S$5:$S$1204,0),9))</f>
        <v/>
      </c>
      <c r="J598" s="14" t="str">
        <f t="array" ref="J598">IF(594&gt;$S$1204,"",INDEX($T$5:$AJ$1204,MATCH(594,$S$5:$S$1204,0),10))</f>
        <v/>
      </c>
      <c r="K598" s="8" t="str">
        <f t="array" ref="K598">IF(594&gt;$S$1204,"",INDEX($T$5:$AJ$1204,MATCH(594,$S$5:$S$1204,0),11))</f>
        <v/>
      </c>
      <c r="L598" s="8" t="str">
        <f t="array" ref="L598">IF(594&gt;$S$1204,"",INDEX($T$5:$AJ$1204,MATCH(594,$S$5:$S$1204,0),12))</f>
        <v/>
      </c>
      <c r="M598" s="8" t="str">
        <f t="array" ref="M598">IF(594&gt;$S$1204,"",INDEX($T$5:$AJ$1204,MATCH(594,$S$5:$S$1204,0),13))</f>
        <v/>
      </c>
      <c r="N598" s="8" t="str">
        <f t="array" ref="N598">IF(594&gt;$S$1204,"",INDEX($T$5:$AJ$1204,MATCH(594,$S$5:$S$1204,0),14))</f>
        <v/>
      </c>
      <c r="O598" s="15" t="str">
        <f t="array" ref="O598">IF(594&gt;$S$1204,"",INDEX($T$5:$AJ$1204,MATCH(594,$S$5:$S$1204,0),15))</f>
        <v/>
      </c>
      <c r="P598" s="8" t="str">
        <f t="array" ref="P598">IF(594&gt;$S$1204,"",INDEX($T$5:$AJ$1204,MATCH(594,$S$5:$S$1204,0),16))</f>
        <v/>
      </c>
      <c r="Q598" s="8" t="str">
        <f t="array" ref="Q598">IF(594&gt;$S$1204,"",INDEX($T$5:$AJ$1204,MATCH(594,$S$5:$S$1204,0),17))</f>
        <v/>
      </c>
      <c r="R598" s="17"/>
      <c r="S598" s="17">
        <f>S597+IF(M3_Silleteria!A202="",0,1)</f>
        <v>0</v>
      </c>
      <c r="T598" s="17" t="str">
        <f>IF(M3_Silleteria!A202="","",IF(M3_Silleteria!A202="","",M3_Silleteria!A202))</f>
        <v/>
      </c>
      <c r="U598" s="17" t="str">
        <f>IF(M3_Silleteria!A202="","",IF(M3_Silleteria!Q202="","",M3_Silleteria!Q202))</f>
        <v/>
      </c>
      <c r="V598" s="17" t="str">
        <f>IF(M3_Silleteria!A202="","",IF(M3_Silleteria!D202="","",M3_Silleteria!D202))</f>
        <v/>
      </c>
      <c r="W598" s="17" t="str">
        <f>IF(M3_Silleteria!A202="","",IF(M3_Silleteria!B202="","",M3_Silleteria!B202))</f>
        <v/>
      </c>
      <c r="X598" s="17" t="str">
        <f>IF(M3_Silleteria!A202="","",IF(M3_Silleteria!C202="","",M3_Silleteria!C202))</f>
        <v/>
      </c>
      <c r="Y598" s="17" t="str">
        <f>IF(M3_Silleteria!A202="","",IF(M3_Silleteria!E202="","",M3_Silleteria!E202))</f>
        <v/>
      </c>
      <c r="Z598" s="17" t="str">
        <f>IF(M3_Silleteria!A202="","",IF(M3_Silleteria!F202="","",M3_Silleteria!F202))</f>
        <v/>
      </c>
      <c r="AA598" s="17" t="str">
        <f>IF(M3_Silleteria!A202="","","M3 Silletería")</f>
        <v/>
      </c>
      <c r="AB598" s="17" t="str">
        <f>IF(M3_Silleteria!A202="","",IF(M3_Silleteria!G202="","",M3_Silleteria!G202))</f>
        <v/>
      </c>
      <c r="AC598" s="17" t="str">
        <f>IF(M3_Silleteria!A202="","",IF(M3_Silleteria!L202="","",M3_Silleteria!L202))</f>
        <v/>
      </c>
      <c r="AD598" s="17" t="str">
        <f>IF(M3_Silleteria!A202="","","CD")</f>
        <v/>
      </c>
      <c r="AE598" s="17" t="str">
        <f>IF(M3_Silleteria!A202="","",IF(M3_Silleteria!N202="","",M3_Silleteria!N202))</f>
        <v/>
      </c>
      <c r="AF598" s="17" t="str">
        <f>IF(M3_Silleteria!A202="","",IF(M3_Silleteria!O202="","",M3_Silleteria!O202))</f>
        <v/>
      </c>
      <c r="AG598" s="17" t="str">
        <f>IF(M3_Silleteria!A202="","",IF(M3_Silleteria!P202="","",M3_Silleteria!P202))</f>
        <v/>
      </c>
      <c r="AH598" s="17" t="str">
        <f>IF(M3_Silleteria!A202="","",IF(M3_Silleteria!H202="","",M3_Silleteria!H202))</f>
        <v/>
      </c>
      <c r="AI598" s="17" t="str">
        <f>IF(M3_Silleteria!A202="","","M3_Silleteria!202")</f>
        <v/>
      </c>
      <c r="AJ598" s="17" t="str">
        <f>IF(M3_Silleteria!A202="","",IF(M3_Silleteria!L202="","Pendiente de resultado","Disponible"))</f>
        <v/>
      </c>
    </row>
    <row r="599" spans="1:36" ht="55.5" customHeight="1">
      <c r="A599" s="6" t="str">
        <f t="array" ref="A599">IF(595&gt;$S$1204,"",INDEX($T$5:$AJ$1204,MATCH(595,$S$5:$S$1204,0),1))</f>
        <v/>
      </c>
      <c r="B599" s="8" t="str">
        <f t="array" ref="B599">IF(595&gt;$S$1204,"",INDEX($T$5:$AJ$1204,MATCH(595,$S$5:$S$1204,0),2))</f>
        <v/>
      </c>
      <c r="C599" s="10" t="str">
        <f t="array" ref="C599">IF(595&gt;$S$1204,"",INDEX($T$5:$AJ$1204,MATCH(595,$S$5:$S$1204,0),3))</f>
        <v/>
      </c>
      <c r="D599" s="8" t="str">
        <f t="array" ref="D599">IF(595&gt;$S$1204,"",INDEX($T$5:$AJ$1204,MATCH(595,$S$5:$S$1204,0),4))</f>
        <v/>
      </c>
      <c r="E599" s="8" t="str">
        <f t="array" ref="E599">IF(595&gt;$S$1204,"",INDEX($T$5:$AJ$1204,MATCH(595,$S$5:$S$1204,0),5))</f>
        <v/>
      </c>
      <c r="F599" s="8" t="str">
        <f t="array" ref="F599">IF(595&gt;$S$1204,"",INDEX($T$5:$AJ$1204,MATCH(595,$S$5:$S$1204,0),6))</f>
        <v/>
      </c>
      <c r="G599" s="8" t="str">
        <f t="array" ref="G599">IF(595&gt;$S$1204,"",INDEX($T$5:$AJ$1204,MATCH(595,$S$5:$S$1204,0),7))</f>
        <v/>
      </c>
      <c r="H599" s="8" t="str">
        <f t="array" ref="H599">IF(595&gt;$S$1204,"",INDEX($T$5:$AJ$1204,MATCH(595,$S$5:$S$1204,0),8))</f>
        <v/>
      </c>
      <c r="I599" s="8" t="str">
        <f t="array" ref="I599">IF(595&gt;$S$1204,"",INDEX($T$5:$AJ$1204,MATCH(595,$S$5:$S$1204,0),9))</f>
        <v/>
      </c>
      <c r="J599" s="14" t="str">
        <f t="array" ref="J599">IF(595&gt;$S$1204,"",INDEX($T$5:$AJ$1204,MATCH(595,$S$5:$S$1204,0),10))</f>
        <v/>
      </c>
      <c r="K599" s="8" t="str">
        <f t="array" ref="K599">IF(595&gt;$S$1204,"",INDEX($T$5:$AJ$1204,MATCH(595,$S$5:$S$1204,0),11))</f>
        <v/>
      </c>
      <c r="L599" s="8" t="str">
        <f t="array" ref="L599">IF(595&gt;$S$1204,"",INDEX($T$5:$AJ$1204,MATCH(595,$S$5:$S$1204,0),12))</f>
        <v/>
      </c>
      <c r="M599" s="8" t="str">
        <f t="array" ref="M599">IF(595&gt;$S$1204,"",INDEX($T$5:$AJ$1204,MATCH(595,$S$5:$S$1204,0),13))</f>
        <v/>
      </c>
      <c r="N599" s="8" t="str">
        <f t="array" ref="N599">IF(595&gt;$S$1204,"",INDEX($T$5:$AJ$1204,MATCH(595,$S$5:$S$1204,0),14))</f>
        <v/>
      </c>
      <c r="O599" s="15" t="str">
        <f t="array" ref="O599">IF(595&gt;$S$1204,"",INDEX($T$5:$AJ$1204,MATCH(595,$S$5:$S$1204,0),15))</f>
        <v/>
      </c>
      <c r="P599" s="8" t="str">
        <f t="array" ref="P599">IF(595&gt;$S$1204,"",INDEX($T$5:$AJ$1204,MATCH(595,$S$5:$S$1204,0),16))</f>
        <v/>
      </c>
      <c r="Q599" s="8" t="str">
        <f t="array" ref="Q599">IF(595&gt;$S$1204,"",INDEX($T$5:$AJ$1204,MATCH(595,$S$5:$S$1204,0),17))</f>
        <v/>
      </c>
      <c r="R599" s="17"/>
      <c r="S599" s="17">
        <f>S598+IF(M3_Silleteria!A203="",0,1)</f>
        <v>0</v>
      </c>
      <c r="T599" s="17" t="str">
        <f>IF(M3_Silleteria!A203="","",IF(M3_Silleteria!A203="","",M3_Silleteria!A203))</f>
        <v/>
      </c>
      <c r="U599" s="17" t="str">
        <f>IF(M3_Silleteria!A203="","",IF(M3_Silleteria!Q203="","",M3_Silleteria!Q203))</f>
        <v/>
      </c>
      <c r="V599" s="17" t="str">
        <f>IF(M3_Silleteria!A203="","",IF(M3_Silleteria!D203="","",M3_Silleteria!D203))</f>
        <v/>
      </c>
      <c r="W599" s="17" t="str">
        <f>IF(M3_Silleteria!A203="","",IF(M3_Silleteria!B203="","",M3_Silleteria!B203))</f>
        <v/>
      </c>
      <c r="X599" s="17" t="str">
        <f>IF(M3_Silleteria!A203="","",IF(M3_Silleteria!C203="","",M3_Silleteria!C203))</f>
        <v/>
      </c>
      <c r="Y599" s="17" t="str">
        <f>IF(M3_Silleteria!A203="","",IF(M3_Silleteria!E203="","",M3_Silleteria!E203))</f>
        <v/>
      </c>
      <c r="Z599" s="17" t="str">
        <f>IF(M3_Silleteria!A203="","",IF(M3_Silleteria!F203="","",M3_Silleteria!F203))</f>
        <v/>
      </c>
      <c r="AA599" s="17" t="str">
        <f>IF(M3_Silleteria!A203="","","M3 Silletería")</f>
        <v/>
      </c>
      <c r="AB599" s="17" t="str">
        <f>IF(M3_Silleteria!A203="","",IF(M3_Silleteria!G203="","",M3_Silleteria!G203))</f>
        <v/>
      </c>
      <c r="AC599" s="17" t="str">
        <f>IF(M3_Silleteria!A203="","",IF(M3_Silleteria!L203="","",M3_Silleteria!L203))</f>
        <v/>
      </c>
      <c r="AD599" s="17" t="str">
        <f>IF(M3_Silleteria!A203="","","CD")</f>
        <v/>
      </c>
      <c r="AE599" s="17" t="str">
        <f>IF(M3_Silleteria!A203="","",IF(M3_Silleteria!N203="","",M3_Silleteria!N203))</f>
        <v/>
      </c>
      <c r="AF599" s="17" t="str">
        <f>IF(M3_Silleteria!A203="","",IF(M3_Silleteria!O203="","",M3_Silleteria!O203))</f>
        <v/>
      </c>
      <c r="AG599" s="17" t="str">
        <f>IF(M3_Silleteria!A203="","",IF(M3_Silleteria!P203="","",M3_Silleteria!P203))</f>
        <v/>
      </c>
      <c r="AH599" s="17" t="str">
        <f>IF(M3_Silleteria!A203="","",IF(M3_Silleteria!H203="","",M3_Silleteria!H203))</f>
        <v/>
      </c>
      <c r="AI599" s="17" t="str">
        <f>IF(M3_Silleteria!A203="","","M3_Silleteria!203")</f>
        <v/>
      </c>
      <c r="AJ599" s="17" t="str">
        <f>IF(M3_Silleteria!A203="","",IF(M3_Silleteria!L203="","Pendiente de resultado","Disponible"))</f>
        <v/>
      </c>
    </row>
    <row r="600" spans="1:36" ht="55.5" customHeight="1">
      <c r="A600" s="6" t="str">
        <f t="array" ref="A600">IF(596&gt;$S$1204,"",INDEX($T$5:$AJ$1204,MATCH(596,$S$5:$S$1204,0),1))</f>
        <v/>
      </c>
      <c r="B600" s="8" t="str">
        <f t="array" ref="B600">IF(596&gt;$S$1204,"",INDEX($T$5:$AJ$1204,MATCH(596,$S$5:$S$1204,0),2))</f>
        <v/>
      </c>
      <c r="C600" s="10" t="str">
        <f t="array" ref="C600">IF(596&gt;$S$1204,"",INDEX($T$5:$AJ$1204,MATCH(596,$S$5:$S$1204,0),3))</f>
        <v/>
      </c>
      <c r="D600" s="8" t="str">
        <f t="array" ref="D600">IF(596&gt;$S$1204,"",INDEX($T$5:$AJ$1204,MATCH(596,$S$5:$S$1204,0),4))</f>
        <v/>
      </c>
      <c r="E600" s="8" t="str">
        <f t="array" ref="E600">IF(596&gt;$S$1204,"",INDEX($T$5:$AJ$1204,MATCH(596,$S$5:$S$1204,0),5))</f>
        <v/>
      </c>
      <c r="F600" s="8" t="str">
        <f t="array" ref="F600">IF(596&gt;$S$1204,"",INDEX($T$5:$AJ$1204,MATCH(596,$S$5:$S$1204,0),6))</f>
        <v/>
      </c>
      <c r="G600" s="8" t="str">
        <f t="array" ref="G600">IF(596&gt;$S$1204,"",INDEX($T$5:$AJ$1204,MATCH(596,$S$5:$S$1204,0),7))</f>
        <v/>
      </c>
      <c r="H600" s="8" t="str">
        <f t="array" ref="H600">IF(596&gt;$S$1204,"",INDEX($T$5:$AJ$1204,MATCH(596,$S$5:$S$1204,0),8))</f>
        <v/>
      </c>
      <c r="I600" s="8" t="str">
        <f t="array" ref="I600">IF(596&gt;$S$1204,"",INDEX($T$5:$AJ$1204,MATCH(596,$S$5:$S$1204,0),9))</f>
        <v/>
      </c>
      <c r="J600" s="14" t="str">
        <f t="array" ref="J600">IF(596&gt;$S$1204,"",INDEX($T$5:$AJ$1204,MATCH(596,$S$5:$S$1204,0),10))</f>
        <v/>
      </c>
      <c r="K600" s="8" t="str">
        <f t="array" ref="K600">IF(596&gt;$S$1204,"",INDEX($T$5:$AJ$1204,MATCH(596,$S$5:$S$1204,0),11))</f>
        <v/>
      </c>
      <c r="L600" s="8" t="str">
        <f t="array" ref="L600">IF(596&gt;$S$1204,"",INDEX($T$5:$AJ$1204,MATCH(596,$S$5:$S$1204,0),12))</f>
        <v/>
      </c>
      <c r="M600" s="8" t="str">
        <f t="array" ref="M600">IF(596&gt;$S$1204,"",INDEX($T$5:$AJ$1204,MATCH(596,$S$5:$S$1204,0),13))</f>
        <v/>
      </c>
      <c r="N600" s="8" t="str">
        <f t="array" ref="N600">IF(596&gt;$S$1204,"",INDEX($T$5:$AJ$1204,MATCH(596,$S$5:$S$1204,0),14))</f>
        <v/>
      </c>
      <c r="O600" s="15" t="str">
        <f t="array" ref="O600">IF(596&gt;$S$1204,"",INDEX($T$5:$AJ$1204,MATCH(596,$S$5:$S$1204,0),15))</f>
        <v/>
      </c>
      <c r="P600" s="8" t="str">
        <f t="array" ref="P600">IF(596&gt;$S$1204,"",INDEX($T$5:$AJ$1204,MATCH(596,$S$5:$S$1204,0),16))</f>
        <v/>
      </c>
      <c r="Q600" s="8" t="str">
        <f t="array" ref="Q600">IF(596&gt;$S$1204,"",INDEX($T$5:$AJ$1204,MATCH(596,$S$5:$S$1204,0),17))</f>
        <v/>
      </c>
      <c r="R600" s="17"/>
      <c r="S600" s="17">
        <f>S599+IF(M3_Silleteria!A204="",0,1)</f>
        <v>0</v>
      </c>
      <c r="T600" s="17" t="str">
        <f>IF(M3_Silleteria!A204="","",IF(M3_Silleteria!A204="","",M3_Silleteria!A204))</f>
        <v/>
      </c>
      <c r="U600" s="17" t="str">
        <f>IF(M3_Silleteria!A204="","",IF(M3_Silleteria!Q204="","",M3_Silleteria!Q204))</f>
        <v/>
      </c>
      <c r="V600" s="17" t="str">
        <f>IF(M3_Silleteria!A204="","",IF(M3_Silleteria!D204="","",M3_Silleteria!D204))</f>
        <v/>
      </c>
      <c r="W600" s="17" t="str">
        <f>IF(M3_Silleteria!A204="","",IF(M3_Silleteria!B204="","",M3_Silleteria!B204))</f>
        <v/>
      </c>
      <c r="X600" s="17" t="str">
        <f>IF(M3_Silleteria!A204="","",IF(M3_Silleteria!C204="","",M3_Silleteria!C204))</f>
        <v/>
      </c>
      <c r="Y600" s="17" t="str">
        <f>IF(M3_Silleteria!A204="","",IF(M3_Silleteria!E204="","",M3_Silleteria!E204))</f>
        <v/>
      </c>
      <c r="Z600" s="17" t="str">
        <f>IF(M3_Silleteria!A204="","",IF(M3_Silleteria!F204="","",M3_Silleteria!F204))</f>
        <v/>
      </c>
      <c r="AA600" s="17" t="str">
        <f>IF(M3_Silleteria!A204="","","M3 Silletería")</f>
        <v/>
      </c>
      <c r="AB600" s="17" t="str">
        <f>IF(M3_Silleteria!A204="","",IF(M3_Silleteria!G204="","",M3_Silleteria!G204))</f>
        <v/>
      </c>
      <c r="AC600" s="17" t="str">
        <f>IF(M3_Silleteria!A204="","",IF(M3_Silleteria!L204="","",M3_Silleteria!L204))</f>
        <v/>
      </c>
      <c r="AD600" s="17" t="str">
        <f>IF(M3_Silleteria!A204="","","CD")</f>
        <v/>
      </c>
      <c r="AE600" s="17" t="str">
        <f>IF(M3_Silleteria!A204="","",IF(M3_Silleteria!N204="","",M3_Silleteria!N204))</f>
        <v/>
      </c>
      <c r="AF600" s="17" t="str">
        <f>IF(M3_Silleteria!A204="","",IF(M3_Silleteria!O204="","",M3_Silleteria!O204))</f>
        <v/>
      </c>
      <c r="AG600" s="17" t="str">
        <f>IF(M3_Silleteria!A204="","",IF(M3_Silleteria!P204="","",M3_Silleteria!P204))</f>
        <v/>
      </c>
      <c r="AH600" s="17" t="str">
        <f>IF(M3_Silleteria!A204="","",IF(M3_Silleteria!H204="","",M3_Silleteria!H204))</f>
        <v/>
      </c>
      <c r="AI600" s="17" t="str">
        <f>IF(M3_Silleteria!A204="","","M3_Silleteria!204")</f>
        <v/>
      </c>
      <c r="AJ600" s="17" t="str">
        <f>IF(M3_Silleteria!A204="","",IF(M3_Silleteria!L204="","Pendiente de resultado","Disponible"))</f>
        <v/>
      </c>
    </row>
    <row r="601" spans="1:36" ht="55.5" customHeight="1">
      <c r="A601" s="6" t="str">
        <f t="array" ref="A601">IF(597&gt;$S$1204,"",INDEX($T$5:$AJ$1204,MATCH(597,$S$5:$S$1204,0),1))</f>
        <v/>
      </c>
      <c r="B601" s="8" t="str">
        <f t="array" ref="B601">IF(597&gt;$S$1204,"",INDEX($T$5:$AJ$1204,MATCH(597,$S$5:$S$1204,0),2))</f>
        <v/>
      </c>
      <c r="C601" s="10" t="str">
        <f t="array" ref="C601">IF(597&gt;$S$1204,"",INDEX($T$5:$AJ$1204,MATCH(597,$S$5:$S$1204,0),3))</f>
        <v/>
      </c>
      <c r="D601" s="8" t="str">
        <f t="array" ref="D601">IF(597&gt;$S$1204,"",INDEX($T$5:$AJ$1204,MATCH(597,$S$5:$S$1204,0),4))</f>
        <v/>
      </c>
      <c r="E601" s="8" t="str">
        <f t="array" ref="E601">IF(597&gt;$S$1204,"",INDEX($T$5:$AJ$1204,MATCH(597,$S$5:$S$1204,0),5))</f>
        <v/>
      </c>
      <c r="F601" s="8" t="str">
        <f t="array" ref="F601">IF(597&gt;$S$1204,"",INDEX($T$5:$AJ$1204,MATCH(597,$S$5:$S$1204,0),6))</f>
        <v/>
      </c>
      <c r="G601" s="8" t="str">
        <f t="array" ref="G601">IF(597&gt;$S$1204,"",INDEX($T$5:$AJ$1204,MATCH(597,$S$5:$S$1204,0),7))</f>
        <v/>
      </c>
      <c r="H601" s="8" t="str">
        <f t="array" ref="H601">IF(597&gt;$S$1204,"",INDEX($T$5:$AJ$1204,MATCH(597,$S$5:$S$1204,0),8))</f>
        <v/>
      </c>
      <c r="I601" s="8" t="str">
        <f t="array" ref="I601">IF(597&gt;$S$1204,"",INDEX($T$5:$AJ$1204,MATCH(597,$S$5:$S$1204,0),9))</f>
        <v/>
      </c>
      <c r="J601" s="14" t="str">
        <f t="array" ref="J601">IF(597&gt;$S$1204,"",INDEX($T$5:$AJ$1204,MATCH(597,$S$5:$S$1204,0),10))</f>
        <v/>
      </c>
      <c r="K601" s="8" t="str">
        <f t="array" ref="K601">IF(597&gt;$S$1204,"",INDEX($T$5:$AJ$1204,MATCH(597,$S$5:$S$1204,0),11))</f>
        <v/>
      </c>
      <c r="L601" s="8" t="str">
        <f t="array" ref="L601">IF(597&gt;$S$1204,"",INDEX($T$5:$AJ$1204,MATCH(597,$S$5:$S$1204,0),12))</f>
        <v/>
      </c>
      <c r="M601" s="8" t="str">
        <f t="array" ref="M601">IF(597&gt;$S$1204,"",INDEX($T$5:$AJ$1204,MATCH(597,$S$5:$S$1204,0),13))</f>
        <v/>
      </c>
      <c r="N601" s="8" t="str">
        <f t="array" ref="N601">IF(597&gt;$S$1204,"",INDEX($T$5:$AJ$1204,MATCH(597,$S$5:$S$1204,0),14))</f>
        <v/>
      </c>
      <c r="O601" s="15" t="str">
        <f t="array" ref="O601">IF(597&gt;$S$1204,"",INDEX($T$5:$AJ$1204,MATCH(597,$S$5:$S$1204,0),15))</f>
        <v/>
      </c>
      <c r="P601" s="8" t="str">
        <f t="array" ref="P601">IF(597&gt;$S$1204,"",INDEX($T$5:$AJ$1204,MATCH(597,$S$5:$S$1204,0),16))</f>
        <v/>
      </c>
      <c r="Q601" s="8" t="str">
        <f t="array" ref="Q601">IF(597&gt;$S$1204,"",INDEX($T$5:$AJ$1204,MATCH(597,$S$5:$S$1204,0),17))</f>
        <v/>
      </c>
      <c r="R601" s="17"/>
      <c r="S601" s="17">
        <f>S600+IF(M3_Silleteria!A205="",0,1)</f>
        <v>0</v>
      </c>
      <c r="T601" s="17" t="str">
        <f>IF(M3_Silleteria!A205="","",IF(M3_Silleteria!A205="","",M3_Silleteria!A205))</f>
        <v/>
      </c>
      <c r="U601" s="17" t="str">
        <f>IF(M3_Silleteria!A205="","",IF(M3_Silleteria!Q205="","",M3_Silleteria!Q205))</f>
        <v/>
      </c>
      <c r="V601" s="17" t="str">
        <f>IF(M3_Silleteria!A205="","",IF(M3_Silleteria!D205="","",M3_Silleteria!D205))</f>
        <v/>
      </c>
      <c r="W601" s="17" t="str">
        <f>IF(M3_Silleteria!A205="","",IF(M3_Silleteria!B205="","",M3_Silleteria!B205))</f>
        <v/>
      </c>
      <c r="X601" s="17" t="str">
        <f>IF(M3_Silleteria!A205="","",IF(M3_Silleteria!C205="","",M3_Silleteria!C205))</f>
        <v/>
      </c>
      <c r="Y601" s="17" t="str">
        <f>IF(M3_Silleteria!A205="","",IF(M3_Silleteria!E205="","",M3_Silleteria!E205))</f>
        <v/>
      </c>
      <c r="Z601" s="17" t="str">
        <f>IF(M3_Silleteria!A205="","",IF(M3_Silleteria!F205="","",M3_Silleteria!F205))</f>
        <v/>
      </c>
      <c r="AA601" s="17" t="str">
        <f>IF(M3_Silleteria!A205="","","M3 Silletería")</f>
        <v/>
      </c>
      <c r="AB601" s="17" t="str">
        <f>IF(M3_Silleteria!A205="","",IF(M3_Silleteria!G205="","",M3_Silleteria!G205))</f>
        <v/>
      </c>
      <c r="AC601" s="17" t="str">
        <f>IF(M3_Silleteria!A205="","",IF(M3_Silleteria!L205="","",M3_Silleteria!L205))</f>
        <v/>
      </c>
      <c r="AD601" s="17" t="str">
        <f>IF(M3_Silleteria!A205="","","CD")</f>
        <v/>
      </c>
      <c r="AE601" s="17" t="str">
        <f>IF(M3_Silleteria!A205="","",IF(M3_Silleteria!N205="","",M3_Silleteria!N205))</f>
        <v/>
      </c>
      <c r="AF601" s="17" t="str">
        <f>IF(M3_Silleteria!A205="","",IF(M3_Silleteria!O205="","",M3_Silleteria!O205))</f>
        <v/>
      </c>
      <c r="AG601" s="17" t="str">
        <f>IF(M3_Silleteria!A205="","",IF(M3_Silleteria!P205="","",M3_Silleteria!P205))</f>
        <v/>
      </c>
      <c r="AH601" s="17" t="str">
        <f>IF(M3_Silleteria!A205="","",IF(M3_Silleteria!H205="","",M3_Silleteria!H205))</f>
        <v/>
      </c>
      <c r="AI601" s="17" t="str">
        <f>IF(M3_Silleteria!A205="","","M3_Silleteria!205")</f>
        <v/>
      </c>
      <c r="AJ601" s="17" t="str">
        <f>IF(M3_Silleteria!A205="","",IF(M3_Silleteria!L205="","Pendiente de resultado","Disponible"))</f>
        <v/>
      </c>
    </row>
    <row r="602" spans="1:36" ht="55.5" customHeight="1">
      <c r="A602" s="6" t="str">
        <f t="array" ref="A602">IF(598&gt;$S$1204,"",INDEX($T$5:$AJ$1204,MATCH(598,$S$5:$S$1204,0),1))</f>
        <v/>
      </c>
      <c r="B602" s="8" t="str">
        <f t="array" ref="B602">IF(598&gt;$S$1204,"",INDEX($T$5:$AJ$1204,MATCH(598,$S$5:$S$1204,0),2))</f>
        <v/>
      </c>
      <c r="C602" s="10" t="str">
        <f t="array" ref="C602">IF(598&gt;$S$1204,"",INDEX($T$5:$AJ$1204,MATCH(598,$S$5:$S$1204,0),3))</f>
        <v/>
      </c>
      <c r="D602" s="8" t="str">
        <f t="array" ref="D602">IF(598&gt;$S$1204,"",INDEX($T$5:$AJ$1204,MATCH(598,$S$5:$S$1204,0),4))</f>
        <v/>
      </c>
      <c r="E602" s="8" t="str">
        <f t="array" ref="E602">IF(598&gt;$S$1204,"",INDEX($T$5:$AJ$1204,MATCH(598,$S$5:$S$1204,0),5))</f>
        <v/>
      </c>
      <c r="F602" s="8" t="str">
        <f t="array" ref="F602">IF(598&gt;$S$1204,"",INDEX($T$5:$AJ$1204,MATCH(598,$S$5:$S$1204,0),6))</f>
        <v/>
      </c>
      <c r="G602" s="8" t="str">
        <f t="array" ref="G602">IF(598&gt;$S$1204,"",INDEX($T$5:$AJ$1204,MATCH(598,$S$5:$S$1204,0),7))</f>
        <v/>
      </c>
      <c r="H602" s="8" t="str">
        <f t="array" ref="H602">IF(598&gt;$S$1204,"",INDEX($T$5:$AJ$1204,MATCH(598,$S$5:$S$1204,0),8))</f>
        <v/>
      </c>
      <c r="I602" s="8" t="str">
        <f t="array" ref="I602">IF(598&gt;$S$1204,"",INDEX($T$5:$AJ$1204,MATCH(598,$S$5:$S$1204,0),9))</f>
        <v/>
      </c>
      <c r="J602" s="14" t="str">
        <f t="array" ref="J602">IF(598&gt;$S$1204,"",INDEX($T$5:$AJ$1204,MATCH(598,$S$5:$S$1204,0),10))</f>
        <v/>
      </c>
      <c r="K602" s="8" t="str">
        <f t="array" ref="K602">IF(598&gt;$S$1204,"",INDEX($T$5:$AJ$1204,MATCH(598,$S$5:$S$1204,0),11))</f>
        <v/>
      </c>
      <c r="L602" s="8" t="str">
        <f t="array" ref="L602">IF(598&gt;$S$1204,"",INDEX($T$5:$AJ$1204,MATCH(598,$S$5:$S$1204,0),12))</f>
        <v/>
      </c>
      <c r="M602" s="8" t="str">
        <f t="array" ref="M602">IF(598&gt;$S$1204,"",INDEX($T$5:$AJ$1204,MATCH(598,$S$5:$S$1204,0),13))</f>
        <v/>
      </c>
      <c r="N602" s="8" t="str">
        <f t="array" ref="N602">IF(598&gt;$S$1204,"",INDEX($T$5:$AJ$1204,MATCH(598,$S$5:$S$1204,0),14))</f>
        <v/>
      </c>
      <c r="O602" s="15" t="str">
        <f t="array" ref="O602">IF(598&gt;$S$1204,"",INDEX($T$5:$AJ$1204,MATCH(598,$S$5:$S$1204,0),15))</f>
        <v/>
      </c>
      <c r="P602" s="8" t="str">
        <f t="array" ref="P602">IF(598&gt;$S$1204,"",INDEX($T$5:$AJ$1204,MATCH(598,$S$5:$S$1204,0),16))</f>
        <v/>
      </c>
      <c r="Q602" s="8" t="str">
        <f t="array" ref="Q602">IF(598&gt;$S$1204,"",INDEX($T$5:$AJ$1204,MATCH(598,$S$5:$S$1204,0),17))</f>
        <v/>
      </c>
      <c r="R602" s="17"/>
      <c r="S602" s="17">
        <f>S601+IF(M3_Silleteria!A206="",0,1)</f>
        <v>0</v>
      </c>
      <c r="T602" s="17" t="str">
        <f>IF(M3_Silleteria!A206="","",IF(M3_Silleteria!A206="","",M3_Silleteria!A206))</f>
        <v/>
      </c>
      <c r="U602" s="17" t="str">
        <f>IF(M3_Silleteria!A206="","",IF(M3_Silleteria!Q206="","",M3_Silleteria!Q206))</f>
        <v/>
      </c>
      <c r="V602" s="17" t="str">
        <f>IF(M3_Silleteria!A206="","",IF(M3_Silleteria!D206="","",M3_Silleteria!D206))</f>
        <v/>
      </c>
      <c r="W602" s="17" t="str">
        <f>IF(M3_Silleteria!A206="","",IF(M3_Silleteria!B206="","",M3_Silleteria!B206))</f>
        <v/>
      </c>
      <c r="X602" s="17" t="str">
        <f>IF(M3_Silleteria!A206="","",IF(M3_Silleteria!C206="","",M3_Silleteria!C206))</f>
        <v/>
      </c>
      <c r="Y602" s="17" t="str">
        <f>IF(M3_Silleteria!A206="","",IF(M3_Silleteria!E206="","",M3_Silleteria!E206))</f>
        <v/>
      </c>
      <c r="Z602" s="17" t="str">
        <f>IF(M3_Silleteria!A206="","",IF(M3_Silleteria!F206="","",M3_Silleteria!F206))</f>
        <v/>
      </c>
      <c r="AA602" s="17" t="str">
        <f>IF(M3_Silleteria!A206="","","M3 Silletería")</f>
        <v/>
      </c>
      <c r="AB602" s="17" t="str">
        <f>IF(M3_Silleteria!A206="","",IF(M3_Silleteria!G206="","",M3_Silleteria!G206))</f>
        <v/>
      </c>
      <c r="AC602" s="17" t="str">
        <f>IF(M3_Silleteria!A206="","",IF(M3_Silleteria!L206="","",M3_Silleteria!L206))</f>
        <v/>
      </c>
      <c r="AD602" s="17" t="str">
        <f>IF(M3_Silleteria!A206="","","CD")</f>
        <v/>
      </c>
      <c r="AE602" s="17" t="str">
        <f>IF(M3_Silleteria!A206="","",IF(M3_Silleteria!N206="","",M3_Silleteria!N206))</f>
        <v/>
      </c>
      <c r="AF602" s="17" t="str">
        <f>IF(M3_Silleteria!A206="","",IF(M3_Silleteria!O206="","",M3_Silleteria!O206))</f>
        <v/>
      </c>
      <c r="AG602" s="17" t="str">
        <f>IF(M3_Silleteria!A206="","",IF(M3_Silleteria!P206="","",M3_Silleteria!P206))</f>
        <v/>
      </c>
      <c r="AH602" s="17" t="str">
        <f>IF(M3_Silleteria!A206="","",IF(M3_Silleteria!H206="","",M3_Silleteria!H206))</f>
        <v/>
      </c>
      <c r="AI602" s="17" t="str">
        <f>IF(M3_Silleteria!A206="","","M3_Silleteria!206")</f>
        <v/>
      </c>
      <c r="AJ602" s="17" t="str">
        <f>IF(M3_Silleteria!A206="","",IF(M3_Silleteria!L206="","Pendiente de resultado","Disponible"))</f>
        <v/>
      </c>
    </row>
    <row r="603" spans="1:36" ht="55.5" customHeight="1">
      <c r="A603" s="6" t="str">
        <f t="array" ref="A603">IF(599&gt;$S$1204,"",INDEX($T$5:$AJ$1204,MATCH(599,$S$5:$S$1204,0),1))</f>
        <v/>
      </c>
      <c r="B603" s="8" t="str">
        <f t="array" ref="B603">IF(599&gt;$S$1204,"",INDEX($T$5:$AJ$1204,MATCH(599,$S$5:$S$1204,0),2))</f>
        <v/>
      </c>
      <c r="C603" s="10" t="str">
        <f t="array" ref="C603">IF(599&gt;$S$1204,"",INDEX($T$5:$AJ$1204,MATCH(599,$S$5:$S$1204,0),3))</f>
        <v/>
      </c>
      <c r="D603" s="8" t="str">
        <f t="array" ref="D603">IF(599&gt;$S$1204,"",INDEX($T$5:$AJ$1204,MATCH(599,$S$5:$S$1204,0),4))</f>
        <v/>
      </c>
      <c r="E603" s="8" t="str">
        <f t="array" ref="E603">IF(599&gt;$S$1204,"",INDEX($T$5:$AJ$1204,MATCH(599,$S$5:$S$1204,0),5))</f>
        <v/>
      </c>
      <c r="F603" s="8" t="str">
        <f t="array" ref="F603">IF(599&gt;$S$1204,"",INDEX($T$5:$AJ$1204,MATCH(599,$S$5:$S$1204,0),6))</f>
        <v/>
      </c>
      <c r="G603" s="8" t="str">
        <f t="array" ref="G603">IF(599&gt;$S$1204,"",INDEX($T$5:$AJ$1204,MATCH(599,$S$5:$S$1204,0),7))</f>
        <v/>
      </c>
      <c r="H603" s="8" t="str">
        <f t="array" ref="H603">IF(599&gt;$S$1204,"",INDEX($T$5:$AJ$1204,MATCH(599,$S$5:$S$1204,0),8))</f>
        <v/>
      </c>
      <c r="I603" s="8" t="str">
        <f t="array" ref="I603">IF(599&gt;$S$1204,"",INDEX($T$5:$AJ$1204,MATCH(599,$S$5:$S$1204,0),9))</f>
        <v/>
      </c>
      <c r="J603" s="14" t="str">
        <f t="array" ref="J603">IF(599&gt;$S$1204,"",INDEX($T$5:$AJ$1204,MATCH(599,$S$5:$S$1204,0),10))</f>
        <v/>
      </c>
      <c r="K603" s="8" t="str">
        <f t="array" ref="K603">IF(599&gt;$S$1204,"",INDEX($T$5:$AJ$1204,MATCH(599,$S$5:$S$1204,0),11))</f>
        <v/>
      </c>
      <c r="L603" s="8" t="str">
        <f t="array" ref="L603">IF(599&gt;$S$1204,"",INDEX($T$5:$AJ$1204,MATCH(599,$S$5:$S$1204,0),12))</f>
        <v/>
      </c>
      <c r="M603" s="8" t="str">
        <f t="array" ref="M603">IF(599&gt;$S$1204,"",INDEX($T$5:$AJ$1204,MATCH(599,$S$5:$S$1204,0),13))</f>
        <v/>
      </c>
      <c r="N603" s="8" t="str">
        <f t="array" ref="N603">IF(599&gt;$S$1204,"",INDEX($T$5:$AJ$1204,MATCH(599,$S$5:$S$1204,0),14))</f>
        <v/>
      </c>
      <c r="O603" s="15" t="str">
        <f t="array" ref="O603">IF(599&gt;$S$1204,"",INDEX($T$5:$AJ$1204,MATCH(599,$S$5:$S$1204,0),15))</f>
        <v/>
      </c>
      <c r="P603" s="8" t="str">
        <f t="array" ref="P603">IF(599&gt;$S$1204,"",INDEX($T$5:$AJ$1204,MATCH(599,$S$5:$S$1204,0),16))</f>
        <v/>
      </c>
      <c r="Q603" s="8" t="str">
        <f t="array" ref="Q603">IF(599&gt;$S$1204,"",INDEX($T$5:$AJ$1204,MATCH(599,$S$5:$S$1204,0),17))</f>
        <v/>
      </c>
      <c r="R603" s="17"/>
      <c r="S603" s="17">
        <f>S602+IF(M3_Silleteria!A207="",0,1)</f>
        <v>0</v>
      </c>
      <c r="T603" s="17" t="str">
        <f>IF(M3_Silleteria!A207="","",IF(M3_Silleteria!A207="","",M3_Silleteria!A207))</f>
        <v/>
      </c>
      <c r="U603" s="17" t="str">
        <f>IF(M3_Silleteria!A207="","",IF(M3_Silleteria!Q207="","",M3_Silleteria!Q207))</f>
        <v/>
      </c>
      <c r="V603" s="17" t="str">
        <f>IF(M3_Silleteria!A207="","",IF(M3_Silleteria!D207="","",M3_Silleteria!D207))</f>
        <v/>
      </c>
      <c r="W603" s="17" t="str">
        <f>IF(M3_Silleteria!A207="","",IF(M3_Silleteria!B207="","",M3_Silleteria!B207))</f>
        <v/>
      </c>
      <c r="X603" s="17" t="str">
        <f>IF(M3_Silleteria!A207="","",IF(M3_Silleteria!C207="","",M3_Silleteria!C207))</f>
        <v/>
      </c>
      <c r="Y603" s="17" t="str">
        <f>IF(M3_Silleteria!A207="","",IF(M3_Silleteria!E207="","",M3_Silleteria!E207))</f>
        <v/>
      </c>
      <c r="Z603" s="17" t="str">
        <f>IF(M3_Silleteria!A207="","",IF(M3_Silleteria!F207="","",M3_Silleteria!F207))</f>
        <v/>
      </c>
      <c r="AA603" s="17" t="str">
        <f>IF(M3_Silleteria!A207="","","M3 Silletería")</f>
        <v/>
      </c>
      <c r="AB603" s="17" t="str">
        <f>IF(M3_Silleteria!A207="","",IF(M3_Silleteria!G207="","",M3_Silleteria!G207))</f>
        <v/>
      </c>
      <c r="AC603" s="17" t="str">
        <f>IF(M3_Silleteria!A207="","",IF(M3_Silleteria!L207="","",M3_Silleteria!L207))</f>
        <v/>
      </c>
      <c r="AD603" s="17" t="str">
        <f>IF(M3_Silleteria!A207="","","CD")</f>
        <v/>
      </c>
      <c r="AE603" s="17" t="str">
        <f>IF(M3_Silleteria!A207="","",IF(M3_Silleteria!N207="","",M3_Silleteria!N207))</f>
        <v/>
      </c>
      <c r="AF603" s="17" t="str">
        <f>IF(M3_Silleteria!A207="","",IF(M3_Silleteria!O207="","",M3_Silleteria!O207))</f>
        <v/>
      </c>
      <c r="AG603" s="17" t="str">
        <f>IF(M3_Silleteria!A207="","",IF(M3_Silleteria!P207="","",M3_Silleteria!P207))</f>
        <v/>
      </c>
      <c r="AH603" s="17" t="str">
        <f>IF(M3_Silleteria!A207="","",IF(M3_Silleteria!H207="","",M3_Silleteria!H207))</f>
        <v/>
      </c>
      <c r="AI603" s="17" t="str">
        <f>IF(M3_Silleteria!A207="","","M3_Silleteria!207")</f>
        <v/>
      </c>
      <c r="AJ603" s="17" t="str">
        <f>IF(M3_Silleteria!A207="","",IF(M3_Silleteria!L207="","Pendiente de resultado","Disponible"))</f>
        <v/>
      </c>
    </row>
    <row r="604" spans="1:36" ht="55.5" customHeight="1">
      <c r="A604" s="6" t="str">
        <f t="array" ref="A604">IF(600&gt;$S$1204,"",INDEX($T$5:$AJ$1204,MATCH(600,$S$5:$S$1204,0),1))</f>
        <v/>
      </c>
      <c r="B604" s="8" t="str">
        <f t="array" ref="B604">IF(600&gt;$S$1204,"",INDEX($T$5:$AJ$1204,MATCH(600,$S$5:$S$1204,0),2))</f>
        <v/>
      </c>
      <c r="C604" s="10" t="str">
        <f t="array" ref="C604">IF(600&gt;$S$1204,"",INDEX($T$5:$AJ$1204,MATCH(600,$S$5:$S$1204,0),3))</f>
        <v/>
      </c>
      <c r="D604" s="8" t="str">
        <f t="array" ref="D604">IF(600&gt;$S$1204,"",INDEX($T$5:$AJ$1204,MATCH(600,$S$5:$S$1204,0),4))</f>
        <v/>
      </c>
      <c r="E604" s="8" t="str">
        <f t="array" ref="E604">IF(600&gt;$S$1204,"",INDEX($T$5:$AJ$1204,MATCH(600,$S$5:$S$1204,0),5))</f>
        <v/>
      </c>
      <c r="F604" s="8" t="str">
        <f t="array" ref="F604">IF(600&gt;$S$1204,"",INDEX($T$5:$AJ$1204,MATCH(600,$S$5:$S$1204,0),6))</f>
        <v/>
      </c>
      <c r="G604" s="8" t="str">
        <f t="array" ref="G604">IF(600&gt;$S$1204,"",INDEX($T$5:$AJ$1204,MATCH(600,$S$5:$S$1204,0),7))</f>
        <v/>
      </c>
      <c r="H604" s="8" t="str">
        <f t="array" ref="H604">IF(600&gt;$S$1204,"",INDEX($T$5:$AJ$1204,MATCH(600,$S$5:$S$1204,0),8))</f>
        <v/>
      </c>
      <c r="I604" s="8" t="str">
        <f t="array" ref="I604">IF(600&gt;$S$1204,"",INDEX($T$5:$AJ$1204,MATCH(600,$S$5:$S$1204,0),9))</f>
        <v/>
      </c>
      <c r="J604" s="14" t="str">
        <f t="array" ref="J604">IF(600&gt;$S$1204,"",INDEX($T$5:$AJ$1204,MATCH(600,$S$5:$S$1204,0),10))</f>
        <v/>
      </c>
      <c r="K604" s="8" t="str">
        <f t="array" ref="K604">IF(600&gt;$S$1204,"",INDEX($T$5:$AJ$1204,MATCH(600,$S$5:$S$1204,0),11))</f>
        <v/>
      </c>
      <c r="L604" s="8" t="str">
        <f t="array" ref="L604">IF(600&gt;$S$1204,"",INDEX($T$5:$AJ$1204,MATCH(600,$S$5:$S$1204,0),12))</f>
        <v/>
      </c>
      <c r="M604" s="8" t="str">
        <f t="array" ref="M604">IF(600&gt;$S$1204,"",INDEX($T$5:$AJ$1204,MATCH(600,$S$5:$S$1204,0),13))</f>
        <v/>
      </c>
      <c r="N604" s="8" t="str">
        <f t="array" ref="N604">IF(600&gt;$S$1204,"",INDEX($T$5:$AJ$1204,MATCH(600,$S$5:$S$1204,0),14))</f>
        <v/>
      </c>
      <c r="O604" s="15" t="str">
        <f t="array" ref="O604">IF(600&gt;$S$1204,"",INDEX($T$5:$AJ$1204,MATCH(600,$S$5:$S$1204,0),15))</f>
        <v/>
      </c>
      <c r="P604" s="8" t="str">
        <f t="array" ref="P604">IF(600&gt;$S$1204,"",INDEX($T$5:$AJ$1204,MATCH(600,$S$5:$S$1204,0),16))</f>
        <v/>
      </c>
      <c r="Q604" s="8" t="str">
        <f t="array" ref="Q604">IF(600&gt;$S$1204,"",INDEX($T$5:$AJ$1204,MATCH(600,$S$5:$S$1204,0),17))</f>
        <v/>
      </c>
      <c r="R604" s="17"/>
      <c r="S604" s="17">
        <f>S603+IF(M3_Silleteria!A208="",0,1)</f>
        <v>0</v>
      </c>
      <c r="T604" s="17" t="str">
        <f>IF(M3_Silleteria!A208="","",IF(M3_Silleteria!A208="","",M3_Silleteria!A208))</f>
        <v/>
      </c>
      <c r="U604" s="17" t="str">
        <f>IF(M3_Silleteria!A208="","",IF(M3_Silleteria!Q208="","",M3_Silleteria!Q208))</f>
        <v/>
      </c>
      <c r="V604" s="17" t="str">
        <f>IF(M3_Silleteria!A208="","",IF(M3_Silleteria!D208="","",M3_Silleteria!D208))</f>
        <v/>
      </c>
      <c r="W604" s="17" t="str">
        <f>IF(M3_Silleteria!A208="","",IF(M3_Silleteria!B208="","",M3_Silleteria!B208))</f>
        <v/>
      </c>
      <c r="X604" s="17" t="str">
        <f>IF(M3_Silleteria!A208="","",IF(M3_Silleteria!C208="","",M3_Silleteria!C208))</f>
        <v/>
      </c>
      <c r="Y604" s="17" t="str">
        <f>IF(M3_Silleteria!A208="","",IF(M3_Silleteria!E208="","",M3_Silleteria!E208))</f>
        <v/>
      </c>
      <c r="Z604" s="17" t="str">
        <f>IF(M3_Silleteria!A208="","",IF(M3_Silleteria!F208="","",M3_Silleteria!F208))</f>
        <v/>
      </c>
      <c r="AA604" s="17" t="str">
        <f>IF(M3_Silleteria!A208="","","M3 Silletería")</f>
        <v/>
      </c>
      <c r="AB604" s="17" t="str">
        <f>IF(M3_Silleteria!A208="","",IF(M3_Silleteria!G208="","",M3_Silleteria!G208))</f>
        <v/>
      </c>
      <c r="AC604" s="17" t="str">
        <f>IF(M3_Silleteria!A208="","",IF(M3_Silleteria!L208="","",M3_Silleteria!L208))</f>
        <v/>
      </c>
      <c r="AD604" s="17" t="str">
        <f>IF(M3_Silleteria!A208="","","CD")</f>
        <v/>
      </c>
      <c r="AE604" s="17" t="str">
        <f>IF(M3_Silleteria!A208="","",IF(M3_Silleteria!N208="","",M3_Silleteria!N208))</f>
        <v/>
      </c>
      <c r="AF604" s="17" t="str">
        <f>IF(M3_Silleteria!A208="","",IF(M3_Silleteria!O208="","",M3_Silleteria!O208))</f>
        <v/>
      </c>
      <c r="AG604" s="17" t="str">
        <f>IF(M3_Silleteria!A208="","",IF(M3_Silleteria!P208="","",M3_Silleteria!P208))</f>
        <v/>
      </c>
      <c r="AH604" s="17" t="str">
        <f>IF(M3_Silleteria!A208="","",IF(M3_Silleteria!H208="","",M3_Silleteria!H208))</f>
        <v/>
      </c>
      <c r="AI604" s="17" t="str">
        <f>IF(M3_Silleteria!A208="","","M3_Silleteria!208")</f>
        <v/>
      </c>
      <c r="AJ604" s="17" t="str">
        <f>IF(M3_Silleteria!A208="","",IF(M3_Silleteria!L208="","Pendiente de resultado","Disponible"))</f>
        <v/>
      </c>
    </row>
    <row r="605" spans="1:36" ht="55.5" customHeight="1">
      <c r="A605" s="6" t="str">
        <f t="array" ref="A605">IF(601&gt;$S$1204,"",INDEX($T$5:$AJ$1204,MATCH(601,$S$5:$S$1204,0),1))</f>
        <v/>
      </c>
      <c r="B605" s="8" t="str">
        <f t="array" ref="B605">IF(601&gt;$S$1204,"",INDEX($T$5:$AJ$1204,MATCH(601,$S$5:$S$1204,0),2))</f>
        <v/>
      </c>
      <c r="C605" s="10" t="str">
        <f t="array" ref="C605">IF(601&gt;$S$1204,"",INDEX($T$5:$AJ$1204,MATCH(601,$S$5:$S$1204,0),3))</f>
        <v/>
      </c>
      <c r="D605" s="8" t="str">
        <f t="array" ref="D605">IF(601&gt;$S$1204,"",INDEX($T$5:$AJ$1204,MATCH(601,$S$5:$S$1204,0),4))</f>
        <v/>
      </c>
      <c r="E605" s="8" t="str">
        <f t="array" ref="E605">IF(601&gt;$S$1204,"",INDEX($T$5:$AJ$1204,MATCH(601,$S$5:$S$1204,0),5))</f>
        <v/>
      </c>
      <c r="F605" s="8" t="str">
        <f t="array" ref="F605">IF(601&gt;$S$1204,"",INDEX($T$5:$AJ$1204,MATCH(601,$S$5:$S$1204,0),6))</f>
        <v/>
      </c>
      <c r="G605" s="8" t="str">
        <f t="array" ref="G605">IF(601&gt;$S$1204,"",INDEX($T$5:$AJ$1204,MATCH(601,$S$5:$S$1204,0),7))</f>
        <v/>
      </c>
      <c r="H605" s="8" t="str">
        <f t="array" ref="H605">IF(601&gt;$S$1204,"",INDEX($T$5:$AJ$1204,MATCH(601,$S$5:$S$1204,0),8))</f>
        <v/>
      </c>
      <c r="I605" s="8" t="str">
        <f t="array" ref="I605">IF(601&gt;$S$1204,"",INDEX($T$5:$AJ$1204,MATCH(601,$S$5:$S$1204,0),9))</f>
        <v/>
      </c>
      <c r="J605" s="14" t="str">
        <f t="array" ref="J605">IF(601&gt;$S$1204,"",INDEX($T$5:$AJ$1204,MATCH(601,$S$5:$S$1204,0),10))</f>
        <v/>
      </c>
      <c r="K605" s="8" t="str">
        <f t="array" ref="K605">IF(601&gt;$S$1204,"",INDEX($T$5:$AJ$1204,MATCH(601,$S$5:$S$1204,0),11))</f>
        <v/>
      </c>
      <c r="L605" s="8" t="str">
        <f t="array" ref="L605">IF(601&gt;$S$1204,"",INDEX($T$5:$AJ$1204,MATCH(601,$S$5:$S$1204,0),12))</f>
        <v/>
      </c>
      <c r="M605" s="8" t="str">
        <f t="array" ref="M605">IF(601&gt;$S$1204,"",INDEX($T$5:$AJ$1204,MATCH(601,$S$5:$S$1204,0),13))</f>
        <v/>
      </c>
      <c r="N605" s="8" t="str">
        <f t="array" ref="N605">IF(601&gt;$S$1204,"",INDEX($T$5:$AJ$1204,MATCH(601,$S$5:$S$1204,0),14))</f>
        <v/>
      </c>
      <c r="O605" s="15" t="str">
        <f t="array" ref="O605">IF(601&gt;$S$1204,"",INDEX($T$5:$AJ$1204,MATCH(601,$S$5:$S$1204,0),15))</f>
        <v/>
      </c>
      <c r="P605" s="8" t="str">
        <f t="array" ref="P605">IF(601&gt;$S$1204,"",INDEX($T$5:$AJ$1204,MATCH(601,$S$5:$S$1204,0),16))</f>
        <v/>
      </c>
      <c r="Q605" s="8" t="str">
        <f t="array" ref="Q605">IF(601&gt;$S$1204,"",INDEX($T$5:$AJ$1204,MATCH(601,$S$5:$S$1204,0),17))</f>
        <v/>
      </c>
      <c r="R605" s="17"/>
      <c r="S605" s="17">
        <f>S604+IF(M4_Sectores!A9="",0,1)</f>
        <v>0</v>
      </c>
      <c r="T605" s="17" t="str">
        <f>IF(M4_Sectores!A9="","",IF(M4_Sectores!A9="","",M4_Sectores!A9))</f>
        <v/>
      </c>
      <c r="U605" s="17" t="str">
        <f>IF(M4_Sectores!A9="","",IF(M4_Sectores!Q9="","",M4_Sectores!Q9))</f>
        <v/>
      </c>
      <c r="V605" s="17" t="str">
        <f>IF(M4_Sectores!A9="","",IF(M4_Sectores!D9="","",M4_Sectores!D9))</f>
        <v/>
      </c>
      <c r="W605" s="17" t="str">
        <f>IF(M4_Sectores!A9="","",IF(M4_Sectores!B9="","",M4_Sectores!B9))</f>
        <v/>
      </c>
      <c r="X605" s="17" t="str">
        <f>IF(M4_Sectores!A9="","",IF(M4_Sectores!C9="","",M4_Sectores!C9))</f>
        <v/>
      </c>
      <c r="Y605" s="17" t="str">
        <f>IF(M4_Sectores!A9="","",IF(M4_Sectores!E9="","",M4_Sectores!E9))</f>
        <v/>
      </c>
      <c r="Z605" s="17" t="str">
        <f>IF(M4_Sectores!A9="","",IF(M4_Sectores!F9="","",M4_Sectores!F9))</f>
        <v/>
      </c>
      <c r="AA605" s="17" t="str">
        <f>IF(M4_Sectores!A9="","","M4 Sectores")</f>
        <v/>
      </c>
      <c r="AB605" s="17" t="str">
        <f>IF(M4_Sectores!A9="","",IF(M4_Sectores!G9="","",M4_Sectores!G9))</f>
        <v/>
      </c>
      <c r="AC605" s="17" t="str">
        <f>IF(M4_Sectores!A9="","",IF(COUNTIFS(M4_Sectores!$A$9:A9,M4_Sectores!A9,M4_Sectores!$D$9:D9,M4_Sectores!D9,M4_Sectores!$H$9:H9,M4_Sectores!H9)=1,IF(M4_Sectores!L9="","",M4_Sectores!L9),""))</f>
        <v/>
      </c>
      <c r="AD605" s="17" t="str">
        <f>IF(M4_Sectores!A9="","","EE")</f>
        <v/>
      </c>
      <c r="AE605" s="17" t="str">
        <f>IF(M4_Sectores!A9="","",IF(M4_Sectores!N9="","",M4_Sectores!N9))</f>
        <v/>
      </c>
      <c r="AF605" s="17" t="str">
        <f>IF(M4_Sectores!A9="","",IF(M4_Sectores!O9="","",M4_Sectores!O9))</f>
        <v/>
      </c>
      <c r="AG605" s="17" t="str">
        <f>IF(M4_Sectores!A9="","",IF(M4_Sectores!P9="","",M4_Sectores!P9))</f>
        <v/>
      </c>
      <c r="AH605" s="17" t="str">
        <f>IF(M4_Sectores!A9="","",IF(M4_Sectores!H9="","",M4_Sectores!H9))</f>
        <v/>
      </c>
      <c r="AI605" s="17" t="str">
        <f>IF(M4_Sectores!A9="","","M4_Sectores!9")</f>
        <v/>
      </c>
      <c r="AJ605" s="17" t="str">
        <f>IF(M4_Sectores!A9="","",IF(M4_Sectores!L9="","Pendiente de momento o resultado",IF(COUNTIFS(M4_Sectores!$A$9:A9,M4_Sectores!A9,M4_Sectores!$D$9:D9,M4_Sectores!D9,M4_Sectores!$H$9:H9,M4_Sectores!H9)=1,"Total del momento","Sector incluido en total")))</f>
        <v/>
      </c>
    </row>
    <row r="606" spans="1:36" ht="55.5" customHeight="1">
      <c r="A606" s="6" t="str">
        <f t="array" ref="A606">IF(602&gt;$S$1204,"",INDEX($T$5:$AJ$1204,MATCH(602,$S$5:$S$1204,0),1))</f>
        <v/>
      </c>
      <c r="B606" s="8" t="str">
        <f t="array" ref="B606">IF(602&gt;$S$1204,"",INDEX($T$5:$AJ$1204,MATCH(602,$S$5:$S$1204,0),2))</f>
        <v/>
      </c>
      <c r="C606" s="10" t="str">
        <f t="array" ref="C606">IF(602&gt;$S$1204,"",INDEX($T$5:$AJ$1204,MATCH(602,$S$5:$S$1204,0),3))</f>
        <v/>
      </c>
      <c r="D606" s="8" t="str">
        <f t="array" ref="D606">IF(602&gt;$S$1204,"",INDEX($T$5:$AJ$1204,MATCH(602,$S$5:$S$1204,0),4))</f>
        <v/>
      </c>
      <c r="E606" s="8" t="str">
        <f t="array" ref="E606">IF(602&gt;$S$1204,"",INDEX($T$5:$AJ$1204,MATCH(602,$S$5:$S$1204,0),5))</f>
        <v/>
      </c>
      <c r="F606" s="8" t="str">
        <f t="array" ref="F606">IF(602&gt;$S$1204,"",INDEX($T$5:$AJ$1204,MATCH(602,$S$5:$S$1204,0),6))</f>
        <v/>
      </c>
      <c r="G606" s="8" t="str">
        <f t="array" ref="G606">IF(602&gt;$S$1204,"",INDEX($T$5:$AJ$1204,MATCH(602,$S$5:$S$1204,0),7))</f>
        <v/>
      </c>
      <c r="H606" s="8" t="str">
        <f t="array" ref="H606">IF(602&gt;$S$1204,"",INDEX($T$5:$AJ$1204,MATCH(602,$S$5:$S$1204,0),8))</f>
        <v/>
      </c>
      <c r="I606" s="8" t="str">
        <f t="array" ref="I606">IF(602&gt;$S$1204,"",INDEX($T$5:$AJ$1204,MATCH(602,$S$5:$S$1204,0),9))</f>
        <v/>
      </c>
      <c r="J606" s="14" t="str">
        <f t="array" ref="J606">IF(602&gt;$S$1204,"",INDEX($T$5:$AJ$1204,MATCH(602,$S$5:$S$1204,0),10))</f>
        <v/>
      </c>
      <c r="K606" s="8" t="str">
        <f t="array" ref="K606">IF(602&gt;$S$1204,"",INDEX($T$5:$AJ$1204,MATCH(602,$S$5:$S$1204,0),11))</f>
        <v/>
      </c>
      <c r="L606" s="8" t="str">
        <f t="array" ref="L606">IF(602&gt;$S$1204,"",INDEX($T$5:$AJ$1204,MATCH(602,$S$5:$S$1204,0),12))</f>
        <v/>
      </c>
      <c r="M606" s="8" t="str">
        <f t="array" ref="M606">IF(602&gt;$S$1204,"",INDEX($T$5:$AJ$1204,MATCH(602,$S$5:$S$1204,0),13))</f>
        <v/>
      </c>
      <c r="N606" s="8" t="str">
        <f t="array" ref="N606">IF(602&gt;$S$1204,"",INDEX($T$5:$AJ$1204,MATCH(602,$S$5:$S$1204,0),14))</f>
        <v/>
      </c>
      <c r="O606" s="15" t="str">
        <f t="array" ref="O606">IF(602&gt;$S$1204,"",INDEX($T$5:$AJ$1204,MATCH(602,$S$5:$S$1204,0),15))</f>
        <v/>
      </c>
      <c r="P606" s="8" t="str">
        <f t="array" ref="P606">IF(602&gt;$S$1204,"",INDEX($T$5:$AJ$1204,MATCH(602,$S$5:$S$1204,0),16))</f>
        <v/>
      </c>
      <c r="Q606" s="8" t="str">
        <f t="array" ref="Q606">IF(602&gt;$S$1204,"",INDEX($T$5:$AJ$1204,MATCH(602,$S$5:$S$1204,0),17))</f>
        <v/>
      </c>
      <c r="R606" s="17"/>
      <c r="S606" s="17">
        <f>S605+IF(M4_Sectores!A10="",0,1)</f>
        <v>0</v>
      </c>
      <c r="T606" s="17" t="str">
        <f>IF(M4_Sectores!A10="","",IF(M4_Sectores!A10="","",M4_Sectores!A10))</f>
        <v/>
      </c>
      <c r="U606" s="17" t="str">
        <f>IF(M4_Sectores!A10="","",IF(M4_Sectores!Q10="","",M4_Sectores!Q10))</f>
        <v/>
      </c>
      <c r="V606" s="17" t="str">
        <f>IF(M4_Sectores!A10="","",IF(M4_Sectores!D10="","",M4_Sectores!D10))</f>
        <v/>
      </c>
      <c r="W606" s="17" t="str">
        <f>IF(M4_Sectores!A10="","",IF(M4_Sectores!B10="","",M4_Sectores!B10))</f>
        <v/>
      </c>
      <c r="X606" s="17" t="str">
        <f>IF(M4_Sectores!A10="","",IF(M4_Sectores!C10="","",M4_Sectores!C10))</f>
        <v/>
      </c>
      <c r="Y606" s="17" t="str">
        <f>IF(M4_Sectores!A10="","",IF(M4_Sectores!E10="","",M4_Sectores!E10))</f>
        <v/>
      </c>
      <c r="Z606" s="17" t="str">
        <f>IF(M4_Sectores!A10="","",IF(M4_Sectores!F10="","",M4_Sectores!F10))</f>
        <v/>
      </c>
      <c r="AA606" s="17" t="str">
        <f>IF(M4_Sectores!A10="","","M4 Sectores")</f>
        <v/>
      </c>
      <c r="AB606" s="17" t="str">
        <f>IF(M4_Sectores!A10="","",IF(M4_Sectores!G10="","",M4_Sectores!G10))</f>
        <v/>
      </c>
      <c r="AC606" s="17" t="str">
        <f>IF(M4_Sectores!A10="","",IF(COUNTIFS(M4_Sectores!$A$9:A10,M4_Sectores!A10,M4_Sectores!$D$9:D10,M4_Sectores!D10,M4_Sectores!$H$9:H10,M4_Sectores!H10)=1,IF(M4_Sectores!L10="","",M4_Sectores!L10),""))</f>
        <v/>
      </c>
      <c r="AD606" s="17" t="str">
        <f>IF(M4_Sectores!A10="","","EE")</f>
        <v/>
      </c>
      <c r="AE606" s="17" t="str">
        <f>IF(M4_Sectores!A10="","",IF(M4_Sectores!N10="","",M4_Sectores!N10))</f>
        <v/>
      </c>
      <c r="AF606" s="17" t="str">
        <f>IF(M4_Sectores!A10="","",IF(M4_Sectores!O10="","",M4_Sectores!O10))</f>
        <v/>
      </c>
      <c r="AG606" s="17" t="str">
        <f>IF(M4_Sectores!A10="","",IF(M4_Sectores!P10="","",M4_Sectores!P10))</f>
        <v/>
      </c>
      <c r="AH606" s="17" t="str">
        <f>IF(M4_Sectores!A10="","",IF(M4_Sectores!H10="","",M4_Sectores!H10))</f>
        <v/>
      </c>
      <c r="AI606" s="17" t="str">
        <f>IF(M4_Sectores!A10="","","M4_Sectores!10")</f>
        <v/>
      </c>
      <c r="AJ606" s="17" t="str">
        <f>IF(M4_Sectores!A10="","",IF(M4_Sectores!L10="","Pendiente de momento o resultado",IF(COUNTIFS(M4_Sectores!$A$9:A10,M4_Sectores!A10,M4_Sectores!$D$9:D10,M4_Sectores!D10,M4_Sectores!$H$9:H10,M4_Sectores!H10)=1,"Total del momento","Sector incluido en total")))</f>
        <v/>
      </c>
    </row>
    <row r="607" spans="1:36" ht="55.5" customHeight="1">
      <c r="A607" s="6" t="str">
        <f t="array" ref="A607">IF(603&gt;$S$1204,"",INDEX($T$5:$AJ$1204,MATCH(603,$S$5:$S$1204,0),1))</f>
        <v/>
      </c>
      <c r="B607" s="8" t="str">
        <f t="array" ref="B607">IF(603&gt;$S$1204,"",INDEX($T$5:$AJ$1204,MATCH(603,$S$5:$S$1204,0),2))</f>
        <v/>
      </c>
      <c r="C607" s="10" t="str">
        <f t="array" ref="C607">IF(603&gt;$S$1204,"",INDEX($T$5:$AJ$1204,MATCH(603,$S$5:$S$1204,0),3))</f>
        <v/>
      </c>
      <c r="D607" s="8" t="str">
        <f t="array" ref="D607">IF(603&gt;$S$1204,"",INDEX($T$5:$AJ$1204,MATCH(603,$S$5:$S$1204,0),4))</f>
        <v/>
      </c>
      <c r="E607" s="8" t="str">
        <f t="array" ref="E607">IF(603&gt;$S$1204,"",INDEX($T$5:$AJ$1204,MATCH(603,$S$5:$S$1204,0),5))</f>
        <v/>
      </c>
      <c r="F607" s="8" t="str">
        <f t="array" ref="F607">IF(603&gt;$S$1204,"",INDEX($T$5:$AJ$1204,MATCH(603,$S$5:$S$1204,0),6))</f>
        <v/>
      </c>
      <c r="G607" s="8" t="str">
        <f t="array" ref="G607">IF(603&gt;$S$1204,"",INDEX($T$5:$AJ$1204,MATCH(603,$S$5:$S$1204,0),7))</f>
        <v/>
      </c>
      <c r="H607" s="8" t="str">
        <f t="array" ref="H607">IF(603&gt;$S$1204,"",INDEX($T$5:$AJ$1204,MATCH(603,$S$5:$S$1204,0),8))</f>
        <v/>
      </c>
      <c r="I607" s="8" t="str">
        <f t="array" ref="I607">IF(603&gt;$S$1204,"",INDEX($T$5:$AJ$1204,MATCH(603,$S$5:$S$1204,0),9))</f>
        <v/>
      </c>
      <c r="J607" s="14" t="str">
        <f t="array" ref="J607">IF(603&gt;$S$1204,"",INDEX($T$5:$AJ$1204,MATCH(603,$S$5:$S$1204,0),10))</f>
        <v/>
      </c>
      <c r="K607" s="8" t="str">
        <f t="array" ref="K607">IF(603&gt;$S$1204,"",INDEX($T$5:$AJ$1204,MATCH(603,$S$5:$S$1204,0),11))</f>
        <v/>
      </c>
      <c r="L607" s="8" t="str">
        <f t="array" ref="L607">IF(603&gt;$S$1204,"",INDEX($T$5:$AJ$1204,MATCH(603,$S$5:$S$1204,0),12))</f>
        <v/>
      </c>
      <c r="M607" s="8" t="str">
        <f t="array" ref="M607">IF(603&gt;$S$1204,"",INDEX($T$5:$AJ$1204,MATCH(603,$S$5:$S$1204,0),13))</f>
        <v/>
      </c>
      <c r="N607" s="8" t="str">
        <f t="array" ref="N607">IF(603&gt;$S$1204,"",INDEX($T$5:$AJ$1204,MATCH(603,$S$5:$S$1204,0),14))</f>
        <v/>
      </c>
      <c r="O607" s="15" t="str">
        <f t="array" ref="O607">IF(603&gt;$S$1204,"",INDEX($T$5:$AJ$1204,MATCH(603,$S$5:$S$1204,0),15))</f>
        <v/>
      </c>
      <c r="P607" s="8" t="str">
        <f t="array" ref="P607">IF(603&gt;$S$1204,"",INDEX($T$5:$AJ$1204,MATCH(603,$S$5:$S$1204,0),16))</f>
        <v/>
      </c>
      <c r="Q607" s="8" t="str">
        <f t="array" ref="Q607">IF(603&gt;$S$1204,"",INDEX($T$5:$AJ$1204,MATCH(603,$S$5:$S$1204,0),17))</f>
        <v/>
      </c>
      <c r="R607" s="17"/>
      <c r="S607" s="17">
        <f>S606+IF(M4_Sectores!A11="",0,1)</f>
        <v>0</v>
      </c>
      <c r="T607" s="17" t="str">
        <f>IF(M4_Sectores!A11="","",IF(M4_Sectores!A11="","",M4_Sectores!A11))</f>
        <v/>
      </c>
      <c r="U607" s="17" t="str">
        <f>IF(M4_Sectores!A11="","",IF(M4_Sectores!Q11="","",M4_Sectores!Q11))</f>
        <v/>
      </c>
      <c r="V607" s="17" t="str">
        <f>IF(M4_Sectores!A11="","",IF(M4_Sectores!D11="","",M4_Sectores!D11))</f>
        <v/>
      </c>
      <c r="W607" s="17" t="str">
        <f>IF(M4_Sectores!A11="","",IF(M4_Sectores!B11="","",M4_Sectores!B11))</f>
        <v/>
      </c>
      <c r="X607" s="17" t="str">
        <f>IF(M4_Sectores!A11="","",IF(M4_Sectores!C11="","",M4_Sectores!C11))</f>
        <v/>
      </c>
      <c r="Y607" s="17" t="str">
        <f>IF(M4_Sectores!A11="","",IF(M4_Sectores!E11="","",M4_Sectores!E11))</f>
        <v/>
      </c>
      <c r="Z607" s="17" t="str">
        <f>IF(M4_Sectores!A11="","",IF(M4_Sectores!F11="","",M4_Sectores!F11))</f>
        <v/>
      </c>
      <c r="AA607" s="17" t="str">
        <f>IF(M4_Sectores!A11="","","M4 Sectores")</f>
        <v/>
      </c>
      <c r="AB607" s="17" t="str">
        <f>IF(M4_Sectores!A11="","",IF(M4_Sectores!G11="","",M4_Sectores!G11))</f>
        <v/>
      </c>
      <c r="AC607" s="17" t="str">
        <f>IF(M4_Sectores!A11="","",IF(COUNTIFS(M4_Sectores!$A$9:A11,M4_Sectores!A11,M4_Sectores!$D$9:D11,M4_Sectores!D11,M4_Sectores!$H$9:H11,M4_Sectores!H11)=1,IF(M4_Sectores!L11="","",M4_Sectores!L11),""))</f>
        <v/>
      </c>
      <c r="AD607" s="17" t="str">
        <f>IF(M4_Sectores!A11="","","EE")</f>
        <v/>
      </c>
      <c r="AE607" s="17" t="str">
        <f>IF(M4_Sectores!A11="","",IF(M4_Sectores!N11="","",M4_Sectores!N11))</f>
        <v/>
      </c>
      <c r="AF607" s="17" t="str">
        <f>IF(M4_Sectores!A11="","",IF(M4_Sectores!O11="","",M4_Sectores!O11))</f>
        <v/>
      </c>
      <c r="AG607" s="17" t="str">
        <f>IF(M4_Sectores!A11="","",IF(M4_Sectores!P11="","",M4_Sectores!P11))</f>
        <v/>
      </c>
      <c r="AH607" s="17" t="str">
        <f>IF(M4_Sectores!A11="","",IF(M4_Sectores!H11="","",M4_Sectores!H11))</f>
        <v/>
      </c>
      <c r="AI607" s="17" t="str">
        <f>IF(M4_Sectores!A11="","","M4_Sectores!11")</f>
        <v/>
      </c>
      <c r="AJ607" s="17" t="str">
        <f>IF(M4_Sectores!A11="","",IF(M4_Sectores!L11="","Pendiente de momento o resultado",IF(COUNTIFS(M4_Sectores!$A$9:A11,M4_Sectores!A11,M4_Sectores!$D$9:D11,M4_Sectores!D11,M4_Sectores!$H$9:H11,M4_Sectores!H11)=1,"Total del momento","Sector incluido en total")))</f>
        <v/>
      </c>
    </row>
    <row r="608" spans="1:36" ht="55.5" customHeight="1">
      <c r="A608" s="6" t="str">
        <f t="array" ref="A608">IF(604&gt;$S$1204,"",INDEX($T$5:$AJ$1204,MATCH(604,$S$5:$S$1204,0),1))</f>
        <v/>
      </c>
      <c r="B608" s="8" t="str">
        <f t="array" ref="B608">IF(604&gt;$S$1204,"",INDEX($T$5:$AJ$1204,MATCH(604,$S$5:$S$1204,0),2))</f>
        <v/>
      </c>
      <c r="C608" s="10" t="str">
        <f t="array" ref="C608">IF(604&gt;$S$1204,"",INDEX($T$5:$AJ$1204,MATCH(604,$S$5:$S$1204,0),3))</f>
        <v/>
      </c>
      <c r="D608" s="8" t="str">
        <f t="array" ref="D608">IF(604&gt;$S$1204,"",INDEX($T$5:$AJ$1204,MATCH(604,$S$5:$S$1204,0),4))</f>
        <v/>
      </c>
      <c r="E608" s="8" t="str">
        <f t="array" ref="E608">IF(604&gt;$S$1204,"",INDEX($T$5:$AJ$1204,MATCH(604,$S$5:$S$1204,0),5))</f>
        <v/>
      </c>
      <c r="F608" s="8" t="str">
        <f t="array" ref="F608">IF(604&gt;$S$1204,"",INDEX($T$5:$AJ$1204,MATCH(604,$S$5:$S$1204,0),6))</f>
        <v/>
      </c>
      <c r="G608" s="8" t="str">
        <f t="array" ref="G608">IF(604&gt;$S$1204,"",INDEX($T$5:$AJ$1204,MATCH(604,$S$5:$S$1204,0),7))</f>
        <v/>
      </c>
      <c r="H608" s="8" t="str">
        <f t="array" ref="H608">IF(604&gt;$S$1204,"",INDEX($T$5:$AJ$1204,MATCH(604,$S$5:$S$1204,0),8))</f>
        <v/>
      </c>
      <c r="I608" s="8" t="str">
        <f t="array" ref="I608">IF(604&gt;$S$1204,"",INDEX($T$5:$AJ$1204,MATCH(604,$S$5:$S$1204,0),9))</f>
        <v/>
      </c>
      <c r="J608" s="14" t="str">
        <f t="array" ref="J608">IF(604&gt;$S$1204,"",INDEX($T$5:$AJ$1204,MATCH(604,$S$5:$S$1204,0),10))</f>
        <v/>
      </c>
      <c r="K608" s="8" t="str">
        <f t="array" ref="K608">IF(604&gt;$S$1204,"",INDEX($T$5:$AJ$1204,MATCH(604,$S$5:$S$1204,0),11))</f>
        <v/>
      </c>
      <c r="L608" s="8" t="str">
        <f t="array" ref="L608">IF(604&gt;$S$1204,"",INDEX($T$5:$AJ$1204,MATCH(604,$S$5:$S$1204,0),12))</f>
        <v/>
      </c>
      <c r="M608" s="8" t="str">
        <f t="array" ref="M608">IF(604&gt;$S$1204,"",INDEX($T$5:$AJ$1204,MATCH(604,$S$5:$S$1204,0),13))</f>
        <v/>
      </c>
      <c r="N608" s="8" t="str">
        <f t="array" ref="N608">IF(604&gt;$S$1204,"",INDEX($T$5:$AJ$1204,MATCH(604,$S$5:$S$1204,0),14))</f>
        <v/>
      </c>
      <c r="O608" s="15" t="str">
        <f t="array" ref="O608">IF(604&gt;$S$1204,"",INDEX($T$5:$AJ$1204,MATCH(604,$S$5:$S$1204,0),15))</f>
        <v/>
      </c>
      <c r="P608" s="8" t="str">
        <f t="array" ref="P608">IF(604&gt;$S$1204,"",INDEX($T$5:$AJ$1204,MATCH(604,$S$5:$S$1204,0),16))</f>
        <v/>
      </c>
      <c r="Q608" s="8" t="str">
        <f t="array" ref="Q608">IF(604&gt;$S$1204,"",INDEX($T$5:$AJ$1204,MATCH(604,$S$5:$S$1204,0),17))</f>
        <v/>
      </c>
      <c r="R608" s="17"/>
      <c r="S608" s="17">
        <f>S607+IF(M4_Sectores!A12="",0,1)</f>
        <v>0</v>
      </c>
      <c r="T608" s="17" t="str">
        <f>IF(M4_Sectores!A12="","",IF(M4_Sectores!A12="","",M4_Sectores!A12))</f>
        <v/>
      </c>
      <c r="U608" s="17" t="str">
        <f>IF(M4_Sectores!A12="","",IF(M4_Sectores!Q12="","",M4_Sectores!Q12))</f>
        <v/>
      </c>
      <c r="V608" s="17" t="str">
        <f>IF(M4_Sectores!A12="","",IF(M4_Sectores!D12="","",M4_Sectores!D12))</f>
        <v/>
      </c>
      <c r="W608" s="17" t="str">
        <f>IF(M4_Sectores!A12="","",IF(M4_Sectores!B12="","",M4_Sectores!B12))</f>
        <v/>
      </c>
      <c r="X608" s="17" t="str">
        <f>IF(M4_Sectores!A12="","",IF(M4_Sectores!C12="","",M4_Sectores!C12))</f>
        <v/>
      </c>
      <c r="Y608" s="17" t="str">
        <f>IF(M4_Sectores!A12="","",IF(M4_Sectores!E12="","",M4_Sectores!E12))</f>
        <v/>
      </c>
      <c r="Z608" s="17" t="str">
        <f>IF(M4_Sectores!A12="","",IF(M4_Sectores!F12="","",M4_Sectores!F12))</f>
        <v/>
      </c>
      <c r="AA608" s="17" t="str">
        <f>IF(M4_Sectores!A12="","","M4 Sectores")</f>
        <v/>
      </c>
      <c r="AB608" s="17" t="str">
        <f>IF(M4_Sectores!A12="","",IF(M4_Sectores!G12="","",M4_Sectores!G12))</f>
        <v/>
      </c>
      <c r="AC608" s="17" t="str">
        <f>IF(M4_Sectores!A12="","",IF(COUNTIFS(M4_Sectores!$A$9:A12,M4_Sectores!A12,M4_Sectores!$D$9:D12,M4_Sectores!D12,M4_Sectores!$H$9:H12,M4_Sectores!H12)=1,IF(M4_Sectores!L12="","",M4_Sectores!L12),""))</f>
        <v/>
      </c>
      <c r="AD608" s="17" t="str">
        <f>IF(M4_Sectores!A12="","","EE")</f>
        <v/>
      </c>
      <c r="AE608" s="17" t="str">
        <f>IF(M4_Sectores!A12="","",IF(M4_Sectores!N12="","",M4_Sectores!N12))</f>
        <v/>
      </c>
      <c r="AF608" s="17" t="str">
        <f>IF(M4_Sectores!A12="","",IF(M4_Sectores!O12="","",M4_Sectores!O12))</f>
        <v/>
      </c>
      <c r="AG608" s="17" t="str">
        <f>IF(M4_Sectores!A12="","",IF(M4_Sectores!P12="","",M4_Sectores!P12))</f>
        <v/>
      </c>
      <c r="AH608" s="17" t="str">
        <f>IF(M4_Sectores!A12="","",IF(M4_Sectores!H12="","",M4_Sectores!H12))</f>
        <v/>
      </c>
      <c r="AI608" s="17" t="str">
        <f>IF(M4_Sectores!A12="","","M4_Sectores!12")</f>
        <v/>
      </c>
      <c r="AJ608" s="17" t="str">
        <f>IF(M4_Sectores!A12="","",IF(M4_Sectores!L12="","Pendiente de momento o resultado",IF(COUNTIFS(M4_Sectores!$A$9:A12,M4_Sectores!A12,M4_Sectores!$D$9:D12,M4_Sectores!D12,M4_Sectores!$H$9:H12,M4_Sectores!H12)=1,"Total del momento","Sector incluido en total")))</f>
        <v/>
      </c>
    </row>
    <row r="609" spans="1:36" ht="55.5" customHeight="1">
      <c r="A609" s="6" t="str">
        <f t="array" ref="A609">IF(605&gt;$S$1204,"",INDEX($T$5:$AJ$1204,MATCH(605,$S$5:$S$1204,0),1))</f>
        <v/>
      </c>
      <c r="B609" s="8" t="str">
        <f t="array" ref="B609">IF(605&gt;$S$1204,"",INDEX($T$5:$AJ$1204,MATCH(605,$S$5:$S$1204,0),2))</f>
        <v/>
      </c>
      <c r="C609" s="10" t="str">
        <f t="array" ref="C609">IF(605&gt;$S$1204,"",INDEX($T$5:$AJ$1204,MATCH(605,$S$5:$S$1204,0),3))</f>
        <v/>
      </c>
      <c r="D609" s="8" t="str">
        <f t="array" ref="D609">IF(605&gt;$S$1204,"",INDEX($T$5:$AJ$1204,MATCH(605,$S$5:$S$1204,0),4))</f>
        <v/>
      </c>
      <c r="E609" s="8" t="str">
        <f t="array" ref="E609">IF(605&gt;$S$1204,"",INDEX($T$5:$AJ$1204,MATCH(605,$S$5:$S$1204,0),5))</f>
        <v/>
      </c>
      <c r="F609" s="8" t="str">
        <f t="array" ref="F609">IF(605&gt;$S$1204,"",INDEX($T$5:$AJ$1204,MATCH(605,$S$5:$S$1204,0),6))</f>
        <v/>
      </c>
      <c r="G609" s="8" t="str">
        <f t="array" ref="G609">IF(605&gt;$S$1204,"",INDEX($T$5:$AJ$1204,MATCH(605,$S$5:$S$1204,0),7))</f>
        <v/>
      </c>
      <c r="H609" s="8" t="str">
        <f t="array" ref="H609">IF(605&gt;$S$1204,"",INDEX($T$5:$AJ$1204,MATCH(605,$S$5:$S$1204,0),8))</f>
        <v/>
      </c>
      <c r="I609" s="8" t="str">
        <f t="array" ref="I609">IF(605&gt;$S$1204,"",INDEX($T$5:$AJ$1204,MATCH(605,$S$5:$S$1204,0),9))</f>
        <v/>
      </c>
      <c r="J609" s="14" t="str">
        <f t="array" ref="J609">IF(605&gt;$S$1204,"",INDEX($T$5:$AJ$1204,MATCH(605,$S$5:$S$1204,0),10))</f>
        <v/>
      </c>
      <c r="K609" s="8" t="str">
        <f t="array" ref="K609">IF(605&gt;$S$1204,"",INDEX($T$5:$AJ$1204,MATCH(605,$S$5:$S$1204,0),11))</f>
        <v/>
      </c>
      <c r="L609" s="8" t="str">
        <f t="array" ref="L609">IF(605&gt;$S$1204,"",INDEX($T$5:$AJ$1204,MATCH(605,$S$5:$S$1204,0),12))</f>
        <v/>
      </c>
      <c r="M609" s="8" t="str">
        <f t="array" ref="M609">IF(605&gt;$S$1204,"",INDEX($T$5:$AJ$1204,MATCH(605,$S$5:$S$1204,0),13))</f>
        <v/>
      </c>
      <c r="N609" s="8" t="str">
        <f t="array" ref="N609">IF(605&gt;$S$1204,"",INDEX($T$5:$AJ$1204,MATCH(605,$S$5:$S$1204,0),14))</f>
        <v/>
      </c>
      <c r="O609" s="15" t="str">
        <f t="array" ref="O609">IF(605&gt;$S$1204,"",INDEX($T$5:$AJ$1204,MATCH(605,$S$5:$S$1204,0),15))</f>
        <v/>
      </c>
      <c r="P609" s="8" t="str">
        <f t="array" ref="P609">IF(605&gt;$S$1204,"",INDEX($T$5:$AJ$1204,MATCH(605,$S$5:$S$1204,0),16))</f>
        <v/>
      </c>
      <c r="Q609" s="8" t="str">
        <f t="array" ref="Q609">IF(605&gt;$S$1204,"",INDEX($T$5:$AJ$1204,MATCH(605,$S$5:$S$1204,0),17))</f>
        <v/>
      </c>
      <c r="R609" s="17"/>
      <c r="S609" s="17">
        <f>S608+IF(M4_Sectores!A13="",0,1)</f>
        <v>0</v>
      </c>
      <c r="T609" s="17" t="str">
        <f>IF(M4_Sectores!A13="","",IF(M4_Sectores!A13="","",M4_Sectores!A13))</f>
        <v/>
      </c>
      <c r="U609" s="17" t="str">
        <f>IF(M4_Sectores!A13="","",IF(M4_Sectores!Q13="","",M4_Sectores!Q13))</f>
        <v/>
      </c>
      <c r="V609" s="17" t="str">
        <f>IF(M4_Sectores!A13="","",IF(M4_Sectores!D13="","",M4_Sectores!D13))</f>
        <v/>
      </c>
      <c r="W609" s="17" t="str">
        <f>IF(M4_Sectores!A13="","",IF(M4_Sectores!B13="","",M4_Sectores!B13))</f>
        <v/>
      </c>
      <c r="X609" s="17" t="str">
        <f>IF(M4_Sectores!A13="","",IF(M4_Sectores!C13="","",M4_Sectores!C13))</f>
        <v/>
      </c>
      <c r="Y609" s="17" t="str">
        <f>IF(M4_Sectores!A13="","",IF(M4_Sectores!E13="","",M4_Sectores!E13))</f>
        <v/>
      </c>
      <c r="Z609" s="17" t="str">
        <f>IF(M4_Sectores!A13="","",IF(M4_Sectores!F13="","",M4_Sectores!F13))</f>
        <v/>
      </c>
      <c r="AA609" s="17" t="str">
        <f>IF(M4_Sectores!A13="","","M4 Sectores")</f>
        <v/>
      </c>
      <c r="AB609" s="17" t="str">
        <f>IF(M4_Sectores!A13="","",IF(M4_Sectores!G13="","",M4_Sectores!G13))</f>
        <v/>
      </c>
      <c r="AC609" s="17" t="str">
        <f>IF(M4_Sectores!A13="","",IF(COUNTIFS(M4_Sectores!$A$9:A13,M4_Sectores!A13,M4_Sectores!$D$9:D13,M4_Sectores!D13,M4_Sectores!$H$9:H13,M4_Sectores!H13)=1,IF(M4_Sectores!L13="","",M4_Sectores!L13),""))</f>
        <v/>
      </c>
      <c r="AD609" s="17" t="str">
        <f>IF(M4_Sectores!A13="","","EE")</f>
        <v/>
      </c>
      <c r="AE609" s="17" t="str">
        <f>IF(M4_Sectores!A13="","",IF(M4_Sectores!N13="","",M4_Sectores!N13))</f>
        <v/>
      </c>
      <c r="AF609" s="17" t="str">
        <f>IF(M4_Sectores!A13="","",IF(M4_Sectores!O13="","",M4_Sectores!O13))</f>
        <v/>
      </c>
      <c r="AG609" s="17" t="str">
        <f>IF(M4_Sectores!A13="","",IF(M4_Sectores!P13="","",M4_Sectores!P13))</f>
        <v/>
      </c>
      <c r="AH609" s="17" t="str">
        <f>IF(M4_Sectores!A13="","",IF(M4_Sectores!H13="","",M4_Sectores!H13))</f>
        <v/>
      </c>
      <c r="AI609" s="17" t="str">
        <f>IF(M4_Sectores!A13="","","M4_Sectores!13")</f>
        <v/>
      </c>
      <c r="AJ609" s="17" t="str">
        <f>IF(M4_Sectores!A13="","",IF(M4_Sectores!L13="","Pendiente de momento o resultado",IF(COUNTIFS(M4_Sectores!$A$9:A13,M4_Sectores!A13,M4_Sectores!$D$9:D13,M4_Sectores!D13,M4_Sectores!$H$9:H13,M4_Sectores!H13)=1,"Total del momento","Sector incluido en total")))</f>
        <v/>
      </c>
    </row>
    <row r="610" spans="1:36" ht="55.5" customHeight="1">
      <c r="A610" s="6" t="str">
        <f t="array" ref="A610">IF(606&gt;$S$1204,"",INDEX($T$5:$AJ$1204,MATCH(606,$S$5:$S$1204,0),1))</f>
        <v/>
      </c>
      <c r="B610" s="8" t="str">
        <f t="array" ref="B610">IF(606&gt;$S$1204,"",INDEX($T$5:$AJ$1204,MATCH(606,$S$5:$S$1204,0),2))</f>
        <v/>
      </c>
      <c r="C610" s="10" t="str">
        <f t="array" ref="C610">IF(606&gt;$S$1204,"",INDEX($T$5:$AJ$1204,MATCH(606,$S$5:$S$1204,0),3))</f>
        <v/>
      </c>
      <c r="D610" s="8" t="str">
        <f t="array" ref="D610">IF(606&gt;$S$1204,"",INDEX($T$5:$AJ$1204,MATCH(606,$S$5:$S$1204,0),4))</f>
        <v/>
      </c>
      <c r="E610" s="8" t="str">
        <f t="array" ref="E610">IF(606&gt;$S$1204,"",INDEX($T$5:$AJ$1204,MATCH(606,$S$5:$S$1204,0),5))</f>
        <v/>
      </c>
      <c r="F610" s="8" t="str">
        <f t="array" ref="F610">IF(606&gt;$S$1204,"",INDEX($T$5:$AJ$1204,MATCH(606,$S$5:$S$1204,0),6))</f>
        <v/>
      </c>
      <c r="G610" s="8" t="str">
        <f t="array" ref="G610">IF(606&gt;$S$1204,"",INDEX($T$5:$AJ$1204,MATCH(606,$S$5:$S$1204,0),7))</f>
        <v/>
      </c>
      <c r="H610" s="8" t="str">
        <f t="array" ref="H610">IF(606&gt;$S$1204,"",INDEX($T$5:$AJ$1204,MATCH(606,$S$5:$S$1204,0),8))</f>
        <v/>
      </c>
      <c r="I610" s="8" t="str">
        <f t="array" ref="I610">IF(606&gt;$S$1204,"",INDEX($T$5:$AJ$1204,MATCH(606,$S$5:$S$1204,0),9))</f>
        <v/>
      </c>
      <c r="J610" s="14" t="str">
        <f t="array" ref="J610">IF(606&gt;$S$1204,"",INDEX($T$5:$AJ$1204,MATCH(606,$S$5:$S$1204,0),10))</f>
        <v/>
      </c>
      <c r="K610" s="8" t="str">
        <f t="array" ref="K610">IF(606&gt;$S$1204,"",INDEX($T$5:$AJ$1204,MATCH(606,$S$5:$S$1204,0),11))</f>
        <v/>
      </c>
      <c r="L610" s="8" t="str">
        <f t="array" ref="L610">IF(606&gt;$S$1204,"",INDEX($T$5:$AJ$1204,MATCH(606,$S$5:$S$1204,0),12))</f>
        <v/>
      </c>
      <c r="M610" s="8" t="str">
        <f t="array" ref="M610">IF(606&gt;$S$1204,"",INDEX($T$5:$AJ$1204,MATCH(606,$S$5:$S$1204,0),13))</f>
        <v/>
      </c>
      <c r="N610" s="8" t="str">
        <f t="array" ref="N610">IF(606&gt;$S$1204,"",INDEX($T$5:$AJ$1204,MATCH(606,$S$5:$S$1204,0),14))</f>
        <v/>
      </c>
      <c r="O610" s="15" t="str">
        <f t="array" ref="O610">IF(606&gt;$S$1204,"",INDEX($T$5:$AJ$1204,MATCH(606,$S$5:$S$1204,0),15))</f>
        <v/>
      </c>
      <c r="P610" s="8" t="str">
        <f t="array" ref="P610">IF(606&gt;$S$1204,"",INDEX($T$5:$AJ$1204,MATCH(606,$S$5:$S$1204,0),16))</f>
        <v/>
      </c>
      <c r="Q610" s="8" t="str">
        <f t="array" ref="Q610">IF(606&gt;$S$1204,"",INDEX($T$5:$AJ$1204,MATCH(606,$S$5:$S$1204,0),17))</f>
        <v/>
      </c>
      <c r="R610" s="17"/>
      <c r="S610" s="17">
        <f>S609+IF(M4_Sectores!A14="",0,1)</f>
        <v>0</v>
      </c>
      <c r="T610" s="17" t="str">
        <f>IF(M4_Sectores!A14="","",IF(M4_Sectores!A14="","",M4_Sectores!A14))</f>
        <v/>
      </c>
      <c r="U610" s="17" t="str">
        <f>IF(M4_Sectores!A14="","",IF(M4_Sectores!Q14="","",M4_Sectores!Q14))</f>
        <v/>
      </c>
      <c r="V610" s="17" t="str">
        <f>IF(M4_Sectores!A14="","",IF(M4_Sectores!D14="","",M4_Sectores!D14))</f>
        <v/>
      </c>
      <c r="W610" s="17" t="str">
        <f>IF(M4_Sectores!A14="","",IF(M4_Sectores!B14="","",M4_Sectores!B14))</f>
        <v/>
      </c>
      <c r="X610" s="17" t="str">
        <f>IF(M4_Sectores!A14="","",IF(M4_Sectores!C14="","",M4_Sectores!C14))</f>
        <v/>
      </c>
      <c r="Y610" s="17" t="str">
        <f>IF(M4_Sectores!A14="","",IF(M4_Sectores!E14="","",M4_Sectores!E14))</f>
        <v/>
      </c>
      <c r="Z610" s="17" t="str">
        <f>IF(M4_Sectores!A14="","",IF(M4_Sectores!F14="","",M4_Sectores!F14))</f>
        <v/>
      </c>
      <c r="AA610" s="17" t="str">
        <f>IF(M4_Sectores!A14="","","M4 Sectores")</f>
        <v/>
      </c>
      <c r="AB610" s="17" t="str">
        <f>IF(M4_Sectores!A14="","",IF(M4_Sectores!G14="","",M4_Sectores!G14))</f>
        <v/>
      </c>
      <c r="AC610" s="17" t="str">
        <f>IF(M4_Sectores!A14="","",IF(COUNTIFS(M4_Sectores!$A$9:A14,M4_Sectores!A14,M4_Sectores!$D$9:D14,M4_Sectores!D14,M4_Sectores!$H$9:H14,M4_Sectores!H14)=1,IF(M4_Sectores!L14="","",M4_Sectores!L14),""))</f>
        <v/>
      </c>
      <c r="AD610" s="17" t="str">
        <f>IF(M4_Sectores!A14="","","EE")</f>
        <v/>
      </c>
      <c r="AE610" s="17" t="str">
        <f>IF(M4_Sectores!A14="","",IF(M4_Sectores!N14="","",M4_Sectores!N14))</f>
        <v/>
      </c>
      <c r="AF610" s="17" t="str">
        <f>IF(M4_Sectores!A14="","",IF(M4_Sectores!O14="","",M4_Sectores!O14))</f>
        <v/>
      </c>
      <c r="AG610" s="17" t="str">
        <f>IF(M4_Sectores!A14="","",IF(M4_Sectores!P14="","",M4_Sectores!P14))</f>
        <v/>
      </c>
      <c r="AH610" s="17" t="str">
        <f>IF(M4_Sectores!A14="","",IF(M4_Sectores!H14="","",M4_Sectores!H14))</f>
        <v/>
      </c>
      <c r="AI610" s="17" t="str">
        <f>IF(M4_Sectores!A14="","","M4_Sectores!14")</f>
        <v/>
      </c>
      <c r="AJ610" s="17" t="str">
        <f>IF(M4_Sectores!A14="","",IF(M4_Sectores!L14="","Pendiente de momento o resultado",IF(COUNTIFS(M4_Sectores!$A$9:A14,M4_Sectores!A14,M4_Sectores!$D$9:D14,M4_Sectores!D14,M4_Sectores!$H$9:H14,M4_Sectores!H14)=1,"Total del momento","Sector incluido en total")))</f>
        <v/>
      </c>
    </row>
    <row r="611" spans="1:36" ht="55.5" customHeight="1">
      <c r="A611" s="6" t="str">
        <f t="array" ref="A611">IF(607&gt;$S$1204,"",INDEX($T$5:$AJ$1204,MATCH(607,$S$5:$S$1204,0),1))</f>
        <v/>
      </c>
      <c r="B611" s="8" t="str">
        <f t="array" ref="B611">IF(607&gt;$S$1204,"",INDEX($T$5:$AJ$1204,MATCH(607,$S$5:$S$1204,0),2))</f>
        <v/>
      </c>
      <c r="C611" s="10" t="str">
        <f t="array" ref="C611">IF(607&gt;$S$1204,"",INDEX($T$5:$AJ$1204,MATCH(607,$S$5:$S$1204,0),3))</f>
        <v/>
      </c>
      <c r="D611" s="8" t="str">
        <f t="array" ref="D611">IF(607&gt;$S$1204,"",INDEX($T$5:$AJ$1204,MATCH(607,$S$5:$S$1204,0),4))</f>
        <v/>
      </c>
      <c r="E611" s="8" t="str">
        <f t="array" ref="E611">IF(607&gt;$S$1204,"",INDEX($T$5:$AJ$1204,MATCH(607,$S$5:$S$1204,0),5))</f>
        <v/>
      </c>
      <c r="F611" s="8" t="str">
        <f t="array" ref="F611">IF(607&gt;$S$1204,"",INDEX($T$5:$AJ$1204,MATCH(607,$S$5:$S$1204,0),6))</f>
        <v/>
      </c>
      <c r="G611" s="8" t="str">
        <f t="array" ref="G611">IF(607&gt;$S$1204,"",INDEX($T$5:$AJ$1204,MATCH(607,$S$5:$S$1204,0),7))</f>
        <v/>
      </c>
      <c r="H611" s="8" t="str">
        <f t="array" ref="H611">IF(607&gt;$S$1204,"",INDEX($T$5:$AJ$1204,MATCH(607,$S$5:$S$1204,0),8))</f>
        <v/>
      </c>
      <c r="I611" s="8" t="str">
        <f t="array" ref="I611">IF(607&gt;$S$1204,"",INDEX($T$5:$AJ$1204,MATCH(607,$S$5:$S$1204,0),9))</f>
        <v/>
      </c>
      <c r="J611" s="14" t="str">
        <f t="array" ref="J611">IF(607&gt;$S$1204,"",INDEX($T$5:$AJ$1204,MATCH(607,$S$5:$S$1204,0),10))</f>
        <v/>
      </c>
      <c r="K611" s="8" t="str">
        <f t="array" ref="K611">IF(607&gt;$S$1204,"",INDEX($T$5:$AJ$1204,MATCH(607,$S$5:$S$1204,0),11))</f>
        <v/>
      </c>
      <c r="L611" s="8" t="str">
        <f t="array" ref="L611">IF(607&gt;$S$1204,"",INDEX($T$5:$AJ$1204,MATCH(607,$S$5:$S$1204,0),12))</f>
        <v/>
      </c>
      <c r="M611" s="8" t="str">
        <f t="array" ref="M611">IF(607&gt;$S$1204,"",INDEX($T$5:$AJ$1204,MATCH(607,$S$5:$S$1204,0),13))</f>
        <v/>
      </c>
      <c r="N611" s="8" t="str">
        <f t="array" ref="N611">IF(607&gt;$S$1204,"",INDEX($T$5:$AJ$1204,MATCH(607,$S$5:$S$1204,0),14))</f>
        <v/>
      </c>
      <c r="O611" s="15" t="str">
        <f t="array" ref="O611">IF(607&gt;$S$1204,"",INDEX($T$5:$AJ$1204,MATCH(607,$S$5:$S$1204,0),15))</f>
        <v/>
      </c>
      <c r="P611" s="8" t="str">
        <f t="array" ref="P611">IF(607&gt;$S$1204,"",INDEX($T$5:$AJ$1204,MATCH(607,$S$5:$S$1204,0),16))</f>
        <v/>
      </c>
      <c r="Q611" s="8" t="str">
        <f t="array" ref="Q611">IF(607&gt;$S$1204,"",INDEX($T$5:$AJ$1204,MATCH(607,$S$5:$S$1204,0),17))</f>
        <v/>
      </c>
      <c r="R611" s="17"/>
      <c r="S611" s="17">
        <f>S610+IF(M4_Sectores!A15="",0,1)</f>
        <v>0</v>
      </c>
      <c r="T611" s="17" t="str">
        <f>IF(M4_Sectores!A15="","",IF(M4_Sectores!A15="","",M4_Sectores!A15))</f>
        <v/>
      </c>
      <c r="U611" s="17" t="str">
        <f>IF(M4_Sectores!A15="","",IF(M4_Sectores!Q15="","",M4_Sectores!Q15))</f>
        <v/>
      </c>
      <c r="V611" s="17" t="str">
        <f>IF(M4_Sectores!A15="","",IF(M4_Sectores!D15="","",M4_Sectores!D15))</f>
        <v/>
      </c>
      <c r="W611" s="17" t="str">
        <f>IF(M4_Sectores!A15="","",IF(M4_Sectores!B15="","",M4_Sectores!B15))</f>
        <v/>
      </c>
      <c r="X611" s="17" t="str">
        <f>IF(M4_Sectores!A15="","",IF(M4_Sectores!C15="","",M4_Sectores!C15))</f>
        <v/>
      </c>
      <c r="Y611" s="17" t="str">
        <f>IF(M4_Sectores!A15="","",IF(M4_Sectores!E15="","",M4_Sectores!E15))</f>
        <v/>
      </c>
      <c r="Z611" s="17" t="str">
        <f>IF(M4_Sectores!A15="","",IF(M4_Sectores!F15="","",M4_Sectores!F15))</f>
        <v/>
      </c>
      <c r="AA611" s="17" t="str">
        <f>IF(M4_Sectores!A15="","","M4 Sectores")</f>
        <v/>
      </c>
      <c r="AB611" s="17" t="str">
        <f>IF(M4_Sectores!A15="","",IF(M4_Sectores!G15="","",M4_Sectores!G15))</f>
        <v/>
      </c>
      <c r="AC611" s="17" t="str">
        <f>IF(M4_Sectores!A15="","",IF(COUNTIFS(M4_Sectores!$A$9:A15,M4_Sectores!A15,M4_Sectores!$D$9:D15,M4_Sectores!D15,M4_Sectores!$H$9:H15,M4_Sectores!H15)=1,IF(M4_Sectores!L15="","",M4_Sectores!L15),""))</f>
        <v/>
      </c>
      <c r="AD611" s="17" t="str">
        <f>IF(M4_Sectores!A15="","","EE")</f>
        <v/>
      </c>
      <c r="AE611" s="17" t="str">
        <f>IF(M4_Sectores!A15="","",IF(M4_Sectores!N15="","",M4_Sectores!N15))</f>
        <v/>
      </c>
      <c r="AF611" s="17" t="str">
        <f>IF(M4_Sectores!A15="","",IF(M4_Sectores!O15="","",M4_Sectores!O15))</f>
        <v/>
      </c>
      <c r="AG611" s="17" t="str">
        <f>IF(M4_Sectores!A15="","",IF(M4_Sectores!P15="","",M4_Sectores!P15))</f>
        <v/>
      </c>
      <c r="AH611" s="17" t="str">
        <f>IF(M4_Sectores!A15="","",IF(M4_Sectores!H15="","",M4_Sectores!H15))</f>
        <v/>
      </c>
      <c r="AI611" s="17" t="str">
        <f>IF(M4_Sectores!A15="","","M4_Sectores!15")</f>
        <v/>
      </c>
      <c r="AJ611" s="17" t="str">
        <f>IF(M4_Sectores!A15="","",IF(M4_Sectores!L15="","Pendiente de momento o resultado",IF(COUNTIFS(M4_Sectores!$A$9:A15,M4_Sectores!A15,M4_Sectores!$D$9:D15,M4_Sectores!D15,M4_Sectores!$H$9:H15,M4_Sectores!H15)=1,"Total del momento","Sector incluido en total")))</f>
        <v/>
      </c>
    </row>
    <row r="612" spans="1:36" ht="55.5" customHeight="1">
      <c r="A612" s="6" t="str">
        <f t="array" ref="A612">IF(608&gt;$S$1204,"",INDEX($T$5:$AJ$1204,MATCH(608,$S$5:$S$1204,0),1))</f>
        <v/>
      </c>
      <c r="B612" s="8" t="str">
        <f t="array" ref="B612">IF(608&gt;$S$1204,"",INDEX($T$5:$AJ$1204,MATCH(608,$S$5:$S$1204,0),2))</f>
        <v/>
      </c>
      <c r="C612" s="10" t="str">
        <f t="array" ref="C612">IF(608&gt;$S$1204,"",INDEX($T$5:$AJ$1204,MATCH(608,$S$5:$S$1204,0),3))</f>
        <v/>
      </c>
      <c r="D612" s="8" t="str">
        <f t="array" ref="D612">IF(608&gt;$S$1204,"",INDEX($T$5:$AJ$1204,MATCH(608,$S$5:$S$1204,0),4))</f>
        <v/>
      </c>
      <c r="E612" s="8" t="str">
        <f t="array" ref="E612">IF(608&gt;$S$1204,"",INDEX($T$5:$AJ$1204,MATCH(608,$S$5:$S$1204,0),5))</f>
        <v/>
      </c>
      <c r="F612" s="8" t="str">
        <f t="array" ref="F612">IF(608&gt;$S$1204,"",INDEX($T$5:$AJ$1204,MATCH(608,$S$5:$S$1204,0),6))</f>
        <v/>
      </c>
      <c r="G612" s="8" t="str">
        <f t="array" ref="G612">IF(608&gt;$S$1204,"",INDEX($T$5:$AJ$1204,MATCH(608,$S$5:$S$1204,0),7))</f>
        <v/>
      </c>
      <c r="H612" s="8" t="str">
        <f t="array" ref="H612">IF(608&gt;$S$1204,"",INDEX($T$5:$AJ$1204,MATCH(608,$S$5:$S$1204,0),8))</f>
        <v/>
      </c>
      <c r="I612" s="8" t="str">
        <f t="array" ref="I612">IF(608&gt;$S$1204,"",INDEX($T$5:$AJ$1204,MATCH(608,$S$5:$S$1204,0),9))</f>
        <v/>
      </c>
      <c r="J612" s="14" t="str">
        <f t="array" ref="J612">IF(608&gt;$S$1204,"",INDEX($T$5:$AJ$1204,MATCH(608,$S$5:$S$1204,0),10))</f>
        <v/>
      </c>
      <c r="K612" s="8" t="str">
        <f t="array" ref="K612">IF(608&gt;$S$1204,"",INDEX($T$5:$AJ$1204,MATCH(608,$S$5:$S$1204,0),11))</f>
        <v/>
      </c>
      <c r="L612" s="8" t="str">
        <f t="array" ref="L612">IF(608&gt;$S$1204,"",INDEX($T$5:$AJ$1204,MATCH(608,$S$5:$S$1204,0),12))</f>
        <v/>
      </c>
      <c r="M612" s="8" t="str">
        <f t="array" ref="M612">IF(608&gt;$S$1204,"",INDEX($T$5:$AJ$1204,MATCH(608,$S$5:$S$1204,0),13))</f>
        <v/>
      </c>
      <c r="N612" s="8" t="str">
        <f t="array" ref="N612">IF(608&gt;$S$1204,"",INDEX($T$5:$AJ$1204,MATCH(608,$S$5:$S$1204,0),14))</f>
        <v/>
      </c>
      <c r="O612" s="15" t="str">
        <f t="array" ref="O612">IF(608&gt;$S$1204,"",INDEX($T$5:$AJ$1204,MATCH(608,$S$5:$S$1204,0),15))</f>
        <v/>
      </c>
      <c r="P612" s="8" t="str">
        <f t="array" ref="P612">IF(608&gt;$S$1204,"",INDEX($T$5:$AJ$1204,MATCH(608,$S$5:$S$1204,0),16))</f>
        <v/>
      </c>
      <c r="Q612" s="8" t="str">
        <f t="array" ref="Q612">IF(608&gt;$S$1204,"",INDEX($T$5:$AJ$1204,MATCH(608,$S$5:$S$1204,0),17))</f>
        <v/>
      </c>
      <c r="R612" s="17"/>
      <c r="S612" s="17">
        <f>S611+IF(M4_Sectores!A16="",0,1)</f>
        <v>0</v>
      </c>
      <c r="T612" s="17" t="str">
        <f>IF(M4_Sectores!A16="","",IF(M4_Sectores!A16="","",M4_Sectores!A16))</f>
        <v/>
      </c>
      <c r="U612" s="17" t="str">
        <f>IF(M4_Sectores!A16="","",IF(M4_Sectores!Q16="","",M4_Sectores!Q16))</f>
        <v/>
      </c>
      <c r="V612" s="17" t="str">
        <f>IF(M4_Sectores!A16="","",IF(M4_Sectores!D16="","",M4_Sectores!D16))</f>
        <v/>
      </c>
      <c r="W612" s="17" t="str">
        <f>IF(M4_Sectores!A16="","",IF(M4_Sectores!B16="","",M4_Sectores!B16))</f>
        <v/>
      </c>
      <c r="X612" s="17" t="str">
        <f>IF(M4_Sectores!A16="","",IF(M4_Sectores!C16="","",M4_Sectores!C16))</f>
        <v/>
      </c>
      <c r="Y612" s="17" t="str">
        <f>IF(M4_Sectores!A16="","",IF(M4_Sectores!E16="","",M4_Sectores!E16))</f>
        <v/>
      </c>
      <c r="Z612" s="17" t="str">
        <f>IF(M4_Sectores!A16="","",IF(M4_Sectores!F16="","",M4_Sectores!F16))</f>
        <v/>
      </c>
      <c r="AA612" s="17" t="str">
        <f>IF(M4_Sectores!A16="","","M4 Sectores")</f>
        <v/>
      </c>
      <c r="AB612" s="17" t="str">
        <f>IF(M4_Sectores!A16="","",IF(M4_Sectores!G16="","",M4_Sectores!G16))</f>
        <v/>
      </c>
      <c r="AC612" s="17" t="str">
        <f>IF(M4_Sectores!A16="","",IF(COUNTIFS(M4_Sectores!$A$9:A16,M4_Sectores!A16,M4_Sectores!$D$9:D16,M4_Sectores!D16,M4_Sectores!$H$9:H16,M4_Sectores!H16)=1,IF(M4_Sectores!L16="","",M4_Sectores!L16),""))</f>
        <v/>
      </c>
      <c r="AD612" s="17" t="str">
        <f>IF(M4_Sectores!A16="","","EE")</f>
        <v/>
      </c>
      <c r="AE612" s="17" t="str">
        <f>IF(M4_Sectores!A16="","",IF(M4_Sectores!N16="","",M4_Sectores!N16))</f>
        <v/>
      </c>
      <c r="AF612" s="17" t="str">
        <f>IF(M4_Sectores!A16="","",IF(M4_Sectores!O16="","",M4_Sectores!O16))</f>
        <v/>
      </c>
      <c r="AG612" s="17" t="str">
        <f>IF(M4_Sectores!A16="","",IF(M4_Sectores!P16="","",M4_Sectores!P16))</f>
        <v/>
      </c>
      <c r="AH612" s="17" t="str">
        <f>IF(M4_Sectores!A16="","",IF(M4_Sectores!H16="","",M4_Sectores!H16))</f>
        <v/>
      </c>
      <c r="AI612" s="17" t="str">
        <f>IF(M4_Sectores!A16="","","M4_Sectores!16")</f>
        <v/>
      </c>
      <c r="AJ612" s="17" t="str">
        <f>IF(M4_Sectores!A16="","",IF(M4_Sectores!L16="","Pendiente de momento o resultado",IF(COUNTIFS(M4_Sectores!$A$9:A16,M4_Sectores!A16,M4_Sectores!$D$9:D16,M4_Sectores!D16,M4_Sectores!$H$9:H16,M4_Sectores!H16)=1,"Total del momento","Sector incluido en total")))</f>
        <v/>
      </c>
    </row>
    <row r="613" spans="1:36" ht="55.5" customHeight="1">
      <c r="A613" s="6" t="str">
        <f t="array" ref="A613">IF(609&gt;$S$1204,"",INDEX($T$5:$AJ$1204,MATCH(609,$S$5:$S$1204,0),1))</f>
        <v/>
      </c>
      <c r="B613" s="8" t="str">
        <f t="array" ref="B613">IF(609&gt;$S$1204,"",INDEX($T$5:$AJ$1204,MATCH(609,$S$5:$S$1204,0),2))</f>
        <v/>
      </c>
      <c r="C613" s="10" t="str">
        <f t="array" ref="C613">IF(609&gt;$S$1204,"",INDEX($T$5:$AJ$1204,MATCH(609,$S$5:$S$1204,0),3))</f>
        <v/>
      </c>
      <c r="D613" s="8" t="str">
        <f t="array" ref="D613">IF(609&gt;$S$1204,"",INDEX($T$5:$AJ$1204,MATCH(609,$S$5:$S$1204,0),4))</f>
        <v/>
      </c>
      <c r="E613" s="8" t="str">
        <f t="array" ref="E613">IF(609&gt;$S$1204,"",INDEX($T$5:$AJ$1204,MATCH(609,$S$5:$S$1204,0),5))</f>
        <v/>
      </c>
      <c r="F613" s="8" t="str">
        <f t="array" ref="F613">IF(609&gt;$S$1204,"",INDEX($T$5:$AJ$1204,MATCH(609,$S$5:$S$1204,0),6))</f>
        <v/>
      </c>
      <c r="G613" s="8" t="str">
        <f t="array" ref="G613">IF(609&gt;$S$1204,"",INDEX($T$5:$AJ$1204,MATCH(609,$S$5:$S$1204,0),7))</f>
        <v/>
      </c>
      <c r="H613" s="8" t="str">
        <f t="array" ref="H613">IF(609&gt;$S$1204,"",INDEX($T$5:$AJ$1204,MATCH(609,$S$5:$S$1204,0),8))</f>
        <v/>
      </c>
      <c r="I613" s="8" t="str">
        <f t="array" ref="I613">IF(609&gt;$S$1204,"",INDEX($T$5:$AJ$1204,MATCH(609,$S$5:$S$1204,0),9))</f>
        <v/>
      </c>
      <c r="J613" s="14" t="str">
        <f t="array" ref="J613">IF(609&gt;$S$1204,"",INDEX($T$5:$AJ$1204,MATCH(609,$S$5:$S$1204,0),10))</f>
        <v/>
      </c>
      <c r="K613" s="8" t="str">
        <f t="array" ref="K613">IF(609&gt;$S$1204,"",INDEX($T$5:$AJ$1204,MATCH(609,$S$5:$S$1204,0),11))</f>
        <v/>
      </c>
      <c r="L613" s="8" t="str">
        <f t="array" ref="L613">IF(609&gt;$S$1204,"",INDEX($T$5:$AJ$1204,MATCH(609,$S$5:$S$1204,0),12))</f>
        <v/>
      </c>
      <c r="M613" s="8" t="str">
        <f t="array" ref="M613">IF(609&gt;$S$1204,"",INDEX($T$5:$AJ$1204,MATCH(609,$S$5:$S$1204,0),13))</f>
        <v/>
      </c>
      <c r="N613" s="8" t="str">
        <f t="array" ref="N613">IF(609&gt;$S$1204,"",INDEX($T$5:$AJ$1204,MATCH(609,$S$5:$S$1204,0),14))</f>
        <v/>
      </c>
      <c r="O613" s="15" t="str">
        <f t="array" ref="O613">IF(609&gt;$S$1204,"",INDEX($T$5:$AJ$1204,MATCH(609,$S$5:$S$1204,0),15))</f>
        <v/>
      </c>
      <c r="P613" s="8" t="str">
        <f t="array" ref="P613">IF(609&gt;$S$1204,"",INDEX($T$5:$AJ$1204,MATCH(609,$S$5:$S$1204,0),16))</f>
        <v/>
      </c>
      <c r="Q613" s="8" t="str">
        <f t="array" ref="Q613">IF(609&gt;$S$1204,"",INDEX($T$5:$AJ$1204,MATCH(609,$S$5:$S$1204,0),17))</f>
        <v/>
      </c>
      <c r="R613" s="17"/>
      <c r="S613" s="17">
        <f>S612+IF(M4_Sectores!A17="",0,1)</f>
        <v>0</v>
      </c>
      <c r="T613" s="17" t="str">
        <f>IF(M4_Sectores!A17="","",IF(M4_Sectores!A17="","",M4_Sectores!A17))</f>
        <v/>
      </c>
      <c r="U613" s="17" t="str">
        <f>IF(M4_Sectores!A17="","",IF(M4_Sectores!Q17="","",M4_Sectores!Q17))</f>
        <v/>
      </c>
      <c r="V613" s="17" t="str">
        <f>IF(M4_Sectores!A17="","",IF(M4_Sectores!D17="","",M4_Sectores!D17))</f>
        <v/>
      </c>
      <c r="W613" s="17" t="str">
        <f>IF(M4_Sectores!A17="","",IF(M4_Sectores!B17="","",M4_Sectores!B17))</f>
        <v/>
      </c>
      <c r="X613" s="17" t="str">
        <f>IF(M4_Sectores!A17="","",IF(M4_Sectores!C17="","",M4_Sectores!C17))</f>
        <v/>
      </c>
      <c r="Y613" s="17" t="str">
        <f>IF(M4_Sectores!A17="","",IF(M4_Sectores!E17="","",M4_Sectores!E17))</f>
        <v/>
      </c>
      <c r="Z613" s="17" t="str">
        <f>IF(M4_Sectores!A17="","",IF(M4_Sectores!F17="","",M4_Sectores!F17))</f>
        <v/>
      </c>
      <c r="AA613" s="17" t="str">
        <f>IF(M4_Sectores!A17="","","M4 Sectores")</f>
        <v/>
      </c>
      <c r="AB613" s="17" t="str">
        <f>IF(M4_Sectores!A17="","",IF(M4_Sectores!G17="","",M4_Sectores!G17))</f>
        <v/>
      </c>
      <c r="AC613" s="17" t="str">
        <f>IF(M4_Sectores!A17="","",IF(COUNTIFS(M4_Sectores!$A$9:A17,M4_Sectores!A17,M4_Sectores!$D$9:D17,M4_Sectores!D17,M4_Sectores!$H$9:H17,M4_Sectores!H17)=1,IF(M4_Sectores!L17="","",M4_Sectores!L17),""))</f>
        <v/>
      </c>
      <c r="AD613" s="17" t="str">
        <f>IF(M4_Sectores!A17="","","EE")</f>
        <v/>
      </c>
      <c r="AE613" s="17" t="str">
        <f>IF(M4_Sectores!A17="","",IF(M4_Sectores!N17="","",M4_Sectores!N17))</f>
        <v/>
      </c>
      <c r="AF613" s="17" t="str">
        <f>IF(M4_Sectores!A17="","",IF(M4_Sectores!O17="","",M4_Sectores!O17))</f>
        <v/>
      </c>
      <c r="AG613" s="17" t="str">
        <f>IF(M4_Sectores!A17="","",IF(M4_Sectores!P17="","",M4_Sectores!P17))</f>
        <v/>
      </c>
      <c r="AH613" s="17" t="str">
        <f>IF(M4_Sectores!A17="","",IF(M4_Sectores!H17="","",M4_Sectores!H17))</f>
        <v/>
      </c>
      <c r="AI613" s="17" t="str">
        <f>IF(M4_Sectores!A17="","","M4_Sectores!17")</f>
        <v/>
      </c>
      <c r="AJ613" s="17" t="str">
        <f>IF(M4_Sectores!A17="","",IF(M4_Sectores!L17="","Pendiente de momento o resultado",IF(COUNTIFS(M4_Sectores!$A$9:A17,M4_Sectores!A17,M4_Sectores!$D$9:D17,M4_Sectores!D17,M4_Sectores!$H$9:H17,M4_Sectores!H17)=1,"Total del momento","Sector incluido en total")))</f>
        <v/>
      </c>
    </row>
    <row r="614" spans="1:36" ht="55.5" customHeight="1">
      <c r="A614" s="6" t="str">
        <f t="array" ref="A614">IF(610&gt;$S$1204,"",INDEX($T$5:$AJ$1204,MATCH(610,$S$5:$S$1204,0),1))</f>
        <v/>
      </c>
      <c r="B614" s="8" t="str">
        <f t="array" ref="B614">IF(610&gt;$S$1204,"",INDEX($T$5:$AJ$1204,MATCH(610,$S$5:$S$1204,0),2))</f>
        <v/>
      </c>
      <c r="C614" s="10" t="str">
        <f t="array" ref="C614">IF(610&gt;$S$1204,"",INDEX($T$5:$AJ$1204,MATCH(610,$S$5:$S$1204,0),3))</f>
        <v/>
      </c>
      <c r="D614" s="8" t="str">
        <f t="array" ref="D614">IF(610&gt;$S$1204,"",INDEX($T$5:$AJ$1204,MATCH(610,$S$5:$S$1204,0),4))</f>
        <v/>
      </c>
      <c r="E614" s="8" t="str">
        <f t="array" ref="E614">IF(610&gt;$S$1204,"",INDEX($T$5:$AJ$1204,MATCH(610,$S$5:$S$1204,0),5))</f>
        <v/>
      </c>
      <c r="F614" s="8" t="str">
        <f t="array" ref="F614">IF(610&gt;$S$1204,"",INDEX($T$5:$AJ$1204,MATCH(610,$S$5:$S$1204,0),6))</f>
        <v/>
      </c>
      <c r="G614" s="8" t="str">
        <f t="array" ref="G614">IF(610&gt;$S$1204,"",INDEX($T$5:$AJ$1204,MATCH(610,$S$5:$S$1204,0),7))</f>
        <v/>
      </c>
      <c r="H614" s="8" t="str">
        <f t="array" ref="H614">IF(610&gt;$S$1204,"",INDEX($T$5:$AJ$1204,MATCH(610,$S$5:$S$1204,0),8))</f>
        <v/>
      </c>
      <c r="I614" s="8" t="str">
        <f t="array" ref="I614">IF(610&gt;$S$1204,"",INDEX($T$5:$AJ$1204,MATCH(610,$S$5:$S$1204,0),9))</f>
        <v/>
      </c>
      <c r="J614" s="14" t="str">
        <f t="array" ref="J614">IF(610&gt;$S$1204,"",INDEX($T$5:$AJ$1204,MATCH(610,$S$5:$S$1204,0),10))</f>
        <v/>
      </c>
      <c r="K614" s="8" t="str">
        <f t="array" ref="K614">IF(610&gt;$S$1204,"",INDEX($T$5:$AJ$1204,MATCH(610,$S$5:$S$1204,0),11))</f>
        <v/>
      </c>
      <c r="L614" s="8" t="str">
        <f t="array" ref="L614">IF(610&gt;$S$1204,"",INDEX($T$5:$AJ$1204,MATCH(610,$S$5:$S$1204,0),12))</f>
        <v/>
      </c>
      <c r="M614" s="8" t="str">
        <f t="array" ref="M614">IF(610&gt;$S$1204,"",INDEX($T$5:$AJ$1204,MATCH(610,$S$5:$S$1204,0),13))</f>
        <v/>
      </c>
      <c r="N614" s="8" t="str">
        <f t="array" ref="N614">IF(610&gt;$S$1204,"",INDEX($T$5:$AJ$1204,MATCH(610,$S$5:$S$1204,0),14))</f>
        <v/>
      </c>
      <c r="O614" s="15" t="str">
        <f t="array" ref="O614">IF(610&gt;$S$1204,"",INDEX($T$5:$AJ$1204,MATCH(610,$S$5:$S$1204,0),15))</f>
        <v/>
      </c>
      <c r="P614" s="8" t="str">
        <f t="array" ref="P614">IF(610&gt;$S$1204,"",INDEX($T$5:$AJ$1204,MATCH(610,$S$5:$S$1204,0),16))</f>
        <v/>
      </c>
      <c r="Q614" s="8" t="str">
        <f t="array" ref="Q614">IF(610&gt;$S$1204,"",INDEX($T$5:$AJ$1204,MATCH(610,$S$5:$S$1204,0),17))</f>
        <v/>
      </c>
      <c r="R614" s="17"/>
      <c r="S614" s="17">
        <f>S613+IF(M4_Sectores!A18="",0,1)</f>
        <v>0</v>
      </c>
      <c r="T614" s="17" t="str">
        <f>IF(M4_Sectores!A18="","",IF(M4_Sectores!A18="","",M4_Sectores!A18))</f>
        <v/>
      </c>
      <c r="U614" s="17" t="str">
        <f>IF(M4_Sectores!A18="","",IF(M4_Sectores!Q18="","",M4_Sectores!Q18))</f>
        <v/>
      </c>
      <c r="V614" s="17" t="str">
        <f>IF(M4_Sectores!A18="","",IF(M4_Sectores!D18="","",M4_Sectores!D18))</f>
        <v/>
      </c>
      <c r="W614" s="17" t="str">
        <f>IF(M4_Sectores!A18="","",IF(M4_Sectores!B18="","",M4_Sectores!B18))</f>
        <v/>
      </c>
      <c r="X614" s="17" t="str">
        <f>IF(M4_Sectores!A18="","",IF(M4_Sectores!C18="","",M4_Sectores!C18))</f>
        <v/>
      </c>
      <c r="Y614" s="17" t="str">
        <f>IF(M4_Sectores!A18="","",IF(M4_Sectores!E18="","",M4_Sectores!E18))</f>
        <v/>
      </c>
      <c r="Z614" s="17" t="str">
        <f>IF(M4_Sectores!A18="","",IF(M4_Sectores!F18="","",M4_Sectores!F18))</f>
        <v/>
      </c>
      <c r="AA614" s="17" t="str">
        <f>IF(M4_Sectores!A18="","","M4 Sectores")</f>
        <v/>
      </c>
      <c r="AB614" s="17" t="str">
        <f>IF(M4_Sectores!A18="","",IF(M4_Sectores!G18="","",M4_Sectores!G18))</f>
        <v/>
      </c>
      <c r="AC614" s="17" t="str">
        <f>IF(M4_Sectores!A18="","",IF(COUNTIFS(M4_Sectores!$A$9:A18,M4_Sectores!A18,M4_Sectores!$D$9:D18,M4_Sectores!D18,M4_Sectores!$H$9:H18,M4_Sectores!H18)=1,IF(M4_Sectores!L18="","",M4_Sectores!L18),""))</f>
        <v/>
      </c>
      <c r="AD614" s="17" t="str">
        <f>IF(M4_Sectores!A18="","","EE")</f>
        <v/>
      </c>
      <c r="AE614" s="17" t="str">
        <f>IF(M4_Sectores!A18="","",IF(M4_Sectores!N18="","",M4_Sectores!N18))</f>
        <v/>
      </c>
      <c r="AF614" s="17" t="str">
        <f>IF(M4_Sectores!A18="","",IF(M4_Sectores!O18="","",M4_Sectores!O18))</f>
        <v/>
      </c>
      <c r="AG614" s="17" t="str">
        <f>IF(M4_Sectores!A18="","",IF(M4_Sectores!P18="","",M4_Sectores!P18))</f>
        <v/>
      </c>
      <c r="AH614" s="17" t="str">
        <f>IF(M4_Sectores!A18="","",IF(M4_Sectores!H18="","",M4_Sectores!H18))</f>
        <v/>
      </c>
      <c r="AI614" s="17" t="str">
        <f>IF(M4_Sectores!A18="","","M4_Sectores!18")</f>
        <v/>
      </c>
      <c r="AJ614" s="17" t="str">
        <f>IF(M4_Sectores!A18="","",IF(M4_Sectores!L18="","Pendiente de momento o resultado",IF(COUNTIFS(M4_Sectores!$A$9:A18,M4_Sectores!A18,M4_Sectores!$D$9:D18,M4_Sectores!D18,M4_Sectores!$H$9:H18,M4_Sectores!H18)=1,"Total del momento","Sector incluido en total")))</f>
        <v/>
      </c>
    </row>
    <row r="615" spans="1:36" ht="55.5" customHeight="1">
      <c r="A615" s="6" t="str">
        <f t="array" ref="A615">IF(611&gt;$S$1204,"",INDEX($T$5:$AJ$1204,MATCH(611,$S$5:$S$1204,0),1))</f>
        <v/>
      </c>
      <c r="B615" s="8" t="str">
        <f t="array" ref="B615">IF(611&gt;$S$1204,"",INDEX($T$5:$AJ$1204,MATCH(611,$S$5:$S$1204,0),2))</f>
        <v/>
      </c>
      <c r="C615" s="10" t="str">
        <f t="array" ref="C615">IF(611&gt;$S$1204,"",INDEX($T$5:$AJ$1204,MATCH(611,$S$5:$S$1204,0),3))</f>
        <v/>
      </c>
      <c r="D615" s="8" t="str">
        <f t="array" ref="D615">IF(611&gt;$S$1204,"",INDEX($T$5:$AJ$1204,MATCH(611,$S$5:$S$1204,0),4))</f>
        <v/>
      </c>
      <c r="E615" s="8" t="str">
        <f t="array" ref="E615">IF(611&gt;$S$1204,"",INDEX($T$5:$AJ$1204,MATCH(611,$S$5:$S$1204,0),5))</f>
        <v/>
      </c>
      <c r="F615" s="8" t="str">
        <f t="array" ref="F615">IF(611&gt;$S$1204,"",INDEX($T$5:$AJ$1204,MATCH(611,$S$5:$S$1204,0),6))</f>
        <v/>
      </c>
      <c r="G615" s="8" t="str">
        <f t="array" ref="G615">IF(611&gt;$S$1204,"",INDEX($T$5:$AJ$1204,MATCH(611,$S$5:$S$1204,0),7))</f>
        <v/>
      </c>
      <c r="H615" s="8" t="str">
        <f t="array" ref="H615">IF(611&gt;$S$1204,"",INDEX($T$5:$AJ$1204,MATCH(611,$S$5:$S$1204,0),8))</f>
        <v/>
      </c>
      <c r="I615" s="8" t="str">
        <f t="array" ref="I615">IF(611&gt;$S$1204,"",INDEX($T$5:$AJ$1204,MATCH(611,$S$5:$S$1204,0),9))</f>
        <v/>
      </c>
      <c r="J615" s="14" t="str">
        <f t="array" ref="J615">IF(611&gt;$S$1204,"",INDEX($T$5:$AJ$1204,MATCH(611,$S$5:$S$1204,0),10))</f>
        <v/>
      </c>
      <c r="K615" s="8" t="str">
        <f t="array" ref="K615">IF(611&gt;$S$1204,"",INDEX($T$5:$AJ$1204,MATCH(611,$S$5:$S$1204,0),11))</f>
        <v/>
      </c>
      <c r="L615" s="8" t="str">
        <f t="array" ref="L615">IF(611&gt;$S$1204,"",INDEX($T$5:$AJ$1204,MATCH(611,$S$5:$S$1204,0),12))</f>
        <v/>
      </c>
      <c r="M615" s="8" t="str">
        <f t="array" ref="M615">IF(611&gt;$S$1204,"",INDEX($T$5:$AJ$1204,MATCH(611,$S$5:$S$1204,0),13))</f>
        <v/>
      </c>
      <c r="N615" s="8" t="str">
        <f t="array" ref="N615">IF(611&gt;$S$1204,"",INDEX($T$5:$AJ$1204,MATCH(611,$S$5:$S$1204,0),14))</f>
        <v/>
      </c>
      <c r="O615" s="15" t="str">
        <f t="array" ref="O615">IF(611&gt;$S$1204,"",INDEX($T$5:$AJ$1204,MATCH(611,$S$5:$S$1204,0),15))</f>
        <v/>
      </c>
      <c r="P615" s="8" t="str">
        <f t="array" ref="P615">IF(611&gt;$S$1204,"",INDEX($T$5:$AJ$1204,MATCH(611,$S$5:$S$1204,0),16))</f>
        <v/>
      </c>
      <c r="Q615" s="8" t="str">
        <f t="array" ref="Q615">IF(611&gt;$S$1204,"",INDEX($T$5:$AJ$1204,MATCH(611,$S$5:$S$1204,0),17))</f>
        <v/>
      </c>
      <c r="R615" s="17"/>
      <c r="S615" s="17">
        <f>S614+IF(M4_Sectores!A19="",0,1)</f>
        <v>0</v>
      </c>
      <c r="T615" s="17" t="str">
        <f>IF(M4_Sectores!A19="","",IF(M4_Sectores!A19="","",M4_Sectores!A19))</f>
        <v/>
      </c>
      <c r="U615" s="17" t="str">
        <f>IF(M4_Sectores!A19="","",IF(M4_Sectores!Q19="","",M4_Sectores!Q19))</f>
        <v/>
      </c>
      <c r="V615" s="17" t="str">
        <f>IF(M4_Sectores!A19="","",IF(M4_Sectores!D19="","",M4_Sectores!D19))</f>
        <v/>
      </c>
      <c r="W615" s="17" t="str">
        <f>IF(M4_Sectores!A19="","",IF(M4_Sectores!B19="","",M4_Sectores!B19))</f>
        <v/>
      </c>
      <c r="X615" s="17" t="str">
        <f>IF(M4_Sectores!A19="","",IF(M4_Sectores!C19="","",M4_Sectores!C19))</f>
        <v/>
      </c>
      <c r="Y615" s="17" t="str">
        <f>IF(M4_Sectores!A19="","",IF(M4_Sectores!E19="","",M4_Sectores!E19))</f>
        <v/>
      </c>
      <c r="Z615" s="17" t="str">
        <f>IF(M4_Sectores!A19="","",IF(M4_Sectores!F19="","",M4_Sectores!F19))</f>
        <v/>
      </c>
      <c r="AA615" s="17" t="str">
        <f>IF(M4_Sectores!A19="","","M4 Sectores")</f>
        <v/>
      </c>
      <c r="AB615" s="17" t="str">
        <f>IF(M4_Sectores!A19="","",IF(M4_Sectores!G19="","",M4_Sectores!G19))</f>
        <v/>
      </c>
      <c r="AC615" s="17" t="str">
        <f>IF(M4_Sectores!A19="","",IF(COUNTIFS(M4_Sectores!$A$9:A19,M4_Sectores!A19,M4_Sectores!$D$9:D19,M4_Sectores!D19,M4_Sectores!$H$9:H19,M4_Sectores!H19)=1,IF(M4_Sectores!L19="","",M4_Sectores!L19),""))</f>
        <v/>
      </c>
      <c r="AD615" s="17" t="str">
        <f>IF(M4_Sectores!A19="","","EE")</f>
        <v/>
      </c>
      <c r="AE615" s="17" t="str">
        <f>IF(M4_Sectores!A19="","",IF(M4_Sectores!N19="","",M4_Sectores!N19))</f>
        <v/>
      </c>
      <c r="AF615" s="17" t="str">
        <f>IF(M4_Sectores!A19="","",IF(M4_Sectores!O19="","",M4_Sectores!O19))</f>
        <v/>
      </c>
      <c r="AG615" s="17" t="str">
        <f>IF(M4_Sectores!A19="","",IF(M4_Sectores!P19="","",M4_Sectores!P19))</f>
        <v/>
      </c>
      <c r="AH615" s="17" t="str">
        <f>IF(M4_Sectores!A19="","",IF(M4_Sectores!H19="","",M4_Sectores!H19))</f>
        <v/>
      </c>
      <c r="AI615" s="17" t="str">
        <f>IF(M4_Sectores!A19="","","M4_Sectores!19")</f>
        <v/>
      </c>
      <c r="AJ615" s="17" t="str">
        <f>IF(M4_Sectores!A19="","",IF(M4_Sectores!L19="","Pendiente de momento o resultado",IF(COUNTIFS(M4_Sectores!$A$9:A19,M4_Sectores!A19,M4_Sectores!$D$9:D19,M4_Sectores!D19,M4_Sectores!$H$9:H19,M4_Sectores!H19)=1,"Total del momento","Sector incluido en total")))</f>
        <v/>
      </c>
    </row>
    <row r="616" spans="1:36" ht="55.5" customHeight="1">
      <c r="A616" s="6" t="str">
        <f t="array" ref="A616">IF(612&gt;$S$1204,"",INDEX($T$5:$AJ$1204,MATCH(612,$S$5:$S$1204,0),1))</f>
        <v/>
      </c>
      <c r="B616" s="8" t="str">
        <f t="array" ref="B616">IF(612&gt;$S$1204,"",INDEX($T$5:$AJ$1204,MATCH(612,$S$5:$S$1204,0),2))</f>
        <v/>
      </c>
      <c r="C616" s="10" t="str">
        <f t="array" ref="C616">IF(612&gt;$S$1204,"",INDEX($T$5:$AJ$1204,MATCH(612,$S$5:$S$1204,0),3))</f>
        <v/>
      </c>
      <c r="D616" s="8" t="str">
        <f t="array" ref="D616">IF(612&gt;$S$1204,"",INDEX($T$5:$AJ$1204,MATCH(612,$S$5:$S$1204,0),4))</f>
        <v/>
      </c>
      <c r="E616" s="8" t="str">
        <f t="array" ref="E616">IF(612&gt;$S$1204,"",INDEX($T$5:$AJ$1204,MATCH(612,$S$5:$S$1204,0),5))</f>
        <v/>
      </c>
      <c r="F616" s="8" t="str">
        <f t="array" ref="F616">IF(612&gt;$S$1204,"",INDEX($T$5:$AJ$1204,MATCH(612,$S$5:$S$1204,0),6))</f>
        <v/>
      </c>
      <c r="G616" s="8" t="str">
        <f t="array" ref="G616">IF(612&gt;$S$1204,"",INDEX($T$5:$AJ$1204,MATCH(612,$S$5:$S$1204,0),7))</f>
        <v/>
      </c>
      <c r="H616" s="8" t="str">
        <f t="array" ref="H616">IF(612&gt;$S$1204,"",INDEX($T$5:$AJ$1204,MATCH(612,$S$5:$S$1204,0),8))</f>
        <v/>
      </c>
      <c r="I616" s="8" t="str">
        <f t="array" ref="I616">IF(612&gt;$S$1204,"",INDEX($T$5:$AJ$1204,MATCH(612,$S$5:$S$1204,0),9))</f>
        <v/>
      </c>
      <c r="J616" s="14" t="str">
        <f t="array" ref="J616">IF(612&gt;$S$1204,"",INDEX($T$5:$AJ$1204,MATCH(612,$S$5:$S$1204,0),10))</f>
        <v/>
      </c>
      <c r="K616" s="8" t="str">
        <f t="array" ref="K616">IF(612&gt;$S$1204,"",INDEX($T$5:$AJ$1204,MATCH(612,$S$5:$S$1204,0),11))</f>
        <v/>
      </c>
      <c r="L616" s="8" t="str">
        <f t="array" ref="L616">IF(612&gt;$S$1204,"",INDEX($T$5:$AJ$1204,MATCH(612,$S$5:$S$1204,0),12))</f>
        <v/>
      </c>
      <c r="M616" s="8" t="str">
        <f t="array" ref="M616">IF(612&gt;$S$1204,"",INDEX($T$5:$AJ$1204,MATCH(612,$S$5:$S$1204,0),13))</f>
        <v/>
      </c>
      <c r="N616" s="8" t="str">
        <f t="array" ref="N616">IF(612&gt;$S$1204,"",INDEX($T$5:$AJ$1204,MATCH(612,$S$5:$S$1204,0),14))</f>
        <v/>
      </c>
      <c r="O616" s="15" t="str">
        <f t="array" ref="O616">IF(612&gt;$S$1204,"",INDEX($T$5:$AJ$1204,MATCH(612,$S$5:$S$1204,0),15))</f>
        <v/>
      </c>
      <c r="P616" s="8" t="str">
        <f t="array" ref="P616">IF(612&gt;$S$1204,"",INDEX($T$5:$AJ$1204,MATCH(612,$S$5:$S$1204,0),16))</f>
        <v/>
      </c>
      <c r="Q616" s="8" t="str">
        <f t="array" ref="Q616">IF(612&gt;$S$1204,"",INDEX($T$5:$AJ$1204,MATCH(612,$S$5:$S$1204,0),17))</f>
        <v/>
      </c>
      <c r="R616" s="17"/>
      <c r="S616" s="17">
        <f>S615+IF(M4_Sectores!A20="",0,1)</f>
        <v>0</v>
      </c>
      <c r="T616" s="17" t="str">
        <f>IF(M4_Sectores!A20="","",IF(M4_Sectores!A20="","",M4_Sectores!A20))</f>
        <v/>
      </c>
      <c r="U616" s="17" t="str">
        <f>IF(M4_Sectores!A20="","",IF(M4_Sectores!Q20="","",M4_Sectores!Q20))</f>
        <v/>
      </c>
      <c r="V616" s="17" t="str">
        <f>IF(M4_Sectores!A20="","",IF(M4_Sectores!D20="","",M4_Sectores!D20))</f>
        <v/>
      </c>
      <c r="W616" s="17" t="str">
        <f>IF(M4_Sectores!A20="","",IF(M4_Sectores!B20="","",M4_Sectores!B20))</f>
        <v/>
      </c>
      <c r="X616" s="17" t="str">
        <f>IF(M4_Sectores!A20="","",IF(M4_Sectores!C20="","",M4_Sectores!C20))</f>
        <v/>
      </c>
      <c r="Y616" s="17" t="str">
        <f>IF(M4_Sectores!A20="","",IF(M4_Sectores!E20="","",M4_Sectores!E20))</f>
        <v/>
      </c>
      <c r="Z616" s="17" t="str">
        <f>IF(M4_Sectores!A20="","",IF(M4_Sectores!F20="","",M4_Sectores!F20))</f>
        <v/>
      </c>
      <c r="AA616" s="17" t="str">
        <f>IF(M4_Sectores!A20="","","M4 Sectores")</f>
        <v/>
      </c>
      <c r="AB616" s="17" t="str">
        <f>IF(M4_Sectores!A20="","",IF(M4_Sectores!G20="","",M4_Sectores!G20))</f>
        <v/>
      </c>
      <c r="AC616" s="17" t="str">
        <f>IF(M4_Sectores!A20="","",IF(COUNTIFS(M4_Sectores!$A$9:A20,M4_Sectores!A20,M4_Sectores!$D$9:D20,M4_Sectores!D20,M4_Sectores!$H$9:H20,M4_Sectores!H20)=1,IF(M4_Sectores!L20="","",M4_Sectores!L20),""))</f>
        <v/>
      </c>
      <c r="AD616" s="17" t="str">
        <f>IF(M4_Sectores!A20="","","EE")</f>
        <v/>
      </c>
      <c r="AE616" s="17" t="str">
        <f>IF(M4_Sectores!A20="","",IF(M4_Sectores!N20="","",M4_Sectores!N20))</f>
        <v/>
      </c>
      <c r="AF616" s="17" t="str">
        <f>IF(M4_Sectores!A20="","",IF(M4_Sectores!O20="","",M4_Sectores!O20))</f>
        <v/>
      </c>
      <c r="AG616" s="17" t="str">
        <f>IF(M4_Sectores!A20="","",IF(M4_Sectores!P20="","",M4_Sectores!P20))</f>
        <v/>
      </c>
      <c r="AH616" s="17" t="str">
        <f>IF(M4_Sectores!A20="","",IF(M4_Sectores!H20="","",M4_Sectores!H20))</f>
        <v/>
      </c>
      <c r="AI616" s="17" t="str">
        <f>IF(M4_Sectores!A20="","","M4_Sectores!20")</f>
        <v/>
      </c>
      <c r="AJ616" s="17" t="str">
        <f>IF(M4_Sectores!A20="","",IF(M4_Sectores!L20="","Pendiente de momento o resultado",IF(COUNTIFS(M4_Sectores!$A$9:A20,M4_Sectores!A20,M4_Sectores!$D$9:D20,M4_Sectores!D20,M4_Sectores!$H$9:H20,M4_Sectores!H20)=1,"Total del momento","Sector incluido en total")))</f>
        <v/>
      </c>
    </row>
    <row r="617" spans="1:36" ht="55.5" customHeight="1">
      <c r="A617" s="6" t="str">
        <f t="array" ref="A617">IF(613&gt;$S$1204,"",INDEX($T$5:$AJ$1204,MATCH(613,$S$5:$S$1204,0),1))</f>
        <v/>
      </c>
      <c r="B617" s="8" t="str">
        <f t="array" ref="B617">IF(613&gt;$S$1204,"",INDEX($T$5:$AJ$1204,MATCH(613,$S$5:$S$1204,0),2))</f>
        <v/>
      </c>
      <c r="C617" s="10" t="str">
        <f t="array" ref="C617">IF(613&gt;$S$1204,"",INDEX($T$5:$AJ$1204,MATCH(613,$S$5:$S$1204,0),3))</f>
        <v/>
      </c>
      <c r="D617" s="8" t="str">
        <f t="array" ref="D617">IF(613&gt;$S$1204,"",INDEX($T$5:$AJ$1204,MATCH(613,$S$5:$S$1204,0),4))</f>
        <v/>
      </c>
      <c r="E617" s="8" t="str">
        <f t="array" ref="E617">IF(613&gt;$S$1204,"",INDEX($T$5:$AJ$1204,MATCH(613,$S$5:$S$1204,0),5))</f>
        <v/>
      </c>
      <c r="F617" s="8" t="str">
        <f t="array" ref="F617">IF(613&gt;$S$1204,"",INDEX($T$5:$AJ$1204,MATCH(613,$S$5:$S$1204,0),6))</f>
        <v/>
      </c>
      <c r="G617" s="8" t="str">
        <f t="array" ref="G617">IF(613&gt;$S$1204,"",INDEX($T$5:$AJ$1204,MATCH(613,$S$5:$S$1204,0),7))</f>
        <v/>
      </c>
      <c r="H617" s="8" t="str">
        <f t="array" ref="H617">IF(613&gt;$S$1204,"",INDEX($T$5:$AJ$1204,MATCH(613,$S$5:$S$1204,0),8))</f>
        <v/>
      </c>
      <c r="I617" s="8" t="str">
        <f t="array" ref="I617">IF(613&gt;$S$1204,"",INDEX($T$5:$AJ$1204,MATCH(613,$S$5:$S$1204,0),9))</f>
        <v/>
      </c>
      <c r="J617" s="14" t="str">
        <f t="array" ref="J617">IF(613&gt;$S$1204,"",INDEX($T$5:$AJ$1204,MATCH(613,$S$5:$S$1204,0),10))</f>
        <v/>
      </c>
      <c r="K617" s="8" t="str">
        <f t="array" ref="K617">IF(613&gt;$S$1204,"",INDEX($T$5:$AJ$1204,MATCH(613,$S$5:$S$1204,0),11))</f>
        <v/>
      </c>
      <c r="L617" s="8" t="str">
        <f t="array" ref="L617">IF(613&gt;$S$1204,"",INDEX($T$5:$AJ$1204,MATCH(613,$S$5:$S$1204,0),12))</f>
        <v/>
      </c>
      <c r="M617" s="8" t="str">
        <f t="array" ref="M617">IF(613&gt;$S$1204,"",INDEX($T$5:$AJ$1204,MATCH(613,$S$5:$S$1204,0),13))</f>
        <v/>
      </c>
      <c r="N617" s="8" t="str">
        <f t="array" ref="N617">IF(613&gt;$S$1204,"",INDEX($T$5:$AJ$1204,MATCH(613,$S$5:$S$1204,0),14))</f>
        <v/>
      </c>
      <c r="O617" s="15" t="str">
        <f t="array" ref="O617">IF(613&gt;$S$1204,"",INDEX($T$5:$AJ$1204,MATCH(613,$S$5:$S$1204,0),15))</f>
        <v/>
      </c>
      <c r="P617" s="8" t="str">
        <f t="array" ref="P617">IF(613&gt;$S$1204,"",INDEX($T$5:$AJ$1204,MATCH(613,$S$5:$S$1204,0),16))</f>
        <v/>
      </c>
      <c r="Q617" s="8" t="str">
        <f t="array" ref="Q617">IF(613&gt;$S$1204,"",INDEX($T$5:$AJ$1204,MATCH(613,$S$5:$S$1204,0),17))</f>
        <v/>
      </c>
      <c r="R617" s="17"/>
      <c r="S617" s="17">
        <f>S616+IF(M4_Sectores!A21="",0,1)</f>
        <v>0</v>
      </c>
      <c r="T617" s="17" t="str">
        <f>IF(M4_Sectores!A21="","",IF(M4_Sectores!A21="","",M4_Sectores!A21))</f>
        <v/>
      </c>
      <c r="U617" s="17" t="str">
        <f>IF(M4_Sectores!A21="","",IF(M4_Sectores!Q21="","",M4_Sectores!Q21))</f>
        <v/>
      </c>
      <c r="V617" s="17" t="str">
        <f>IF(M4_Sectores!A21="","",IF(M4_Sectores!D21="","",M4_Sectores!D21))</f>
        <v/>
      </c>
      <c r="W617" s="17" t="str">
        <f>IF(M4_Sectores!A21="","",IF(M4_Sectores!B21="","",M4_Sectores!B21))</f>
        <v/>
      </c>
      <c r="X617" s="17" t="str">
        <f>IF(M4_Sectores!A21="","",IF(M4_Sectores!C21="","",M4_Sectores!C21))</f>
        <v/>
      </c>
      <c r="Y617" s="17" t="str">
        <f>IF(M4_Sectores!A21="","",IF(M4_Sectores!E21="","",M4_Sectores!E21))</f>
        <v/>
      </c>
      <c r="Z617" s="17" t="str">
        <f>IF(M4_Sectores!A21="","",IF(M4_Sectores!F21="","",M4_Sectores!F21))</f>
        <v/>
      </c>
      <c r="AA617" s="17" t="str">
        <f>IF(M4_Sectores!A21="","","M4 Sectores")</f>
        <v/>
      </c>
      <c r="AB617" s="17" t="str">
        <f>IF(M4_Sectores!A21="","",IF(M4_Sectores!G21="","",M4_Sectores!G21))</f>
        <v/>
      </c>
      <c r="AC617" s="17" t="str">
        <f>IF(M4_Sectores!A21="","",IF(COUNTIFS(M4_Sectores!$A$9:A21,M4_Sectores!A21,M4_Sectores!$D$9:D21,M4_Sectores!D21,M4_Sectores!$H$9:H21,M4_Sectores!H21)=1,IF(M4_Sectores!L21="","",M4_Sectores!L21),""))</f>
        <v/>
      </c>
      <c r="AD617" s="17" t="str">
        <f>IF(M4_Sectores!A21="","","EE")</f>
        <v/>
      </c>
      <c r="AE617" s="17" t="str">
        <f>IF(M4_Sectores!A21="","",IF(M4_Sectores!N21="","",M4_Sectores!N21))</f>
        <v/>
      </c>
      <c r="AF617" s="17" t="str">
        <f>IF(M4_Sectores!A21="","",IF(M4_Sectores!O21="","",M4_Sectores!O21))</f>
        <v/>
      </c>
      <c r="AG617" s="17" t="str">
        <f>IF(M4_Sectores!A21="","",IF(M4_Sectores!P21="","",M4_Sectores!P21))</f>
        <v/>
      </c>
      <c r="AH617" s="17" t="str">
        <f>IF(M4_Sectores!A21="","",IF(M4_Sectores!H21="","",M4_Sectores!H21))</f>
        <v/>
      </c>
      <c r="AI617" s="17" t="str">
        <f>IF(M4_Sectores!A21="","","M4_Sectores!21")</f>
        <v/>
      </c>
      <c r="AJ617" s="17" t="str">
        <f>IF(M4_Sectores!A21="","",IF(M4_Sectores!L21="","Pendiente de momento o resultado",IF(COUNTIFS(M4_Sectores!$A$9:A21,M4_Sectores!A21,M4_Sectores!$D$9:D21,M4_Sectores!D21,M4_Sectores!$H$9:H21,M4_Sectores!H21)=1,"Total del momento","Sector incluido en total")))</f>
        <v/>
      </c>
    </row>
    <row r="618" spans="1:36" ht="55.5" customHeight="1">
      <c r="A618" s="6" t="str">
        <f t="array" ref="A618">IF(614&gt;$S$1204,"",INDEX($T$5:$AJ$1204,MATCH(614,$S$5:$S$1204,0),1))</f>
        <v/>
      </c>
      <c r="B618" s="8" t="str">
        <f t="array" ref="B618">IF(614&gt;$S$1204,"",INDEX($T$5:$AJ$1204,MATCH(614,$S$5:$S$1204,0),2))</f>
        <v/>
      </c>
      <c r="C618" s="10" t="str">
        <f t="array" ref="C618">IF(614&gt;$S$1204,"",INDEX($T$5:$AJ$1204,MATCH(614,$S$5:$S$1204,0),3))</f>
        <v/>
      </c>
      <c r="D618" s="8" t="str">
        <f t="array" ref="D618">IF(614&gt;$S$1204,"",INDEX($T$5:$AJ$1204,MATCH(614,$S$5:$S$1204,0),4))</f>
        <v/>
      </c>
      <c r="E618" s="8" t="str">
        <f t="array" ref="E618">IF(614&gt;$S$1204,"",INDEX($T$5:$AJ$1204,MATCH(614,$S$5:$S$1204,0),5))</f>
        <v/>
      </c>
      <c r="F618" s="8" t="str">
        <f t="array" ref="F618">IF(614&gt;$S$1204,"",INDEX($T$5:$AJ$1204,MATCH(614,$S$5:$S$1204,0),6))</f>
        <v/>
      </c>
      <c r="G618" s="8" t="str">
        <f t="array" ref="G618">IF(614&gt;$S$1204,"",INDEX($T$5:$AJ$1204,MATCH(614,$S$5:$S$1204,0),7))</f>
        <v/>
      </c>
      <c r="H618" s="8" t="str">
        <f t="array" ref="H618">IF(614&gt;$S$1204,"",INDEX($T$5:$AJ$1204,MATCH(614,$S$5:$S$1204,0),8))</f>
        <v/>
      </c>
      <c r="I618" s="8" t="str">
        <f t="array" ref="I618">IF(614&gt;$S$1204,"",INDEX($T$5:$AJ$1204,MATCH(614,$S$5:$S$1204,0),9))</f>
        <v/>
      </c>
      <c r="J618" s="14" t="str">
        <f t="array" ref="J618">IF(614&gt;$S$1204,"",INDEX($T$5:$AJ$1204,MATCH(614,$S$5:$S$1204,0),10))</f>
        <v/>
      </c>
      <c r="K618" s="8" t="str">
        <f t="array" ref="K618">IF(614&gt;$S$1204,"",INDEX($T$5:$AJ$1204,MATCH(614,$S$5:$S$1204,0),11))</f>
        <v/>
      </c>
      <c r="L618" s="8" t="str">
        <f t="array" ref="L618">IF(614&gt;$S$1204,"",INDEX($T$5:$AJ$1204,MATCH(614,$S$5:$S$1204,0),12))</f>
        <v/>
      </c>
      <c r="M618" s="8" t="str">
        <f t="array" ref="M618">IF(614&gt;$S$1204,"",INDEX($T$5:$AJ$1204,MATCH(614,$S$5:$S$1204,0),13))</f>
        <v/>
      </c>
      <c r="N618" s="8" t="str">
        <f t="array" ref="N618">IF(614&gt;$S$1204,"",INDEX($T$5:$AJ$1204,MATCH(614,$S$5:$S$1204,0),14))</f>
        <v/>
      </c>
      <c r="O618" s="15" t="str">
        <f t="array" ref="O618">IF(614&gt;$S$1204,"",INDEX($T$5:$AJ$1204,MATCH(614,$S$5:$S$1204,0),15))</f>
        <v/>
      </c>
      <c r="P618" s="8" t="str">
        <f t="array" ref="P618">IF(614&gt;$S$1204,"",INDEX($T$5:$AJ$1204,MATCH(614,$S$5:$S$1204,0),16))</f>
        <v/>
      </c>
      <c r="Q618" s="8" t="str">
        <f t="array" ref="Q618">IF(614&gt;$S$1204,"",INDEX($T$5:$AJ$1204,MATCH(614,$S$5:$S$1204,0),17))</f>
        <v/>
      </c>
      <c r="R618" s="17"/>
      <c r="S618" s="17">
        <f>S617+IF(M4_Sectores!A22="",0,1)</f>
        <v>0</v>
      </c>
      <c r="T618" s="17" t="str">
        <f>IF(M4_Sectores!A22="","",IF(M4_Sectores!A22="","",M4_Sectores!A22))</f>
        <v/>
      </c>
      <c r="U618" s="17" t="str">
        <f>IF(M4_Sectores!A22="","",IF(M4_Sectores!Q22="","",M4_Sectores!Q22))</f>
        <v/>
      </c>
      <c r="V618" s="17" t="str">
        <f>IF(M4_Sectores!A22="","",IF(M4_Sectores!D22="","",M4_Sectores!D22))</f>
        <v/>
      </c>
      <c r="W618" s="17" t="str">
        <f>IF(M4_Sectores!A22="","",IF(M4_Sectores!B22="","",M4_Sectores!B22))</f>
        <v/>
      </c>
      <c r="X618" s="17" t="str">
        <f>IF(M4_Sectores!A22="","",IF(M4_Sectores!C22="","",M4_Sectores!C22))</f>
        <v/>
      </c>
      <c r="Y618" s="17" t="str">
        <f>IF(M4_Sectores!A22="","",IF(M4_Sectores!E22="","",M4_Sectores!E22))</f>
        <v/>
      </c>
      <c r="Z618" s="17" t="str">
        <f>IF(M4_Sectores!A22="","",IF(M4_Sectores!F22="","",M4_Sectores!F22))</f>
        <v/>
      </c>
      <c r="AA618" s="17" t="str">
        <f>IF(M4_Sectores!A22="","","M4 Sectores")</f>
        <v/>
      </c>
      <c r="AB618" s="17" t="str">
        <f>IF(M4_Sectores!A22="","",IF(M4_Sectores!G22="","",M4_Sectores!G22))</f>
        <v/>
      </c>
      <c r="AC618" s="17" t="str">
        <f>IF(M4_Sectores!A22="","",IF(COUNTIFS(M4_Sectores!$A$9:A22,M4_Sectores!A22,M4_Sectores!$D$9:D22,M4_Sectores!D22,M4_Sectores!$H$9:H22,M4_Sectores!H22)=1,IF(M4_Sectores!L22="","",M4_Sectores!L22),""))</f>
        <v/>
      </c>
      <c r="AD618" s="17" t="str">
        <f>IF(M4_Sectores!A22="","","EE")</f>
        <v/>
      </c>
      <c r="AE618" s="17" t="str">
        <f>IF(M4_Sectores!A22="","",IF(M4_Sectores!N22="","",M4_Sectores!N22))</f>
        <v/>
      </c>
      <c r="AF618" s="17" t="str">
        <f>IF(M4_Sectores!A22="","",IF(M4_Sectores!O22="","",M4_Sectores!O22))</f>
        <v/>
      </c>
      <c r="AG618" s="17" t="str">
        <f>IF(M4_Sectores!A22="","",IF(M4_Sectores!P22="","",M4_Sectores!P22))</f>
        <v/>
      </c>
      <c r="AH618" s="17" t="str">
        <f>IF(M4_Sectores!A22="","",IF(M4_Sectores!H22="","",M4_Sectores!H22))</f>
        <v/>
      </c>
      <c r="AI618" s="17" t="str">
        <f>IF(M4_Sectores!A22="","","M4_Sectores!22")</f>
        <v/>
      </c>
      <c r="AJ618" s="17" t="str">
        <f>IF(M4_Sectores!A22="","",IF(M4_Sectores!L22="","Pendiente de momento o resultado",IF(COUNTIFS(M4_Sectores!$A$9:A22,M4_Sectores!A22,M4_Sectores!$D$9:D22,M4_Sectores!D22,M4_Sectores!$H$9:H22,M4_Sectores!H22)=1,"Total del momento","Sector incluido en total")))</f>
        <v/>
      </c>
    </row>
    <row r="619" spans="1:36" ht="55.5" customHeight="1">
      <c r="A619" s="6" t="str">
        <f t="array" ref="A619">IF(615&gt;$S$1204,"",INDEX($T$5:$AJ$1204,MATCH(615,$S$5:$S$1204,0),1))</f>
        <v/>
      </c>
      <c r="B619" s="8" t="str">
        <f t="array" ref="B619">IF(615&gt;$S$1204,"",INDEX($T$5:$AJ$1204,MATCH(615,$S$5:$S$1204,0),2))</f>
        <v/>
      </c>
      <c r="C619" s="10" t="str">
        <f t="array" ref="C619">IF(615&gt;$S$1204,"",INDEX($T$5:$AJ$1204,MATCH(615,$S$5:$S$1204,0),3))</f>
        <v/>
      </c>
      <c r="D619" s="8" t="str">
        <f t="array" ref="D619">IF(615&gt;$S$1204,"",INDEX($T$5:$AJ$1204,MATCH(615,$S$5:$S$1204,0),4))</f>
        <v/>
      </c>
      <c r="E619" s="8" t="str">
        <f t="array" ref="E619">IF(615&gt;$S$1204,"",INDEX($T$5:$AJ$1204,MATCH(615,$S$5:$S$1204,0),5))</f>
        <v/>
      </c>
      <c r="F619" s="8" t="str">
        <f t="array" ref="F619">IF(615&gt;$S$1204,"",INDEX($T$5:$AJ$1204,MATCH(615,$S$5:$S$1204,0),6))</f>
        <v/>
      </c>
      <c r="G619" s="8" t="str">
        <f t="array" ref="G619">IF(615&gt;$S$1204,"",INDEX($T$5:$AJ$1204,MATCH(615,$S$5:$S$1204,0),7))</f>
        <v/>
      </c>
      <c r="H619" s="8" t="str">
        <f t="array" ref="H619">IF(615&gt;$S$1204,"",INDEX($T$5:$AJ$1204,MATCH(615,$S$5:$S$1204,0),8))</f>
        <v/>
      </c>
      <c r="I619" s="8" t="str">
        <f t="array" ref="I619">IF(615&gt;$S$1204,"",INDEX($T$5:$AJ$1204,MATCH(615,$S$5:$S$1204,0),9))</f>
        <v/>
      </c>
      <c r="J619" s="14" t="str">
        <f t="array" ref="J619">IF(615&gt;$S$1204,"",INDEX($T$5:$AJ$1204,MATCH(615,$S$5:$S$1204,0),10))</f>
        <v/>
      </c>
      <c r="K619" s="8" t="str">
        <f t="array" ref="K619">IF(615&gt;$S$1204,"",INDEX($T$5:$AJ$1204,MATCH(615,$S$5:$S$1204,0),11))</f>
        <v/>
      </c>
      <c r="L619" s="8" t="str">
        <f t="array" ref="L619">IF(615&gt;$S$1204,"",INDEX($T$5:$AJ$1204,MATCH(615,$S$5:$S$1204,0),12))</f>
        <v/>
      </c>
      <c r="M619" s="8" t="str">
        <f t="array" ref="M619">IF(615&gt;$S$1204,"",INDEX($T$5:$AJ$1204,MATCH(615,$S$5:$S$1204,0),13))</f>
        <v/>
      </c>
      <c r="N619" s="8" t="str">
        <f t="array" ref="N619">IF(615&gt;$S$1204,"",INDEX($T$5:$AJ$1204,MATCH(615,$S$5:$S$1204,0),14))</f>
        <v/>
      </c>
      <c r="O619" s="15" t="str">
        <f t="array" ref="O619">IF(615&gt;$S$1204,"",INDEX($T$5:$AJ$1204,MATCH(615,$S$5:$S$1204,0),15))</f>
        <v/>
      </c>
      <c r="P619" s="8" t="str">
        <f t="array" ref="P619">IF(615&gt;$S$1204,"",INDEX($T$5:$AJ$1204,MATCH(615,$S$5:$S$1204,0),16))</f>
        <v/>
      </c>
      <c r="Q619" s="8" t="str">
        <f t="array" ref="Q619">IF(615&gt;$S$1204,"",INDEX($T$5:$AJ$1204,MATCH(615,$S$5:$S$1204,0),17))</f>
        <v/>
      </c>
      <c r="R619" s="17"/>
      <c r="S619" s="17">
        <f>S618+IF(M4_Sectores!A23="",0,1)</f>
        <v>0</v>
      </c>
      <c r="T619" s="17" t="str">
        <f>IF(M4_Sectores!A23="","",IF(M4_Sectores!A23="","",M4_Sectores!A23))</f>
        <v/>
      </c>
      <c r="U619" s="17" t="str">
        <f>IF(M4_Sectores!A23="","",IF(M4_Sectores!Q23="","",M4_Sectores!Q23))</f>
        <v/>
      </c>
      <c r="V619" s="17" t="str">
        <f>IF(M4_Sectores!A23="","",IF(M4_Sectores!D23="","",M4_Sectores!D23))</f>
        <v/>
      </c>
      <c r="W619" s="17" t="str">
        <f>IF(M4_Sectores!A23="","",IF(M4_Sectores!B23="","",M4_Sectores!B23))</f>
        <v/>
      </c>
      <c r="X619" s="17" t="str">
        <f>IF(M4_Sectores!A23="","",IF(M4_Sectores!C23="","",M4_Sectores!C23))</f>
        <v/>
      </c>
      <c r="Y619" s="17" t="str">
        <f>IF(M4_Sectores!A23="","",IF(M4_Sectores!E23="","",M4_Sectores!E23))</f>
        <v/>
      </c>
      <c r="Z619" s="17" t="str">
        <f>IF(M4_Sectores!A23="","",IF(M4_Sectores!F23="","",M4_Sectores!F23))</f>
        <v/>
      </c>
      <c r="AA619" s="17" t="str">
        <f>IF(M4_Sectores!A23="","","M4 Sectores")</f>
        <v/>
      </c>
      <c r="AB619" s="17" t="str">
        <f>IF(M4_Sectores!A23="","",IF(M4_Sectores!G23="","",M4_Sectores!G23))</f>
        <v/>
      </c>
      <c r="AC619" s="17" t="str">
        <f>IF(M4_Sectores!A23="","",IF(COUNTIFS(M4_Sectores!$A$9:A23,M4_Sectores!A23,M4_Sectores!$D$9:D23,M4_Sectores!D23,M4_Sectores!$H$9:H23,M4_Sectores!H23)=1,IF(M4_Sectores!L23="","",M4_Sectores!L23),""))</f>
        <v/>
      </c>
      <c r="AD619" s="17" t="str">
        <f>IF(M4_Sectores!A23="","","EE")</f>
        <v/>
      </c>
      <c r="AE619" s="17" t="str">
        <f>IF(M4_Sectores!A23="","",IF(M4_Sectores!N23="","",M4_Sectores!N23))</f>
        <v/>
      </c>
      <c r="AF619" s="17" t="str">
        <f>IF(M4_Sectores!A23="","",IF(M4_Sectores!O23="","",M4_Sectores!O23))</f>
        <v/>
      </c>
      <c r="AG619" s="17" t="str">
        <f>IF(M4_Sectores!A23="","",IF(M4_Sectores!P23="","",M4_Sectores!P23))</f>
        <v/>
      </c>
      <c r="AH619" s="17" t="str">
        <f>IF(M4_Sectores!A23="","",IF(M4_Sectores!H23="","",M4_Sectores!H23))</f>
        <v/>
      </c>
      <c r="AI619" s="17" t="str">
        <f>IF(M4_Sectores!A23="","","M4_Sectores!23")</f>
        <v/>
      </c>
      <c r="AJ619" s="17" t="str">
        <f>IF(M4_Sectores!A23="","",IF(M4_Sectores!L23="","Pendiente de momento o resultado",IF(COUNTIFS(M4_Sectores!$A$9:A23,M4_Sectores!A23,M4_Sectores!$D$9:D23,M4_Sectores!D23,M4_Sectores!$H$9:H23,M4_Sectores!H23)=1,"Total del momento","Sector incluido en total")))</f>
        <v/>
      </c>
    </row>
    <row r="620" spans="1:36" ht="55.5" customHeight="1">
      <c r="A620" s="6" t="str">
        <f t="array" ref="A620">IF(616&gt;$S$1204,"",INDEX($T$5:$AJ$1204,MATCH(616,$S$5:$S$1204,0),1))</f>
        <v/>
      </c>
      <c r="B620" s="8" t="str">
        <f t="array" ref="B620">IF(616&gt;$S$1204,"",INDEX($T$5:$AJ$1204,MATCH(616,$S$5:$S$1204,0),2))</f>
        <v/>
      </c>
      <c r="C620" s="10" t="str">
        <f t="array" ref="C620">IF(616&gt;$S$1204,"",INDEX($T$5:$AJ$1204,MATCH(616,$S$5:$S$1204,0),3))</f>
        <v/>
      </c>
      <c r="D620" s="8" t="str">
        <f t="array" ref="D620">IF(616&gt;$S$1204,"",INDEX($T$5:$AJ$1204,MATCH(616,$S$5:$S$1204,0),4))</f>
        <v/>
      </c>
      <c r="E620" s="8" t="str">
        <f t="array" ref="E620">IF(616&gt;$S$1204,"",INDEX($T$5:$AJ$1204,MATCH(616,$S$5:$S$1204,0),5))</f>
        <v/>
      </c>
      <c r="F620" s="8" t="str">
        <f t="array" ref="F620">IF(616&gt;$S$1204,"",INDEX($T$5:$AJ$1204,MATCH(616,$S$5:$S$1204,0),6))</f>
        <v/>
      </c>
      <c r="G620" s="8" t="str">
        <f t="array" ref="G620">IF(616&gt;$S$1204,"",INDEX($T$5:$AJ$1204,MATCH(616,$S$5:$S$1204,0),7))</f>
        <v/>
      </c>
      <c r="H620" s="8" t="str">
        <f t="array" ref="H620">IF(616&gt;$S$1204,"",INDEX($T$5:$AJ$1204,MATCH(616,$S$5:$S$1204,0),8))</f>
        <v/>
      </c>
      <c r="I620" s="8" t="str">
        <f t="array" ref="I620">IF(616&gt;$S$1204,"",INDEX($T$5:$AJ$1204,MATCH(616,$S$5:$S$1204,0),9))</f>
        <v/>
      </c>
      <c r="J620" s="14" t="str">
        <f t="array" ref="J620">IF(616&gt;$S$1204,"",INDEX($T$5:$AJ$1204,MATCH(616,$S$5:$S$1204,0),10))</f>
        <v/>
      </c>
      <c r="K620" s="8" t="str">
        <f t="array" ref="K620">IF(616&gt;$S$1204,"",INDEX($T$5:$AJ$1204,MATCH(616,$S$5:$S$1204,0),11))</f>
        <v/>
      </c>
      <c r="L620" s="8" t="str">
        <f t="array" ref="L620">IF(616&gt;$S$1204,"",INDEX($T$5:$AJ$1204,MATCH(616,$S$5:$S$1204,0),12))</f>
        <v/>
      </c>
      <c r="M620" s="8" t="str">
        <f t="array" ref="M620">IF(616&gt;$S$1204,"",INDEX($T$5:$AJ$1204,MATCH(616,$S$5:$S$1204,0),13))</f>
        <v/>
      </c>
      <c r="N620" s="8" t="str">
        <f t="array" ref="N620">IF(616&gt;$S$1204,"",INDEX($T$5:$AJ$1204,MATCH(616,$S$5:$S$1204,0),14))</f>
        <v/>
      </c>
      <c r="O620" s="15" t="str">
        <f t="array" ref="O620">IF(616&gt;$S$1204,"",INDEX($T$5:$AJ$1204,MATCH(616,$S$5:$S$1204,0),15))</f>
        <v/>
      </c>
      <c r="P620" s="8" t="str">
        <f t="array" ref="P620">IF(616&gt;$S$1204,"",INDEX($T$5:$AJ$1204,MATCH(616,$S$5:$S$1204,0),16))</f>
        <v/>
      </c>
      <c r="Q620" s="8" t="str">
        <f t="array" ref="Q620">IF(616&gt;$S$1204,"",INDEX($T$5:$AJ$1204,MATCH(616,$S$5:$S$1204,0),17))</f>
        <v/>
      </c>
      <c r="R620" s="17"/>
      <c r="S620" s="17">
        <f>S619+IF(M4_Sectores!A24="",0,1)</f>
        <v>0</v>
      </c>
      <c r="T620" s="17" t="str">
        <f>IF(M4_Sectores!A24="","",IF(M4_Sectores!A24="","",M4_Sectores!A24))</f>
        <v/>
      </c>
      <c r="U620" s="17" t="str">
        <f>IF(M4_Sectores!A24="","",IF(M4_Sectores!Q24="","",M4_Sectores!Q24))</f>
        <v/>
      </c>
      <c r="V620" s="17" t="str">
        <f>IF(M4_Sectores!A24="","",IF(M4_Sectores!D24="","",M4_Sectores!D24))</f>
        <v/>
      </c>
      <c r="W620" s="17" t="str">
        <f>IF(M4_Sectores!A24="","",IF(M4_Sectores!B24="","",M4_Sectores!B24))</f>
        <v/>
      </c>
      <c r="X620" s="17" t="str">
        <f>IF(M4_Sectores!A24="","",IF(M4_Sectores!C24="","",M4_Sectores!C24))</f>
        <v/>
      </c>
      <c r="Y620" s="17" t="str">
        <f>IF(M4_Sectores!A24="","",IF(M4_Sectores!E24="","",M4_Sectores!E24))</f>
        <v/>
      </c>
      <c r="Z620" s="17" t="str">
        <f>IF(M4_Sectores!A24="","",IF(M4_Sectores!F24="","",M4_Sectores!F24))</f>
        <v/>
      </c>
      <c r="AA620" s="17" t="str">
        <f>IF(M4_Sectores!A24="","","M4 Sectores")</f>
        <v/>
      </c>
      <c r="AB620" s="17" t="str">
        <f>IF(M4_Sectores!A24="","",IF(M4_Sectores!G24="","",M4_Sectores!G24))</f>
        <v/>
      </c>
      <c r="AC620" s="17" t="str">
        <f>IF(M4_Sectores!A24="","",IF(COUNTIFS(M4_Sectores!$A$9:A24,M4_Sectores!A24,M4_Sectores!$D$9:D24,M4_Sectores!D24,M4_Sectores!$H$9:H24,M4_Sectores!H24)=1,IF(M4_Sectores!L24="","",M4_Sectores!L24),""))</f>
        <v/>
      </c>
      <c r="AD620" s="17" t="str">
        <f>IF(M4_Sectores!A24="","","EE")</f>
        <v/>
      </c>
      <c r="AE620" s="17" t="str">
        <f>IF(M4_Sectores!A24="","",IF(M4_Sectores!N24="","",M4_Sectores!N24))</f>
        <v/>
      </c>
      <c r="AF620" s="17" t="str">
        <f>IF(M4_Sectores!A24="","",IF(M4_Sectores!O24="","",M4_Sectores!O24))</f>
        <v/>
      </c>
      <c r="AG620" s="17" t="str">
        <f>IF(M4_Sectores!A24="","",IF(M4_Sectores!P24="","",M4_Sectores!P24))</f>
        <v/>
      </c>
      <c r="AH620" s="17" t="str">
        <f>IF(M4_Sectores!A24="","",IF(M4_Sectores!H24="","",M4_Sectores!H24))</f>
        <v/>
      </c>
      <c r="AI620" s="17" t="str">
        <f>IF(M4_Sectores!A24="","","M4_Sectores!24")</f>
        <v/>
      </c>
      <c r="AJ620" s="17" t="str">
        <f>IF(M4_Sectores!A24="","",IF(M4_Sectores!L24="","Pendiente de momento o resultado",IF(COUNTIFS(M4_Sectores!$A$9:A24,M4_Sectores!A24,M4_Sectores!$D$9:D24,M4_Sectores!D24,M4_Sectores!$H$9:H24,M4_Sectores!H24)=1,"Total del momento","Sector incluido en total")))</f>
        <v/>
      </c>
    </row>
    <row r="621" spans="1:36" ht="55.5" customHeight="1">
      <c r="A621" s="6" t="str">
        <f t="array" ref="A621">IF(617&gt;$S$1204,"",INDEX($T$5:$AJ$1204,MATCH(617,$S$5:$S$1204,0),1))</f>
        <v/>
      </c>
      <c r="B621" s="8" t="str">
        <f t="array" ref="B621">IF(617&gt;$S$1204,"",INDEX($T$5:$AJ$1204,MATCH(617,$S$5:$S$1204,0),2))</f>
        <v/>
      </c>
      <c r="C621" s="10" t="str">
        <f t="array" ref="C621">IF(617&gt;$S$1204,"",INDEX($T$5:$AJ$1204,MATCH(617,$S$5:$S$1204,0),3))</f>
        <v/>
      </c>
      <c r="D621" s="8" t="str">
        <f t="array" ref="D621">IF(617&gt;$S$1204,"",INDEX($T$5:$AJ$1204,MATCH(617,$S$5:$S$1204,0),4))</f>
        <v/>
      </c>
      <c r="E621" s="8" t="str">
        <f t="array" ref="E621">IF(617&gt;$S$1204,"",INDEX($T$5:$AJ$1204,MATCH(617,$S$5:$S$1204,0),5))</f>
        <v/>
      </c>
      <c r="F621" s="8" t="str">
        <f t="array" ref="F621">IF(617&gt;$S$1204,"",INDEX($T$5:$AJ$1204,MATCH(617,$S$5:$S$1204,0),6))</f>
        <v/>
      </c>
      <c r="G621" s="8" t="str">
        <f t="array" ref="G621">IF(617&gt;$S$1204,"",INDEX($T$5:$AJ$1204,MATCH(617,$S$5:$S$1204,0),7))</f>
        <v/>
      </c>
      <c r="H621" s="8" t="str">
        <f t="array" ref="H621">IF(617&gt;$S$1204,"",INDEX($T$5:$AJ$1204,MATCH(617,$S$5:$S$1204,0),8))</f>
        <v/>
      </c>
      <c r="I621" s="8" t="str">
        <f t="array" ref="I621">IF(617&gt;$S$1204,"",INDEX($T$5:$AJ$1204,MATCH(617,$S$5:$S$1204,0),9))</f>
        <v/>
      </c>
      <c r="J621" s="14" t="str">
        <f t="array" ref="J621">IF(617&gt;$S$1204,"",INDEX($T$5:$AJ$1204,MATCH(617,$S$5:$S$1204,0),10))</f>
        <v/>
      </c>
      <c r="K621" s="8" t="str">
        <f t="array" ref="K621">IF(617&gt;$S$1204,"",INDEX($T$5:$AJ$1204,MATCH(617,$S$5:$S$1204,0),11))</f>
        <v/>
      </c>
      <c r="L621" s="8" t="str">
        <f t="array" ref="L621">IF(617&gt;$S$1204,"",INDEX($T$5:$AJ$1204,MATCH(617,$S$5:$S$1204,0),12))</f>
        <v/>
      </c>
      <c r="M621" s="8" t="str">
        <f t="array" ref="M621">IF(617&gt;$S$1204,"",INDEX($T$5:$AJ$1204,MATCH(617,$S$5:$S$1204,0),13))</f>
        <v/>
      </c>
      <c r="N621" s="8" t="str">
        <f t="array" ref="N621">IF(617&gt;$S$1204,"",INDEX($T$5:$AJ$1204,MATCH(617,$S$5:$S$1204,0),14))</f>
        <v/>
      </c>
      <c r="O621" s="15" t="str">
        <f t="array" ref="O621">IF(617&gt;$S$1204,"",INDEX($T$5:$AJ$1204,MATCH(617,$S$5:$S$1204,0),15))</f>
        <v/>
      </c>
      <c r="P621" s="8" t="str">
        <f t="array" ref="P621">IF(617&gt;$S$1204,"",INDEX($T$5:$AJ$1204,MATCH(617,$S$5:$S$1204,0),16))</f>
        <v/>
      </c>
      <c r="Q621" s="8" t="str">
        <f t="array" ref="Q621">IF(617&gt;$S$1204,"",INDEX($T$5:$AJ$1204,MATCH(617,$S$5:$S$1204,0),17))</f>
        <v/>
      </c>
      <c r="R621" s="17"/>
      <c r="S621" s="17">
        <f>S620+IF(M4_Sectores!A25="",0,1)</f>
        <v>0</v>
      </c>
      <c r="T621" s="17" t="str">
        <f>IF(M4_Sectores!A25="","",IF(M4_Sectores!A25="","",M4_Sectores!A25))</f>
        <v/>
      </c>
      <c r="U621" s="17" t="str">
        <f>IF(M4_Sectores!A25="","",IF(M4_Sectores!Q25="","",M4_Sectores!Q25))</f>
        <v/>
      </c>
      <c r="V621" s="17" t="str">
        <f>IF(M4_Sectores!A25="","",IF(M4_Sectores!D25="","",M4_Sectores!D25))</f>
        <v/>
      </c>
      <c r="W621" s="17" t="str">
        <f>IF(M4_Sectores!A25="","",IF(M4_Sectores!B25="","",M4_Sectores!B25))</f>
        <v/>
      </c>
      <c r="X621" s="17" t="str">
        <f>IF(M4_Sectores!A25="","",IF(M4_Sectores!C25="","",M4_Sectores!C25))</f>
        <v/>
      </c>
      <c r="Y621" s="17" t="str">
        <f>IF(M4_Sectores!A25="","",IF(M4_Sectores!E25="","",M4_Sectores!E25))</f>
        <v/>
      </c>
      <c r="Z621" s="17" t="str">
        <f>IF(M4_Sectores!A25="","",IF(M4_Sectores!F25="","",M4_Sectores!F25))</f>
        <v/>
      </c>
      <c r="AA621" s="17" t="str">
        <f>IF(M4_Sectores!A25="","","M4 Sectores")</f>
        <v/>
      </c>
      <c r="AB621" s="17" t="str">
        <f>IF(M4_Sectores!A25="","",IF(M4_Sectores!G25="","",M4_Sectores!G25))</f>
        <v/>
      </c>
      <c r="AC621" s="17" t="str">
        <f>IF(M4_Sectores!A25="","",IF(COUNTIFS(M4_Sectores!$A$9:A25,M4_Sectores!A25,M4_Sectores!$D$9:D25,M4_Sectores!D25,M4_Sectores!$H$9:H25,M4_Sectores!H25)=1,IF(M4_Sectores!L25="","",M4_Sectores!L25),""))</f>
        <v/>
      </c>
      <c r="AD621" s="17" t="str">
        <f>IF(M4_Sectores!A25="","","EE")</f>
        <v/>
      </c>
      <c r="AE621" s="17" t="str">
        <f>IF(M4_Sectores!A25="","",IF(M4_Sectores!N25="","",M4_Sectores!N25))</f>
        <v/>
      </c>
      <c r="AF621" s="17" t="str">
        <f>IF(M4_Sectores!A25="","",IF(M4_Sectores!O25="","",M4_Sectores!O25))</f>
        <v/>
      </c>
      <c r="AG621" s="17" t="str">
        <f>IF(M4_Sectores!A25="","",IF(M4_Sectores!P25="","",M4_Sectores!P25))</f>
        <v/>
      </c>
      <c r="AH621" s="17" t="str">
        <f>IF(M4_Sectores!A25="","",IF(M4_Sectores!H25="","",M4_Sectores!H25))</f>
        <v/>
      </c>
      <c r="AI621" s="17" t="str">
        <f>IF(M4_Sectores!A25="","","M4_Sectores!25")</f>
        <v/>
      </c>
      <c r="AJ621" s="17" t="str">
        <f>IF(M4_Sectores!A25="","",IF(M4_Sectores!L25="","Pendiente de momento o resultado",IF(COUNTIFS(M4_Sectores!$A$9:A25,M4_Sectores!A25,M4_Sectores!$D$9:D25,M4_Sectores!D25,M4_Sectores!$H$9:H25,M4_Sectores!H25)=1,"Total del momento","Sector incluido en total")))</f>
        <v/>
      </c>
    </row>
    <row r="622" spans="1:36" ht="55.5" customHeight="1">
      <c r="A622" s="6" t="str">
        <f t="array" ref="A622">IF(618&gt;$S$1204,"",INDEX($T$5:$AJ$1204,MATCH(618,$S$5:$S$1204,0),1))</f>
        <v/>
      </c>
      <c r="B622" s="8" t="str">
        <f t="array" ref="B622">IF(618&gt;$S$1204,"",INDEX($T$5:$AJ$1204,MATCH(618,$S$5:$S$1204,0),2))</f>
        <v/>
      </c>
      <c r="C622" s="10" t="str">
        <f t="array" ref="C622">IF(618&gt;$S$1204,"",INDEX($T$5:$AJ$1204,MATCH(618,$S$5:$S$1204,0),3))</f>
        <v/>
      </c>
      <c r="D622" s="8" t="str">
        <f t="array" ref="D622">IF(618&gt;$S$1204,"",INDEX($T$5:$AJ$1204,MATCH(618,$S$5:$S$1204,0),4))</f>
        <v/>
      </c>
      <c r="E622" s="8" t="str">
        <f t="array" ref="E622">IF(618&gt;$S$1204,"",INDEX($T$5:$AJ$1204,MATCH(618,$S$5:$S$1204,0),5))</f>
        <v/>
      </c>
      <c r="F622" s="8" t="str">
        <f t="array" ref="F622">IF(618&gt;$S$1204,"",INDEX($T$5:$AJ$1204,MATCH(618,$S$5:$S$1204,0),6))</f>
        <v/>
      </c>
      <c r="G622" s="8" t="str">
        <f t="array" ref="G622">IF(618&gt;$S$1204,"",INDEX($T$5:$AJ$1204,MATCH(618,$S$5:$S$1204,0),7))</f>
        <v/>
      </c>
      <c r="H622" s="8" t="str">
        <f t="array" ref="H622">IF(618&gt;$S$1204,"",INDEX($T$5:$AJ$1204,MATCH(618,$S$5:$S$1204,0),8))</f>
        <v/>
      </c>
      <c r="I622" s="8" t="str">
        <f t="array" ref="I622">IF(618&gt;$S$1204,"",INDEX($T$5:$AJ$1204,MATCH(618,$S$5:$S$1204,0),9))</f>
        <v/>
      </c>
      <c r="J622" s="14" t="str">
        <f t="array" ref="J622">IF(618&gt;$S$1204,"",INDEX($T$5:$AJ$1204,MATCH(618,$S$5:$S$1204,0),10))</f>
        <v/>
      </c>
      <c r="K622" s="8" t="str">
        <f t="array" ref="K622">IF(618&gt;$S$1204,"",INDEX($T$5:$AJ$1204,MATCH(618,$S$5:$S$1204,0),11))</f>
        <v/>
      </c>
      <c r="L622" s="8" t="str">
        <f t="array" ref="L622">IF(618&gt;$S$1204,"",INDEX($T$5:$AJ$1204,MATCH(618,$S$5:$S$1204,0),12))</f>
        <v/>
      </c>
      <c r="M622" s="8" t="str">
        <f t="array" ref="M622">IF(618&gt;$S$1204,"",INDEX($T$5:$AJ$1204,MATCH(618,$S$5:$S$1204,0),13))</f>
        <v/>
      </c>
      <c r="N622" s="8" t="str">
        <f t="array" ref="N622">IF(618&gt;$S$1204,"",INDEX($T$5:$AJ$1204,MATCH(618,$S$5:$S$1204,0),14))</f>
        <v/>
      </c>
      <c r="O622" s="15" t="str">
        <f t="array" ref="O622">IF(618&gt;$S$1204,"",INDEX($T$5:$AJ$1204,MATCH(618,$S$5:$S$1204,0),15))</f>
        <v/>
      </c>
      <c r="P622" s="8" t="str">
        <f t="array" ref="P622">IF(618&gt;$S$1204,"",INDEX($T$5:$AJ$1204,MATCH(618,$S$5:$S$1204,0),16))</f>
        <v/>
      </c>
      <c r="Q622" s="8" t="str">
        <f t="array" ref="Q622">IF(618&gt;$S$1204,"",INDEX($T$5:$AJ$1204,MATCH(618,$S$5:$S$1204,0),17))</f>
        <v/>
      </c>
      <c r="R622" s="17"/>
      <c r="S622" s="17">
        <f>S621+IF(M4_Sectores!A26="",0,1)</f>
        <v>0</v>
      </c>
      <c r="T622" s="17" t="str">
        <f>IF(M4_Sectores!A26="","",IF(M4_Sectores!A26="","",M4_Sectores!A26))</f>
        <v/>
      </c>
      <c r="U622" s="17" t="str">
        <f>IF(M4_Sectores!A26="","",IF(M4_Sectores!Q26="","",M4_Sectores!Q26))</f>
        <v/>
      </c>
      <c r="V622" s="17" t="str">
        <f>IF(M4_Sectores!A26="","",IF(M4_Sectores!D26="","",M4_Sectores!D26))</f>
        <v/>
      </c>
      <c r="W622" s="17" t="str">
        <f>IF(M4_Sectores!A26="","",IF(M4_Sectores!B26="","",M4_Sectores!B26))</f>
        <v/>
      </c>
      <c r="X622" s="17" t="str">
        <f>IF(M4_Sectores!A26="","",IF(M4_Sectores!C26="","",M4_Sectores!C26))</f>
        <v/>
      </c>
      <c r="Y622" s="17" t="str">
        <f>IF(M4_Sectores!A26="","",IF(M4_Sectores!E26="","",M4_Sectores!E26))</f>
        <v/>
      </c>
      <c r="Z622" s="17" t="str">
        <f>IF(M4_Sectores!A26="","",IF(M4_Sectores!F26="","",M4_Sectores!F26))</f>
        <v/>
      </c>
      <c r="AA622" s="17" t="str">
        <f>IF(M4_Sectores!A26="","","M4 Sectores")</f>
        <v/>
      </c>
      <c r="AB622" s="17" t="str">
        <f>IF(M4_Sectores!A26="","",IF(M4_Sectores!G26="","",M4_Sectores!G26))</f>
        <v/>
      </c>
      <c r="AC622" s="17" t="str">
        <f>IF(M4_Sectores!A26="","",IF(COUNTIFS(M4_Sectores!$A$9:A26,M4_Sectores!A26,M4_Sectores!$D$9:D26,M4_Sectores!D26,M4_Sectores!$H$9:H26,M4_Sectores!H26)=1,IF(M4_Sectores!L26="","",M4_Sectores!L26),""))</f>
        <v/>
      </c>
      <c r="AD622" s="17" t="str">
        <f>IF(M4_Sectores!A26="","","EE")</f>
        <v/>
      </c>
      <c r="AE622" s="17" t="str">
        <f>IF(M4_Sectores!A26="","",IF(M4_Sectores!N26="","",M4_Sectores!N26))</f>
        <v/>
      </c>
      <c r="AF622" s="17" t="str">
        <f>IF(M4_Sectores!A26="","",IF(M4_Sectores!O26="","",M4_Sectores!O26))</f>
        <v/>
      </c>
      <c r="AG622" s="17" t="str">
        <f>IF(M4_Sectores!A26="","",IF(M4_Sectores!P26="","",M4_Sectores!P26))</f>
        <v/>
      </c>
      <c r="AH622" s="17" t="str">
        <f>IF(M4_Sectores!A26="","",IF(M4_Sectores!H26="","",M4_Sectores!H26))</f>
        <v/>
      </c>
      <c r="AI622" s="17" t="str">
        <f>IF(M4_Sectores!A26="","","M4_Sectores!26")</f>
        <v/>
      </c>
      <c r="AJ622" s="17" t="str">
        <f>IF(M4_Sectores!A26="","",IF(M4_Sectores!L26="","Pendiente de momento o resultado",IF(COUNTIFS(M4_Sectores!$A$9:A26,M4_Sectores!A26,M4_Sectores!$D$9:D26,M4_Sectores!D26,M4_Sectores!$H$9:H26,M4_Sectores!H26)=1,"Total del momento","Sector incluido en total")))</f>
        <v/>
      </c>
    </row>
    <row r="623" spans="1:36" ht="55.5" customHeight="1">
      <c r="A623" s="6" t="str">
        <f t="array" ref="A623">IF(619&gt;$S$1204,"",INDEX($T$5:$AJ$1204,MATCH(619,$S$5:$S$1204,0),1))</f>
        <v/>
      </c>
      <c r="B623" s="8" t="str">
        <f t="array" ref="B623">IF(619&gt;$S$1204,"",INDEX($T$5:$AJ$1204,MATCH(619,$S$5:$S$1204,0),2))</f>
        <v/>
      </c>
      <c r="C623" s="10" t="str">
        <f t="array" ref="C623">IF(619&gt;$S$1204,"",INDEX($T$5:$AJ$1204,MATCH(619,$S$5:$S$1204,0),3))</f>
        <v/>
      </c>
      <c r="D623" s="8" t="str">
        <f t="array" ref="D623">IF(619&gt;$S$1204,"",INDEX($T$5:$AJ$1204,MATCH(619,$S$5:$S$1204,0),4))</f>
        <v/>
      </c>
      <c r="E623" s="8" t="str">
        <f t="array" ref="E623">IF(619&gt;$S$1204,"",INDEX($T$5:$AJ$1204,MATCH(619,$S$5:$S$1204,0),5))</f>
        <v/>
      </c>
      <c r="F623" s="8" t="str">
        <f t="array" ref="F623">IF(619&gt;$S$1204,"",INDEX($T$5:$AJ$1204,MATCH(619,$S$5:$S$1204,0),6))</f>
        <v/>
      </c>
      <c r="G623" s="8" t="str">
        <f t="array" ref="G623">IF(619&gt;$S$1204,"",INDEX($T$5:$AJ$1204,MATCH(619,$S$5:$S$1204,0),7))</f>
        <v/>
      </c>
      <c r="H623" s="8" t="str">
        <f t="array" ref="H623">IF(619&gt;$S$1204,"",INDEX($T$5:$AJ$1204,MATCH(619,$S$5:$S$1204,0),8))</f>
        <v/>
      </c>
      <c r="I623" s="8" t="str">
        <f t="array" ref="I623">IF(619&gt;$S$1204,"",INDEX($T$5:$AJ$1204,MATCH(619,$S$5:$S$1204,0),9))</f>
        <v/>
      </c>
      <c r="J623" s="14" t="str">
        <f t="array" ref="J623">IF(619&gt;$S$1204,"",INDEX($T$5:$AJ$1204,MATCH(619,$S$5:$S$1204,0),10))</f>
        <v/>
      </c>
      <c r="K623" s="8" t="str">
        <f t="array" ref="K623">IF(619&gt;$S$1204,"",INDEX($T$5:$AJ$1204,MATCH(619,$S$5:$S$1204,0),11))</f>
        <v/>
      </c>
      <c r="L623" s="8" t="str">
        <f t="array" ref="L623">IF(619&gt;$S$1204,"",INDEX($T$5:$AJ$1204,MATCH(619,$S$5:$S$1204,0),12))</f>
        <v/>
      </c>
      <c r="M623" s="8" t="str">
        <f t="array" ref="M623">IF(619&gt;$S$1204,"",INDEX($T$5:$AJ$1204,MATCH(619,$S$5:$S$1204,0),13))</f>
        <v/>
      </c>
      <c r="N623" s="8" t="str">
        <f t="array" ref="N623">IF(619&gt;$S$1204,"",INDEX($T$5:$AJ$1204,MATCH(619,$S$5:$S$1204,0),14))</f>
        <v/>
      </c>
      <c r="O623" s="15" t="str">
        <f t="array" ref="O623">IF(619&gt;$S$1204,"",INDEX($T$5:$AJ$1204,MATCH(619,$S$5:$S$1204,0),15))</f>
        <v/>
      </c>
      <c r="P623" s="8" t="str">
        <f t="array" ref="P623">IF(619&gt;$S$1204,"",INDEX($T$5:$AJ$1204,MATCH(619,$S$5:$S$1204,0),16))</f>
        <v/>
      </c>
      <c r="Q623" s="8" t="str">
        <f t="array" ref="Q623">IF(619&gt;$S$1204,"",INDEX($T$5:$AJ$1204,MATCH(619,$S$5:$S$1204,0),17))</f>
        <v/>
      </c>
      <c r="R623" s="17"/>
      <c r="S623" s="17">
        <f>S622+IF(M4_Sectores!A27="",0,1)</f>
        <v>0</v>
      </c>
      <c r="T623" s="17" t="str">
        <f>IF(M4_Sectores!A27="","",IF(M4_Sectores!A27="","",M4_Sectores!A27))</f>
        <v/>
      </c>
      <c r="U623" s="17" t="str">
        <f>IF(M4_Sectores!A27="","",IF(M4_Sectores!Q27="","",M4_Sectores!Q27))</f>
        <v/>
      </c>
      <c r="V623" s="17" t="str">
        <f>IF(M4_Sectores!A27="","",IF(M4_Sectores!D27="","",M4_Sectores!D27))</f>
        <v/>
      </c>
      <c r="W623" s="17" t="str">
        <f>IF(M4_Sectores!A27="","",IF(M4_Sectores!B27="","",M4_Sectores!B27))</f>
        <v/>
      </c>
      <c r="X623" s="17" t="str">
        <f>IF(M4_Sectores!A27="","",IF(M4_Sectores!C27="","",M4_Sectores!C27))</f>
        <v/>
      </c>
      <c r="Y623" s="17" t="str">
        <f>IF(M4_Sectores!A27="","",IF(M4_Sectores!E27="","",M4_Sectores!E27))</f>
        <v/>
      </c>
      <c r="Z623" s="17" t="str">
        <f>IF(M4_Sectores!A27="","",IF(M4_Sectores!F27="","",M4_Sectores!F27))</f>
        <v/>
      </c>
      <c r="AA623" s="17" t="str">
        <f>IF(M4_Sectores!A27="","","M4 Sectores")</f>
        <v/>
      </c>
      <c r="AB623" s="17" t="str">
        <f>IF(M4_Sectores!A27="","",IF(M4_Sectores!G27="","",M4_Sectores!G27))</f>
        <v/>
      </c>
      <c r="AC623" s="17" t="str">
        <f>IF(M4_Sectores!A27="","",IF(COUNTIFS(M4_Sectores!$A$9:A27,M4_Sectores!A27,M4_Sectores!$D$9:D27,M4_Sectores!D27,M4_Sectores!$H$9:H27,M4_Sectores!H27)=1,IF(M4_Sectores!L27="","",M4_Sectores!L27),""))</f>
        <v/>
      </c>
      <c r="AD623" s="17" t="str">
        <f>IF(M4_Sectores!A27="","","EE")</f>
        <v/>
      </c>
      <c r="AE623" s="17" t="str">
        <f>IF(M4_Sectores!A27="","",IF(M4_Sectores!N27="","",M4_Sectores!N27))</f>
        <v/>
      </c>
      <c r="AF623" s="17" t="str">
        <f>IF(M4_Sectores!A27="","",IF(M4_Sectores!O27="","",M4_Sectores!O27))</f>
        <v/>
      </c>
      <c r="AG623" s="17" t="str">
        <f>IF(M4_Sectores!A27="","",IF(M4_Sectores!P27="","",M4_Sectores!P27))</f>
        <v/>
      </c>
      <c r="AH623" s="17" t="str">
        <f>IF(M4_Sectores!A27="","",IF(M4_Sectores!H27="","",M4_Sectores!H27))</f>
        <v/>
      </c>
      <c r="AI623" s="17" t="str">
        <f>IF(M4_Sectores!A27="","","M4_Sectores!27")</f>
        <v/>
      </c>
      <c r="AJ623" s="17" t="str">
        <f>IF(M4_Sectores!A27="","",IF(M4_Sectores!L27="","Pendiente de momento o resultado",IF(COUNTIFS(M4_Sectores!$A$9:A27,M4_Sectores!A27,M4_Sectores!$D$9:D27,M4_Sectores!D27,M4_Sectores!$H$9:H27,M4_Sectores!H27)=1,"Total del momento","Sector incluido en total")))</f>
        <v/>
      </c>
    </row>
    <row r="624" spans="1:36" ht="55.5" customHeight="1">
      <c r="A624" s="6" t="str">
        <f t="array" ref="A624">IF(620&gt;$S$1204,"",INDEX($T$5:$AJ$1204,MATCH(620,$S$5:$S$1204,0),1))</f>
        <v/>
      </c>
      <c r="B624" s="8" t="str">
        <f t="array" ref="B624">IF(620&gt;$S$1204,"",INDEX($T$5:$AJ$1204,MATCH(620,$S$5:$S$1204,0),2))</f>
        <v/>
      </c>
      <c r="C624" s="10" t="str">
        <f t="array" ref="C624">IF(620&gt;$S$1204,"",INDEX($T$5:$AJ$1204,MATCH(620,$S$5:$S$1204,0),3))</f>
        <v/>
      </c>
      <c r="D624" s="8" t="str">
        <f t="array" ref="D624">IF(620&gt;$S$1204,"",INDEX($T$5:$AJ$1204,MATCH(620,$S$5:$S$1204,0),4))</f>
        <v/>
      </c>
      <c r="E624" s="8" t="str">
        <f t="array" ref="E624">IF(620&gt;$S$1204,"",INDEX($T$5:$AJ$1204,MATCH(620,$S$5:$S$1204,0),5))</f>
        <v/>
      </c>
      <c r="F624" s="8" t="str">
        <f t="array" ref="F624">IF(620&gt;$S$1204,"",INDEX($T$5:$AJ$1204,MATCH(620,$S$5:$S$1204,0),6))</f>
        <v/>
      </c>
      <c r="G624" s="8" t="str">
        <f t="array" ref="G624">IF(620&gt;$S$1204,"",INDEX($T$5:$AJ$1204,MATCH(620,$S$5:$S$1204,0),7))</f>
        <v/>
      </c>
      <c r="H624" s="8" t="str">
        <f t="array" ref="H624">IF(620&gt;$S$1204,"",INDEX($T$5:$AJ$1204,MATCH(620,$S$5:$S$1204,0),8))</f>
        <v/>
      </c>
      <c r="I624" s="8" t="str">
        <f t="array" ref="I624">IF(620&gt;$S$1204,"",INDEX($T$5:$AJ$1204,MATCH(620,$S$5:$S$1204,0),9))</f>
        <v/>
      </c>
      <c r="J624" s="14" t="str">
        <f t="array" ref="J624">IF(620&gt;$S$1204,"",INDEX($T$5:$AJ$1204,MATCH(620,$S$5:$S$1204,0),10))</f>
        <v/>
      </c>
      <c r="K624" s="8" t="str">
        <f t="array" ref="K624">IF(620&gt;$S$1204,"",INDEX($T$5:$AJ$1204,MATCH(620,$S$5:$S$1204,0),11))</f>
        <v/>
      </c>
      <c r="L624" s="8" t="str">
        <f t="array" ref="L624">IF(620&gt;$S$1204,"",INDEX($T$5:$AJ$1204,MATCH(620,$S$5:$S$1204,0),12))</f>
        <v/>
      </c>
      <c r="M624" s="8" t="str">
        <f t="array" ref="M624">IF(620&gt;$S$1204,"",INDEX($T$5:$AJ$1204,MATCH(620,$S$5:$S$1204,0),13))</f>
        <v/>
      </c>
      <c r="N624" s="8" t="str">
        <f t="array" ref="N624">IF(620&gt;$S$1204,"",INDEX($T$5:$AJ$1204,MATCH(620,$S$5:$S$1204,0),14))</f>
        <v/>
      </c>
      <c r="O624" s="15" t="str">
        <f t="array" ref="O624">IF(620&gt;$S$1204,"",INDEX($T$5:$AJ$1204,MATCH(620,$S$5:$S$1204,0),15))</f>
        <v/>
      </c>
      <c r="P624" s="8" t="str">
        <f t="array" ref="P624">IF(620&gt;$S$1204,"",INDEX($T$5:$AJ$1204,MATCH(620,$S$5:$S$1204,0),16))</f>
        <v/>
      </c>
      <c r="Q624" s="8" t="str">
        <f t="array" ref="Q624">IF(620&gt;$S$1204,"",INDEX($T$5:$AJ$1204,MATCH(620,$S$5:$S$1204,0),17))</f>
        <v/>
      </c>
      <c r="R624" s="17"/>
      <c r="S624" s="17">
        <f>S623+IF(M4_Sectores!A28="",0,1)</f>
        <v>0</v>
      </c>
      <c r="T624" s="17" t="str">
        <f>IF(M4_Sectores!A28="","",IF(M4_Sectores!A28="","",M4_Sectores!A28))</f>
        <v/>
      </c>
      <c r="U624" s="17" t="str">
        <f>IF(M4_Sectores!A28="","",IF(M4_Sectores!Q28="","",M4_Sectores!Q28))</f>
        <v/>
      </c>
      <c r="V624" s="17" t="str">
        <f>IF(M4_Sectores!A28="","",IF(M4_Sectores!D28="","",M4_Sectores!D28))</f>
        <v/>
      </c>
      <c r="W624" s="17" t="str">
        <f>IF(M4_Sectores!A28="","",IF(M4_Sectores!B28="","",M4_Sectores!B28))</f>
        <v/>
      </c>
      <c r="X624" s="17" t="str">
        <f>IF(M4_Sectores!A28="","",IF(M4_Sectores!C28="","",M4_Sectores!C28))</f>
        <v/>
      </c>
      <c r="Y624" s="17" t="str">
        <f>IF(M4_Sectores!A28="","",IF(M4_Sectores!E28="","",M4_Sectores!E28))</f>
        <v/>
      </c>
      <c r="Z624" s="17" t="str">
        <f>IF(M4_Sectores!A28="","",IF(M4_Sectores!F28="","",M4_Sectores!F28))</f>
        <v/>
      </c>
      <c r="AA624" s="17" t="str">
        <f>IF(M4_Sectores!A28="","","M4 Sectores")</f>
        <v/>
      </c>
      <c r="AB624" s="17" t="str">
        <f>IF(M4_Sectores!A28="","",IF(M4_Sectores!G28="","",M4_Sectores!G28))</f>
        <v/>
      </c>
      <c r="AC624" s="17" t="str">
        <f>IF(M4_Sectores!A28="","",IF(COUNTIFS(M4_Sectores!$A$9:A28,M4_Sectores!A28,M4_Sectores!$D$9:D28,M4_Sectores!D28,M4_Sectores!$H$9:H28,M4_Sectores!H28)=1,IF(M4_Sectores!L28="","",M4_Sectores!L28),""))</f>
        <v/>
      </c>
      <c r="AD624" s="17" t="str">
        <f>IF(M4_Sectores!A28="","","EE")</f>
        <v/>
      </c>
      <c r="AE624" s="17" t="str">
        <f>IF(M4_Sectores!A28="","",IF(M4_Sectores!N28="","",M4_Sectores!N28))</f>
        <v/>
      </c>
      <c r="AF624" s="17" t="str">
        <f>IF(M4_Sectores!A28="","",IF(M4_Sectores!O28="","",M4_Sectores!O28))</f>
        <v/>
      </c>
      <c r="AG624" s="17" t="str">
        <f>IF(M4_Sectores!A28="","",IF(M4_Sectores!P28="","",M4_Sectores!P28))</f>
        <v/>
      </c>
      <c r="AH624" s="17" t="str">
        <f>IF(M4_Sectores!A28="","",IF(M4_Sectores!H28="","",M4_Sectores!H28))</f>
        <v/>
      </c>
      <c r="AI624" s="17" t="str">
        <f>IF(M4_Sectores!A28="","","M4_Sectores!28")</f>
        <v/>
      </c>
      <c r="AJ624" s="17" t="str">
        <f>IF(M4_Sectores!A28="","",IF(M4_Sectores!L28="","Pendiente de momento o resultado",IF(COUNTIFS(M4_Sectores!$A$9:A28,M4_Sectores!A28,M4_Sectores!$D$9:D28,M4_Sectores!D28,M4_Sectores!$H$9:H28,M4_Sectores!H28)=1,"Total del momento","Sector incluido en total")))</f>
        <v/>
      </c>
    </row>
    <row r="625" spans="1:36" ht="55.5" customHeight="1">
      <c r="A625" s="6" t="str">
        <f t="array" ref="A625">IF(621&gt;$S$1204,"",INDEX($T$5:$AJ$1204,MATCH(621,$S$5:$S$1204,0),1))</f>
        <v/>
      </c>
      <c r="B625" s="8" t="str">
        <f t="array" ref="B625">IF(621&gt;$S$1204,"",INDEX($T$5:$AJ$1204,MATCH(621,$S$5:$S$1204,0),2))</f>
        <v/>
      </c>
      <c r="C625" s="10" t="str">
        <f t="array" ref="C625">IF(621&gt;$S$1204,"",INDEX($T$5:$AJ$1204,MATCH(621,$S$5:$S$1204,0),3))</f>
        <v/>
      </c>
      <c r="D625" s="8" t="str">
        <f t="array" ref="D625">IF(621&gt;$S$1204,"",INDEX($T$5:$AJ$1204,MATCH(621,$S$5:$S$1204,0),4))</f>
        <v/>
      </c>
      <c r="E625" s="8" t="str">
        <f t="array" ref="E625">IF(621&gt;$S$1204,"",INDEX($T$5:$AJ$1204,MATCH(621,$S$5:$S$1204,0),5))</f>
        <v/>
      </c>
      <c r="F625" s="8" t="str">
        <f t="array" ref="F625">IF(621&gt;$S$1204,"",INDEX($T$5:$AJ$1204,MATCH(621,$S$5:$S$1204,0),6))</f>
        <v/>
      </c>
      <c r="G625" s="8" t="str">
        <f t="array" ref="G625">IF(621&gt;$S$1204,"",INDEX($T$5:$AJ$1204,MATCH(621,$S$5:$S$1204,0),7))</f>
        <v/>
      </c>
      <c r="H625" s="8" t="str">
        <f t="array" ref="H625">IF(621&gt;$S$1204,"",INDEX($T$5:$AJ$1204,MATCH(621,$S$5:$S$1204,0),8))</f>
        <v/>
      </c>
      <c r="I625" s="8" t="str">
        <f t="array" ref="I625">IF(621&gt;$S$1204,"",INDEX($T$5:$AJ$1204,MATCH(621,$S$5:$S$1204,0),9))</f>
        <v/>
      </c>
      <c r="J625" s="14" t="str">
        <f t="array" ref="J625">IF(621&gt;$S$1204,"",INDEX($T$5:$AJ$1204,MATCH(621,$S$5:$S$1204,0),10))</f>
        <v/>
      </c>
      <c r="K625" s="8" t="str">
        <f t="array" ref="K625">IF(621&gt;$S$1204,"",INDEX($T$5:$AJ$1204,MATCH(621,$S$5:$S$1204,0),11))</f>
        <v/>
      </c>
      <c r="L625" s="8" t="str">
        <f t="array" ref="L625">IF(621&gt;$S$1204,"",INDEX($T$5:$AJ$1204,MATCH(621,$S$5:$S$1204,0),12))</f>
        <v/>
      </c>
      <c r="M625" s="8" t="str">
        <f t="array" ref="M625">IF(621&gt;$S$1204,"",INDEX($T$5:$AJ$1204,MATCH(621,$S$5:$S$1204,0),13))</f>
        <v/>
      </c>
      <c r="N625" s="8" t="str">
        <f t="array" ref="N625">IF(621&gt;$S$1204,"",INDEX($T$5:$AJ$1204,MATCH(621,$S$5:$S$1204,0),14))</f>
        <v/>
      </c>
      <c r="O625" s="15" t="str">
        <f t="array" ref="O625">IF(621&gt;$S$1204,"",INDEX($T$5:$AJ$1204,MATCH(621,$S$5:$S$1204,0),15))</f>
        <v/>
      </c>
      <c r="P625" s="8" t="str">
        <f t="array" ref="P625">IF(621&gt;$S$1204,"",INDEX($T$5:$AJ$1204,MATCH(621,$S$5:$S$1204,0),16))</f>
        <v/>
      </c>
      <c r="Q625" s="8" t="str">
        <f t="array" ref="Q625">IF(621&gt;$S$1204,"",INDEX($T$5:$AJ$1204,MATCH(621,$S$5:$S$1204,0),17))</f>
        <v/>
      </c>
      <c r="R625" s="17"/>
      <c r="S625" s="17">
        <f>S624+IF(M4_Sectores!A29="",0,1)</f>
        <v>0</v>
      </c>
      <c r="T625" s="17" t="str">
        <f>IF(M4_Sectores!A29="","",IF(M4_Sectores!A29="","",M4_Sectores!A29))</f>
        <v/>
      </c>
      <c r="U625" s="17" t="str">
        <f>IF(M4_Sectores!A29="","",IF(M4_Sectores!Q29="","",M4_Sectores!Q29))</f>
        <v/>
      </c>
      <c r="V625" s="17" t="str">
        <f>IF(M4_Sectores!A29="","",IF(M4_Sectores!D29="","",M4_Sectores!D29))</f>
        <v/>
      </c>
      <c r="W625" s="17" t="str">
        <f>IF(M4_Sectores!A29="","",IF(M4_Sectores!B29="","",M4_Sectores!B29))</f>
        <v/>
      </c>
      <c r="X625" s="17" t="str">
        <f>IF(M4_Sectores!A29="","",IF(M4_Sectores!C29="","",M4_Sectores!C29))</f>
        <v/>
      </c>
      <c r="Y625" s="17" t="str">
        <f>IF(M4_Sectores!A29="","",IF(M4_Sectores!E29="","",M4_Sectores!E29))</f>
        <v/>
      </c>
      <c r="Z625" s="17" t="str">
        <f>IF(M4_Sectores!A29="","",IF(M4_Sectores!F29="","",M4_Sectores!F29))</f>
        <v/>
      </c>
      <c r="AA625" s="17" t="str">
        <f>IF(M4_Sectores!A29="","","M4 Sectores")</f>
        <v/>
      </c>
      <c r="AB625" s="17" t="str">
        <f>IF(M4_Sectores!A29="","",IF(M4_Sectores!G29="","",M4_Sectores!G29))</f>
        <v/>
      </c>
      <c r="AC625" s="17" t="str">
        <f>IF(M4_Sectores!A29="","",IF(COUNTIFS(M4_Sectores!$A$9:A29,M4_Sectores!A29,M4_Sectores!$D$9:D29,M4_Sectores!D29,M4_Sectores!$H$9:H29,M4_Sectores!H29)=1,IF(M4_Sectores!L29="","",M4_Sectores!L29),""))</f>
        <v/>
      </c>
      <c r="AD625" s="17" t="str">
        <f>IF(M4_Sectores!A29="","","EE")</f>
        <v/>
      </c>
      <c r="AE625" s="17" t="str">
        <f>IF(M4_Sectores!A29="","",IF(M4_Sectores!N29="","",M4_Sectores!N29))</f>
        <v/>
      </c>
      <c r="AF625" s="17" t="str">
        <f>IF(M4_Sectores!A29="","",IF(M4_Sectores!O29="","",M4_Sectores!O29))</f>
        <v/>
      </c>
      <c r="AG625" s="17" t="str">
        <f>IF(M4_Sectores!A29="","",IF(M4_Sectores!P29="","",M4_Sectores!P29))</f>
        <v/>
      </c>
      <c r="AH625" s="17" t="str">
        <f>IF(M4_Sectores!A29="","",IF(M4_Sectores!H29="","",M4_Sectores!H29))</f>
        <v/>
      </c>
      <c r="AI625" s="17" t="str">
        <f>IF(M4_Sectores!A29="","","M4_Sectores!29")</f>
        <v/>
      </c>
      <c r="AJ625" s="17" t="str">
        <f>IF(M4_Sectores!A29="","",IF(M4_Sectores!L29="","Pendiente de momento o resultado",IF(COUNTIFS(M4_Sectores!$A$9:A29,M4_Sectores!A29,M4_Sectores!$D$9:D29,M4_Sectores!D29,M4_Sectores!$H$9:H29,M4_Sectores!H29)=1,"Total del momento","Sector incluido en total")))</f>
        <v/>
      </c>
    </row>
    <row r="626" spans="1:36" ht="55.5" customHeight="1">
      <c r="A626" s="6" t="str">
        <f t="array" ref="A626">IF(622&gt;$S$1204,"",INDEX($T$5:$AJ$1204,MATCH(622,$S$5:$S$1204,0),1))</f>
        <v/>
      </c>
      <c r="B626" s="8" t="str">
        <f t="array" ref="B626">IF(622&gt;$S$1204,"",INDEX($T$5:$AJ$1204,MATCH(622,$S$5:$S$1204,0),2))</f>
        <v/>
      </c>
      <c r="C626" s="10" t="str">
        <f t="array" ref="C626">IF(622&gt;$S$1204,"",INDEX($T$5:$AJ$1204,MATCH(622,$S$5:$S$1204,0),3))</f>
        <v/>
      </c>
      <c r="D626" s="8" t="str">
        <f t="array" ref="D626">IF(622&gt;$S$1204,"",INDEX($T$5:$AJ$1204,MATCH(622,$S$5:$S$1204,0),4))</f>
        <v/>
      </c>
      <c r="E626" s="8" t="str">
        <f t="array" ref="E626">IF(622&gt;$S$1204,"",INDEX($T$5:$AJ$1204,MATCH(622,$S$5:$S$1204,0),5))</f>
        <v/>
      </c>
      <c r="F626" s="8" t="str">
        <f t="array" ref="F626">IF(622&gt;$S$1204,"",INDEX($T$5:$AJ$1204,MATCH(622,$S$5:$S$1204,0),6))</f>
        <v/>
      </c>
      <c r="G626" s="8" t="str">
        <f t="array" ref="G626">IF(622&gt;$S$1204,"",INDEX($T$5:$AJ$1204,MATCH(622,$S$5:$S$1204,0),7))</f>
        <v/>
      </c>
      <c r="H626" s="8" t="str">
        <f t="array" ref="H626">IF(622&gt;$S$1204,"",INDEX($T$5:$AJ$1204,MATCH(622,$S$5:$S$1204,0),8))</f>
        <v/>
      </c>
      <c r="I626" s="8" t="str">
        <f t="array" ref="I626">IF(622&gt;$S$1204,"",INDEX($T$5:$AJ$1204,MATCH(622,$S$5:$S$1204,0),9))</f>
        <v/>
      </c>
      <c r="J626" s="14" t="str">
        <f t="array" ref="J626">IF(622&gt;$S$1204,"",INDEX($T$5:$AJ$1204,MATCH(622,$S$5:$S$1204,0),10))</f>
        <v/>
      </c>
      <c r="K626" s="8" t="str">
        <f t="array" ref="K626">IF(622&gt;$S$1204,"",INDEX($T$5:$AJ$1204,MATCH(622,$S$5:$S$1204,0),11))</f>
        <v/>
      </c>
      <c r="L626" s="8" t="str">
        <f t="array" ref="L626">IF(622&gt;$S$1204,"",INDEX($T$5:$AJ$1204,MATCH(622,$S$5:$S$1204,0),12))</f>
        <v/>
      </c>
      <c r="M626" s="8" t="str">
        <f t="array" ref="M626">IF(622&gt;$S$1204,"",INDEX($T$5:$AJ$1204,MATCH(622,$S$5:$S$1204,0),13))</f>
        <v/>
      </c>
      <c r="N626" s="8" t="str">
        <f t="array" ref="N626">IF(622&gt;$S$1204,"",INDEX($T$5:$AJ$1204,MATCH(622,$S$5:$S$1204,0),14))</f>
        <v/>
      </c>
      <c r="O626" s="15" t="str">
        <f t="array" ref="O626">IF(622&gt;$S$1204,"",INDEX($T$5:$AJ$1204,MATCH(622,$S$5:$S$1204,0),15))</f>
        <v/>
      </c>
      <c r="P626" s="8" t="str">
        <f t="array" ref="P626">IF(622&gt;$S$1204,"",INDEX($T$5:$AJ$1204,MATCH(622,$S$5:$S$1204,0),16))</f>
        <v/>
      </c>
      <c r="Q626" s="8" t="str">
        <f t="array" ref="Q626">IF(622&gt;$S$1204,"",INDEX($T$5:$AJ$1204,MATCH(622,$S$5:$S$1204,0),17))</f>
        <v/>
      </c>
      <c r="R626" s="17"/>
      <c r="S626" s="17">
        <f>S625+IF(M4_Sectores!A30="",0,1)</f>
        <v>0</v>
      </c>
      <c r="T626" s="17" t="str">
        <f>IF(M4_Sectores!A30="","",IF(M4_Sectores!A30="","",M4_Sectores!A30))</f>
        <v/>
      </c>
      <c r="U626" s="17" t="str">
        <f>IF(M4_Sectores!A30="","",IF(M4_Sectores!Q30="","",M4_Sectores!Q30))</f>
        <v/>
      </c>
      <c r="V626" s="17" t="str">
        <f>IF(M4_Sectores!A30="","",IF(M4_Sectores!D30="","",M4_Sectores!D30))</f>
        <v/>
      </c>
      <c r="W626" s="17" t="str">
        <f>IF(M4_Sectores!A30="","",IF(M4_Sectores!B30="","",M4_Sectores!B30))</f>
        <v/>
      </c>
      <c r="X626" s="17" t="str">
        <f>IF(M4_Sectores!A30="","",IF(M4_Sectores!C30="","",M4_Sectores!C30))</f>
        <v/>
      </c>
      <c r="Y626" s="17" t="str">
        <f>IF(M4_Sectores!A30="","",IF(M4_Sectores!E30="","",M4_Sectores!E30))</f>
        <v/>
      </c>
      <c r="Z626" s="17" t="str">
        <f>IF(M4_Sectores!A30="","",IF(M4_Sectores!F30="","",M4_Sectores!F30))</f>
        <v/>
      </c>
      <c r="AA626" s="17" t="str">
        <f>IF(M4_Sectores!A30="","","M4 Sectores")</f>
        <v/>
      </c>
      <c r="AB626" s="17" t="str">
        <f>IF(M4_Sectores!A30="","",IF(M4_Sectores!G30="","",M4_Sectores!G30))</f>
        <v/>
      </c>
      <c r="AC626" s="17" t="str">
        <f>IF(M4_Sectores!A30="","",IF(COUNTIFS(M4_Sectores!$A$9:A30,M4_Sectores!A30,M4_Sectores!$D$9:D30,M4_Sectores!D30,M4_Sectores!$H$9:H30,M4_Sectores!H30)=1,IF(M4_Sectores!L30="","",M4_Sectores!L30),""))</f>
        <v/>
      </c>
      <c r="AD626" s="17" t="str">
        <f>IF(M4_Sectores!A30="","","EE")</f>
        <v/>
      </c>
      <c r="AE626" s="17" t="str">
        <f>IF(M4_Sectores!A30="","",IF(M4_Sectores!N30="","",M4_Sectores!N30))</f>
        <v/>
      </c>
      <c r="AF626" s="17" t="str">
        <f>IF(M4_Sectores!A30="","",IF(M4_Sectores!O30="","",M4_Sectores!O30))</f>
        <v/>
      </c>
      <c r="AG626" s="17" t="str">
        <f>IF(M4_Sectores!A30="","",IF(M4_Sectores!P30="","",M4_Sectores!P30))</f>
        <v/>
      </c>
      <c r="AH626" s="17" t="str">
        <f>IF(M4_Sectores!A30="","",IF(M4_Sectores!H30="","",M4_Sectores!H30))</f>
        <v/>
      </c>
      <c r="AI626" s="17" t="str">
        <f>IF(M4_Sectores!A30="","","M4_Sectores!30")</f>
        <v/>
      </c>
      <c r="AJ626" s="17" t="str">
        <f>IF(M4_Sectores!A30="","",IF(M4_Sectores!L30="","Pendiente de momento o resultado",IF(COUNTIFS(M4_Sectores!$A$9:A30,M4_Sectores!A30,M4_Sectores!$D$9:D30,M4_Sectores!D30,M4_Sectores!$H$9:H30,M4_Sectores!H30)=1,"Total del momento","Sector incluido en total")))</f>
        <v/>
      </c>
    </row>
    <row r="627" spans="1:36" ht="55.5" customHeight="1">
      <c r="A627" s="6" t="str">
        <f t="array" ref="A627">IF(623&gt;$S$1204,"",INDEX($T$5:$AJ$1204,MATCH(623,$S$5:$S$1204,0),1))</f>
        <v/>
      </c>
      <c r="B627" s="8" t="str">
        <f t="array" ref="B627">IF(623&gt;$S$1204,"",INDEX($T$5:$AJ$1204,MATCH(623,$S$5:$S$1204,0),2))</f>
        <v/>
      </c>
      <c r="C627" s="10" t="str">
        <f t="array" ref="C627">IF(623&gt;$S$1204,"",INDEX($T$5:$AJ$1204,MATCH(623,$S$5:$S$1204,0),3))</f>
        <v/>
      </c>
      <c r="D627" s="8" t="str">
        <f t="array" ref="D627">IF(623&gt;$S$1204,"",INDEX($T$5:$AJ$1204,MATCH(623,$S$5:$S$1204,0),4))</f>
        <v/>
      </c>
      <c r="E627" s="8" t="str">
        <f t="array" ref="E627">IF(623&gt;$S$1204,"",INDEX($T$5:$AJ$1204,MATCH(623,$S$5:$S$1204,0),5))</f>
        <v/>
      </c>
      <c r="F627" s="8" t="str">
        <f t="array" ref="F627">IF(623&gt;$S$1204,"",INDEX($T$5:$AJ$1204,MATCH(623,$S$5:$S$1204,0),6))</f>
        <v/>
      </c>
      <c r="G627" s="8" t="str">
        <f t="array" ref="G627">IF(623&gt;$S$1204,"",INDEX($T$5:$AJ$1204,MATCH(623,$S$5:$S$1204,0),7))</f>
        <v/>
      </c>
      <c r="H627" s="8" t="str">
        <f t="array" ref="H627">IF(623&gt;$S$1204,"",INDEX($T$5:$AJ$1204,MATCH(623,$S$5:$S$1204,0),8))</f>
        <v/>
      </c>
      <c r="I627" s="8" t="str">
        <f t="array" ref="I627">IF(623&gt;$S$1204,"",INDEX($T$5:$AJ$1204,MATCH(623,$S$5:$S$1204,0),9))</f>
        <v/>
      </c>
      <c r="J627" s="14" t="str">
        <f t="array" ref="J627">IF(623&gt;$S$1204,"",INDEX($T$5:$AJ$1204,MATCH(623,$S$5:$S$1204,0),10))</f>
        <v/>
      </c>
      <c r="K627" s="8" t="str">
        <f t="array" ref="K627">IF(623&gt;$S$1204,"",INDEX($T$5:$AJ$1204,MATCH(623,$S$5:$S$1204,0),11))</f>
        <v/>
      </c>
      <c r="L627" s="8" t="str">
        <f t="array" ref="L627">IF(623&gt;$S$1204,"",INDEX($T$5:$AJ$1204,MATCH(623,$S$5:$S$1204,0),12))</f>
        <v/>
      </c>
      <c r="M627" s="8" t="str">
        <f t="array" ref="M627">IF(623&gt;$S$1204,"",INDEX($T$5:$AJ$1204,MATCH(623,$S$5:$S$1204,0),13))</f>
        <v/>
      </c>
      <c r="N627" s="8" t="str">
        <f t="array" ref="N627">IF(623&gt;$S$1204,"",INDEX($T$5:$AJ$1204,MATCH(623,$S$5:$S$1204,0),14))</f>
        <v/>
      </c>
      <c r="O627" s="15" t="str">
        <f t="array" ref="O627">IF(623&gt;$S$1204,"",INDEX($T$5:$AJ$1204,MATCH(623,$S$5:$S$1204,0),15))</f>
        <v/>
      </c>
      <c r="P627" s="8" t="str">
        <f t="array" ref="P627">IF(623&gt;$S$1204,"",INDEX($T$5:$AJ$1204,MATCH(623,$S$5:$S$1204,0),16))</f>
        <v/>
      </c>
      <c r="Q627" s="8" t="str">
        <f t="array" ref="Q627">IF(623&gt;$S$1204,"",INDEX($T$5:$AJ$1204,MATCH(623,$S$5:$S$1204,0),17))</f>
        <v/>
      </c>
      <c r="R627" s="17"/>
      <c r="S627" s="17">
        <f>S626+IF(M4_Sectores!A31="",0,1)</f>
        <v>0</v>
      </c>
      <c r="T627" s="17" t="str">
        <f>IF(M4_Sectores!A31="","",IF(M4_Sectores!A31="","",M4_Sectores!A31))</f>
        <v/>
      </c>
      <c r="U627" s="17" t="str">
        <f>IF(M4_Sectores!A31="","",IF(M4_Sectores!Q31="","",M4_Sectores!Q31))</f>
        <v/>
      </c>
      <c r="V627" s="17" t="str">
        <f>IF(M4_Sectores!A31="","",IF(M4_Sectores!D31="","",M4_Sectores!D31))</f>
        <v/>
      </c>
      <c r="W627" s="17" t="str">
        <f>IF(M4_Sectores!A31="","",IF(M4_Sectores!B31="","",M4_Sectores!B31))</f>
        <v/>
      </c>
      <c r="X627" s="17" t="str">
        <f>IF(M4_Sectores!A31="","",IF(M4_Sectores!C31="","",M4_Sectores!C31))</f>
        <v/>
      </c>
      <c r="Y627" s="17" t="str">
        <f>IF(M4_Sectores!A31="","",IF(M4_Sectores!E31="","",M4_Sectores!E31))</f>
        <v/>
      </c>
      <c r="Z627" s="17" t="str">
        <f>IF(M4_Sectores!A31="","",IF(M4_Sectores!F31="","",M4_Sectores!F31))</f>
        <v/>
      </c>
      <c r="AA627" s="17" t="str">
        <f>IF(M4_Sectores!A31="","","M4 Sectores")</f>
        <v/>
      </c>
      <c r="AB627" s="17" t="str">
        <f>IF(M4_Sectores!A31="","",IF(M4_Sectores!G31="","",M4_Sectores!G31))</f>
        <v/>
      </c>
      <c r="AC627" s="17" t="str">
        <f>IF(M4_Sectores!A31="","",IF(COUNTIFS(M4_Sectores!$A$9:A31,M4_Sectores!A31,M4_Sectores!$D$9:D31,M4_Sectores!D31,M4_Sectores!$H$9:H31,M4_Sectores!H31)=1,IF(M4_Sectores!L31="","",M4_Sectores!L31),""))</f>
        <v/>
      </c>
      <c r="AD627" s="17" t="str">
        <f>IF(M4_Sectores!A31="","","EE")</f>
        <v/>
      </c>
      <c r="AE627" s="17" t="str">
        <f>IF(M4_Sectores!A31="","",IF(M4_Sectores!N31="","",M4_Sectores!N31))</f>
        <v/>
      </c>
      <c r="AF627" s="17" t="str">
        <f>IF(M4_Sectores!A31="","",IF(M4_Sectores!O31="","",M4_Sectores!O31))</f>
        <v/>
      </c>
      <c r="AG627" s="17" t="str">
        <f>IF(M4_Sectores!A31="","",IF(M4_Sectores!P31="","",M4_Sectores!P31))</f>
        <v/>
      </c>
      <c r="AH627" s="17" t="str">
        <f>IF(M4_Sectores!A31="","",IF(M4_Sectores!H31="","",M4_Sectores!H31))</f>
        <v/>
      </c>
      <c r="AI627" s="17" t="str">
        <f>IF(M4_Sectores!A31="","","M4_Sectores!31")</f>
        <v/>
      </c>
      <c r="AJ627" s="17" t="str">
        <f>IF(M4_Sectores!A31="","",IF(M4_Sectores!L31="","Pendiente de momento o resultado",IF(COUNTIFS(M4_Sectores!$A$9:A31,M4_Sectores!A31,M4_Sectores!$D$9:D31,M4_Sectores!D31,M4_Sectores!$H$9:H31,M4_Sectores!H31)=1,"Total del momento","Sector incluido en total")))</f>
        <v/>
      </c>
    </row>
    <row r="628" spans="1:36" ht="55.5" customHeight="1">
      <c r="A628" s="6" t="str">
        <f t="array" ref="A628">IF(624&gt;$S$1204,"",INDEX($T$5:$AJ$1204,MATCH(624,$S$5:$S$1204,0),1))</f>
        <v/>
      </c>
      <c r="B628" s="8" t="str">
        <f t="array" ref="B628">IF(624&gt;$S$1204,"",INDEX($T$5:$AJ$1204,MATCH(624,$S$5:$S$1204,0),2))</f>
        <v/>
      </c>
      <c r="C628" s="10" t="str">
        <f t="array" ref="C628">IF(624&gt;$S$1204,"",INDEX($T$5:$AJ$1204,MATCH(624,$S$5:$S$1204,0),3))</f>
        <v/>
      </c>
      <c r="D628" s="8" t="str">
        <f t="array" ref="D628">IF(624&gt;$S$1204,"",INDEX($T$5:$AJ$1204,MATCH(624,$S$5:$S$1204,0),4))</f>
        <v/>
      </c>
      <c r="E628" s="8" t="str">
        <f t="array" ref="E628">IF(624&gt;$S$1204,"",INDEX($T$5:$AJ$1204,MATCH(624,$S$5:$S$1204,0),5))</f>
        <v/>
      </c>
      <c r="F628" s="8" t="str">
        <f t="array" ref="F628">IF(624&gt;$S$1204,"",INDEX($T$5:$AJ$1204,MATCH(624,$S$5:$S$1204,0),6))</f>
        <v/>
      </c>
      <c r="G628" s="8" t="str">
        <f t="array" ref="G628">IF(624&gt;$S$1204,"",INDEX($T$5:$AJ$1204,MATCH(624,$S$5:$S$1204,0),7))</f>
        <v/>
      </c>
      <c r="H628" s="8" t="str">
        <f t="array" ref="H628">IF(624&gt;$S$1204,"",INDEX($T$5:$AJ$1204,MATCH(624,$S$5:$S$1204,0),8))</f>
        <v/>
      </c>
      <c r="I628" s="8" t="str">
        <f t="array" ref="I628">IF(624&gt;$S$1204,"",INDEX($T$5:$AJ$1204,MATCH(624,$S$5:$S$1204,0),9))</f>
        <v/>
      </c>
      <c r="J628" s="14" t="str">
        <f t="array" ref="J628">IF(624&gt;$S$1204,"",INDEX($T$5:$AJ$1204,MATCH(624,$S$5:$S$1204,0),10))</f>
        <v/>
      </c>
      <c r="K628" s="8" t="str">
        <f t="array" ref="K628">IF(624&gt;$S$1204,"",INDEX($T$5:$AJ$1204,MATCH(624,$S$5:$S$1204,0),11))</f>
        <v/>
      </c>
      <c r="L628" s="8" t="str">
        <f t="array" ref="L628">IF(624&gt;$S$1204,"",INDEX($T$5:$AJ$1204,MATCH(624,$S$5:$S$1204,0),12))</f>
        <v/>
      </c>
      <c r="M628" s="8" t="str">
        <f t="array" ref="M628">IF(624&gt;$S$1204,"",INDEX($T$5:$AJ$1204,MATCH(624,$S$5:$S$1204,0),13))</f>
        <v/>
      </c>
      <c r="N628" s="8" t="str">
        <f t="array" ref="N628">IF(624&gt;$S$1204,"",INDEX($T$5:$AJ$1204,MATCH(624,$S$5:$S$1204,0),14))</f>
        <v/>
      </c>
      <c r="O628" s="15" t="str">
        <f t="array" ref="O628">IF(624&gt;$S$1204,"",INDEX($T$5:$AJ$1204,MATCH(624,$S$5:$S$1204,0),15))</f>
        <v/>
      </c>
      <c r="P628" s="8" t="str">
        <f t="array" ref="P628">IF(624&gt;$S$1204,"",INDEX($T$5:$AJ$1204,MATCH(624,$S$5:$S$1204,0),16))</f>
        <v/>
      </c>
      <c r="Q628" s="8" t="str">
        <f t="array" ref="Q628">IF(624&gt;$S$1204,"",INDEX($T$5:$AJ$1204,MATCH(624,$S$5:$S$1204,0),17))</f>
        <v/>
      </c>
      <c r="R628" s="17"/>
      <c r="S628" s="17">
        <f>S627+IF(M4_Sectores!A32="",0,1)</f>
        <v>0</v>
      </c>
      <c r="T628" s="17" t="str">
        <f>IF(M4_Sectores!A32="","",IF(M4_Sectores!A32="","",M4_Sectores!A32))</f>
        <v/>
      </c>
      <c r="U628" s="17" t="str">
        <f>IF(M4_Sectores!A32="","",IF(M4_Sectores!Q32="","",M4_Sectores!Q32))</f>
        <v/>
      </c>
      <c r="V628" s="17" t="str">
        <f>IF(M4_Sectores!A32="","",IF(M4_Sectores!D32="","",M4_Sectores!D32))</f>
        <v/>
      </c>
      <c r="W628" s="17" t="str">
        <f>IF(M4_Sectores!A32="","",IF(M4_Sectores!B32="","",M4_Sectores!B32))</f>
        <v/>
      </c>
      <c r="X628" s="17" t="str">
        <f>IF(M4_Sectores!A32="","",IF(M4_Sectores!C32="","",M4_Sectores!C32))</f>
        <v/>
      </c>
      <c r="Y628" s="17" t="str">
        <f>IF(M4_Sectores!A32="","",IF(M4_Sectores!E32="","",M4_Sectores!E32))</f>
        <v/>
      </c>
      <c r="Z628" s="17" t="str">
        <f>IF(M4_Sectores!A32="","",IF(M4_Sectores!F32="","",M4_Sectores!F32))</f>
        <v/>
      </c>
      <c r="AA628" s="17" t="str">
        <f>IF(M4_Sectores!A32="","","M4 Sectores")</f>
        <v/>
      </c>
      <c r="AB628" s="17" t="str">
        <f>IF(M4_Sectores!A32="","",IF(M4_Sectores!G32="","",M4_Sectores!G32))</f>
        <v/>
      </c>
      <c r="AC628" s="17" t="str">
        <f>IF(M4_Sectores!A32="","",IF(COUNTIFS(M4_Sectores!$A$9:A32,M4_Sectores!A32,M4_Sectores!$D$9:D32,M4_Sectores!D32,M4_Sectores!$H$9:H32,M4_Sectores!H32)=1,IF(M4_Sectores!L32="","",M4_Sectores!L32),""))</f>
        <v/>
      </c>
      <c r="AD628" s="17" t="str">
        <f>IF(M4_Sectores!A32="","","EE")</f>
        <v/>
      </c>
      <c r="AE628" s="17" t="str">
        <f>IF(M4_Sectores!A32="","",IF(M4_Sectores!N32="","",M4_Sectores!N32))</f>
        <v/>
      </c>
      <c r="AF628" s="17" t="str">
        <f>IF(M4_Sectores!A32="","",IF(M4_Sectores!O32="","",M4_Sectores!O32))</f>
        <v/>
      </c>
      <c r="AG628" s="17" t="str">
        <f>IF(M4_Sectores!A32="","",IF(M4_Sectores!P32="","",M4_Sectores!P32))</f>
        <v/>
      </c>
      <c r="AH628" s="17" t="str">
        <f>IF(M4_Sectores!A32="","",IF(M4_Sectores!H32="","",M4_Sectores!H32))</f>
        <v/>
      </c>
      <c r="AI628" s="17" t="str">
        <f>IF(M4_Sectores!A32="","","M4_Sectores!32")</f>
        <v/>
      </c>
      <c r="AJ628" s="17" t="str">
        <f>IF(M4_Sectores!A32="","",IF(M4_Sectores!L32="","Pendiente de momento o resultado",IF(COUNTIFS(M4_Sectores!$A$9:A32,M4_Sectores!A32,M4_Sectores!$D$9:D32,M4_Sectores!D32,M4_Sectores!$H$9:H32,M4_Sectores!H32)=1,"Total del momento","Sector incluido en total")))</f>
        <v/>
      </c>
    </row>
    <row r="629" spans="1:36" ht="55.5" customHeight="1">
      <c r="A629" s="6" t="str">
        <f t="array" ref="A629">IF(625&gt;$S$1204,"",INDEX($T$5:$AJ$1204,MATCH(625,$S$5:$S$1204,0),1))</f>
        <v/>
      </c>
      <c r="B629" s="8" t="str">
        <f t="array" ref="B629">IF(625&gt;$S$1204,"",INDEX($T$5:$AJ$1204,MATCH(625,$S$5:$S$1204,0),2))</f>
        <v/>
      </c>
      <c r="C629" s="10" t="str">
        <f t="array" ref="C629">IF(625&gt;$S$1204,"",INDEX($T$5:$AJ$1204,MATCH(625,$S$5:$S$1204,0),3))</f>
        <v/>
      </c>
      <c r="D629" s="8" t="str">
        <f t="array" ref="D629">IF(625&gt;$S$1204,"",INDEX($T$5:$AJ$1204,MATCH(625,$S$5:$S$1204,0),4))</f>
        <v/>
      </c>
      <c r="E629" s="8" t="str">
        <f t="array" ref="E629">IF(625&gt;$S$1204,"",INDEX($T$5:$AJ$1204,MATCH(625,$S$5:$S$1204,0),5))</f>
        <v/>
      </c>
      <c r="F629" s="8" t="str">
        <f t="array" ref="F629">IF(625&gt;$S$1204,"",INDEX($T$5:$AJ$1204,MATCH(625,$S$5:$S$1204,0),6))</f>
        <v/>
      </c>
      <c r="G629" s="8" t="str">
        <f t="array" ref="G629">IF(625&gt;$S$1204,"",INDEX($T$5:$AJ$1204,MATCH(625,$S$5:$S$1204,0),7))</f>
        <v/>
      </c>
      <c r="H629" s="8" t="str">
        <f t="array" ref="H629">IF(625&gt;$S$1204,"",INDEX($T$5:$AJ$1204,MATCH(625,$S$5:$S$1204,0),8))</f>
        <v/>
      </c>
      <c r="I629" s="8" t="str">
        <f t="array" ref="I629">IF(625&gt;$S$1204,"",INDEX($T$5:$AJ$1204,MATCH(625,$S$5:$S$1204,0),9))</f>
        <v/>
      </c>
      <c r="J629" s="14" t="str">
        <f t="array" ref="J629">IF(625&gt;$S$1204,"",INDEX($T$5:$AJ$1204,MATCH(625,$S$5:$S$1204,0),10))</f>
        <v/>
      </c>
      <c r="K629" s="8" t="str">
        <f t="array" ref="K629">IF(625&gt;$S$1204,"",INDEX($T$5:$AJ$1204,MATCH(625,$S$5:$S$1204,0),11))</f>
        <v/>
      </c>
      <c r="L629" s="8" t="str">
        <f t="array" ref="L629">IF(625&gt;$S$1204,"",INDEX($T$5:$AJ$1204,MATCH(625,$S$5:$S$1204,0),12))</f>
        <v/>
      </c>
      <c r="M629" s="8" t="str">
        <f t="array" ref="M629">IF(625&gt;$S$1204,"",INDEX($T$5:$AJ$1204,MATCH(625,$S$5:$S$1204,0),13))</f>
        <v/>
      </c>
      <c r="N629" s="8" t="str">
        <f t="array" ref="N629">IF(625&gt;$S$1204,"",INDEX($T$5:$AJ$1204,MATCH(625,$S$5:$S$1204,0),14))</f>
        <v/>
      </c>
      <c r="O629" s="15" t="str">
        <f t="array" ref="O629">IF(625&gt;$S$1204,"",INDEX($T$5:$AJ$1204,MATCH(625,$S$5:$S$1204,0),15))</f>
        <v/>
      </c>
      <c r="P629" s="8" t="str">
        <f t="array" ref="P629">IF(625&gt;$S$1204,"",INDEX($T$5:$AJ$1204,MATCH(625,$S$5:$S$1204,0),16))</f>
        <v/>
      </c>
      <c r="Q629" s="8" t="str">
        <f t="array" ref="Q629">IF(625&gt;$S$1204,"",INDEX($T$5:$AJ$1204,MATCH(625,$S$5:$S$1204,0),17))</f>
        <v/>
      </c>
      <c r="R629" s="17"/>
      <c r="S629" s="17">
        <f>S628+IF(M4_Sectores!A33="",0,1)</f>
        <v>0</v>
      </c>
      <c r="T629" s="17" t="str">
        <f>IF(M4_Sectores!A33="","",IF(M4_Sectores!A33="","",M4_Sectores!A33))</f>
        <v/>
      </c>
      <c r="U629" s="17" t="str">
        <f>IF(M4_Sectores!A33="","",IF(M4_Sectores!Q33="","",M4_Sectores!Q33))</f>
        <v/>
      </c>
      <c r="V629" s="17" t="str">
        <f>IF(M4_Sectores!A33="","",IF(M4_Sectores!D33="","",M4_Sectores!D33))</f>
        <v/>
      </c>
      <c r="W629" s="17" t="str">
        <f>IF(M4_Sectores!A33="","",IF(M4_Sectores!B33="","",M4_Sectores!B33))</f>
        <v/>
      </c>
      <c r="X629" s="17" t="str">
        <f>IF(M4_Sectores!A33="","",IF(M4_Sectores!C33="","",M4_Sectores!C33))</f>
        <v/>
      </c>
      <c r="Y629" s="17" t="str">
        <f>IF(M4_Sectores!A33="","",IF(M4_Sectores!E33="","",M4_Sectores!E33))</f>
        <v/>
      </c>
      <c r="Z629" s="17" t="str">
        <f>IF(M4_Sectores!A33="","",IF(M4_Sectores!F33="","",M4_Sectores!F33))</f>
        <v/>
      </c>
      <c r="AA629" s="17" t="str">
        <f>IF(M4_Sectores!A33="","","M4 Sectores")</f>
        <v/>
      </c>
      <c r="AB629" s="17" t="str">
        <f>IF(M4_Sectores!A33="","",IF(M4_Sectores!G33="","",M4_Sectores!G33))</f>
        <v/>
      </c>
      <c r="AC629" s="17" t="str">
        <f>IF(M4_Sectores!A33="","",IF(COUNTIFS(M4_Sectores!$A$9:A33,M4_Sectores!A33,M4_Sectores!$D$9:D33,M4_Sectores!D33,M4_Sectores!$H$9:H33,M4_Sectores!H33)=1,IF(M4_Sectores!L33="","",M4_Sectores!L33),""))</f>
        <v/>
      </c>
      <c r="AD629" s="17" t="str">
        <f>IF(M4_Sectores!A33="","","EE")</f>
        <v/>
      </c>
      <c r="AE629" s="17" t="str">
        <f>IF(M4_Sectores!A33="","",IF(M4_Sectores!N33="","",M4_Sectores!N33))</f>
        <v/>
      </c>
      <c r="AF629" s="17" t="str">
        <f>IF(M4_Sectores!A33="","",IF(M4_Sectores!O33="","",M4_Sectores!O33))</f>
        <v/>
      </c>
      <c r="AG629" s="17" t="str">
        <f>IF(M4_Sectores!A33="","",IF(M4_Sectores!P33="","",M4_Sectores!P33))</f>
        <v/>
      </c>
      <c r="AH629" s="17" t="str">
        <f>IF(M4_Sectores!A33="","",IF(M4_Sectores!H33="","",M4_Sectores!H33))</f>
        <v/>
      </c>
      <c r="AI629" s="17" t="str">
        <f>IF(M4_Sectores!A33="","","M4_Sectores!33")</f>
        <v/>
      </c>
      <c r="AJ629" s="17" t="str">
        <f>IF(M4_Sectores!A33="","",IF(M4_Sectores!L33="","Pendiente de momento o resultado",IF(COUNTIFS(M4_Sectores!$A$9:A33,M4_Sectores!A33,M4_Sectores!$D$9:D33,M4_Sectores!D33,M4_Sectores!$H$9:H33,M4_Sectores!H33)=1,"Total del momento","Sector incluido en total")))</f>
        <v/>
      </c>
    </row>
    <row r="630" spans="1:36" ht="55.5" customHeight="1">
      <c r="A630" s="6" t="str">
        <f t="array" ref="A630">IF(626&gt;$S$1204,"",INDEX($T$5:$AJ$1204,MATCH(626,$S$5:$S$1204,0),1))</f>
        <v/>
      </c>
      <c r="B630" s="8" t="str">
        <f t="array" ref="B630">IF(626&gt;$S$1204,"",INDEX($T$5:$AJ$1204,MATCH(626,$S$5:$S$1204,0),2))</f>
        <v/>
      </c>
      <c r="C630" s="10" t="str">
        <f t="array" ref="C630">IF(626&gt;$S$1204,"",INDEX($T$5:$AJ$1204,MATCH(626,$S$5:$S$1204,0),3))</f>
        <v/>
      </c>
      <c r="D630" s="8" t="str">
        <f t="array" ref="D630">IF(626&gt;$S$1204,"",INDEX($T$5:$AJ$1204,MATCH(626,$S$5:$S$1204,0),4))</f>
        <v/>
      </c>
      <c r="E630" s="8" t="str">
        <f t="array" ref="E630">IF(626&gt;$S$1204,"",INDEX($T$5:$AJ$1204,MATCH(626,$S$5:$S$1204,0),5))</f>
        <v/>
      </c>
      <c r="F630" s="8" t="str">
        <f t="array" ref="F630">IF(626&gt;$S$1204,"",INDEX($T$5:$AJ$1204,MATCH(626,$S$5:$S$1204,0),6))</f>
        <v/>
      </c>
      <c r="G630" s="8" t="str">
        <f t="array" ref="G630">IF(626&gt;$S$1204,"",INDEX($T$5:$AJ$1204,MATCH(626,$S$5:$S$1204,0),7))</f>
        <v/>
      </c>
      <c r="H630" s="8" t="str">
        <f t="array" ref="H630">IF(626&gt;$S$1204,"",INDEX($T$5:$AJ$1204,MATCH(626,$S$5:$S$1204,0),8))</f>
        <v/>
      </c>
      <c r="I630" s="8" t="str">
        <f t="array" ref="I630">IF(626&gt;$S$1204,"",INDEX($T$5:$AJ$1204,MATCH(626,$S$5:$S$1204,0),9))</f>
        <v/>
      </c>
      <c r="J630" s="14" t="str">
        <f t="array" ref="J630">IF(626&gt;$S$1204,"",INDEX($T$5:$AJ$1204,MATCH(626,$S$5:$S$1204,0),10))</f>
        <v/>
      </c>
      <c r="K630" s="8" t="str">
        <f t="array" ref="K630">IF(626&gt;$S$1204,"",INDEX($T$5:$AJ$1204,MATCH(626,$S$5:$S$1204,0),11))</f>
        <v/>
      </c>
      <c r="L630" s="8" t="str">
        <f t="array" ref="L630">IF(626&gt;$S$1204,"",INDEX($T$5:$AJ$1204,MATCH(626,$S$5:$S$1204,0),12))</f>
        <v/>
      </c>
      <c r="M630" s="8" t="str">
        <f t="array" ref="M630">IF(626&gt;$S$1204,"",INDEX($T$5:$AJ$1204,MATCH(626,$S$5:$S$1204,0),13))</f>
        <v/>
      </c>
      <c r="N630" s="8" t="str">
        <f t="array" ref="N630">IF(626&gt;$S$1204,"",INDEX($T$5:$AJ$1204,MATCH(626,$S$5:$S$1204,0),14))</f>
        <v/>
      </c>
      <c r="O630" s="15" t="str">
        <f t="array" ref="O630">IF(626&gt;$S$1204,"",INDEX($T$5:$AJ$1204,MATCH(626,$S$5:$S$1204,0),15))</f>
        <v/>
      </c>
      <c r="P630" s="8" t="str">
        <f t="array" ref="P630">IF(626&gt;$S$1204,"",INDEX($T$5:$AJ$1204,MATCH(626,$S$5:$S$1204,0),16))</f>
        <v/>
      </c>
      <c r="Q630" s="8" t="str">
        <f t="array" ref="Q630">IF(626&gt;$S$1204,"",INDEX($T$5:$AJ$1204,MATCH(626,$S$5:$S$1204,0),17))</f>
        <v/>
      </c>
      <c r="R630" s="17"/>
      <c r="S630" s="17">
        <f>S629+IF(M4_Sectores!A34="",0,1)</f>
        <v>0</v>
      </c>
      <c r="T630" s="17" t="str">
        <f>IF(M4_Sectores!A34="","",IF(M4_Sectores!A34="","",M4_Sectores!A34))</f>
        <v/>
      </c>
      <c r="U630" s="17" t="str">
        <f>IF(M4_Sectores!A34="","",IF(M4_Sectores!Q34="","",M4_Sectores!Q34))</f>
        <v/>
      </c>
      <c r="V630" s="17" t="str">
        <f>IF(M4_Sectores!A34="","",IF(M4_Sectores!D34="","",M4_Sectores!D34))</f>
        <v/>
      </c>
      <c r="W630" s="17" t="str">
        <f>IF(M4_Sectores!A34="","",IF(M4_Sectores!B34="","",M4_Sectores!B34))</f>
        <v/>
      </c>
      <c r="X630" s="17" t="str">
        <f>IF(M4_Sectores!A34="","",IF(M4_Sectores!C34="","",M4_Sectores!C34))</f>
        <v/>
      </c>
      <c r="Y630" s="17" t="str">
        <f>IF(M4_Sectores!A34="","",IF(M4_Sectores!E34="","",M4_Sectores!E34))</f>
        <v/>
      </c>
      <c r="Z630" s="17" t="str">
        <f>IF(M4_Sectores!A34="","",IF(M4_Sectores!F34="","",M4_Sectores!F34))</f>
        <v/>
      </c>
      <c r="AA630" s="17" t="str">
        <f>IF(M4_Sectores!A34="","","M4 Sectores")</f>
        <v/>
      </c>
      <c r="AB630" s="17" t="str">
        <f>IF(M4_Sectores!A34="","",IF(M4_Sectores!G34="","",M4_Sectores!G34))</f>
        <v/>
      </c>
      <c r="AC630" s="17" t="str">
        <f>IF(M4_Sectores!A34="","",IF(COUNTIFS(M4_Sectores!$A$9:A34,M4_Sectores!A34,M4_Sectores!$D$9:D34,M4_Sectores!D34,M4_Sectores!$H$9:H34,M4_Sectores!H34)=1,IF(M4_Sectores!L34="","",M4_Sectores!L34),""))</f>
        <v/>
      </c>
      <c r="AD630" s="17" t="str">
        <f>IF(M4_Sectores!A34="","","EE")</f>
        <v/>
      </c>
      <c r="AE630" s="17" t="str">
        <f>IF(M4_Sectores!A34="","",IF(M4_Sectores!N34="","",M4_Sectores!N34))</f>
        <v/>
      </c>
      <c r="AF630" s="17" t="str">
        <f>IF(M4_Sectores!A34="","",IF(M4_Sectores!O34="","",M4_Sectores!O34))</f>
        <v/>
      </c>
      <c r="AG630" s="17" t="str">
        <f>IF(M4_Sectores!A34="","",IF(M4_Sectores!P34="","",M4_Sectores!P34))</f>
        <v/>
      </c>
      <c r="AH630" s="17" t="str">
        <f>IF(M4_Sectores!A34="","",IF(M4_Sectores!H34="","",M4_Sectores!H34))</f>
        <v/>
      </c>
      <c r="AI630" s="17" t="str">
        <f>IF(M4_Sectores!A34="","","M4_Sectores!34")</f>
        <v/>
      </c>
      <c r="AJ630" s="17" t="str">
        <f>IF(M4_Sectores!A34="","",IF(M4_Sectores!L34="","Pendiente de momento o resultado",IF(COUNTIFS(M4_Sectores!$A$9:A34,M4_Sectores!A34,M4_Sectores!$D$9:D34,M4_Sectores!D34,M4_Sectores!$H$9:H34,M4_Sectores!H34)=1,"Total del momento","Sector incluido en total")))</f>
        <v/>
      </c>
    </row>
    <row r="631" spans="1:36" ht="55.5" customHeight="1">
      <c r="A631" s="6" t="str">
        <f t="array" ref="A631">IF(627&gt;$S$1204,"",INDEX($T$5:$AJ$1204,MATCH(627,$S$5:$S$1204,0),1))</f>
        <v/>
      </c>
      <c r="B631" s="8" t="str">
        <f t="array" ref="B631">IF(627&gt;$S$1204,"",INDEX($T$5:$AJ$1204,MATCH(627,$S$5:$S$1204,0),2))</f>
        <v/>
      </c>
      <c r="C631" s="10" t="str">
        <f t="array" ref="C631">IF(627&gt;$S$1204,"",INDEX($T$5:$AJ$1204,MATCH(627,$S$5:$S$1204,0),3))</f>
        <v/>
      </c>
      <c r="D631" s="8" t="str">
        <f t="array" ref="D631">IF(627&gt;$S$1204,"",INDEX($T$5:$AJ$1204,MATCH(627,$S$5:$S$1204,0),4))</f>
        <v/>
      </c>
      <c r="E631" s="8" t="str">
        <f t="array" ref="E631">IF(627&gt;$S$1204,"",INDEX($T$5:$AJ$1204,MATCH(627,$S$5:$S$1204,0),5))</f>
        <v/>
      </c>
      <c r="F631" s="8" t="str">
        <f t="array" ref="F631">IF(627&gt;$S$1204,"",INDEX($T$5:$AJ$1204,MATCH(627,$S$5:$S$1204,0),6))</f>
        <v/>
      </c>
      <c r="G631" s="8" t="str">
        <f t="array" ref="G631">IF(627&gt;$S$1204,"",INDEX($T$5:$AJ$1204,MATCH(627,$S$5:$S$1204,0),7))</f>
        <v/>
      </c>
      <c r="H631" s="8" t="str">
        <f t="array" ref="H631">IF(627&gt;$S$1204,"",INDEX($T$5:$AJ$1204,MATCH(627,$S$5:$S$1204,0),8))</f>
        <v/>
      </c>
      <c r="I631" s="8" t="str">
        <f t="array" ref="I631">IF(627&gt;$S$1204,"",INDEX($T$5:$AJ$1204,MATCH(627,$S$5:$S$1204,0),9))</f>
        <v/>
      </c>
      <c r="J631" s="14" t="str">
        <f t="array" ref="J631">IF(627&gt;$S$1204,"",INDEX($T$5:$AJ$1204,MATCH(627,$S$5:$S$1204,0),10))</f>
        <v/>
      </c>
      <c r="K631" s="8" t="str">
        <f t="array" ref="K631">IF(627&gt;$S$1204,"",INDEX($T$5:$AJ$1204,MATCH(627,$S$5:$S$1204,0),11))</f>
        <v/>
      </c>
      <c r="L631" s="8" t="str">
        <f t="array" ref="L631">IF(627&gt;$S$1204,"",INDEX($T$5:$AJ$1204,MATCH(627,$S$5:$S$1204,0),12))</f>
        <v/>
      </c>
      <c r="M631" s="8" t="str">
        <f t="array" ref="M631">IF(627&gt;$S$1204,"",INDEX($T$5:$AJ$1204,MATCH(627,$S$5:$S$1204,0),13))</f>
        <v/>
      </c>
      <c r="N631" s="8" t="str">
        <f t="array" ref="N631">IF(627&gt;$S$1204,"",INDEX($T$5:$AJ$1204,MATCH(627,$S$5:$S$1204,0),14))</f>
        <v/>
      </c>
      <c r="O631" s="15" t="str">
        <f t="array" ref="O631">IF(627&gt;$S$1204,"",INDEX($T$5:$AJ$1204,MATCH(627,$S$5:$S$1204,0),15))</f>
        <v/>
      </c>
      <c r="P631" s="8" t="str">
        <f t="array" ref="P631">IF(627&gt;$S$1204,"",INDEX($T$5:$AJ$1204,MATCH(627,$S$5:$S$1204,0),16))</f>
        <v/>
      </c>
      <c r="Q631" s="8" t="str">
        <f t="array" ref="Q631">IF(627&gt;$S$1204,"",INDEX($T$5:$AJ$1204,MATCH(627,$S$5:$S$1204,0),17))</f>
        <v/>
      </c>
      <c r="R631" s="17"/>
      <c r="S631" s="17">
        <f>S630+IF(M4_Sectores!A35="",0,1)</f>
        <v>0</v>
      </c>
      <c r="T631" s="17" t="str">
        <f>IF(M4_Sectores!A35="","",IF(M4_Sectores!A35="","",M4_Sectores!A35))</f>
        <v/>
      </c>
      <c r="U631" s="17" t="str">
        <f>IF(M4_Sectores!A35="","",IF(M4_Sectores!Q35="","",M4_Sectores!Q35))</f>
        <v/>
      </c>
      <c r="V631" s="17" t="str">
        <f>IF(M4_Sectores!A35="","",IF(M4_Sectores!D35="","",M4_Sectores!D35))</f>
        <v/>
      </c>
      <c r="W631" s="17" t="str">
        <f>IF(M4_Sectores!A35="","",IF(M4_Sectores!B35="","",M4_Sectores!B35))</f>
        <v/>
      </c>
      <c r="X631" s="17" t="str">
        <f>IF(M4_Sectores!A35="","",IF(M4_Sectores!C35="","",M4_Sectores!C35))</f>
        <v/>
      </c>
      <c r="Y631" s="17" t="str">
        <f>IF(M4_Sectores!A35="","",IF(M4_Sectores!E35="","",M4_Sectores!E35))</f>
        <v/>
      </c>
      <c r="Z631" s="17" t="str">
        <f>IF(M4_Sectores!A35="","",IF(M4_Sectores!F35="","",M4_Sectores!F35))</f>
        <v/>
      </c>
      <c r="AA631" s="17" t="str">
        <f>IF(M4_Sectores!A35="","","M4 Sectores")</f>
        <v/>
      </c>
      <c r="AB631" s="17" t="str">
        <f>IF(M4_Sectores!A35="","",IF(M4_Sectores!G35="","",M4_Sectores!G35))</f>
        <v/>
      </c>
      <c r="AC631" s="17" t="str">
        <f>IF(M4_Sectores!A35="","",IF(COUNTIFS(M4_Sectores!$A$9:A35,M4_Sectores!A35,M4_Sectores!$D$9:D35,M4_Sectores!D35,M4_Sectores!$H$9:H35,M4_Sectores!H35)=1,IF(M4_Sectores!L35="","",M4_Sectores!L35),""))</f>
        <v/>
      </c>
      <c r="AD631" s="17" t="str">
        <f>IF(M4_Sectores!A35="","","EE")</f>
        <v/>
      </c>
      <c r="AE631" s="17" t="str">
        <f>IF(M4_Sectores!A35="","",IF(M4_Sectores!N35="","",M4_Sectores!N35))</f>
        <v/>
      </c>
      <c r="AF631" s="17" t="str">
        <f>IF(M4_Sectores!A35="","",IF(M4_Sectores!O35="","",M4_Sectores!O35))</f>
        <v/>
      </c>
      <c r="AG631" s="17" t="str">
        <f>IF(M4_Sectores!A35="","",IF(M4_Sectores!P35="","",M4_Sectores!P35))</f>
        <v/>
      </c>
      <c r="AH631" s="17" t="str">
        <f>IF(M4_Sectores!A35="","",IF(M4_Sectores!H35="","",M4_Sectores!H35))</f>
        <v/>
      </c>
      <c r="AI631" s="17" t="str">
        <f>IF(M4_Sectores!A35="","","M4_Sectores!35")</f>
        <v/>
      </c>
      <c r="AJ631" s="17" t="str">
        <f>IF(M4_Sectores!A35="","",IF(M4_Sectores!L35="","Pendiente de momento o resultado",IF(COUNTIFS(M4_Sectores!$A$9:A35,M4_Sectores!A35,M4_Sectores!$D$9:D35,M4_Sectores!D35,M4_Sectores!$H$9:H35,M4_Sectores!H35)=1,"Total del momento","Sector incluido en total")))</f>
        <v/>
      </c>
    </row>
    <row r="632" spans="1:36" ht="55.5" customHeight="1">
      <c r="A632" s="6" t="str">
        <f t="array" ref="A632">IF(628&gt;$S$1204,"",INDEX($T$5:$AJ$1204,MATCH(628,$S$5:$S$1204,0),1))</f>
        <v/>
      </c>
      <c r="B632" s="8" t="str">
        <f t="array" ref="B632">IF(628&gt;$S$1204,"",INDEX($T$5:$AJ$1204,MATCH(628,$S$5:$S$1204,0),2))</f>
        <v/>
      </c>
      <c r="C632" s="10" t="str">
        <f t="array" ref="C632">IF(628&gt;$S$1204,"",INDEX($T$5:$AJ$1204,MATCH(628,$S$5:$S$1204,0),3))</f>
        <v/>
      </c>
      <c r="D632" s="8" t="str">
        <f t="array" ref="D632">IF(628&gt;$S$1204,"",INDEX($T$5:$AJ$1204,MATCH(628,$S$5:$S$1204,0),4))</f>
        <v/>
      </c>
      <c r="E632" s="8" t="str">
        <f t="array" ref="E632">IF(628&gt;$S$1204,"",INDEX($T$5:$AJ$1204,MATCH(628,$S$5:$S$1204,0),5))</f>
        <v/>
      </c>
      <c r="F632" s="8" t="str">
        <f t="array" ref="F632">IF(628&gt;$S$1204,"",INDEX($T$5:$AJ$1204,MATCH(628,$S$5:$S$1204,0),6))</f>
        <v/>
      </c>
      <c r="G632" s="8" t="str">
        <f t="array" ref="G632">IF(628&gt;$S$1204,"",INDEX($T$5:$AJ$1204,MATCH(628,$S$5:$S$1204,0),7))</f>
        <v/>
      </c>
      <c r="H632" s="8" t="str">
        <f t="array" ref="H632">IF(628&gt;$S$1204,"",INDEX($T$5:$AJ$1204,MATCH(628,$S$5:$S$1204,0),8))</f>
        <v/>
      </c>
      <c r="I632" s="8" t="str">
        <f t="array" ref="I632">IF(628&gt;$S$1204,"",INDEX($T$5:$AJ$1204,MATCH(628,$S$5:$S$1204,0),9))</f>
        <v/>
      </c>
      <c r="J632" s="14" t="str">
        <f t="array" ref="J632">IF(628&gt;$S$1204,"",INDEX($T$5:$AJ$1204,MATCH(628,$S$5:$S$1204,0),10))</f>
        <v/>
      </c>
      <c r="K632" s="8" t="str">
        <f t="array" ref="K632">IF(628&gt;$S$1204,"",INDEX($T$5:$AJ$1204,MATCH(628,$S$5:$S$1204,0),11))</f>
        <v/>
      </c>
      <c r="L632" s="8" t="str">
        <f t="array" ref="L632">IF(628&gt;$S$1204,"",INDEX($T$5:$AJ$1204,MATCH(628,$S$5:$S$1204,0),12))</f>
        <v/>
      </c>
      <c r="M632" s="8" t="str">
        <f t="array" ref="M632">IF(628&gt;$S$1204,"",INDEX($T$5:$AJ$1204,MATCH(628,$S$5:$S$1204,0),13))</f>
        <v/>
      </c>
      <c r="N632" s="8" t="str">
        <f t="array" ref="N632">IF(628&gt;$S$1204,"",INDEX($T$5:$AJ$1204,MATCH(628,$S$5:$S$1204,0),14))</f>
        <v/>
      </c>
      <c r="O632" s="15" t="str">
        <f t="array" ref="O632">IF(628&gt;$S$1204,"",INDEX($T$5:$AJ$1204,MATCH(628,$S$5:$S$1204,0),15))</f>
        <v/>
      </c>
      <c r="P632" s="8" t="str">
        <f t="array" ref="P632">IF(628&gt;$S$1204,"",INDEX($T$5:$AJ$1204,MATCH(628,$S$5:$S$1204,0),16))</f>
        <v/>
      </c>
      <c r="Q632" s="8" t="str">
        <f t="array" ref="Q632">IF(628&gt;$S$1204,"",INDEX($T$5:$AJ$1204,MATCH(628,$S$5:$S$1204,0),17))</f>
        <v/>
      </c>
      <c r="R632" s="17"/>
      <c r="S632" s="17">
        <f>S631+IF(M4_Sectores!A36="",0,1)</f>
        <v>0</v>
      </c>
      <c r="T632" s="17" t="str">
        <f>IF(M4_Sectores!A36="","",IF(M4_Sectores!A36="","",M4_Sectores!A36))</f>
        <v/>
      </c>
      <c r="U632" s="17" t="str">
        <f>IF(M4_Sectores!A36="","",IF(M4_Sectores!Q36="","",M4_Sectores!Q36))</f>
        <v/>
      </c>
      <c r="V632" s="17" t="str">
        <f>IF(M4_Sectores!A36="","",IF(M4_Sectores!D36="","",M4_Sectores!D36))</f>
        <v/>
      </c>
      <c r="W632" s="17" t="str">
        <f>IF(M4_Sectores!A36="","",IF(M4_Sectores!B36="","",M4_Sectores!B36))</f>
        <v/>
      </c>
      <c r="X632" s="17" t="str">
        <f>IF(M4_Sectores!A36="","",IF(M4_Sectores!C36="","",M4_Sectores!C36))</f>
        <v/>
      </c>
      <c r="Y632" s="17" t="str">
        <f>IF(M4_Sectores!A36="","",IF(M4_Sectores!E36="","",M4_Sectores!E36))</f>
        <v/>
      </c>
      <c r="Z632" s="17" t="str">
        <f>IF(M4_Sectores!A36="","",IF(M4_Sectores!F36="","",M4_Sectores!F36))</f>
        <v/>
      </c>
      <c r="AA632" s="17" t="str">
        <f>IF(M4_Sectores!A36="","","M4 Sectores")</f>
        <v/>
      </c>
      <c r="AB632" s="17" t="str">
        <f>IF(M4_Sectores!A36="","",IF(M4_Sectores!G36="","",M4_Sectores!G36))</f>
        <v/>
      </c>
      <c r="AC632" s="17" t="str">
        <f>IF(M4_Sectores!A36="","",IF(COUNTIFS(M4_Sectores!$A$9:A36,M4_Sectores!A36,M4_Sectores!$D$9:D36,M4_Sectores!D36,M4_Sectores!$H$9:H36,M4_Sectores!H36)=1,IF(M4_Sectores!L36="","",M4_Sectores!L36),""))</f>
        <v/>
      </c>
      <c r="AD632" s="17" t="str">
        <f>IF(M4_Sectores!A36="","","EE")</f>
        <v/>
      </c>
      <c r="AE632" s="17" t="str">
        <f>IF(M4_Sectores!A36="","",IF(M4_Sectores!N36="","",M4_Sectores!N36))</f>
        <v/>
      </c>
      <c r="AF632" s="17" t="str">
        <f>IF(M4_Sectores!A36="","",IF(M4_Sectores!O36="","",M4_Sectores!O36))</f>
        <v/>
      </c>
      <c r="AG632" s="17" t="str">
        <f>IF(M4_Sectores!A36="","",IF(M4_Sectores!P36="","",M4_Sectores!P36))</f>
        <v/>
      </c>
      <c r="AH632" s="17" t="str">
        <f>IF(M4_Sectores!A36="","",IF(M4_Sectores!H36="","",M4_Sectores!H36))</f>
        <v/>
      </c>
      <c r="AI632" s="17" t="str">
        <f>IF(M4_Sectores!A36="","","M4_Sectores!36")</f>
        <v/>
      </c>
      <c r="AJ632" s="17" t="str">
        <f>IF(M4_Sectores!A36="","",IF(M4_Sectores!L36="","Pendiente de momento o resultado",IF(COUNTIFS(M4_Sectores!$A$9:A36,M4_Sectores!A36,M4_Sectores!$D$9:D36,M4_Sectores!D36,M4_Sectores!$H$9:H36,M4_Sectores!H36)=1,"Total del momento","Sector incluido en total")))</f>
        <v/>
      </c>
    </row>
    <row r="633" spans="1:36" ht="55.5" customHeight="1">
      <c r="A633" s="6" t="str">
        <f t="array" ref="A633">IF(629&gt;$S$1204,"",INDEX($T$5:$AJ$1204,MATCH(629,$S$5:$S$1204,0),1))</f>
        <v/>
      </c>
      <c r="B633" s="8" t="str">
        <f t="array" ref="B633">IF(629&gt;$S$1204,"",INDEX($T$5:$AJ$1204,MATCH(629,$S$5:$S$1204,0),2))</f>
        <v/>
      </c>
      <c r="C633" s="10" t="str">
        <f t="array" ref="C633">IF(629&gt;$S$1204,"",INDEX($T$5:$AJ$1204,MATCH(629,$S$5:$S$1204,0),3))</f>
        <v/>
      </c>
      <c r="D633" s="8" t="str">
        <f t="array" ref="D633">IF(629&gt;$S$1204,"",INDEX($T$5:$AJ$1204,MATCH(629,$S$5:$S$1204,0),4))</f>
        <v/>
      </c>
      <c r="E633" s="8" t="str">
        <f t="array" ref="E633">IF(629&gt;$S$1204,"",INDEX($T$5:$AJ$1204,MATCH(629,$S$5:$S$1204,0),5))</f>
        <v/>
      </c>
      <c r="F633" s="8" t="str">
        <f t="array" ref="F633">IF(629&gt;$S$1204,"",INDEX($T$5:$AJ$1204,MATCH(629,$S$5:$S$1204,0),6))</f>
        <v/>
      </c>
      <c r="G633" s="8" t="str">
        <f t="array" ref="G633">IF(629&gt;$S$1204,"",INDEX($T$5:$AJ$1204,MATCH(629,$S$5:$S$1204,0),7))</f>
        <v/>
      </c>
      <c r="H633" s="8" t="str">
        <f t="array" ref="H633">IF(629&gt;$S$1204,"",INDEX($T$5:$AJ$1204,MATCH(629,$S$5:$S$1204,0),8))</f>
        <v/>
      </c>
      <c r="I633" s="8" t="str">
        <f t="array" ref="I633">IF(629&gt;$S$1204,"",INDEX($T$5:$AJ$1204,MATCH(629,$S$5:$S$1204,0),9))</f>
        <v/>
      </c>
      <c r="J633" s="14" t="str">
        <f t="array" ref="J633">IF(629&gt;$S$1204,"",INDEX($T$5:$AJ$1204,MATCH(629,$S$5:$S$1204,0),10))</f>
        <v/>
      </c>
      <c r="K633" s="8" t="str">
        <f t="array" ref="K633">IF(629&gt;$S$1204,"",INDEX($T$5:$AJ$1204,MATCH(629,$S$5:$S$1204,0),11))</f>
        <v/>
      </c>
      <c r="L633" s="8" t="str">
        <f t="array" ref="L633">IF(629&gt;$S$1204,"",INDEX($T$5:$AJ$1204,MATCH(629,$S$5:$S$1204,0),12))</f>
        <v/>
      </c>
      <c r="M633" s="8" t="str">
        <f t="array" ref="M633">IF(629&gt;$S$1204,"",INDEX($T$5:$AJ$1204,MATCH(629,$S$5:$S$1204,0),13))</f>
        <v/>
      </c>
      <c r="N633" s="8" t="str">
        <f t="array" ref="N633">IF(629&gt;$S$1204,"",INDEX($T$5:$AJ$1204,MATCH(629,$S$5:$S$1204,0),14))</f>
        <v/>
      </c>
      <c r="O633" s="15" t="str">
        <f t="array" ref="O633">IF(629&gt;$S$1204,"",INDEX($T$5:$AJ$1204,MATCH(629,$S$5:$S$1204,0),15))</f>
        <v/>
      </c>
      <c r="P633" s="8" t="str">
        <f t="array" ref="P633">IF(629&gt;$S$1204,"",INDEX($T$5:$AJ$1204,MATCH(629,$S$5:$S$1204,0),16))</f>
        <v/>
      </c>
      <c r="Q633" s="8" t="str">
        <f t="array" ref="Q633">IF(629&gt;$S$1204,"",INDEX($T$5:$AJ$1204,MATCH(629,$S$5:$S$1204,0),17))</f>
        <v/>
      </c>
      <c r="R633" s="17"/>
      <c r="S633" s="17">
        <f>S632+IF(M4_Sectores!A37="",0,1)</f>
        <v>0</v>
      </c>
      <c r="T633" s="17" t="str">
        <f>IF(M4_Sectores!A37="","",IF(M4_Sectores!A37="","",M4_Sectores!A37))</f>
        <v/>
      </c>
      <c r="U633" s="17" t="str">
        <f>IF(M4_Sectores!A37="","",IF(M4_Sectores!Q37="","",M4_Sectores!Q37))</f>
        <v/>
      </c>
      <c r="V633" s="17" t="str">
        <f>IF(M4_Sectores!A37="","",IF(M4_Sectores!D37="","",M4_Sectores!D37))</f>
        <v/>
      </c>
      <c r="W633" s="17" t="str">
        <f>IF(M4_Sectores!A37="","",IF(M4_Sectores!B37="","",M4_Sectores!B37))</f>
        <v/>
      </c>
      <c r="X633" s="17" t="str">
        <f>IF(M4_Sectores!A37="","",IF(M4_Sectores!C37="","",M4_Sectores!C37))</f>
        <v/>
      </c>
      <c r="Y633" s="17" t="str">
        <f>IF(M4_Sectores!A37="","",IF(M4_Sectores!E37="","",M4_Sectores!E37))</f>
        <v/>
      </c>
      <c r="Z633" s="17" t="str">
        <f>IF(M4_Sectores!A37="","",IF(M4_Sectores!F37="","",M4_Sectores!F37))</f>
        <v/>
      </c>
      <c r="AA633" s="17" t="str">
        <f>IF(M4_Sectores!A37="","","M4 Sectores")</f>
        <v/>
      </c>
      <c r="AB633" s="17" t="str">
        <f>IF(M4_Sectores!A37="","",IF(M4_Sectores!G37="","",M4_Sectores!G37))</f>
        <v/>
      </c>
      <c r="AC633" s="17" t="str">
        <f>IF(M4_Sectores!A37="","",IF(COUNTIFS(M4_Sectores!$A$9:A37,M4_Sectores!A37,M4_Sectores!$D$9:D37,M4_Sectores!D37,M4_Sectores!$H$9:H37,M4_Sectores!H37)=1,IF(M4_Sectores!L37="","",M4_Sectores!L37),""))</f>
        <v/>
      </c>
      <c r="AD633" s="17" t="str">
        <f>IF(M4_Sectores!A37="","","EE")</f>
        <v/>
      </c>
      <c r="AE633" s="17" t="str">
        <f>IF(M4_Sectores!A37="","",IF(M4_Sectores!N37="","",M4_Sectores!N37))</f>
        <v/>
      </c>
      <c r="AF633" s="17" t="str">
        <f>IF(M4_Sectores!A37="","",IF(M4_Sectores!O37="","",M4_Sectores!O37))</f>
        <v/>
      </c>
      <c r="AG633" s="17" t="str">
        <f>IF(M4_Sectores!A37="","",IF(M4_Sectores!P37="","",M4_Sectores!P37))</f>
        <v/>
      </c>
      <c r="AH633" s="17" t="str">
        <f>IF(M4_Sectores!A37="","",IF(M4_Sectores!H37="","",M4_Sectores!H37))</f>
        <v/>
      </c>
      <c r="AI633" s="17" t="str">
        <f>IF(M4_Sectores!A37="","","M4_Sectores!37")</f>
        <v/>
      </c>
      <c r="AJ633" s="17" t="str">
        <f>IF(M4_Sectores!A37="","",IF(M4_Sectores!L37="","Pendiente de momento o resultado",IF(COUNTIFS(M4_Sectores!$A$9:A37,M4_Sectores!A37,M4_Sectores!$D$9:D37,M4_Sectores!D37,M4_Sectores!$H$9:H37,M4_Sectores!H37)=1,"Total del momento","Sector incluido en total")))</f>
        <v/>
      </c>
    </row>
    <row r="634" spans="1:36" ht="55.5" customHeight="1">
      <c r="A634" s="6" t="str">
        <f t="array" ref="A634">IF(630&gt;$S$1204,"",INDEX($T$5:$AJ$1204,MATCH(630,$S$5:$S$1204,0),1))</f>
        <v/>
      </c>
      <c r="B634" s="8" t="str">
        <f t="array" ref="B634">IF(630&gt;$S$1204,"",INDEX($T$5:$AJ$1204,MATCH(630,$S$5:$S$1204,0),2))</f>
        <v/>
      </c>
      <c r="C634" s="10" t="str">
        <f t="array" ref="C634">IF(630&gt;$S$1204,"",INDEX($T$5:$AJ$1204,MATCH(630,$S$5:$S$1204,0),3))</f>
        <v/>
      </c>
      <c r="D634" s="8" t="str">
        <f t="array" ref="D634">IF(630&gt;$S$1204,"",INDEX($T$5:$AJ$1204,MATCH(630,$S$5:$S$1204,0),4))</f>
        <v/>
      </c>
      <c r="E634" s="8" t="str">
        <f t="array" ref="E634">IF(630&gt;$S$1204,"",INDEX($T$5:$AJ$1204,MATCH(630,$S$5:$S$1204,0),5))</f>
        <v/>
      </c>
      <c r="F634" s="8" t="str">
        <f t="array" ref="F634">IF(630&gt;$S$1204,"",INDEX($T$5:$AJ$1204,MATCH(630,$S$5:$S$1204,0),6))</f>
        <v/>
      </c>
      <c r="G634" s="8" t="str">
        <f t="array" ref="G634">IF(630&gt;$S$1204,"",INDEX($T$5:$AJ$1204,MATCH(630,$S$5:$S$1204,0),7))</f>
        <v/>
      </c>
      <c r="H634" s="8" t="str">
        <f t="array" ref="H634">IF(630&gt;$S$1204,"",INDEX($T$5:$AJ$1204,MATCH(630,$S$5:$S$1204,0),8))</f>
        <v/>
      </c>
      <c r="I634" s="8" t="str">
        <f t="array" ref="I634">IF(630&gt;$S$1204,"",INDEX($T$5:$AJ$1204,MATCH(630,$S$5:$S$1204,0),9))</f>
        <v/>
      </c>
      <c r="J634" s="14" t="str">
        <f t="array" ref="J634">IF(630&gt;$S$1204,"",INDEX($T$5:$AJ$1204,MATCH(630,$S$5:$S$1204,0),10))</f>
        <v/>
      </c>
      <c r="K634" s="8" t="str">
        <f t="array" ref="K634">IF(630&gt;$S$1204,"",INDEX($T$5:$AJ$1204,MATCH(630,$S$5:$S$1204,0),11))</f>
        <v/>
      </c>
      <c r="L634" s="8" t="str">
        <f t="array" ref="L634">IF(630&gt;$S$1204,"",INDEX($T$5:$AJ$1204,MATCH(630,$S$5:$S$1204,0),12))</f>
        <v/>
      </c>
      <c r="M634" s="8" t="str">
        <f t="array" ref="M634">IF(630&gt;$S$1204,"",INDEX($T$5:$AJ$1204,MATCH(630,$S$5:$S$1204,0),13))</f>
        <v/>
      </c>
      <c r="N634" s="8" t="str">
        <f t="array" ref="N634">IF(630&gt;$S$1204,"",INDEX($T$5:$AJ$1204,MATCH(630,$S$5:$S$1204,0),14))</f>
        <v/>
      </c>
      <c r="O634" s="15" t="str">
        <f t="array" ref="O634">IF(630&gt;$S$1204,"",INDEX($T$5:$AJ$1204,MATCH(630,$S$5:$S$1204,0),15))</f>
        <v/>
      </c>
      <c r="P634" s="8" t="str">
        <f t="array" ref="P634">IF(630&gt;$S$1204,"",INDEX($T$5:$AJ$1204,MATCH(630,$S$5:$S$1204,0),16))</f>
        <v/>
      </c>
      <c r="Q634" s="8" t="str">
        <f t="array" ref="Q634">IF(630&gt;$S$1204,"",INDEX($T$5:$AJ$1204,MATCH(630,$S$5:$S$1204,0),17))</f>
        <v/>
      </c>
      <c r="R634" s="17"/>
      <c r="S634" s="17">
        <f>S633+IF(M4_Sectores!A38="",0,1)</f>
        <v>0</v>
      </c>
      <c r="T634" s="17" t="str">
        <f>IF(M4_Sectores!A38="","",IF(M4_Sectores!A38="","",M4_Sectores!A38))</f>
        <v/>
      </c>
      <c r="U634" s="17" t="str">
        <f>IF(M4_Sectores!A38="","",IF(M4_Sectores!Q38="","",M4_Sectores!Q38))</f>
        <v/>
      </c>
      <c r="V634" s="17" t="str">
        <f>IF(M4_Sectores!A38="","",IF(M4_Sectores!D38="","",M4_Sectores!D38))</f>
        <v/>
      </c>
      <c r="W634" s="17" t="str">
        <f>IF(M4_Sectores!A38="","",IF(M4_Sectores!B38="","",M4_Sectores!B38))</f>
        <v/>
      </c>
      <c r="X634" s="17" t="str">
        <f>IF(M4_Sectores!A38="","",IF(M4_Sectores!C38="","",M4_Sectores!C38))</f>
        <v/>
      </c>
      <c r="Y634" s="17" t="str">
        <f>IF(M4_Sectores!A38="","",IF(M4_Sectores!E38="","",M4_Sectores!E38))</f>
        <v/>
      </c>
      <c r="Z634" s="17" t="str">
        <f>IF(M4_Sectores!A38="","",IF(M4_Sectores!F38="","",M4_Sectores!F38))</f>
        <v/>
      </c>
      <c r="AA634" s="17" t="str">
        <f>IF(M4_Sectores!A38="","","M4 Sectores")</f>
        <v/>
      </c>
      <c r="AB634" s="17" t="str">
        <f>IF(M4_Sectores!A38="","",IF(M4_Sectores!G38="","",M4_Sectores!G38))</f>
        <v/>
      </c>
      <c r="AC634" s="17" t="str">
        <f>IF(M4_Sectores!A38="","",IF(COUNTIFS(M4_Sectores!$A$9:A38,M4_Sectores!A38,M4_Sectores!$D$9:D38,M4_Sectores!D38,M4_Sectores!$H$9:H38,M4_Sectores!H38)=1,IF(M4_Sectores!L38="","",M4_Sectores!L38),""))</f>
        <v/>
      </c>
      <c r="AD634" s="17" t="str">
        <f>IF(M4_Sectores!A38="","","EE")</f>
        <v/>
      </c>
      <c r="AE634" s="17" t="str">
        <f>IF(M4_Sectores!A38="","",IF(M4_Sectores!N38="","",M4_Sectores!N38))</f>
        <v/>
      </c>
      <c r="AF634" s="17" t="str">
        <f>IF(M4_Sectores!A38="","",IF(M4_Sectores!O38="","",M4_Sectores!O38))</f>
        <v/>
      </c>
      <c r="AG634" s="17" t="str">
        <f>IF(M4_Sectores!A38="","",IF(M4_Sectores!P38="","",M4_Sectores!P38))</f>
        <v/>
      </c>
      <c r="AH634" s="17" t="str">
        <f>IF(M4_Sectores!A38="","",IF(M4_Sectores!H38="","",M4_Sectores!H38))</f>
        <v/>
      </c>
      <c r="AI634" s="17" t="str">
        <f>IF(M4_Sectores!A38="","","M4_Sectores!38")</f>
        <v/>
      </c>
      <c r="AJ634" s="17" t="str">
        <f>IF(M4_Sectores!A38="","",IF(M4_Sectores!L38="","Pendiente de momento o resultado",IF(COUNTIFS(M4_Sectores!$A$9:A38,M4_Sectores!A38,M4_Sectores!$D$9:D38,M4_Sectores!D38,M4_Sectores!$H$9:H38,M4_Sectores!H38)=1,"Total del momento","Sector incluido en total")))</f>
        <v/>
      </c>
    </row>
    <row r="635" spans="1:36" ht="55.5" customHeight="1">
      <c r="A635" s="6" t="str">
        <f t="array" ref="A635">IF(631&gt;$S$1204,"",INDEX($T$5:$AJ$1204,MATCH(631,$S$5:$S$1204,0),1))</f>
        <v/>
      </c>
      <c r="B635" s="8" t="str">
        <f t="array" ref="B635">IF(631&gt;$S$1204,"",INDEX($T$5:$AJ$1204,MATCH(631,$S$5:$S$1204,0),2))</f>
        <v/>
      </c>
      <c r="C635" s="10" t="str">
        <f t="array" ref="C635">IF(631&gt;$S$1204,"",INDEX($T$5:$AJ$1204,MATCH(631,$S$5:$S$1204,0),3))</f>
        <v/>
      </c>
      <c r="D635" s="8" t="str">
        <f t="array" ref="D635">IF(631&gt;$S$1204,"",INDEX($T$5:$AJ$1204,MATCH(631,$S$5:$S$1204,0),4))</f>
        <v/>
      </c>
      <c r="E635" s="8" t="str">
        <f t="array" ref="E635">IF(631&gt;$S$1204,"",INDEX($T$5:$AJ$1204,MATCH(631,$S$5:$S$1204,0),5))</f>
        <v/>
      </c>
      <c r="F635" s="8" t="str">
        <f t="array" ref="F635">IF(631&gt;$S$1204,"",INDEX($T$5:$AJ$1204,MATCH(631,$S$5:$S$1204,0),6))</f>
        <v/>
      </c>
      <c r="G635" s="8" t="str">
        <f t="array" ref="G635">IF(631&gt;$S$1204,"",INDEX($T$5:$AJ$1204,MATCH(631,$S$5:$S$1204,0),7))</f>
        <v/>
      </c>
      <c r="H635" s="8" t="str">
        <f t="array" ref="H635">IF(631&gt;$S$1204,"",INDEX($T$5:$AJ$1204,MATCH(631,$S$5:$S$1204,0),8))</f>
        <v/>
      </c>
      <c r="I635" s="8" t="str">
        <f t="array" ref="I635">IF(631&gt;$S$1204,"",INDEX($T$5:$AJ$1204,MATCH(631,$S$5:$S$1204,0),9))</f>
        <v/>
      </c>
      <c r="J635" s="14" t="str">
        <f t="array" ref="J635">IF(631&gt;$S$1204,"",INDEX($T$5:$AJ$1204,MATCH(631,$S$5:$S$1204,0),10))</f>
        <v/>
      </c>
      <c r="K635" s="8" t="str">
        <f t="array" ref="K635">IF(631&gt;$S$1204,"",INDEX($T$5:$AJ$1204,MATCH(631,$S$5:$S$1204,0),11))</f>
        <v/>
      </c>
      <c r="L635" s="8" t="str">
        <f t="array" ref="L635">IF(631&gt;$S$1204,"",INDEX($T$5:$AJ$1204,MATCH(631,$S$5:$S$1204,0),12))</f>
        <v/>
      </c>
      <c r="M635" s="8" t="str">
        <f t="array" ref="M635">IF(631&gt;$S$1204,"",INDEX($T$5:$AJ$1204,MATCH(631,$S$5:$S$1204,0),13))</f>
        <v/>
      </c>
      <c r="N635" s="8" t="str">
        <f t="array" ref="N635">IF(631&gt;$S$1204,"",INDEX($T$5:$AJ$1204,MATCH(631,$S$5:$S$1204,0),14))</f>
        <v/>
      </c>
      <c r="O635" s="15" t="str">
        <f t="array" ref="O635">IF(631&gt;$S$1204,"",INDEX($T$5:$AJ$1204,MATCH(631,$S$5:$S$1204,0),15))</f>
        <v/>
      </c>
      <c r="P635" s="8" t="str">
        <f t="array" ref="P635">IF(631&gt;$S$1204,"",INDEX($T$5:$AJ$1204,MATCH(631,$S$5:$S$1204,0),16))</f>
        <v/>
      </c>
      <c r="Q635" s="8" t="str">
        <f t="array" ref="Q635">IF(631&gt;$S$1204,"",INDEX($T$5:$AJ$1204,MATCH(631,$S$5:$S$1204,0),17))</f>
        <v/>
      </c>
      <c r="R635" s="17"/>
      <c r="S635" s="17">
        <f>S634+IF(M4_Sectores!A39="",0,1)</f>
        <v>0</v>
      </c>
      <c r="T635" s="17" t="str">
        <f>IF(M4_Sectores!A39="","",IF(M4_Sectores!A39="","",M4_Sectores!A39))</f>
        <v/>
      </c>
      <c r="U635" s="17" t="str">
        <f>IF(M4_Sectores!A39="","",IF(M4_Sectores!Q39="","",M4_Sectores!Q39))</f>
        <v/>
      </c>
      <c r="V635" s="17" t="str">
        <f>IF(M4_Sectores!A39="","",IF(M4_Sectores!D39="","",M4_Sectores!D39))</f>
        <v/>
      </c>
      <c r="W635" s="17" t="str">
        <f>IF(M4_Sectores!A39="","",IF(M4_Sectores!B39="","",M4_Sectores!B39))</f>
        <v/>
      </c>
      <c r="X635" s="17" t="str">
        <f>IF(M4_Sectores!A39="","",IF(M4_Sectores!C39="","",M4_Sectores!C39))</f>
        <v/>
      </c>
      <c r="Y635" s="17" t="str">
        <f>IF(M4_Sectores!A39="","",IF(M4_Sectores!E39="","",M4_Sectores!E39))</f>
        <v/>
      </c>
      <c r="Z635" s="17" t="str">
        <f>IF(M4_Sectores!A39="","",IF(M4_Sectores!F39="","",M4_Sectores!F39))</f>
        <v/>
      </c>
      <c r="AA635" s="17" t="str">
        <f>IF(M4_Sectores!A39="","","M4 Sectores")</f>
        <v/>
      </c>
      <c r="AB635" s="17" t="str">
        <f>IF(M4_Sectores!A39="","",IF(M4_Sectores!G39="","",M4_Sectores!G39))</f>
        <v/>
      </c>
      <c r="AC635" s="17" t="str">
        <f>IF(M4_Sectores!A39="","",IF(COUNTIFS(M4_Sectores!$A$9:A39,M4_Sectores!A39,M4_Sectores!$D$9:D39,M4_Sectores!D39,M4_Sectores!$H$9:H39,M4_Sectores!H39)=1,IF(M4_Sectores!L39="","",M4_Sectores!L39),""))</f>
        <v/>
      </c>
      <c r="AD635" s="17" t="str">
        <f>IF(M4_Sectores!A39="","","EE")</f>
        <v/>
      </c>
      <c r="AE635" s="17" t="str">
        <f>IF(M4_Sectores!A39="","",IF(M4_Sectores!N39="","",M4_Sectores!N39))</f>
        <v/>
      </c>
      <c r="AF635" s="17" t="str">
        <f>IF(M4_Sectores!A39="","",IF(M4_Sectores!O39="","",M4_Sectores!O39))</f>
        <v/>
      </c>
      <c r="AG635" s="17" t="str">
        <f>IF(M4_Sectores!A39="","",IF(M4_Sectores!P39="","",M4_Sectores!P39))</f>
        <v/>
      </c>
      <c r="AH635" s="17" t="str">
        <f>IF(M4_Sectores!A39="","",IF(M4_Sectores!H39="","",M4_Sectores!H39))</f>
        <v/>
      </c>
      <c r="AI635" s="17" t="str">
        <f>IF(M4_Sectores!A39="","","M4_Sectores!39")</f>
        <v/>
      </c>
      <c r="AJ635" s="17" t="str">
        <f>IF(M4_Sectores!A39="","",IF(M4_Sectores!L39="","Pendiente de momento o resultado",IF(COUNTIFS(M4_Sectores!$A$9:A39,M4_Sectores!A39,M4_Sectores!$D$9:D39,M4_Sectores!D39,M4_Sectores!$H$9:H39,M4_Sectores!H39)=1,"Total del momento","Sector incluido en total")))</f>
        <v/>
      </c>
    </row>
    <row r="636" spans="1:36" ht="55.5" customHeight="1">
      <c r="A636" s="6" t="str">
        <f t="array" ref="A636">IF(632&gt;$S$1204,"",INDEX($T$5:$AJ$1204,MATCH(632,$S$5:$S$1204,0),1))</f>
        <v/>
      </c>
      <c r="B636" s="8" t="str">
        <f t="array" ref="B636">IF(632&gt;$S$1204,"",INDEX($T$5:$AJ$1204,MATCH(632,$S$5:$S$1204,0),2))</f>
        <v/>
      </c>
      <c r="C636" s="10" t="str">
        <f t="array" ref="C636">IF(632&gt;$S$1204,"",INDEX($T$5:$AJ$1204,MATCH(632,$S$5:$S$1204,0),3))</f>
        <v/>
      </c>
      <c r="D636" s="8" t="str">
        <f t="array" ref="D636">IF(632&gt;$S$1204,"",INDEX($T$5:$AJ$1204,MATCH(632,$S$5:$S$1204,0),4))</f>
        <v/>
      </c>
      <c r="E636" s="8" t="str">
        <f t="array" ref="E636">IF(632&gt;$S$1204,"",INDEX($T$5:$AJ$1204,MATCH(632,$S$5:$S$1204,0),5))</f>
        <v/>
      </c>
      <c r="F636" s="8" t="str">
        <f t="array" ref="F636">IF(632&gt;$S$1204,"",INDEX($T$5:$AJ$1204,MATCH(632,$S$5:$S$1204,0),6))</f>
        <v/>
      </c>
      <c r="G636" s="8" t="str">
        <f t="array" ref="G636">IF(632&gt;$S$1204,"",INDEX($T$5:$AJ$1204,MATCH(632,$S$5:$S$1204,0),7))</f>
        <v/>
      </c>
      <c r="H636" s="8" t="str">
        <f t="array" ref="H636">IF(632&gt;$S$1204,"",INDEX($T$5:$AJ$1204,MATCH(632,$S$5:$S$1204,0),8))</f>
        <v/>
      </c>
      <c r="I636" s="8" t="str">
        <f t="array" ref="I636">IF(632&gt;$S$1204,"",INDEX($T$5:$AJ$1204,MATCH(632,$S$5:$S$1204,0),9))</f>
        <v/>
      </c>
      <c r="J636" s="14" t="str">
        <f t="array" ref="J636">IF(632&gt;$S$1204,"",INDEX($T$5:$AJ$1204,MATCH(632,$S$5:$S$1204,0),10))</f>
        <v/>
      </c>
      <c r="K636" s="8" t="str">
        <f t="array" ref="K636">IF(632&gt;$S$1204,"",INDEX($T$5:$AJ$1204,MATCH(632,$S$5:$S$1204,0),11))</f>
        <v/>
      </c>
      <c r="L636" s="8" t="str">
        <f t="array" ref="L636">IF(632&gt;$S$1204,"",INDEX($T$5:$AJ$1204,MATCH(632,$S$5:$S$1204,0),12))</f>
        <v/>
      </c>
      <c r="M636" s="8" t="str">
        <f t="array" ref="M636">IF(632&gt;$S$1204,"",INDEX($T$5:$AJ$1204,MATCH(632,$S$5:$S$1204,0),13))</f>
        <v/>
      </c>
      <c r="N636" s="8" t="str">
        <f t="array" ref="N636">IF(632&gt;$S$1204,"",INDEX($T$5:$AJ$1204,MATCH(632,$S$5:$S$1204,0),14))</f>
        <v/>
      </c>
      <c r="O636" s="15" t="str">
        <f t="array" ref="O636">IF(632&gt;$S$1204,"",INDEX($T$5:$AJ$1204,MATCH(632,$S$5:$S$1204,0),15))</f>
        <v/>
      </c>
      <c r="P636" s="8" t="str">
        <f t="array" ref="P636">IF(632&gt;$S$1204,"",INDEX($T$5:$AJ$1204,MATCH(632,$S$5:$S$1204,0),16))</f>
        <v/>
      </c>
      <c r="Q636" s="8" t="str">
        <f t="array" ref="Q636">IF(632&gt;$S$1204,"",INDEX($T$5:$AJ$1204,MATCH(632,$S$5:$S$1204,0),17))</f>
        <v/>
      </c>
      <c r="R636" s="17"/>
      <c r="S636" s="17">
        <f>S635+IF(M4_Sectores!A40="",0,1)</f>
        <v>0</v>
      </c>
      <c r="T636" s="17" t="str">
        <f>IF(M4_Sectores!A40="","",IF(M4_Sectores!A40="","",M4_Sectores!A40))</f>
        <v/>
      </c>
      <c r="U636" s="17" t="str">
        <f>IF(M4_Sectores!A40="","",IF(M4_Sectores!Q40="","",M4_Sectores!Q40))</f>
        <v/>
      </c>
      <c r="V636" s="17" t="str">
        <f>IF(M4_Sectores!A40="","",IF(M4_Sectores!D40="","",M4_Sectores!D40))</f>
        <v/>
      </c>
      <c r="W636" s="17" t="str">
        <f>IF(M4_Sectores!A40="","",IF(M4_Sectores!B40="","",M4_Sectores!B40))</f>
        <v/>
      </c>
      <c r="X636" s="17" t="str">
        <f>IF(M4_Sectores!A40="","",IF(M4_Sectores!C40="","",M4_Sectores!C40))</f>
        <v/>
      </c>
      <c r="Y636" s="17" t="str">
        <f>IF(M4_Sectores!A40="","",IF(M4_Sectores!E40="","",M4_Sectores!E40))</f>
        <v/>
      </c>
      <c r="Z636" s="17" t="str">
        <f>IF(M4_Sectores!A40="","",IF(M4_Sectores!F40="","",M4_Sectores!F40))</f>
        <v/>
      </c>
      <c r="AA636" s="17" t="str">
        <f>IF(M4_Sectores!A40="","","M4 Sectores")</f>
        <v/>
      </c>
      <c r="AB636" s="17" t="str">
        <f>IF(M4_Sectores!A40="","",IF(M4_Sectores!G40="","",M4_Sectores!G40))</f>
        <v/>
      </c>
      <c r="AC636" s="17" t="str">
        <f>IF(M4_Sectores!A40="","",IF(COUNTIFS(M4_Sectores!$A$9:A40,M4_Sectores!A40,M4_Sectores!$D$9:D40,M4_Sectores!D40,M4_Sectores!$H$9:H40,M4_Sectores!H40)=1,IF(M4_Sectores!L40="","",M4_Sectores!L40),""))</f>
        <v/>
      </c>
      <c r="AD636" s="17" t="str">
        <f>IF(M4_Sectores!A40="","","EE")</f>
        <v/>
      </c>
      <c r="AE636" s="17" t="str">
        <f>IF(M4_Sectores!A40="","",IF(M4_Sectores!N40="","",M4_Sectores!N40))</f>
        <v/>
      </c>
      <c r="AF636" s="17" t="str">
        <f>IF(M4_Sectores!A40="","",IF(M4_Sectores!O40="","",M4_Sectores!O40))</f>
        <v/>
      </c>
      <c r="AG636" s="17" t="str">
        <f>IF(M4_Sectores!A40="","",IF(M4_Sectores!P40="","",M4_Sectores!P40))</f>
        <v/>
      </c>
      <c r="AH636" s="17" t="str">
        <f>IF(M4_Sectores!A40="","",IF(M4_Sectores!H40="","",M4_Sectores!H40))</f>
        <v/>
      </c>
      <c r="AI636" s="17" t="str">
        <f>IF(M4_Sectores!A40="","","M4_Sectores!40")</f>
        <v/>
      </c>
      <c r="AJ636" s="17" t="str">
        <f>IF(M4_Sectores!A40="","",IF(M4_Sectores!L40="","Pendiente de momento o resultado",IF(COUNTIFS(M4_Sectores!$A$9:A40,M4_Sectores!A40,M4_Sectores!$D$9:D40,M4_Sectores!D40,M4_Sectores!$H$9:H40,M4_Sectores!H40)=1,"Total del momento","Sector incluido en total")))</f>
        <v/>
      </c>
    </row>
    <row r="637" spans="1:36" ht="55.5" customHeight="1">
      <c r="A637" s="6" t="str">
        <f t="array" ref="A637">IF(633&gt;$S$1204,"",INDEX($T$5:$AJ$1204,MATCH(633,$S$5:$S$1204,0),1))</f>
        <v/>
      </c>
      <c r="B637" s="8" t="str">
        <f t="array" ref="B637">IF(633&gt;$S$1204,"",INDEX($T$5:$AJ$1204,MATCH(633,$S$5:$S$1204,0),2))</f>
        <v/>
      </c>
      <c r="C637" s="10" t="str">
        <f t="array" ref="C637">IF(633&gt;$S$1204,"",INDEX($T$5:$AJ$1204,MATCH(633,$S$5:$S$1204,0),3))</f>
        <v/>
      </c>
      <c r="D637" s="8" t="str">
        <f t="array" ref="D637">IF(633&gt;$S$1204,"",INDEX($T$5:$AJ$1204,MATCH(633,$S$5:$S$1204,0),4))</f>
        <v/>
      </c>
      <c r="E637" s="8" t="str">
        <f t="array" ref="E637">IF(633&gt;$S$1204,"",INDEX($T$5:$AJ$1204,MATCH(633,$S$5:$S$1204,0),5))</f>
        <v/>
      </c>
      <c r="F637" s="8" t="str">
        <f t="array" ref="F637">IF(633&gt;$S$1204,"",INDEX($T$5:$AJ$1204,MATCH(633,$S$5:$S$1204,0),6))</f>
        <v/>
      </c>
      <c r="G637" s="8" t="str">
        <f t="array" ref="G637">IF(633&gt;$S$1204,"",INDEX($T$5:$AJ$1204,MATCH(633,$S$5:$S$1204,0),7))</f>
        <v/>
      </c>
      <c r="H637" s="8" t="str">
        <f t="array" ref="H637">IF(633&gt;$S$1204,"",INDEX($T$5:$AJ$1204,MATCH(633,$S$5:$S$1204,0),8))</f>
        <v/>
      </c>
      <c r="I637" s="8" t="str">
        <f t="array" ref="I637">IF(633&gt;$S$1204,"",INDEX($T$5:$AJ$1204,MATCH(633,$S$5:$S$1204,0),9))</f>
        <v/>
      </c>
      <c r="J637" s="14" t="str">
        <f t="array" ref="J637">IF(633&gt;$S$1204,"",INDEX($T$5:$AJ$1204,MATCH(633,$S$5:$S$1204,0),10))</f>
        <v/>
      </c>
      <c r="K637" s="8" t="str">
        <f t="array" ref="K637">IF(633&gt;$S$1204,"",INDEX($T$5:$AJ$1204,MATCH(633,$S$5:$S$1204,0),11))</f>
        <v/>
      </c>
      <c r="L637" s="8" t="str">
        <f t="array" ref="L637">IF(633&gt;$S$1204,"",INDEX($T$5:$AJ$1204,MATCH(633,$S$5:$S$1204,0),12))</f>
        <v/>
      </c>
      <c r="M637" s="8" t="str">
        <f t="array" ref="M637">IF(633&gt;$S$1204,"",INDEX($T$5:$AJ$1204,MATCH(633,$S$5:$S$1204,0),13))</f>
        <v/>
      </c>
      <c r="N637" s="8" t="str">
        <f t="array" ref="N637">IF(633&gt;$S$1204,"",INDEX($T$5:$AJ$1204,MATCH(633,$S$5:$S$1204,0),14))</f>
        <v/>
      </c>
      <c r="O637" s="15" t="str">
        <f t="array" ref="O637">IF(633&gt;$S$1204,"",INDEX($T$5:$AJ$1204,MATCH(633,$S$5:$S$1204,0),15))</f>
        <v/>
      </c>
      <c r="P637" s="8" t="str">
        <f t="array" ref="P637">IF(633&gt;$S$1204,"",INDEX($T$5:$AJ$1204,MATCH(633,$S$5:$S$1204,0),16))</f>
        <v/>
      </c>
      <c r="Q637" s="8" t="str">
        <f t="array" ref="Q637">IF(633&gt;$S$1204,"",INDEX($T$5:$AJ$1204,MATCH(633,$S$5:$S$1204,0),17))</f>
        <v/>
      </c>
      <c r="R637" s="17"/>
      <c r="S637" s="17">
        <f>S636+IF(M4_Sectores!A41="",0,1)</f>
        <v>0</v>
      </c>
      <c r="T637" s="17" t="str">
        <f>IF(M4_Sectores!A41="","",IF(M4_Sectores!A41="","",M4_Sectores!A41))</f>
        <v/>
      </c>
      <c r="U637" s="17" t="str">
        <f>IF(M4_Sectores!A41="","",IF(M4_Sectores!Q41="","",M4_Sectores!Q41))</f>
        <v/>
      </c>
      <c r="V637" s="17" t="str">
        <f>IF(M4_Sectores!A41="","",IF(M4_Sectores!D41="","",M4_Sectores!D41))</f>
        <v/>
      </c>
      <c r="W637" s="17" t="str">
        <f>IF(M4_Sectores!A41="","",IF(M4_Sectores!B41="","",M4_Sectores!B41))</f>
        <v/>
      </c>
      <c r="X637" s="17" t="str">
        <f>IF(M4_Sectores!A41="","",IF(M4_Sectores!C41="","",M4_Sectores!C41))</f>
        <v/>
      </c>
      <c r="Y637" s="17" t="str">
        <f>IF(M4_Sectores!A41="","",IF(M4_Sectores!E41="","",M4_Sectores!E41))</f>
        <v/>
      </c>
      <c r="Z637" s="17" t="str">
        <f>IF(M4_Sectores!A41="","",IF(M4_Sectores!F41="","",M4_Sectores!F41))</f>
        <v/>
      </c>
      <c r="AA637" s="17" t="str">
        <f>IF(M4_Sectores!A41="","","M4 Sectores")</f>
        <v/>
      </c>
      <c r="AB637" s="17" t="str">
        <f>IF(M4_Sectores!A41="","",IF(M4_Sectores!G41="","",M4_Sectores!G41))</f>
        <v/>
      </c>
      <c r="AC637" s="17" t="str">
        <f>IF(M4_Sectores!A41="","",IF(COUNTIFS(M4_Sectores!$A$9:A41,M4_Sectores!A41,M4_Sectores!$D$9:D41,M4_Sectores!D41,M4_Sectores!$H$9:H41,M4_Sectores!H41)=1,IF(M4_Sectores!L41="","",M4_Sectores!L41),""))</f>
        <v/>
      </c>
      <c r="AD637" s="17" t="str">
        <f>IF(M4_Sectores!A41="","","EE")</f>
        <v/>
      </c>
      <c r="AE637" s="17" t="str">
        <f>IF(M4_Sectores!A41="","",IF(M4_Sectores!N41="","",M4_Sectores!N41))</f>
        <v/>
      </c>
      <c r="AF637" s="17" t="str">
        <f>IF(M4_Sectores!A41="","",IF(M4_Sectores!O41="","",M4_Sectores!O41))</f>
        <v/>
      </c>
      <c r="AG637" s="17" t="str">
        <f>IF(M4_Sectores!A41="","",IF(M4_Sectores!P41="","",M4_Sectores!P41))</f>
        <v/>
      </c>
      <c r="AH637" s="17" t="str">
        <f>IF(M4_Sectores!A41="","",IF(M4_Sectores!H41="","",M4_Sectores!H41))</f>
        <v/>
      </c>
      <c r="AI637" s="17" t="str">
        <f>IF(M4_Sectores!A41="","","M4_Sectores!41")</f>
        <v/>
      </c>
      <c r="AJ637" s="17" t="str">
        <f>IF(M4_Sectores!A41="","",IF(M4_Sectores!L41="","Pendiente de momento o resultado",IF(COUNTIFS(M4_Sectores!$A$9:A41,M4_Sectores!A41,M4_Sectores!$D$9:D41,M4_Sectores!D41,M4_Sectores!$H$9:H41,M4_Sectores!H41)=1,"Total del momento","Sector incluido en total")))</f>
        <v/>
      </c>
    </row>
    <row r="638" spans="1:36" ht="55.5" customHeight="1">
      <c r="A638" s="6" t="str">
        <f t="array" ref="A638">IF(634&gt;$S$1204,"",INDEX($T$5:$AJ$1204,MATCH(634,$S$5:$S$1204,0),1))</f>
        <v/>
      </c>
      <c r="B638" s="8" t="str">
        <f t="array" ref="B638">IF(634&gt;$S$1204,"",INDEX($T$5:$AJ$1204,MATCH(634,$S$5:$S$1204,0),2))</f>
        <v/>
      </c>
      <c r="C638" s="10" t="str">
        <f t="array" ref="C638">IF(634&gt;$S$1204,"",INDEX($T$5:$AJ$1204,MATCH(634,$S$5:$S$1204,0),3))</f>
        <v/>
      </c>
      <c r="D638" s="8" t="str">
        <f t="array" ref="D638">IF(634&gt;$S$1204,"",INDEX($T$5:$AJ$1204,MATCH(634,$S$5:$S$1204,0),4))</f>
        <v/>
      </c>
      <c r="E638" s="8" t="str">
        <f t="array" ref="E638">IF(634&gt;$S$1204,"",INDEX($T$5:$AJ$1204,MATCH(634,$S$5:$S$1204,0),5))</f>
        <v/>
      </c>
      <c r="F638" s="8" t="str">
        <f t="array" ref="F638">IF(634&gt;$S$1204,"",INDEX($T$5:$AJ$1204,MATCH(634,$S$5:$S$1204,0),6))</f>
        <v/>
      </c>
      <c r="G638" s="8" t="str">
        <f t="array" ref="G638">IF(634&gt;$S$1204,"",INDEX($T$5:$AJ$1204,MATCH(634,$S$5:$S$1204,0),7))</f>
        <v/>
      </c>
      <c r="H638" s="8" t="str">
        <f t="array" ref="H638">IF(634&gt;$S$1204,"",INDEX($T$5:$AJ$1204,MATCH(634,$S$5:$S$1204,0),8))</f>
        <v/>
      </c>
      <c r="I638" s="8" t="str">
        <f t="array" ref="I638">IF(634&gt;$S$1204,"",INDEX($T$5:$AJ$1204,MATCH(634,$S$5:$S$1204,0),9))</f>
        <v/>
      </c>
      <c r="J638" s="14" t="str">
        <f t="array" ref="J638">IF(634&gt;$S$1204,"",INDEX($T$5:$AJ$1204,MATCH(634,$S$5:$S$1204,0),10))</f>
        <v/>
      </c>
      <c r="K638" s="8" t="str">
        <f t="array" ref="K638">IF(634&gt;$S$1204,"",INDEX($T$5:$AJ$1204,MATCH(634,$S$5:$S$1204,0),11))</f>
        <v/>
      </c>
      <c r="L638" s="8" t="str">
        <f t="array" ref="L638">IF(634&gt;$S$1204,"",INDEX($T$5:$AJ$1204,MATCH(634,$S$5:$S$1204,0),12))</f>
        <v/>
      </c>
      <c r="M638" s="8" t="str">
        <f t="array" ref="M638">IF(634&gt;$S$1204,"",INDEX($T$5:$AJ$1204,MATCH(634,$S$5:$S$1204,0),13))</f>
        <v/>
      </c>
      <c r="N638" s="8" t="str">
        <f t="array" ref="N638">IF(634&gt;$S$1204,"",INDEX($T$5:$AJ$1204,MATCH(634,$S$5:$S$1204,0),14))</f>
        <v/>
      </c>
      <c r="O638" s="15" t="str">
        <f t="array" ref="O638">IF(634&gt;$S$1204,"",INDEX($T$5:$AJ$1204,MATCH(634,$S$5:$S$1204,0),15))</f>
        <v/>
      </c>
      <c r="P638" s="8" t="str">
        <f t="array" ref="P638">IF(634&gt;$S$1204,"",INDEX($T$5:$AJ$1204,MATCH(634,$S$5:$S$1204,0),16))</f>
        <v/>
      </c>
      <c r="Q638" s="8" t="str">
        <f t="array" ref="Q638">IF(634&gt;$S$1204,"",INDEX($T$5:$AJ$1204,MATCH(634,$S$5:$S$1204,0),17))</f>
        <v/>
      </c>
      <c r="R638" s="17"/>
      <c r="S638" s="17">
        <f>S637+IF(M4_Sectores!A42="",0,1)</f>
        <v>0</v>
      </c>
      <c r="T638" s="17" t="str">
        <f>IF(M4_Sectores!A42="","",IF(M4_Sectores!A42="","",M4_Sectores!A42))</f>
        <v/>
      </c>
      <c r="U638" s="17" t="str">
        <f>IF(M4_Sectores!A42="","",IF(M4_Sectores!Q42="","",M4_Sectores!Q42))</f>
        <v/>
      </c>
      <c r="V638" s="17" t="str">
        <f>IF(M4_Sectores!A42="","",IF(M4_Sectores!D42="","",M4_Sectores!D42))</f>
        <v/>
      </c>
      <c r="W638" s="17" t="str">
        <f>IF(M4_Sectores!A42="","",IF(M4_Sectores!B42="","",M4_Sectores!B42))</f>
        <v/>
      </c>
      <c r="X638" s="17" t="str">
        <f>IF(M4_Sectores!A42="","",IF(M4_Sectores!C42="","",M4_Sectores!C42))</f>
        <v/>
      </c>
      <c r="Y638" s="17" t="str">
        <f>IF(M4_Sectores!A42="","",IF(M4_Sectores!E42="","",M4_Sectores!E42))</f>
        <v/>
      </c>
      <c r="Z638" s="17" t="str">
        <f>IF(M4_Sectores!A42="","",IF(M4_Sectores!F42="","",M4_Sectores!F42))</f>
        <v/>
      </c>
      <c r="AA638" s="17" t="str">
        <f>IF(M4_Sectores!A42="","","M4 Sectores")</f>
        <v/>
      </c>
      <c r="AB638" s="17" t="str">
        <f>IF(M4_Sectores!A42="","",IF(M4_Sectores!G42="","",M4_Sectores!G42))</f>
        <v/>
      </c>
      <c r="AC638" s="17" t="str">
        <f>IF(M4_Sectores!A42="","",IF(COUNTIFS(M4_Sectores!$A$9:A42,M4_Sectores!A42,M4_Sectores!$D$9:D42,M4_Sectores!D42,M4_Sectores!$H$9:H42,M4_Sectores!H42)=1,IF(M4_Sectores!L42="","",M4_Sectores!L42),""))</f>
        <v/>
      </c>
      <c r="AD638" s="17" t="str">
        <f>IF(M4_Sectores!A42="","","EE")</f>
        <v/>
      </c>
      <c r="AE638" s="17" t="str">
        <f>IF(M4_Sectores!A42="","",IF(M4_Sectores!N42="","",M4_Sectores!N42))</f>
        <v/>
      </c>
      <c r="AF638" s="17" t="str">
        <f>IF(M4_Sectores!A42="","",IF(M4_Sectores!O42="","",M4_Sectores!O42))</f>
        <v/>
      </c>
      <c r="AG638" s="17" t="str">
        <f>IF(M4_Sectores!A42="","",IF(M4_Sectores!P42="","",M4_Sectores!P42))</f>
        <v/>
      </c>
      <c r="AH638" s="17" t="str">
        <f>IF(M4_Sectores!A42="","",IF(M4_Sectores!H42="","",M4_Sectores!H42))</f>
        <v/>
      </c>
      <c r="AI638" s="17" t="str">
        <f>IF(M4_Sectores!A42="","","M4_Sectores!42")</f>
        <v/>
      </c>
      <c r="AJ638" s="17" t="str">
        <f>IF(M4_Sectores!A42="","",IF(M4_Sectores!L42="","Pendiente de momento o resultado",IF(COUNTIFS(M4_Sectores!$A$9:A42,M4_Sectores!A42,M4_Sectores!$D$9:D42,M4_Sectores!D42,M4_Sectores!$H$9:H42,M4_Sectores!H42)=1,"Total del momento","Sector incluido en total")))</f>
        <v/>
      </c>
    </row>
    <row r="639" spans="1:36" ht="55.5" customHeight="1">
      <c r="A639" s="6" t="str">
        <f t="array" ref="A639">IF(635&gt;$S$1204,"",INDEX($T$5:$AJ$1204,MATCH(635,$S$5:$S$1204,0),1))</f>
        <v/>
      </c>
      <c r="B639" s="8" t="str">
        <f t="array" ref="B639">IF(635&gt;$S$1204,"",INDEX($T$5:$AJ$1204,MATCH(635,$S$5:$S$1204,0),2))</f>
        <v/>
      </c>
      <c r="C639" s="10" t="str">
        <f t="array" ref="C639">IF(635&gt;$S$1204,"",INDEX($T$5:$AJ$1204,MATCH(635,$S$5:$S$1204,0),3))</f>
        <v/>
      </c>
      <c r="D639" s="8" t="str">
        <f t="array" ref="D639">IF(635&gt;$S$1204,"",INDEX($T$5:$AJ$1204,MATCH(635,$S$5:$S$1204,0),4))</f>
        <v/>
      </c>
      <c r="E639" s="8" t="str">
        <f t="array" ref="E639">IF(635&gt;$S$1204,"",INDEX($T$5:$AJ$1204,MATCH(635,$S$5:$S$1204,0),5))</f>
        <v/>
      </c>
      <c r="F639" s="8" t="str">
        <f t="array" ref="F639">IF(635&gt;$S$1204,"",INDEX($T$5:$AJ$1204,MATCH(635,$S$5:$S$1204,0),6))</f>
        <v/>
      </c>
      <c r="G639" s="8" t="str">
        <f t="array" ref="G639">IF(635&gt;$S$1204,"",INDEX($T$5:$AJ$1204,MATCH(635,$S$5:$S$1204,0),7))</f>
        <v/>
      </c>
      <c r="H639" s="8" t="str">
        <f t="array" ref="H639">IF(635&gt;$S$1204,"",INDEX($T$5:$AJ$1204,MATCH(635,$S$5:$S$1204,0),8))</f>
        <v/>
      </c>
      <c r="I639" s="8" t="str">
        <f t="array" ref="I639">IF(635&gt;$S$1204,"",INDEX($T$5:$AJ$1204,MATCH(635,$S$5:$S$1204,0),9))</f>
        <v/>
      </c>
      <c r="J639" s="14" t="str">
        <f t="array" ref="J639">IF(635&gt;$S$1204,"",INDEX($T$5:$AJ$1204,MATCH(635,$S$5:$S$1204,0),10))</f>
        <v/>
      </c>
      <c r="K639" s="8" t="str">
        <f t="array" ref="K639">IF(635&gt;$S$1204,"",INDEX($T$5:$AJ$1204,MATCH(635,$S$5:$S$1204,0),11))</f>
        <v/>
      </c>
      <c r="L639" s="8" t="str">
        <f t="array" ref="L639">IF(635&gt;$S$1204,"",INDEX($T$5:$AJ$1204,MATCH(635,$S$5:$S$1204,0),12))</f>
        <v/>
      </c>
      <c r="M639" s="8" t="str">
        <f t="array" ref="M639">IF(635&gt;$S$1204,"",INDEX($T$5:$AJ$1204,MATCH(635,$S$5:$S$1204,0),13))</f>
        <v/>
      </c>
      <c r="N639" s="8" t="str">
        <f t="array" ref="N639">IF(635&gt;$S$1204,"",INDEX($T$5:$AJ$1204,MATCH(635,$S$5:$S$1204,0),14))</f>
        <v/>
      </c>
      <c r="O639" s="15" t="str">
        <f t="array" ref="O639">IF(635&gt;$S$1204,"",INDEX($T$5:$AJ$1204,MATCH(635,$S$5:$S$1204,0),15))</f>
        <v/>
      </c>
      <c r="P639" s="8" t="str">
        <f t="array" ref="P639">IF(635&gt;$S$1204,"",INDEX($T$5:$AJ$1204,MATCH(635,$S$5:$S$1204,0),16))</f>
        <v/>
      </c>
      <c r="Q639" s="8" t="str">
        <f t="array" ref="Q639">IF(635&gt;$S$1204,"",INDEX($T$5:$AJ$1204,MATCH(635,$S$5:$S$1204,0),17))</f>
        <v/>
      </c>
      <c r="R639" s="17"/>
      <c r="S639" s="17">
        <f>S638+IF(M4_Sectores!A43="",0,1)</f>
        <v>0</v>
      </c>
      <c r="T639" s="17" t="str">
        <f>IF(M4_Sectores!A43="","",IF(M4_Sectores!A43="","",M4_Sectores!A43))</f>
        <v/>
      </c>
      <c r="U639" s="17" t="str">
        <f>IF(M4_Sectores!A43="","",IF(M4_Sectores!Q43="","",M4_Sectores!Q43))</f>
        <v/>
      </c>
      <c r="V639" s="17" t="str">
        <f>IF(M4_Sectores!A43="","",IF(M4_Sectores!D43="","",M4_Sectores!D43))</f>
        <v/>
      </c>
      <c r="W639" s="17" t="str">
        <f>IF(M4_Sectores!A43="","",IF(M4_Sectores!B43="","",M4_Sectores!B43))</f>
        <v/>
      </c>
      <c r="X639" s="17" t="str">
        <f>IF(M4_Sectores!A43="","",IF(M4_Sectores!C43="","",M4_Sectores!C43))</f>
        <v/>
      </c>
      <c r="Y639" s="17" t="str">
        <f>IF(M4_Sectores!A43="","",IF(M4_Sectores!E43="","",M4_Sectores!E43))</f>
        <v/>
      </c>
      <c r="Z639" s="17" t="str">
        <f>IF(M4_Sectores!A43="","",IF(M4_Sectores!F43="","",M4_Sectores!F43))</f>
        <v/>
      </c>
      <c r="AA639" s="17" t="str">
        <f>IF(M4_Sectores!A43="","","M4 Sectores")</f>
        <v/>
      </c>
      <c r="AB639" s="17" t="str">
        <f>IF(M4_Sectores!A43="","",IF(M4_Sectores!G43="","",M4_Sectores!G43))</f>
        <v/>
      </c>
      <c r="AC639" s="17" t="str">
        <f>IF(M4_Sectores!A43="","",IF(COUNTIFS(M4_Sectores!$A$9:A43,M4_Sectores!A43,M4_Sectores!$D$9:D43,M4_Sectores!D43,M4_Sectores!$H$9:H43,M4_Sectores!H43)=1,IF(M4_Sectores!L43="","",M4_Sectores!L43),""))</f>
        <v/>
      </c>
      <c r="AD639" s="17" t="str">
        <f>IF(M4_Sectores!A43="","","EE")</f>
        <v/>
      </c>
      <c r="AE639" s="17" t="str">
        <f>IF(M4_Sectores!A43="","",IF(M4_Sectores!N43="","",M4_Sectores!N43))</f>
        <v/>
      </c>
      <c r="AF639" s="17" t="str">
        <f>IF(M4_Sectores!A43="","",IF(M4_Sectores!O43="","",M4_Sectores!O43))</f>
        <v/>
      </c>
      <c r="AG639" s="17" t="str">
        <f>IF(M4_Sectores!A43="","",IF(M4_Sectores!P43="","",M4_Sectores!P43))</f>
        <v/>
      </c>
      <c r="AH639" s="17" t="str">
        <f>IF(M4_Sectores!A43="","",IF(M4_Sectores!H43="","",M4_Sectores!H43))</f>
        <v/>
      </c>
      <c r="AI639" s="17" t="str">
        <f>IF(M4_Sectores!A43="","","M4_Sectores!43")</f>
        <v/>
      </c>
      <c r="AJ639" s="17" t="str">
        <f>IF(M4_Sectores!A43="","",IF(M4_Sectores!L43="","Pendiente de momento o resultado",IF(COUNTIFS(M4_Sectores!$A$9:A43,M4_Sectores!A43,M4_Sectores!$D$9:D43,M4_Sectores!D43,M4_Sectores!$H$9:H43,M4_Sectores!H43)=1,"Total del momento","Sector incluido en total")))</f>
        <v/>
      </c>
    </row>
    <row r="640" spans="1:36" ht="55.5" customHeight="1">
      <c r="A640" s="6" t="str">
        <f t="array" ref="A640">IF(636&gt;$S$1204,"",INDEX($T$5:$AJ$1204,MATCH(636,$S$5:$S$1204,0),1))</f>
        <v/>
      </c>
      <c r="B640" s="8" t="str">
        <f t="array" ref="B640">IF(636&gt;$S$1204,"",INDEX($T$5:$AJ$1204,MATCH(636,$S$5:$S$1204,0),2))</f>
        <v/>
      </c>
      <c r="C640" s="10" t="str">
        <f t="array" ref="C640">IF(636&gt;$S$1204,"",INDEX($T$5:$AJ$1204,MATCH(636,$S$5:$S$1204,0),3))</f>
        <v/>
      </c>
      <c r="D640" s="8" t="str">
        <f t="array" ref="D640">IF(636&gt;$S$1204,"",INDEX($T$5:$AJ$1204,MATCH(636,$S$5:$S$1204,0),4))</f>
        <v/>
      </c>
      <c r="E640" s="8" t="str">
        <f t="array" ref="E640">IF(636&gt;$S$1204,"",INDEX($T$5:$AJ$1204,MATCH(636,$S$5:$S$1204,0),5))</f>
        <v/>
      </c>
      <c r="F640" s="8" t="str">
        <f t="array" ref="F640">IF(636&gt;$S$1204,"",INDEX($T$5:$AJ$1204,MATCH(636,$S$5:$S$1204,0),6))</f>
        <v/>
      </c>
      <c r="G640" s="8" t="str">
        <f t="array" ref="G640">IF(636&gt;$S$1204,"",INDEX($T$5:$AJ$1204,MATCH(636,$S$5:$S$1204,0),7))</f>
        <v/>
      </c>
      <c r="H640" s="8" t="str">
        <f t="array" ref="H640">IF(636&gt;$S$1204,"",INDEX($T$5:$AJ$1204,MATCH(636,$S$5:$S$1204,0),8))</f>
        <v/>
      </c>
      <c r="I640" s="8" t="str">
        <f t="array" ref="I640">IF(636&gt;$S$1204,"",INDEX($T$5:$AJ$1204,MATCH(636,$S$5:$S$1204,0),9))</f>
        <v/>
      </c>
      <c r="J640" s="14" t="str">
        <f t="array" ref="J640">IF(636&gt;$S$1204,"",INDEX($T$5:$AJ$1204,MATCH(636,$S$5:$S$1204,0),10))</f>
        <v/>
      </c>
      <c r="K640" s="8" t="str">
        <f t="array" ref="K640">IF(636&gt;$S$1204,"",INDEX($T$5:$AJ$1204,MATCH(636,$S$5:$S$1204,0),11))</f>
        <v/>
      </c>
      <c r="L640" s="8" t="str">
        <f t="array" ref="L640">IF(636&gt;$S$1204,"",INDEX($T$5:$AJ$1204,MATCH(636,$S$5:$S$1204,0),12))</f>
        <v/>
      </c>
      <c r="M640" s="8" t="str">
        <f t="array" ref="M640">IF(636&gt;$S$1204,"",INDEX($T$5:$AJ$1204,MATCH(636,$S$5:$S$1204,0),13))</f>
        <v/>
      </c>
      <c r="N640" s="8" t="str">
        <f t="array" ref="N640">IF(636&gt;$S$1204,"",INDEX($T$5:$AJ$1204,MATCH(636,$S$5:$S$1204,0),14))</f>
        <v/>
      </c>
      <c r="O640" s="15" t="str">
        <f t="array" ref="O640">IF(636&gt;$S$1204,"",INDEX($T$5:$AJ$1204,MATCH(636,$S$5:$S$1204,0),15))</f>
        <v/>
      </c>
      <c r="P640" s="8" t="str">
        <f t="array" ref="P640">IF(636&gt;$S$1204,"",INDEX($T$5:$AJ$1204,MATCH(636,$S$5:$S$1204,0),16))</f>
        <v/>
      </c>
      <c r="Q640" s="8" t="str">
        <f t="array" ref="Q640">IF(636&gt;$S$1204,"",INDEX($T$5:$AJ$1204,MATCH(636,$S$5:$S$1204,0),17))</f>
        <v/>
      </c>
      <c r="R640" s="17"/>
      <c r="S640" s="17">
        <f>S639+IF(M4_Sectores!A44="",0,1)</f>
        <v>0</v>
      </c>
      <c r="T640" s="17" t="str">
        <f>IF(M4_Sectores!A44="","",IF(M4_Sectores!A44="","",M4_Sectores!A44))</f>
        <v/>
      </c>
      <c r="U640" s="17" t="str">
        <f>IF(M4_Sectores!A44="","",IF(M4_Sectores!Q44="","",M4_Sectores!Q44))</f>
        <v/>
      </c>
      <c r="V640" s="17" t="str">
        <f>IF(M4_Sectores!A44="","",IF(M4_Sectores!D44="","",M4_Sectores!D44))</f>
        <v/>
      </c>
      <c r="W640" s="17" t="str">
        <f>IF(M4_Sectores!A44="","",IF(M4_Sectores!B44="","",M4_Sectores!B44))</f>
        <v/>
      </c>
      <c r="X640" s="17" t="str">
        <f>IF(M4_Sectores!A44="","",IF(M4_Sectores!C44="","",M4_Sectores!C44))</f>
        <v/>
      </c>
      <c r="Y640" s="17" t="str">
        <f>IF(M4_Sectores!A44="","",IF(M4_Sectores!E44="","",M4_Sectores!E44))</f>
        <v/>
      </c>
      <c r="Z640" s="17" t="str">
        <f>IF(M4_Sectores!A44="","",IF(M4_Sectores!F44="","",M4_Sectores!F44))</f>
        <v/>
      </c>
      <c r="AA640" s="17" t="str">
        <f>IF(M4_Sectores!A44="","","M4 Sectores")</f>
        <v/>
      </c>
      <c r="AB640" s="17" t="str">
        <f>IF(M4_Sectores!A44="","",IF(M4_Sectores!G44="","",M4_Sectores!G44))</f>
        <v/>
      </c>
      <c r="AC640" s="17" t="str">
        <f>IF(M4_Sectores!A44="","",IF(COUNTIFS(M4_Sectores!$A$9:A44,M4_Sectores!A44,M4_Sectores!$D$9:D44,M4_Sectores!D44,M4_Sectores!$H$9:H44,M4_Sectores!H44)=1,IF(M4_Sectores!L44="","",M4_Sectores!L44),""))</f>
        <v/>
      </c>
      <c r="AD640" s="17" t="str">
        <f>IF(M4_Sectores!A44="","","EE")</f>
        <v/>
      </c>
      <c r="AE640" s="17" t="str">
        <f>IF(M4_Sectores!A44="","",IF(M4_Sectores!N44="","",M4_Sectores!N44))</f>
        <v/>
      </c>
      <c r="AF640" s="17" t="str">
        <f>IF(M4_Sectores!A44="","",IF(M4_Sectores!O44="","",M4_Sectores!O44))</f>
        <v/>
      </c>
      <c r="AG640" s="17" t="str">
        <f>IF(M4_Sectores!A44="","",IF(M4_Sectores!P44="","",M4_Sectores!P44))</f>
        <v/>
      </c>
      <c r="AH640" s="17" t="str">
        <f>IF(M4_Sectores!A44="","",IF(M4_Sectores!H44="","",M4_Sectores!H44))</f>
        <v/>
      </c>
      <c r="AI640" s="17" t="str">
        <f>IF(M4_Sectores!A44="","","M4_Sectores!44")</f>
        <v/>
      </c>
      <c r="AJ640" s="17" t="str">
        <f>IF(M4_Sectores!A44="","",IF(M4_Sectores!L44="","Pendiente de momento o resultado",IF(COUNTIFS(M4_Sectores!$A$9:A44,M4_Sectores!A44,M4_Sectores!$D$9:D44,M4_Sectores!D44,M4_Sectores!$H$9:H44,M4_Sectores!H44)=1,"Total del momento","Sector incluido en total")))</f>
        <v/>
      </c>
    </row>
    <row r="641" spans="1:36" ht="55.5" customHeight="1">
      <c r="A641" s="6" t="str">
        <f t="array" ref="A641">IF(637&gt;$S$1204,"",INDEX($T$5:$AJ$1204,MATCH(637,$S$5:$S$1204,0),1))</f>
        <v/>
      </c>
      <c r="B641" s="8" t="str">
        <f t="array" ref="B641">IF(637&gt;$S$1204,"",INDEX($T$5:$AJ$1204,MATCH(637,$S$5:$S$1204,0),2))</f>
        <v/>
      </c>
      <c r="C641" s="10" t="str">
        <f t="array" ref="C641">IF(637&gt;$S$1204,"",INDEX($T$5:$AJ$1204,MATCH(637,$S$5:$S$1204,0),3))</f>
        <v/>
      </c>
      <c r="D641" s="8" t="str">
        <f t="array" ref="D641">IF(637&gt;$S$1204,"",INDEX($T$5:$AJ$1204,MATCH(637,$S$5:$S$1204,0),4))</f>
        <v/>
      </c>
      <c r="E641" s="8" t="str">
        <f t="array" ref="E641">IF(637&gt;$S$1204,"",INDEX($T$5:$AJ$1204,MATCH(637,$S$5:$S$1204,0),5))</f>
        <v/>
      </c>
      <c r="F641" s="8" t="str">
        <f t="array" ref="F641">IF(637&gt;$S$1204,"",INDEX($T$5:$AJ$1204,MATCH(637,$S$5:$S$1204,0),6))</f>
        <v/>
      </c>
      <c r="G641" s="8" t="str">
        <f t="array" ref="G641">IF(637&gt;$S$1204,"",INDEX($T$5:$AJ$1204,MATCH(637,$S$5:$S$1204,0),7))</f>
        <v/>
      </c>
      <c r="H641" s="8" t="str">
        <f t="array" ref="H641">IF(637&gt;$S$1204,"",INDEX($T$5:$AJ$1204,MATCH(637,$S$5:$S$1204,0),8))</f>
        <v/>
      </c>
      <c r="I641" s="8" t="str">
        <f t="array" ref="I641">IF(637&gt;$S$1204,"",INDEX($T$5:$AJ$1204,MATCH(637,$S$5:$S$1204,0),9))</f>
        <v/>
      </c>
      <c r="J641" s="14" t="str">
        <f t="array" ref="J641">IF(637&gt;$S$1204,"",INDEX($T$5:$AJ$1204,MATCH(637,$S$5:$S$1204,0),10))</f>
        <v/>
      </c>
      <c r="K641" s="8" t="str">
        <f t="array" ref="K641">IF(637&gt;$S$1204,"",INDEX($T$5:$AJ$1204,MATCH(637,$S$5:$S$1204,0),11))</f>
        <v/>
      </c>
      <c r="L641" s="8" t="str">
        <f t="array" ref="L641">IF(637&gt;$S$1204,"",INDEX($T$5:$AJ$1204,MATCH(637,$S$5:$S$1204,0),12))</f>
        <v/>
      </c>
      <c r="M641" s="8" t="str">
        <f t="array" ref="M641">IF(637&gt;$S$1204,"",INDEX($T$5:$AJ$1204,MATCH(637,$S$5:$S$1204,0),13))</f>
        <v/>
      </c>
      <c r="N641" s="8" t="str">
        <f t="array" ref="N641">IF(637&gt;$S$1204,"",INDEX($T$5:$AJ$1204,MATCH(637,$S$5:$S$1204,0),14))</f>
        <v/>
      </c>
      <c r="O641" s="15" t="str">
        <f t="array" ref="O641">IF(637&gt;$S$1204,"",INDEX($T$5:$AJ$1204,MATCH(637,$S$5:$S$1204,0),15))</f>
        <v/>
      </c>
      <c r="P641" s="8" t="str">
        <f t="array" ref="P641">IF(637&gt;$S$1204,"",INDEX($T$5:$AJ$1204,MATCH(637,$S$5:$S$1204,0),16))</f>
        <v/>
      </c>
      <c r="Q641" s="8" t="str">
        <f t="array" ref="Q641">IF(637&gt;$S$1204,"",INDEX($T$5:$AJ$1204,MATCH(637,$S$5:$S$1204,0),17))</f>
        <v/>
      </c>
      <c r="R641" s="17"/>
      <c r="S641" s="17">
        <f>S640+IF(M4_Sectores!A45="",0,1)</f>
        <v>0</v>
      </c>
      <c r="T641" s="17" t="str">
        <f>IF(M4_Sectores!A45="","",IF(M4_Sectores!A45="","",M4_Sectores!A45))</f>
        <v/>
      </c>
      <c r="U641" s="17" t="str">
        <f>IF(M4_Sectores!A45="","",IF(M4_Sectores!Q45="","",M4_Sectores!Q45))</f>
        <v/>
      </c>
      <c r="V641" s="17" t="str">
        <f>IF(M4_Sectores!A45="","",IF(M4_Sectores!D45="","",M4_Sectores!D45))</f>
        <v/>
      </c>
      <c r="W641" s="17" t="str">
        <f>IF(M4_Sectores!A45="","",IF(M4_Sectores!B45="","",M4_Sectores!B45))</f>
        <v/>
      </c>
      <c r="X641" s="17" t="str">
        <f>IF(M4_Sectores!A45="","",IF(M4_Sectores!C45="","",M4_Sectores!C45))</f>
        <v/>
      </c>
      <c r="Y641" s="17" t="str">
        <f>IF(M4_Sectores!A45="","",IF(M4_Sectores!E45="","",M4_Sectores!E45))</f>
        <v/>
      </c>
      <c r="Z641" s="17" t="str">
        <f>IF(M4_Sectores!A45="","",IF(M4_Sectores!F45="","",M4_Sectores!F45))</f>
        <v/>
      </c>
      <c r="AA641" s="17" t="str">
        <f>IF(M4_Sectores!A45="","","M4 Sectores")</f>
        <v/>
      </c>
      <c r="AB641" s="17" t="str">
        <f>IF(M4_Sectores!A45="","",IF(M4_Sectores!G45="","",M4_Sectores!G45))</f>
        <v/>
      </c>
      <c r="AC641" s="17" t="str">
        <f>IF(M4_Sectores!A45="","",IF(COUNTIFS(M4_Sectores!$A$9:A45,M4_Sectores!A45,M4_Sectores!$D$9:D45,M4_Sectores!D45,M4_Sectores!$H$9:H45,M4_Sectores!H45)=1,IF(M4_Sectores!L45="","",M4_Sectores!L45),""))</f>
        <v/>
      </c>
      <c r="AD641" s="17" t="str">
        <f>IF(M4_Sectores!A45="","","EE")</f>
        <v/>
      </c>
      <c r="AE641" s="17" t="str">
        <f>IF(M4_Sectores!A45="","",IF(M4_Sectores!N45="","",M4_Sectores!N45))</f>
        <v/>
      </c>
      <c r="AF641" s="17" t="str">
        <f>IF(M4_Sectores!A45="","",IF(M4_Sectores!O45="","",M4_Sectores!O45))</f>
        <v/>
      </c>
      <c r="AG641" s="17" t="str">
        <f>IF(M4_Sectores!A45="","",IF(M4_Sectores!P45="","",M4_Sectores!P45))</f>
        <v/>
      </c>
      <c r="AH641" s="17" t="str">
        <f>IF(M4_Sectores!A45="","",IF(M4_Sectores!H45="","",M4_Sectores!H45))</f>
        <v/>
      </c>
      <c r="AI641" s="17" t="str">
        <f>IF(M4_Sectores!A45="","","M4_Sectores!45")</f>
        <v/>
      </c>
      <c r="AJ641" s="17" t="str">
        <f>IF(M4_Sectores!A45="","",IF(M4_Sectores!L45="","Pendiente de momento o resultado",IF(COUNTIFS(M4_Sectores!$A$9:A45,M4_Sectores!A45,M4_Sectores!$D$9:D45,M4_Sectores!D45,M4_Sectores!$H$9:H45,M4_Sectores!H45)=1,"Total del momento","Sector incluido en total")))</f>
        <v/>
      </c>
    </row>
    <row r="642" spans="1:36" ht="55.5" customHeight="1">
      <c r="A642" s="6" t="str">
        <f t="array" ref="A642">IF(638&gt;$S$1204,"",INDEX($T$5:$AJ$1204,MATCH(638,$S$5:$S$1204,0),1))</f>
        <v/>
      </c>
      <c r="B642" s="8" t="str">
        <f t="array" ref="B642">IF(638&gt;$S$1204,"",INDEX($T$5:$AJ$1204,MATCH(638,$S$5:$S$1204,0),2))</f>
        <v/>
      </c>
      <c r="C642" s="10" t="str">
        <f t="array" ref="C642">IF(638&gt;$S$1204,"",INDEX($T$5:$AJ$1204,MATCH(638,$S$5:$S$1204,0),3))</f>
        <v/>
      </c>
      <c r="D642" s="8" t="str">
        <f t="array" ref="D642">IF(638&gt;$S$1204,"",INDEX($T$5:$AJ$1204,MATCH(638,$S$5:$S$1204,0),4))</f>
        <v/>
      </c>
      <c r="E642" s="8" t="str">
        <f t="array" ref="E642">IF(638&gt;$S$1204,"",INDEX($T$5:$AJ$1204,MATCH(638,$S$5:$S$1204,0),5))</f>
        <v/>
      </c>
      <c r="F642" s="8" t="str">
        <f t="array" ref="F642">IF(638&gt;$S$1204,"",INDEX($T$5:$AJ$1204,MATCH(638,$S$5:$S$1204,0),6))</f>
        <v/>
      </c>
      <c r="G642" s="8" t="str">
        <f t="array" ref="G642">IF(638&gt;$S$1204,"",INDEX($T$5:$AJ$1204,MATCH(638,$S$5:$S$1204,0),7))</f>
        <v/>
      </c>
      <c r="H642" s="8" t="str">
        <f t="array" ref="H642">IF(638&gt;$S$1204,"",INDEX($T$5:$AJ$1204,MATCH(638,$S$5:$S$1204,0),8))</f>
        <v/>
      </c>
      <c r="I642" s="8" t="str">
        <f t="array" ref="I642">IF(638&gt;$S$1204,"",INDEX($T$5:$AJ$1204,MATCH(638,$S$5:$S$1204,0),9))</f>
        <v/>
      </c>
      <c r="J642" s="14" t="str">
        <f t="array" ref="J642">IF(638&gt;$S$1204,"",INDEX($T$5:$AJ$1204,MATCH(638,$S$5:$S$1204,0),10))</f>
        <v/>
      </c>
      <c r="K642" s="8" t="str">
        <f t="array" ref="K642">IF(638&gt;$S$1204,"",INDEX($T$5:$AJ$1204,MATCH(638,$S$5:$S$1204,0),11))</f>
        <v/>
      </c>
      <c r="L642" s="8" t="str">
        <f t="array" ref="L642">IF(638&gt;$S$1204,"",INDEX($T$5:$AJ$1204,MATCH(638,$S$5:$S$1204,0),12))</f>
        <v/>
      </c>
      <c r="M642" s="8" t="str">
        <f t="array" ref="M642">IF(638&gt;$S$1204,"",INDEX($T$5:$AJ$1204,MATCH(638,$S$5:$S$1204,0),13))</f>
        <v/>
      </c>
      <c r="N642" s="8" t="str">
        <f t="array" ref="N642">IF(638&gt;$S$1204,"",INDEX($T$5:$AJ$1204,MATCH(638,$S$5:$S$1204,0),14))</f>
        <v/>
      </c>
      <c r="O642" s="15" t="str">
        <f t="array" ref="O642">IF(638&gt;$S$1204,"",INDEX($T$5:$AJ$1204,MATCH(638,$S$5:$S$1204,0),15))</f>
        <v/>
      </c>
      <c r="P642" s="8" t="str">
        <f t="array" ref="P642">IF(638&gt;$S$1204,"",INDEX($T$5:$AJ$1204,MATCH(638,$S$5:$S$1204,0),16))</f>
        <v/>
      </c>
      <c r="Q642" s="8" t="str">
        <f t="array" ref="Q642">IF(638&gt;$S$1204,"",INDEX($T$5:$AJ$1204,MATCH(638,$S$5:$S$1204,0),17))</f>
        <v/>
      </c>
      <c r="R642" s="17"/>
      <c r="S642" s="17">
        <f>S641+IF(M4_Sectores!A46="",0,1)</f>
        <v>0</v>
      </c>
      <c r="T642" s="17" t="str">
        <f>IF(M4_Sectores!A46="","",IF(M4_Sectores!A46="","",M4_Sectores!A46))</f>
        <v/>
      </c>
      <c r="U642" s="17" t="str">
        <f>IF(M4_Sectores!A46="","",IF(M4_Sectores!Q46="","",M4_Sectores!Q46))</f>
        <v/>
      </c>
      <c r="V642" s="17" t="str">
        <f>IF(M4_Sectores!A46="","",IF(M4_Sectores!D46="","",M4_Sectores!D46))</f>
        <v/>
      </c>
      <c r="W642" s="17" t="str">
        <f>IF(M4_Sectores!A46="","",IF(M4_Sectores!B46="","",M4_Sectores!B46))</f>
        <v/>
      </c>
      <c r="X642" s="17" t="str">
        <f>IF(M4_Sectores!A46="","",IF(M4_Sectores!C46="","",M4_Sectores!C46))</f>
        <v/>
      </c>
      <c r="Y642" s="17" t="str">
        <f>IF(M4_Sectores!A46="","",IF(M4_Sectores!E46="","",M4_Sectores!E46))</f>
        <v/>
      </c>
      <c r="Z642" s="17" t="str">
        <f>IF(M4_Sectores!A46="","",IF(M4_Sectores!F46="","",M4_Sectores!F46))</f>
        <v/>
      </c>
      <c r="AA642" s="17" t="str">
        <f>IF(M4_Sectores!A46="","","M4 Sectores")</f>
        <v/>
      </c>
      <c r="AB642" s="17" t="str">
        <f>IF(M4_Sectores!A46="","",IF(M4_Sectores!G46="","",M4_Sectores!G46))</f>
        <v/>
      </c>
      <c r="AC642" s="17" t="str">
        <f>IF(M4_Sectores!A46="","",IF(COUNTIFS(M4_Sectores!$A$9:A46,M4_Sectores!A46,M4_Sectores!$D$9:D46,M4_Sectores!D46,M4_Sectores!$H$9:H46,M4_Sectores!H46)=1,IF(M4_Sectores!L46="","",M4_Sectores!L46),""))</f>
        <v/>
      </c>
      <c r="AD642" s="17" t="str">
        <f>IF(M4_Sectores!A46="","","EE")</f>
        <v/>
      </c>
      <c r="AE642" s="17" t="str">
        <f>IF(M4_Sectores!A46="","",IF(M4_Sectores!N46="","",M4_Sectores!N46))</f>
        <v/>
      </c>
      <c r="AF642" s="17" t="str">
        <f>IF(M4_Sectores!A46="","",IF(M4_Sectores!O46="","",M4_Sectores!O46))</f>
        <v/>
      </c>
      <c r="AG642" s="17" t="str">
        <f>IF(M4_Sectores!A46="","",IF(M4_Sectores!P46="","",M4_Sectores!P46))</f>
        <v/>
      </c>
      <c r="AH642" s="17" t="str">
        <f>IF(M4_Sectores!A46="","",IF(M4_Sectores!H46="","",M4_Sectores!H46))</f>
        <v/>
      </c>
      <c r="AI642" s="17" t="str">
        <f>IF(M4_Sectores!A46="","","M4_Sectores!46")</f>
        <v/>
      </c>
      <c r="AJ642" s="17" t="str">
        <f>IF(M4_Sectores!A46="","",IF(M4_Sectores!L46="","Pendiente de momento o resultado",IF(COUNTIFS(M4_Sectores!$A$9:A46,M4_Sectores!A46,M4_Sectores!$D$9:D46,M4_Sectores!D46,M4_Sectores!$H$9:H46,M4_Sectores!H46)=1,"Total del momento","Sector incluido en total")))</f>
        <v/>
      </c>
    </row>
    <row r="643" spans="1:36" ht="55.5" customHeight="1">
      <c r="A643" s="6" t="str">
        <f t="array" ref="A643">IF(639&gt;$S$1204,"",INDEX($T$5:$AJ$1204,MATCH(639,$S$5:$S$1204,0),1))</f>
        <v/>
      </c>
      <c r="B643" s="8" t="str">
        <f t="array" ref="B643">IF(639&gt;$S$1204,"",INDEX($T$5:$AJ$1204,MATCH(639,$S$5:$S$1204,0),2))</f>
        <v/>
      </c>
      <c r="C643" s="10" t="str">
        <f t="array" ref="C643">IF(639&gt;$S$1204,"",INDEX($T$5:$AJ$1204,MATCH(639,$S$5:$S$1204,0),3))</f>
        <v/>
      </c>
      <c r="D643" s="8" t="str">
        <f t="array" ref="D643">IF(639&gt;$S$1204,"",INDEX($T$5:$AJ$1204,MATCH(639,$S$5:$S$1204,0),4))</f>
        <v/>
      </c>
      <c r="E643" s="8" t="str">
        <f t="array" ref="E643">IF(639&gt;$S$1204,"",INDEX($T$5:$AJ$1204,MATCH(639,$S$5:$S$1204,0),5))</f>
        <v/>
      </c>
      <c r="F643" s="8" t="str">
        <f t="array" ref="F643">IF(639&gt;$S$1204,"",INDEX($T$5:$AJ$1204,MATCH(639,$S$5:$S$1204,0),6))</f>
        <v/>
      </c>
      <c r="G643" s="8" t="str">
        <f t="array" ref="G643">IF(639&gt;$S$1204,"",INDEX($T$5:$AJ$1204,MATCH(639,$S$5:$S$1204,0),7))</f>
        <v/>
      </c>
      <c r="H643" s="8" t="str">
        <f t="array" ref="H643">IF(639&gt;$S$1204,"",INDEX($T$5:$AJ$1204,MATCH(639,$S$5:$S$1204,0),8))</f>
        <v/>
      </c>
      <c r="I643" s="8" t="str">
        <f t="array" ref="I643">IF(639&gt;$S$1204,"",INDEX($T$5:$AJ$1204,MATCH(639,$S$5:$S$1204,0),9))</f>
        <v/>
      </c>
      <c r="J643" s="14" t="str">
        <f t="array" ref="J643">IF(639&gt;$S$1204,"",INDEX($T$5:$AJ$1204,MATCH(639,$S$5:$S$1204,0),10))</f>
        <v/>
      </c>
      <c r="K643" s="8" t="str">
        <f t="array" ref="K643">IF(639&gt;$S$1204,"",INDEX($T$5:$AJ$1204,MATCH(639,$S$5:$S$1204,0),11))</f>
        <v/>
      </c>
      <c r="L643" s="8" t="str">
        <f t="array" ref="L643">IF(639&gt;$S$1204,"",INDEX($T$5:$AJ$1204,MATCH(639,$S$5:$S$1204,0),12))</f>
        <v/>
      </c>
      <c r="M643" s="8" t="str">
        <f t="array" ref="M643">IF(639&gt;$S$1204,"",INDEX($T$5:$AJ$1204,MATCH(639,$S$5:$S$1204,0),13))</f>
        <v/>
      </c>
      <c r="N643" s="8" t="str">
        <f t="array" ref="N643">IF(639&gt;$S$1204,"",INDEX($T$5:$AJ$1204,MATCH(639,$S$5:$S$1204,0),14))</f>
        <v/>
      </c>
      <c r="O643" s="15" t="str">
        <f t="array" ref="O643">IF(639&gt;$S$1204,"",INDEX($T$5:$AJ$1204,MATCH(639,$S$5:$S$1204,0),15))</f>
        <v/>
      </c>
      <c r="P643" s="8" t="str">
        <f t="array" ref="P643">IF(639&gt;$S$1204,"",INDEX($T$5:$AJ$1204,MATCH(639,$S$5:$S$1204,0),16))</f>
        <v/>
      </c>
      <c r="Q643" s="8" t="str">
        <f t="array" ref="Q643">IF(639&gt;$S$1204,"",INDEX($T$5:$AJ$1204,MATCH(639,$S$5:$S$1204,0),17))</f>
        <v/>
      </c>
      <c r="R643" s="17"/>
      <c r="S643" s="17">
        <f>S642+IF(M4_Sectores!A47="",0,1)</f>
        <v>0</v>
      </c>
      <c r="T643" s="17" t="str">
        <f>IF(M4_Sectores!A47="","",IF(M4_Sectores!A47="","",M4_Sectores!A47))</f>
        <v/>
      </c>
      <c r="U643" s="17" t="str">
        <f>IF(M4_Sectores!A47="","",IF(M4_Sectores!Q47="","",M4_Sectores!Q47))</f>
        <v/>
      </c>
      <c r="V643" s="17" t="str">
        <f>IF(M4_Sectores!A47="","",IF(M4_Sectores!D47="","",M4_Sectores!D47))</f>
        <v/>
      </c>
      <c r="W643" s="17" t="str">
        <f>IF(M4_Sectores!A47="","",IF(M4_Sectores!B47="","",M4_Sectores!B47))</f>
        <v/>
      </c>
      <c r="X643" s="17" t="str">
        <f>IF(M4_Sectores!A47="","",IF(M4_Sectores!C47="","",M4_Sectores!C47))</f>
        <v/>
      </c>
      <c r="Y643" s="17" t="str">
        <f>IF(M4_Sectores!A47="","",IF(M4_Sectores!E47="","",M4_Sectores!E47))</f>
        <v/>
      </c>
      <c r="Z643" s="17" t="str">
        <f>IF(M4_Sectores!A47="","",IF(M4_Sectores!F47="","",M4_Sectores!F47))</f>
        <v/>
      </c>
      <c r="AA643" s="17" t="str">
        <f>IF(M4_Sectores!A47="","","M4 Sectores")</f>
        <v/>
      </c>
      <c r="AB643" s="17" t="str">
        <f>IF(M4_Sectores!A47="","",IF(M4_Sectores!G47="","",M4_Sectores!G47))</f>
        <v/>
      </c>
      <c r="AC643" s="17" t="str">
        <f>IF(M4_Sectores!A47="","",IF(COUNTIFS(M4_Sectores!$A$9:A47,M4_Sectores!A47,M4_Sectores!$D$9:D47,M4_Sectores!D47,M4_Sectores!$H$9:H47,M4_Sectores!H47)=1,IF(M4_Sectores!L47="","",M4_Sectores!L47),""))</f>
        <v/>
      </c>
      <c r="AD643" s="17" t="str">
        <f>IF(M4_Sectores!A47="","","EE")</f>
        <v/>
      </c>
      <c r="AE643" s="17" t="str">
        <f>IF(M4_Sectores!A47="","",IF(M4_Sectores!N47="","",M4_Sectores!N47))</f>
        <v/>
      </c>
      <c r="AF643" s="17" t="str">
        <f>IF(M4_Sectores!A47="","",IF(M4_Sectores!O47="","",M4_Sectores!O47))</f>
        <v/>
      </c>
      <c r="AG643" s="17" t="str">
        <f>IF(M4_Sectores!A47="","",IF(M4_Sectores!P47="","",M4_Sectores!P47))</f>
        <v/>
      </c>
      <c r="AH643" s="17" t="str">
        <f>IF(M4_Sectores!A47="","",IF(M4_Sectores!H47="","",M4_Sectores!H47))</f>
        <v/>
      </c>
      <c r="AI643" s="17" t="str">
        <f>IF(M4_Sectores!A47="","","M4_Sectores!47")</f>
        <v/>
      </c>
      <c r="AJ643" s="17" t="str">
        <f>IF(M4_Sectores!A47="","",IF(M4_Sectores!L47="","Pendiente de momento o resultado",IF(COUNTIFS(M4_Sectores!$A$9:A47,M4_Sectores!A47,M4_Sectores!$D$9:D47,M4_Sectores!D47,M4_Sectores!$H$9:H47,M4_Sectores!H47)=1,"Total del momento","Sector incluido en total")))</f>
        <v/>
      </c>
    </row>
    <row r="644" spans="1:36" ht="55.5" customHeight="1">
      <c r="A644" s="6" t="str">
        <f t="array" ref="A644">IF(640&gt;$S$1204,"",INDEX($T$5:$AJ$1204,MATCH(640,$S$5:$S$1204,0),1))</f>
        <v/>
      </c>
      <c r="B644" s="8" t="str">
        <f t="array" ref="B644">IF(640&gt;$S$1204,"",INDEX($T$5:$AJ$1204,MATCH(640,$S$5:$S$1204,0),2))</f>
        <v/>
      </c>
      <c r="C644" s="10" t="str">
        <f t="array" ref="C644">IF(640&gt;$S$1204,"",INDEX($T$5:$AJ$1204,MATCH(640,$S$5:$S$1204,0),3))</f>
        <v/>
      </c>
      <c r="D644" s="8" t="str">
        <f t="array" ref="D644">IF(640&gt;$S$1204,"",INDEX($T$5:$AJ$1204,MATCH(640,$S$5:$S$1204,0),4))</f>
        <v/>
      </c>
      <c r="E644" s="8" t="str">
        <f t="array" ref="E644">IF(640&gt;$S$1204,"",INDEX($T$5:$AJ$1204,MATCH(640,$S$5:$S$1204,0),5))</f>
        <v/>
      </c>
      <c r="F644" s="8" t="str">
        <f t="array" ref="F644">IF(640&gt;$S$1204,"",INDEX($T$5:$AJ$1204,MATCH(640,$S$5:$S$1204,0),6))</f>
        <v/>
      </c>
      <c r="G644" s="8" t="str">
        <f t="array" ref="G644">IF(640&gt;$S$1204,"",INDEX($T$5:$AJ$1204,MATCH(640,$S$5:$S$1204,0),7))</f>
        <v/>
      </c>
      <c r="H644" s="8" t="str">
        <f t="array" ref="H644">IF(640&gt;$S$1204,"",INDEX($T$5:$AJ$1204,MATCH(640,$S$5:$S$1204,0),8))</f>
        <v/>
      </c>
      <c r="I644" s="8" t="str">
        <f t="array" ref="I644">IF(640&gt;$S$1204,"",INDEX($T$5:$AJ$1204,MATCH(640,$S$5:$S$1204,0),9))</f>
        <v/>
      </c>
      <c r="J644" s="14" t="str">
        <f t="array" ref="J644">IF(640&gt;$S$1204,"",INDEX($T$5:$AJ$1204,MATCH(640,$S$5:$S$1204,0),10))</f>
        <v/>
      </c>
      <c r="K644" s="8" t="str">
        <f t="array" ref="K644">IF(640&gt;$S$1204,"",INDEX($T$5:$AJ$1204,MATCH(640,$S$5:$S$1204,0),11))</f>
        <v/>
      </c>
      <c r="L644" s="8" t="str">
        <f t="array" ref="L644">IF(640&gt;$S$1204,"",INDEX($T$5:$AJ$1204,MATCH(640,$S$5:$S$1204,0),12))</f>
        <v/>
      </c>
      <c r="M644" s="8" t="str">
        <f t="array" ref="M644">IF(640&gt;$S$1204,"",INDEX($T$5:$AJ$1204,MATCH(640,$S$5:$S$1204,0),13))</f>
        <v/>
      </c>
      <c r="N644" s="8" t="str">
        <f t="array" ref="N644">IF(640&gt;$S$1204,"",INDEX($T$5:$AJ$1204,MATCH(640,$S$5:$S$1204,0),14))</f>
        <v/>
      </c>
      <c r="O644" s="15" t="str">
        <f t="array" ref="O644">IF(640&gt;$S$1204,"",INDEX($T$5:$AJ$1204,MATCH(640,$S$5:$S$1204,0),15))</f>
        <v/>
      </c>
      <c r="P644" s="8" t="str">
        <f t="array" ref="P644">IF(640&gt;$S$1204,"",INDEX($T$5:$AJ$1204,MATCH(640,$S$5:$S$1204,0),16))</f>
        <v/>
      </c>
      <c r="Q644" s="8" t="str">
        <f t="array" ref="Q644">IF(640&gt;$S$1204,"",INDEX($T$5:$AJ$1204,MATCH(640,$S$5:$S$1204,0),17))</f>
        <v/>
      </c>
      <c r="R644" s="17"/>
      <c r="S644" s="17">
        <f>S643+IF(M4_Sectores!A48="",0,1)</f>
        <v>0</v>
      </c>
      <c r="T644" s="17" t="str">
        <f>IF(M4_Sectores!A48="","",IF(M4_Sectores!A48="","",M4_Sectores!A48))</f>
        <v/>
      </c>
      <c r="U644" s="17" t="str">
        <f>IF(M4_Sectores!A48="","",IF(M4_Sectores!Q48="","",M4_Sectores!Q48))</f>
        <v/>
      </c>
      <c r="V644" s="17" t="str">
        <f>IF(M4_Sectores!A48="","",IF(M4_Sectores!D48="","",M4_Sectores!D48))</f>
        <v/>
      </c>
      <c r="W644" s="17" t="str">
        <f>IF(M4_Sectores!A48="","",IF(M4_Sectores!B48="","",M4_Sectores!B48))</f>
        <v/>
      </c>
      <c r="X644" s="17" t="str">
        <f>IF(M4_Sectores!A48="","",IF(M4_Sectores!C48="","",M4_Sectores!C48))</f>
        <v/>
      </c>
      <c r="Y644" s="17" t="str">
        <f>IF(M4_Sectores!A48="","",IF(M4_Sectores!E48="","",M4_Sectores!E48))</f>
        <v/>
      </c>
      <c r="Z644" s="17" t="str">
        <f>IF(M4_Sectores!A48="","",IF(M4_Sectores!F48="","",M4_Sectores!F48))</f>
        <v/>
      </c>
      <c r="AA644" s="17" t="str">
        <f>IF(M4_Sectores!A48="","","M4 Sectores")</f>
        <v/>
      </c>
      <c r="AB644" s="17" t="str">
        <f>IF(M4_Sectores!A48="","",IF(M4_Sectores!G48="","",M4_Sectores!G48))</f>
        <v/>
      </c>
      <c r="AC644" s="17" t="str">
        <f>IF(M4_Sectores!A48="","",IF(COUNTIFS(M4_Sectores!$A$9:A48,M4_Sectores!A48,M4_Sectores!$D$9:D48,M4_Sectores!D48,M4_Sectores!$H$9:H48,M4_Sectores!H48)=1,IF(M4_Sectores!L48="","",M4_Sectores!L48),""))</f>
        <v/>
      </c>
      <c r="AD644" s="17" t="str">
        <f>IF(M4_Sectores!A48="","","EE")</f>
        <v/>
      </c>
      <c r="AE644" s="17" t="str">
        <f>IF(M4_Sectores!A48="","",IF(M4_Sectores!N48="","",M4_Sectores!N48))</f>
        <v/>
      </c>
      <c r="AF644" s="17" t="str">
        <f>IF(M4_Sectores!A48="","",IF(M4_Sectores!O48="","",M4_Sectores!O48))</f>
        <v/>
      </c>
      <c r="AG644" s="17" t="str">
        <f>IF(M4_Sectores!A48="","",IF(M4_Sectores!P48="","",M4_Sectores!P48))</f>
        <v/>
      </c>
      <c r="AH644" s="17" t="str">
        <f>IF(M4_Sectores!A48="","",IF(M4_Sectores!H48="","",M4_Sectores!H48))</f>
        <v/>
      </c>
      <c r="AI644" s="17" t="str">
        <f>IF(M4_Sectores!A48="","","M4_Sectores!48")</f>
        <v/>
      </c>
      <c r="AJ644" s="17" t="str">
        <f>IF(M4_Sectores!A48="","",IF(M4_Sectores!L48="","Pendiente de momento o resultado",IF(COUNTIFS(M4_Sectores!$A$9:A48,M4_Sectores!A48,M4_Sectores!$D$9:D48,M4_Sectores!D48,M4_Sectores!$H$9:H48,M4_Sectores!H48)=1,"Total del momento","Sector incluido en total")))</f>
        <v/>
      </c>
    </row>
    <row r="645" spans="1:36" ht="55.5" customHeight="1">
      <c r="A645" s="6" t="str">
        <f t="array" ref="A645">IF(641&gt;$S$1204,"",INDEX($T$5:$AJ$1204,MATCH(641,$S$5:$S$1204,0),1))</f>
        <v/>
      </c>
      <c r="B645" s="8" t="str">
        <f t="array" ref="B645">IF(641&gt;$S$1204,"",INDEX($T$5:$AJ$1204,MATCH(641,$S$5:$S$1204,0),2))</f>
        <v/>
      </c>
      <c r="C645" s="10" t="str">
        <f t="array" ref="C645">IF(641&gt;$S$1204,"",INDEX($T$5:$AJ$1204,MATCH(641,$S$5:$S$1204,0),3))</f>
        <v/>
      </c>
      <c r="D645" s="8" t="str">
        <f t="array" ref="D645">IF(641&gt;$S$1204,"",INDEX($T$5:$AJ$1204,MATCH(641,$S$5:$S$1204,0),4))</f>
        <v/>
      </c>
      <c r="E645" s="8" t="str">
        <f t="array" ref="E645">IF(641&gt;$S$1204,"",INDEX($T$5:$AJ$1204,MATCH(641,$S$5:$S$1204,0),5))</f>
        <v/>
      </c>
      <c r="F645" s="8" t="str">
        <f t="array" ref="F645">IF(641&gt;$S$1204,"",INDEX($T$5:$AJ$1204,MATCH(641,$S$5:$S$1204,0),6))</f>
        <v/>
      </c>
      <c r="G645" s="8" t="str">
        <f t="array" ref="G645">IF(641&gt;$S$1204,"",INDEX($T$5:$AJ$1204,MATCH(641,$S$5:$S$1204,0),7))</f>
        <v/>
      </c>
      <c r="H645" s="8" t="str">
        <f t="array" ref="H645">IF(641&gt;$S$1204,"",INDEX($T$5:$AJ$1204,MATCH(641,$S$5:$S$1204,0),8))</f>
        <v/>
      </c>
      <c r="I645" s="8" t="str">
        <f t="array" ref="I645">IF(641&gt;$S$1204,"",INDEX($T$5:$AJ$1204,MATCH(641,$S$5:$S$1204,0),9))</f>
        <v/>
      </c>
      <c r="J645" s="14" t="str">
        <f t="array" ref="J645">IF(641&gt;$S$1204,"",INDEX($T$5:$AJ$1204,MATCH(641,$S$5:$S$1204,0),10))</f>
        <v/>
      </c>
      <c r="K645" s="8" t="str">
        <f t="array" ref="K645">IF(641&gt;$S$1204,"",INDEX($T$5:$AJ$1204,MATCH(641,$S$5:$S$1204,0),11))</f>
        <v/>
      </c>
      <c r="L645" s="8" t="str">
        <f t="array" ref="L645">IF(641&gt;$S$1204,"",INDEX($T$5:$AJ$1204,MATCH(641,$S$5:$S$1204,0),12))</f>
        <v/>
      </c>
      <c r="M645" s="8" t="str">
        <f t="array" ref="M645">IF(641&gt;$S$1204,"",INDEX($T$5:$AJ$1204,MATCH(641,$S$5:$S$1204,0),13))</f>
        <v/>
      </c>
      <c r="N645" s="8" t="str">
        <f t="array" ref="N645">IF(641&gt;$S$1204,"",INDEX($T$5:$AJ$1204,MATCH(641,$S$5:$S$1204,0),14))</f>
        <v/>
      </c>
      <c r="O645" s="15" t="str">
        <f t="array" ref="O645">IF(641&gt;$S$1204,"",INDEX($T$5:$AJ$1204,MATCH(641,$S$5:$S$1204,0),15))</f>
        <v/>
      </c>
      <c r="P645" s="8" t="str">
        <f t="array" ref="P645">IF(641&gt;$S$1204,"",INDEX($T$5:$AJ$1204,MATCH(641,$S$5:$S$1204,0),16))</f>
        <v/>
      </c>
      <c r="Q645" s="8" t="str">
        <f t="array" ref="Q645">IF(641&gt;$S$1204,"",INDEX($T$5:$AJ$1204,MATCH(641,$S$5:$S$1204,0),17))</f>
        <v/>
      </c>
      <c r="R645" s="17"/>
      <c r="S645" s="17">
        <f>S644+IF(M4_Sectores!A49="",0,1)</f>
        <v>0</v>
      </c>
      <c r="T645" s="17" t="str">
        <f>IF(M4_Sectores!A49="","",IF(M4_Sectores!A49="","",M4_Sectores!A49))</f>
        <v/>
      </c>
      <c r="U645" s="17" t="str">
        <f>IF(M4_Sectores!A49="","",IF(M4_Sectores!Q49="","",M4_Sectores!Q49))</f>
        <v/>
      </c>
      <c r="V645" s="17" t="str">
        <f>IF(M4_Sectores!A49="","",IF(M4_Sectores!D49="","",M4_Sectores!D49))</f>
        <v/>
      </c>
      <c r="W645" s="17" t="str">
        <f>IF(M4_Sectores!A49="","",IF(M4_Sectores!B49="","",M4_Sectores!B49))</f>
        <v/>
      </c>
      <c r="X645" s="17" t="str">
        <f>IF(M4_Sectores!A49="","",IF(M4_Sectores!C49="","",M4_Sectores!C49))</f>
        <v/>
      </c>
      <c r="Y645" s="17" t="str">
        <f>IF(M4_Sectores!A49="","",IF(M4_Sectores!E49="","",M4_Sectores!E49))</f>
        <v/>
      </c>
      <c r="Z645" s="17" t="str">
        <f>IF(M4_Sectores!A49="","",IF(M4_Sectores!F49="","",M4_Sectores!F49))</f>
        <v/>
      </c>
      <c r="AA645" s="17" t="str">
        <f>IF(M4_Sectores!A49="","","M4 Sectores")</f>
        <v/>
      </c>
      <c r="AB645" s="17" t="str">
        <f>IF(M4_Sectores!A49="","",IF(M4_Sectores!G49="","",M4_Sectores!G49))</f>
        <v/>
      </c>
      <c r="AC645" s="17" t="str">
        <f>IF(M4_Sectores!A49="","",IF(COUNTIFS(M4_Sectores!$A$9:A49,M4_Sectores!A49,M4_Sectores!$D$9:D49,M4_Sectores!D49,M4_Sectores!$H$9:H49,M4_Sectores!H49)=1,IF(M4_Sectores!L49="","",M4_Sectores!L49),""))</f>
        <v/>
      </c>
      <c r="AD645" s="17" t="str">
        <f>IF(M4_Sectores!A49="","","EE")</f>
        <v/>
      </c>
      <c r="AE645" s="17" t="str">
        <f>IF(M4_Sectores!A49="","",IF(M4_Sectores!N49="","",M4_Sectores!N49))</f>
        <v/>
      </c>
      <c r="AF645" s="17" t="str">
        <f>IF(M4_Sectores!A49="","",IF(M4_Sectores!O49="","",M4_Sectores!O49))</f>
        <v/>
      </c>
      <c r="AG645" s="17" t="str">
        <f>IF(M4_Sectores!A49="","",IF(M4_Sectores!P49="","",M4_Sectores!P49))</f>
        <v/>
      </c>
      <c r="AH645" s="17" t="str">
        <f>IF(M4_Sectores!A49="","",IF(M4_Sectores!H49="","",M4_Sectores!H49))</f>
        <v/>
      </c>
      <c r="AI645" s="17" t="str">
        <f>IF(M4_Sectores!A49="","","M4_Sectores!49")</f>
        <v/>
      </c>
      <c r="AJ645" s="17" t="str">
        <f>IF(M4_Sectores!A49="","",IF(M4_Sectores!L49="","Pendiente de momento o resultado",IF(COUNTIFS(M4_Sectores!$A$9:A49,M4_Sectores!A49,M4_Sectores!$D$9:D49,M4_Sectores!D49,M4_Sectores!$H$9:H49,M4_Sectores!H49)=1,"Total del momento","Sector incluido en total")))</f>
        <v/>
      </c>
    </row>
    <row r="646" spans="1:36" ht="55.5" customHeight="1">
      <c r="A646" s="6" t="str">
        <f t="array" ref="A646">IF(642&gt;$S$1204,"",INDEX($T$5:$AJ$1204,MATCH(642,$S$5:$S$1204,0),1))</f>
        <v/>
      </c>
      <c r="B646" s="8" t="str">
        <f t="array" ref="B646">IF(642&gt;$S$1204,"",INDEX($T$5:$AJ$1204,MATCH(642,$S$5:$S$1204,0),2))</f>
        <v/>
      </c>
      <c r="C646" s="10" t="str">
        <f t="array" ref="C646">IF(642&gt;$S$1204,"",INDEX($T$5:$AJ$1204,MATCH(642,$S$5:$S$1204,0),3))</f>
        <v/>
      </c>
      <c r="D646" s="8" t="str">
        <f t="array" ref="D646">IF(642&gt;$S$1204,"",INDEX($T$5:$AJ$1204,MATCH(642,$S$5:$S$1204,0),4))</f>
        <v/>
      </c>
      <c r="E646" s="8" t="str">
        <f t="array" ref="E646">IF(642&gt;$S$1204,"",INDEX($T$5:$AJ$1204,MATCH(642,$S$5:$S$1204,0),5))</f>
        <v/>
      </c>
      <c r="F646" s="8" t="str">
        <f t="array" ref="F646">IF(642&gt;$S$1204,"",INDEX($T$5:$AJ$1204,MATCH(642,$S$5:$S$1204,0),6))</f>
        <v/>
      </c>
      <c r="G646" s="8" t="str">
        <f t="array" ref="G646">IF(642&gt;$S$1204,"",INDEX($T$5:$AJ$1204,MATCH(642,$S$5:$S$1204,0),7))</f>
        <v/>
      </c>
      <c r="H646" s="8" t="str">
        <f t="array" ref="H646">IF(642&gt;$S$1204,"",INDEX($T$5:$AJ$1204,MATCH(642,$S$5:$S$1204,0),8))</f>
        <v/>
      </c>
      <c r="I646" s="8" t="str">
        <f t="array" ref="I646">IF(642&gt;$S$1204,"",INDEX($T$5:$AJ$1204,MATCH(642,$S$5:$S$1204,0),9))</f>
        <v/>
      </c>
      <c r="J646" s="14" t="str">
        <f t="array" ref="J646">IF(642&gt;$S$1204,"",INDEX($T$5:$AJ$1204,MATCH(642,$S$5:$S$1204,0),10))</f>
        <v/>
      </c>
      <c r="K646" s="8" t="str">
        <f t="array" ref="K646">IF(642&gt;$S$1204,"",INDEX($T$5:$AJ$1204,MATCH(642,$S$5:$S$1204,0),11))</f>
        <v/>
      </c>
      <c r="L646" s="8" t="str">
        <f t="array" ref="L646">IF(642&gt;$S$1204,"",INDEX($T$5:$AJ$1204,MATCH(642,$S$5:$S$1204,0),12))</f>
        <v/>
      </c>
      <c r="M646" s="8" t="str">
        <f t="array" ref="M646">IF(642&gt;$S$1204,"",INDEX($T$5:$AJ$1204,MATCH(642,$S$5:$S$1204,0),13))</f>
        <v/>
      </c>
      <c r="N646" s="8" t="str">
        <f t="array" ref="N646">IF(642&gt;$S$1204,"",INDEX($T$5:$AJ$1204,MATCH(642,$S$5:$S$1204,0),14))</f>
        <v/>
      </c>
      <c r="O646" s="15" t="str">
        <f t="array" ref="O646">IF(642&gt;$S$1204,"",INDEX($T$5:$AJ$1204,MATCH(642,$S$5:$S$1204,0),15))</f>
        <v/>
      </c>
      <c r="P646" s="8" t="str">
        <f t="array" ref="P646">IF(642&gt;$S$1204,"",INDEX($T$5:$AJ$1204,MATCH(642,$S$5:$S$1204,0),16))</f>
        <v/>
      </c>
      <c r="Q646" s="8" t="str">
        <f t="array" ref="Q646">IF(642&gt;$S$1204,"",INDEX($T$5:$AJ$1204,MATCH(642,$S$5:$S$1204,0),17))</f>
        <v/>
      </c>
      <c r="R646" s="17"/>
      <c r="S646" s="17">
        <f>S645+IF(M4_Sectores!A50="",0,1)</f>
        <v>0</v>
      </c>
      <c r="T646" s="17" t="str">
        <f>IF(M4_Sectores!A50="","",IF(M4_Sectores!A50="","",M4_Sectores!A50))</f>
        <v/>
      </c>
      <c r="U646" s="17" t="str">
        <f>IF(M4_Sectores!A50="","",IF(M4_Sectores!Q50="","",M4_Sectores!Q50))</f>
        <v/>
      </c>
      <c r="V646" s="17" t="str">
        <f>IF(M4_Sectores!A50="","",IF(M4_Sectores!D50="","",M4_Sectores!D50))</f>
        <v/>
      </c>
      <c r="W646" s="17" t="str">
        <f>IF(M4_Sectores!A50="","",IF(M4_Sectores!B50="","",M4_Sectores!B50))</f>
        <v/>
      </c>
      <c r="X646" s="17" t="str">
        <f>IF(M4_Sectores!A50="","",IF(M4_Sectores!C50="","",M4_Sectores!C50))</f>
        <v/>
      </c>
      <c r="Y646" s="17" t="str">
        <f>IF(M4_Sectores!A50="","",IF(M4_Sectores!E50="","",M4_Sectores!E50))</f>
        <v/>
      </c>
      <c r="Z646" s="17" t="str">
        <f>IF(M4_Sectores!A50="","",IF(M4_Sectores!F50="","",M4_Sectores!F50))</f>
        <v/>
      </c>
      <c r="AA646" s="17" t="str">
        <f>IF(M4_Sectores!A50="","","M4 Sectores")</f>
        <v/>
      </c>
      <c r="AB646" s="17" t="str">
        <f>IF(M4_Sectores!A50="","",IF(M4_Sectores!G50="","",M4_Sectores!G50))</f>
        <v/>
      </c>
      <c r="AC646" s="17" t="str">
        <f>IF(M4_Sectores!A50="","",IF(COUNTIFS(M4_Sectores!$A$9:A50,M4_Sectores!A50,M4_Sectores!$D$9:D50,M4_Sectores!D50,M4_Sectores!$H$9:H50,M4_Sectores!H50)=1,IF(M4_Sectores!L50="","",M4_Sectores!L50),""))</f>
        <v/>
      </c>
      <c r="AD646" s="17" t="str">
        <f>IF(M4_Sectores!A50="","","EE")</f>
        <v/>
      </c>
      <c r="AE646" s="17" t="str">
        <f>IF(M4_Sectores!A50="","",IF(M4_Sectores!N50="","",M4_Sectores!N50))</f>
        <v/>
      </c>
      <c r="AF646" s="17" t="str">
        <f>IF(M4_Sectores!A50="","",IF(M4_Sectores!O50="","",M4_Sectores!O50))</f>
        <v/>
      </c>
      <c r="AG646" s="17" t="str">
        <f>IF(M4_Sectores!A50="","",IF(M4_Sectores!P50="","",M4_Sectores!P50))</f>
        <v/>
      </c>
      <c r="AH646" s="17" t="str">
        <f>IF(M4_Sectores!A50="","",IF(M4_Sectores!H50="","",M4_Sectores!H50))</f>
        <v/>
      </c>
      <c r="AI646" s="17" t="str">
        <f>IF(M4_Sectores!A50="","","M4_Sectores!50")</f>
        <v/>
      </c>
      <c r="AJ646" s="17" t="str">
        <f>IF(M4_Sectores!A50="","",IF(M4_Sectores!L50="","Pendiente de momento o resultado",IF(COUNTIFS(M4_Sectores!$A$9:A50,M4_Sectores!A50,M4_Sectores!$D$9:D50,M4_Sectores!D50,M4_Sectores!$H$9:H50,M4_Sectores!H50)=1,"Total del momento","Sector incluido en total")))</f>
        <v/>
      </c>
    </row>
    <row r="647" spans="1:36" ht="55.5" customHeight="1">
      <c r="A647" s="6" t="str">
        <f t="array" ref="A647">IF(643&gt;$S$1204,"",INDEX($T$5:$AJ$1204,MATCH(643,$S$5:$S$1204,0),1))</f>
        <v/>
      </c>
      <c r="B647" s="8" t="str">
        <f t="array" ref="B647">IF(643&gt;$S$1204,"",INDEX($T$5:$AJ$1204,MATCH(643,$S$5:$S$1204,0),2))</f>
        <v/>
      </c>
      <c r="C647" s="10" t="str">
        <f t="array" ref="C647">IF(643&gt;$S$1204,"",INDEX($T$5:$AJ$1204,MATCH(643,$S$5:$S$1204,0),3))</f>
        <v/>
      </c>
      <c r="D647" s="8" t="str">
        <f t="array" ref="D647">IF(643&gt;$S$1204,"",INDEX($T$5:$AJ$1204,MATCH(643,$S$5:$S$1204,0),4))</f>
        <v/>
      </c>
      <c r="E647" s="8" t="str">
        <f t="array" ref="E647">IF(643&gt;$S$1204,"",INDEX($T$5:$AJ$1204,MATCH(643,$S$5:$S$1204,0),5))</f>
        <v/>
      </c>
      <c r="F647" s="8" t="str">
        <f t="array" ref="F647">IF(643&gt;$S$1204,"",INDEX($T$5:$AJ$1204,MATCH(643,$S$5:$S$1204,0),6))</f>
        <v/>
      </c>
      <c r="G647" s="8" t="str">
        <f t="array" ref="G647">IF(643&gt;$S$1204,"",INDEX($T$5:$AJ$1204,MATCH(643,$S$5:$S$1204,0),7))</f>
        <v/>
      </c>
      <c r="H647" s="8" t="str">
        <f t="array" ref="H647">IF(643&gt;$S$1204,"",INDEX($T$5:$AJ$1204,MATCH(643,$S$5:$S$1204,0),8))</f>
        <v/>
      </c>
      <c r="I647" s="8" t="str">
        <f t="array" ref="I647">IF(643&gt;$S$1204,"",INDEX($T$5:$AJ$1204,MATCH(643,$S$5:$S$1204,0),9))</f>
        <v/>
      </c>
      <c r="J647" s="14" t="str">
        <f t="array" ref="J647">IF(643&gt;$S$1204,"",INDEX($T$5:$AJ$1204,MATCH(643,$S$5:$S$1204,0),10))</f>
        <v/>
      </c>
      <c r="K647" s="8" t="str">
        <f t="array" ref="K647">IF(643&gt;$S$1204,"",INDEX($T$5:$AJ$1204,MATCH(643,$S$5:$S$1204,0),11))</f>
        <v/>
      </c>
      <c r="L647" s="8" t="str">
        <f t="array" ref="L647">IF(643&gt;$S$1204,"",INDEX($T$5:$AJ$1204,MATCH(643,$S$5:$S$1204,0),12))</f>
        <v/>
      </c>
      <c r="M647" s="8" t="str">
        <f t="array" ref="M647">IF(643&gt;$S$1204,"",INDEX($T$5:$AJ$1204,MATCH(643,$S$5:$S$1204,0),13))</f>
        <v/>
      </c>
      <c r="N647" s="8" t="str">
        <f t="array" ref="N647">IF(643&gt;$S$1204,"",INDEX($T$5:$AJ$1204,MATCH(643,$S$5:$S$1204,0),14))</f>
        <v/>
      </c>
      <c r="O647" s="15" t="str">
        <f t="array" ref="O647">IF(643&gt;$S$1204,"",INDEX($T$5:$AJ$1204,MATCH(643,$S$5:$S$1204,0),15))</f>
        <v/>
      </c>
      <c r="P647" s="8" t="str">
        <f t="array" ref="P647">IF(643&gt;$S$1204,"",INDEX($T$5:$AJ$1204,MATCH(643,$S$5:$S$1204,0),16))</f>
        <v/>
      </c>
      <c r="Q647" s="8" t="str">
        <f t="array" ref="Q647">IF(643&gt;$S$1204,"",INDEX($T$5:$AJ$1204,MATCH(643,$S$5:$S$1204,0),17))</f>
        <v/>
      </c>
      <c r="R647" s="17"/>
      <c r="S647" s="17">
        <f>S646+IF(M4_Sectores!A51="",0,1)</f>
        <v>0</v>
      </c>
      <c r="T647" s="17" t="str">
        <f>IF(M4_Sectores!A51="","",IF(M4_Sectores!A51="","",M4_Sectores!A51))</f>
        <v/>
      </c>
      <c r="U647" s="17" t="str">
        <f>IF(M4_Sectores!A51="","",IF(M4_Sectores!Q51="","",M4_Sectores!Q51))</f>
        <v/>
      </c>
      <c r="V647" s="17" t="str">
        <f>IF(M4_Sectores!A51="","",IF(M4_Sectores!D51="","",M4_Sectores!D51))</f>
        <v/>
      </c>
      <c r="W647" s="17" t="str">
        <f>IF(M4_Sectores!A51="","",IF(M4_Sectores!B51="","",M4_Sectores!B51))</f>
        <v/>
      </c>
      <c r="X647" s="17" t="str">
        <f>IF(M4_Sectores!A51="","",IF(M4_Sectores!C51="","",M4_Sectores!C51))</f>
        <v/>
      </c>
      <c r="Y647" s="17" t="str">
        <f>IF(M4_Sectores!A51="","",IF(M4_Sectores!E51="","",M4_Sectores!E51))</f>
        <v/>
      </c>
      <c r="Z647" s="17" t="str">
        <f>IF(M4_Sectores!A51="","",IF(M4_Sectores!F51="","",M4_Sectores!F51))</f>
        <v/>
      </c>
      <c r="AA647" s="17" t="str">
        <f>IF(M4_Sectores!A51="","","M4 Sectores")</f>
        <v/>
      </c>
      <c r="AB647" s="17" t="str">
        <f>IF(M4_Sectores!A51="","",IF(M4_Sectores!G51="","",M4_Sectores!G51))</f>
        <v/>
      </c>
      <c r="AC647" s="17" t="str">
        <f>IF(M4_Sectores!A51="","",IF(COUNTIFS(M4_Sectores!$A$9:A51,M4_Sectores!A51,M4_Sectores!$D$9:D51,M4_Sectores!D51,M4_Sectores!$H$9:H51,M4_Sectores!H51)=1,IF(M4_Sectores!L51="","",M4_Sectores!L51),""))</f>
        <v/>
      </c>
      <c r="AD647" s="17" t="str">
        <f>IF(M4_Sectores!A51="","","EE")</f>
        <v/>
      </c>
      <c r="AE647" s="17" t="str">
        <f>IF(M4_Sectores!A51="","",IF(M4_Sectores!N51="","",M4_Sectores!N51))</f>
        <v/>
      </c>
      <c r="AF647" s="17" t="str">
        <f>IF(M4_Sectores!A51="","",IF(M4_Sectores!O51="","",M4_Sectores!O51))</f>
        <v/>
      </c>
      <c r="AG647" s="17" t="str">
        <f>IF(M4_Sectores!A51="","",IF(M4_Sectores!P51="","",M4_Sectores!P51))</f>
        <v/>
      </c>
      <c r="AH647" s="17" t="str">
        <f>IF(M4_Sectores!A51="","",IF(M4_Sectores!H51="","",M4_Sectores!H51))</f>
        <v/>
      </c>
      <c r="AI647" s="17" t="str">
        <f>IF(M4_Sectores!A51="","","M4_Sectores!51")</f>
        <v/>
      </c>
      <c r="AJ647" s="17" t="str">
        <f>IF(M4_Sectores!A51="","",IF(M4_Sectores!L51="","Pendiente de momento o resultado",IF(COUNTIFS(M4_Sectores!$A$9:A51,M4_Sectores!A51,M4_Sectores!$D$9:D51,M4_Sectores!D51,M4_Sectores!$H$9:H51,M4_Sectores!H51)=1,"Total del momento","Sector incluido en total")))</f>
        <v/>
      </c>
    </row>
    <row r="648" spans="1:36" ht="55.5" customHeight="1">
      <c r="A648" s="6" t="str">
        <f t="array" ref="A648">IF(644&gt;$S$1204,"",INDEX($T$5:$AJ$1204,MATCH(644,$S$5:$S$1204,0),1))</f>
        <v/>
      </c>
      <c r="B648" s="8" t="str">
        <f t="array" ref="B648">IF(644&gt;$S$1204,"",INDEX($T$5:$AJ$1204,MATCH(644,$S$5:$S$1204,0),2))</f>
        <v/>
      </c>
      <c r="C648" s="10" t="str">
        <f t="array" ref="C648">IF(644&gt;$S$1204,"",INDEX($T$5:$AJ$1204,MATCH(644,$S$5:$S$1204,0),3))</f>
        <v/>
      </c>
      <c r="D648" s="8" t="str">
        <f t="array" ref="D648">IF(644&gt;$S$1204,"",INDEX($T$5:$AJ$1204,MATCH(644,$S$5:$S$1204,0),4))</f>
        <v/>
      </c>
      <c r="E648" s="8" t="str">
        <f t="array" ref="E648">IF(644&gt;$S$1204,"",INDEX($T$5:$AJ$1204,MATCH(644,$S$5:$S$1204,0),5))</f>
        <v/>
      </c>
      <c r="F648" s="8" t="str">
        <f t="array" ref="F648">IF(644&gt;$S$1204,"",INDEX($T$5:$AJ$1204,MATCH(644,$S$5:$S$1204,0),6))</f>
        <v/>
      </c>
      <c r="G648" s="8" t="str">
        <f t="array" ref="G648">IF(644&gt;$S$1204,"",INDEX($T$5:$AJ$1204,MATCH(644,$S$5:$S$1204,0),7))</f>
        <v/>
      </c>
      <c r="H648" s="8" t="str">
        <f t="array" ref="H648">IF(644&gt;$S$1204,"",INDEX($T$5:$AJ$1204,MATCH(644,$S$5:$S$1204,0),8))</f>
        <v/>
      </c>
      <c r="I648" s="8" t="str">
        <f t="array" ref="I648">IF(644&gt;$S$1204,"",INDEX($T$5:$AJ$1204,MATCH(644,$S$5:$S$1204,0),9))</f>
        <v/>
      </c>
      <c r="J648" s="14" t="str">
        <f t="array" ref="J648">IF(644&gt;$S$1204,"",INDEX($T$5:$AJ$1204,MATCH(644,$S$5:$S$1204,0),10))</f>
        <v/>
      </c>
      <c r="K648" s="8" t="str">
        <f t="array" ref="K648">IF(644&gt;$S$1204,"",INDEX($T$5:$AJ$1204,MATCH(644,$S$5:$S$1204,0),11))</f>
        <v/>
      </c>
      <c r="L648" s="8" t="str">
        <f t="array" ref="L648">IF(644&gt;$S$1204,"",INDEX($T$5:$AJ$1204,MATCH(644,$S$5:$S$1204,0),12))</f>
        <v/>
      </c>
      <c r="M648" s="8" t="str">
        <f t="array" ref="M648">IF(644&gt;$S$1204,"",INDEX($T$5:$AJ$1204,MATCH(644,$S$5:$S$1204,0),13))</f>
        <v/>
      </c>
      <c r="N648" s="8" t="str">
        <f t="array" ref="N648">IF(644&gt;$S$1204,"",INDEX($T$5:$AJ$1204,MATCH(644,$S$5:$S$1204,0),14))</f>
        <v/>
      </c>
      <c r="O648" s="15" t="str">
        <f t="array" ref="O648">IF(644&gt;$S$1204,"",INDEX($T$5:$AJ$1204,MATCH(644,$S$5:$S$1204,0),15))</f>
        <v/>
      </c>
      <c r="P648" s="8" t="str">
        <f t="array" ref="P648">IF(644&gt;$S$1204,"",INDEX($T$5:$AJ$1204,MATCH(644,$S$5:$S$1204,0),16))</f>
        <v/>
      </c>
      <c r="Q648" s="8" t="str">
        <f t="array" ref="Q648">IF(644&gt;$S$1204,"",INDEX($T$5:$AJ$1204,MATCH(644,$S$5:$S$1204,0),17))</f>
        <v/>
      </c>
      <c r="R648" s="17"/>
      <c r="S648" s="17">
        <f>S647+IF(M4_Sectores!A52="",0,1)</f>
        <v>0</v>
      </c>
      <c r="T648" s="17" t="str">
        <f>IF(M4_Sectores!A52="","",IF(M4_Sectores!A52="","",M4_Sectores!A52))</f>
        <v/>
      </c>
      <c r="U648" s="17" t="str">
        <f>IF(M4_Sectores!A52="","",IF(M4_Sectores!Q52="","",M4_Sectores!Q52))</f>
        <v/>
      </c>
      <c r="V648" s="17" t="str">
        <f>IF(M4_Sectores!A52="","",IF(M4_Sectores!D52="","",M4_Sectores!D52))</f>
        <v/>
      </c>
      <c r="W648" s="17" t="str">
        <f>IF(M4_Sectores!A52="","",IF(M4_Sectores!B52="","",M4_Sectores!B52))</f>
        <v/>
      </c>
      <c r="X648" s="17" t="str">
        <f>IF(M4_Sectores!A52="","",IF(M4_Sectores!C52="","",M4_Sectores!C52))</f>
        <v/>
      </c>
      <c r="Y648" s="17" t="str">
        <f>IF(M4_Sectores!A52="","",IF(M4_Sectores!E52="","",M4_Sectores!E52))</f>
        <v/>
      </c>
      <c r="Z648" s="17" t="str">
        <f>IF(M4_Sectores!A52="","",IF(M4_Sectores!F52="","",M4_Sectores!F52))</f>
        <v/>
      </c>
      <c r="AA648" s="17" t="str">
        <f>IF(M4_Sectores!A52="","","M4 Sectores")</f>
        <v/>
      </c>
      <c r="AB648" s="17" t="str">
        <f>IF(M4_Sectores!A52="","",IF(M4_Sectores!G52="","",M4_Sectores!G52))</f>
        <v/>
      </c>
      <c r="AC648" s="17" t="str">
        <f>IF(M4_Sectores!A52="","",IF(COUNTIFS(M4_Sectores!$A$9:A52,M4_Sectores!A52,M4_Sectores!$D$9:D52,M4_Sectores!D52,M4_Sectores!$H$9:H52,M4_Sectores!H52)=1,IF(M4_Sectores!L52="","",M4_Sectores!L52),""))</f>
        <v/>
      </c>
      <c r="AD648" s="17" t="str">
        <f>IF(M4_Sectores!A52="","","EE")</f>
        <v/>
      </c>
      <c r="AE648" s="17" t="str">
        <f>IF(M4_Sectores!A52="","",IF(M4_Sectores!N52="","",M4_Sectores!N52))</f>
        <v/>
      </c>
      <c r="AF648" s="17" t="str">
        <f>IF(M4_Sectores!A52="","",IF(M4_Sectores!O52="","",M4_Sectores!O52))</f>
        <v/>
      </c>
      <c r="AG648" s="17" t="str">
        <f>IF(M4_Sectores!A52="","",IF(M4_Sectores!P52="","",M4_Sectores!P52))</f>
        <v/>
      </c>
      <c r="AH648" s="17" t="str">
        <f>IF(M4_Sectores!A52="","",IF(M4_Sectores!H52="","",M4_Sectores!H52))</f>
        <v/>
      </c>
      <c r="AI648" s="17" t="str">
        <f>IF(M4_Sectores!A52="","","M4_Sectores!52")</f>
        <v/>
      </c>
      <c r="AJ648" s="17" t="str">
        <f>IF(M4_Sectores!A52="","",IF(M4_Sectores!L52="","Pendiente de momento o resultado",IF(COUNTIFS(M4_Sectores!$A$9:A52,M4_Sectores!A52,M4_Sectores!$D$9:D52,M4_Sectores!D52,M4_Sectores!$H$9:H52,M4_Sectores!H52)=1,"Total del momento","Sector incluido en total")))</f>
        <v/>
      </c>
    </row>
    <row r="649" spans="1:36" ht="55.5" customHeight="1">
      <c r="A649" s="6" t="str">
        <f t="array" ref="A649">IF(645&gt;$S$1204,"",INDEX($T$5:$AJ$1204,MATCH(645,$S$5:$S$1204,0),1))</f>
        <v/>
      </c>
      <c r="B649" s="8" t="str">
        <f t="array" ref="B649">IF(645&gt;$S$1204,"",INDEX($T$5:$AJ$1204,MATCH(645,$S$5:$S$1204,0),2))</f>
        <v/>
      </c>
      <c r="C649" s="10" t="str">
        <f t="array" ref="C649">IF(645&gt;$S$1204,"",INDEX($T$5:$AJ$1204,MATCH(645,$S$5:$S$1204,0),3))</f>
        <v/>
      </c>
      <c r="D649" s="8" t="str">
        <f t="array" ref="D649">IF(645&gt;$S$1204,"",INDEX($T$5:$AJ$1204,MATCH(645,$S$5:$S$1204,0),4))</f>
        <v/>
      </c>
      <c r="E649" s="8" t="str">
        <f t="array" ref="E649">IF(645&gt;$S$1204,"",INDEX($T$5:$AJ$1204,MATCH(645,$S$5:$S$1204,0),5))</f>
        <v/>
      </c>
      <c r="F649" s="8" t="str">
        <f t="array" ref="F649">IF(645&gt;$S$1204,"",INDEX($T$5:$AJ$1204,MATCH(645,$S$5:$S$1204,0),6))</f>
        <v/>
      </c>
      <c r="G649" s="8" t="str">
        <f t="array" ref="G649">IF(645&gt;$S$1204,"",INDEX($T$5:$AJ$1204,MATCH(645,$S$5:$S$1204,0),7))</f>
        <v/>
      </c>
      <c r="H649" s="8" t="str">
        <f t="array" ref="H649">IF(645&gt;$S$1204,"",INDEX($T$5:$AJ$1204,MATCH(645,$S$5:$S$1204,0),8))</f>
        <v/>
      </c>
      <c r="I649" s="8" t="str">
        <f t="array" ref="I649">IF(645&gt;$S$1204,"",INDEX($T$5:$AJ$1204,MATCH(645,$S$5:$S$1204,0),9))</f>
        <v/>
      </c>
      <c r="J649" s="14" t="str">
        <f t="array" ref="J649">IF(645&gt;$S$1204,"",INDEX($T$5:$AJ$1204,MATCH(645,$S$5:$S$1204,0),10))</f>
        <v/>
      </c>
      <c r="K649" s="8" t="str">
        <f t="array" ref="K649">IF(645&gt;$S$1204,"",INDEX($T$5:$AJ$1204,MATCH(645,$S$5:$S$1204,0),11))</f>
        <v/>
      </c>
      <c r="L649" s="8" t="str">
        <f t="array" ref="L649">IF(645&gt;$S$1204,"",INDEX($T$5:$AJ$1204,MATCH(645,$S$5:$S$1204,0),12))</f>
        <v/>
      </c>
      <c r="M649" s="8" t="str">
        <f t="array" ref="M649">IF(645&gt;$S$1204,"",INDEX($T$5:$AJ$1204,MATCH(645,$S$5:$S$1204,0),13))</f>
        <v/>
      </c>
      <c r="N649" s="8" t="str">
        <f t="array" ref="N649">IF(645&gt;$S$1204,"",INDEX($T$5:$AJ$1204,MATCH(645,$S$5:$S$1204,0),14))</f>
        <v/>
      </c>
      <c r="O649" s="15" t="str">
        <f t="array" ref="O649">IF(645&gt;$S$1204,"",INDEX($T$5:$AJ$1204,MATCH(645,$S$5:$S$1204,0),15))</f>
        <v/>
      </c>
      <c r="P649" s="8" t="str">
        <f t="array" ref="P649">IF(645&gt;$S$1204,"",INDEX($T$5:$AJ$1204,MATCH(645,$S$5:$S$1204,0),16))</f>
        <v/>
      </c>
      <c r="Q649" s="8" t="str">
        <f t="array" ref="Q649">IF(645&gt;$S$1204,"",INDEX($T$5:$AJ$1204,MATCH(645,$S$5:$S$1204,0),17))</f>
        <v/>
      </c>
      <c r="R649" s="17"/>
      <c r="S649" s="17">
        <f>S648+IF(M4_Sectores!A53="",0,1)</f>
        <v>0</v>
      </c>
      <c r="T649" s="17" t="str">
        <f>IF(M4_Sectores!A53="","",IF(M4_Sectores!A53="","",M4_Sectores!A53))</f>
        <v/>
      </c>
      <c r="U649" s="17" t="str">
        <f>IF(M4_Sectores!A53="","",IF(M4_Sectores!Q53="","",M4_Sectores!Q53))</f>
        <v/>
      </c>
      <c r="V649" s="17" t="str">
        <f>IF(M4_Sectores!A53="","",IF(M4_Sectores!D53="","",M4_Sectores!D53))</f>
        <v/>
      </c>
      <c r="W649" s="17" t="str">
        <f>IF(M4_Sectores!A53="","",IF(M4_Sectores!B53="","",M4_Sectores!B53))</f>
        <v/>
      </c>
      <c r="X649" s="17" t="str">
        <f>IF(M4_Sectores!A53="","",IF(M4_Sectores!C53="","",M4_Sectores!C53))</f>
        <v/>
      </c>
      <c r="Y649" s="17" t="str">
        <f>IF(M4_Sectores!A53="","",IF(M4_Sectores!E53="","",M4_Sectores!E53))</f>
        <v/>
      </c>
      <c r="Z649" s="17" t="str">
        <f>IF(M4_Sectores!A53="","",IF(M4_Sectores!F53="","",M4_Sectores!F53))</f>
        <v/>
      </c>
      <c r="AA649" s="17" t="str">
        <f>IF(M4_Sectores!A53="","","M4 Sectores")</f>
        <v/>
      </c>
      <c r="AB649" s="17" t="str">
        <f>IF(M4_Sectores!A53="","",IF(M4_Sectores!G53="","",M4_Sectores!G53))</f>
        <v/>
      </c>
      <c r="AC649" s="17" t="str">
        <f>IF(M4_Sectores!A53="","",IF(COUNTIFS(M4_Sectores!$A$9:A53,M4_Sectores!A53,M4_Sectores!$D$9:D53,M4_Sectores!D53,M4_Sectores!$H$9:H53,M4_Sectores!H53)=1,IF(M4_Sectores!L53="","",M4_Sectores!L53),""))</f>
        <v/>
      </c>
      <c r="AD649" s="17" t="str">
        <f>IF(M4_Sectores!A53="","","EE")</f>
        <v/>
      </c>
      <c r="AE649" s="17" t="str">
        <f>IF(M4_Sectores!A53="","",IF(M4_Sectores!N53="","",M4_Sectores!N53))</f>
        <v/>
      </c>
      <c r="AF649" s="17" t="str">
        <f>IF(M4_Sectores!A53="","",IF(M4_Sectores!O53="","",M4_Sectores!O53))</f>
        <v/>
      </c>
      <c r="AG649" s="17" t="str">
        <f>IF(M4_Sectores!A53="","",IF(M4_Sectores!P53="","",M4_Sectores!P53))</f>
        <v/>
      </c>
      <c r="AH649" s="17" t="str">
        <f>IF(M4_Sectores!A53="","",IF(M4_Sectores!H53="","",M4_Sectores!H53))</f>
        <v/>
      </c>
      <c r="AI649" s="17" t="str">
        <f>IF(M4_Sectores!A53="","","M4_Sectores!53")</f>
        <v/>
      </c>
      <c r="AJ649" s="17" t="str">
        <f>IF(M4_Sectores!A53="","",IF(M4_Sectores!L53="","Pendiente de momento o resultado",IF(COUNTIFS(M4_Sectores!$A$9:A53,M4_Sectores!A53,M4_Sectores!$D$9:D53,M4_Sectores!D53,M4_Sectores!$H$9:H53,M4_Sectores!H53)=1,"Total del momento","Sector incluido en total")))</f>
        <v/>
      </c>
    </row>
    <row r="650" spans="1:36" ht="55.5" customHeight="1">
      <c r="A650" s="6" t="str">
        <f t="array" ref="A650">IF(646&gt;$S$1204,"",INDEX($T$5:$AJ$1204,MATCH(646,$S$5:$S$1204,0),1))</f>
        <v/>
      </c>
      <c r="B650" s="8" t="str">
        <f t="array" ref="B650">IF(646&gt;$S$1204,"",INDEX($T$5:$AJ$1204,MATCH(646,$S$5:$S$1204,0),2))</f>
        <v/>
      </c>
      <c r="C650" s="10" t="str">
        <f t="array" ref="C650">IF(646&gt;$S$1204,"",INDEX($T$5:$AJ$1204,MATCH(646,$S$5:$S$1204,0),3))</f>
        <v/>
      </c>
      <c r="D650" s="8" t="str">
        <f t="array" ref="D650">IF(646&gt;$S$1204,"",INDEX($T$5:$AJ$1204,MATCH(646,$S$5:$S$1204,0),4))</f>
        <v/>
      </c>
      <c r="E650" s="8" t="str">
        <f t="array" ref="E650">IF(646&gt;$S$1204,"",INDEX($T$5:$AJ$1204,MATCH(646,$S$5:$S$1204,0),5))</f>
        <v/>
      </c>
      <c r="F650" s="8" t="str">
        <f t="array" ref="F650">IF(646&gt;$S$1204,"",INDEX($T$5:$AJ$1204,MATCH(646,$S$5:$S$1204,0),6))</f>
        <v/>
      </c>
      <c r="G650" s="8" t="str">
        <f t="array" ref="G650">IF(646&gt;$S$1204,"",INDEX($T$5:$AJ$1204,MATCH(646,$S$5:$S$1204,0),7))</f>
        <v/>
      </c>
      <c r="H650" s="8" t="str">
        <f t="array" ref="H650">IF(646&gt;$S$1204,"",INDEX($T$5:$AJ$1204,MATCH(646,$S$5:$S$1204,0),8))</f>
        <v/>
      </c>
      <c r="I650" s="8" t="str">
        <f t="array" ref="I650">IF(646&gt;$S$1204,"",INDEX($T$5:$AJ$1204,MATCH(646,$S$5:$S$1204,0),9))</f>
        <v/>
      </c>
      <c r="J650" s="14" t="str">
        <f t="array" ref="J650">IF(646&gt;$S$1204,"",INDEX($T$5:$AJ$1204,MATCH(646,$S$5:$S$1204,0),10))</f>
        <v/>
      </c>
      <c r="K650" s="8" t="str">
        <f t="array" ref="K650">IF(646&gt;$S$1204,"",INDEX($T$5:$AJ$1204,MATCH(646,$S$5:$S$1204,0),11))</f>
        <v/>
      </c>
      <c r="L650" s="8" t="str">
        <f t="array" ref="L650">IF(646&gt;$S$1204,"",INDEX($T$5:$AJ$1204,MATCH(646,$S$5:$S$1204,0),12))</f>
        <v/>
      </c>
      <c r="M650" s="8" t="str">
        <f t="array" ref="M650">IF(646&gt;$S$1204,"",INDEX($T$5:$AJ$1204,MATCH(646,$S$5:$S$1204,0),13))</f>
        <v/>
      </c>
      <c r="N650" s="8" t="str">
        <f t="array" ref="N650">IF(646&gt;$S$1204,"",INDEX($T$5:$AJ$1204,MATCH(646,$S$5:$S$1204,0),14))</f>
        <v/>
      </c>
      <c r="O650" s="15" t="str">
        <f t="array" ref="O650">IF(646&gt;$S$1204,"",INDEX($T$5:$AJ$1204,MATCH(646,$S$5:$S$1204,0),15))</f>
        <v/>
      </c>
      <c r="P650" s="8" t="str">
        <f t="array" ref="P650">IF(646&gt;$S$1204,"",INDEX($T$5:$AJ$1204,MATCH(646,$S$5:$S$1204,0),16))</f>
        <v/>
      </c>
      <c r="Q650" s="8" t="str">
        <f t="array" ref="Q650">IF(646&gt;$S$1204,"",INDEX($T$5:$AJ$1204,MATCH(646,$S$5:$S$1204,0),17))</f>
        <v/>
      </c>
      <c r="R650" s="17"/>
      <c r="S650" s="17">
        <f>S649+IF(M4_Sectores!A54="",0,1)</f>
        <v>0</v>
      </c>
      <c r="T650" s="17" t="str">
        <f>IF(M4_Sectores!A54="","",IF(M4_Sectores!A54="","",M4_Sectores!A54))</f>
        <v/>
      </c>
      <c r="U650" s="17" t="str">
        <f>IF(M4_Sectores!A54="","",IF(M4_Sectores!Q54="","",M4_Sectores!Q54))</f>
        <v/>
      </c>
      <c r="V650" s="17" t="str">
        <f>IF(M4_Sectores!A54="","",IF(M4_Sectores!D54="","",M4_Sectores!D54))</f>
        <v/>
      </c>
      <c r="W650" s="17" t="str">
        <f>IF(M4_Sectores!A54="","",IF(M4_Sectores!B54="","",M4_Sectores!B54))</f>
        <v/>
      </c>
      <c r="X650" s="17" t="str">
        <f>IF(M4_Sectores!A54="","",IF(M4_Sectores!C54="","",M4_Sectores!C54))</f>
        <v/>
      </c>
      <c r="Y650" s="17" t="str">
        <f>IF(M4_Sectores!A54="","",IF(M4_Sectores!E54="","",M4_Sectores!E54))</f>
        <v/>
      </c>
      <c r="Z650" s="17" t="str">
        <f>IF(M4_Sectores!A54="","",IF(M4_Sectores!F54="","",M4_Sectores!F54))</f>
        <v/>
      </c>
      <c r="AA650" s="17" t="str">
        <f>IF(M4_Sectores!A54="","","M4 Sectores")</f>
        <v/>
      </c>
      <c r="AB650" s="17" t="str">
        <f>IF(M4_Sectores!A54="","",IF(M4_Sectores!G54="","",M4_Sectores!G54))</f>
        <v/>
      </c>
      <c r="AC650" s="17" t="str">
        <f>IF(M4_Sectores!A54="","",IF(COUNTIFS(M4_Sectores!$A$9:A54,M4_Sectores!A54,M4_Sectores!$D$9:D54,M4_Sectores!D54,M4_Sectores!$H$9:H54,M4_Sectores!H54)=1,IF(M4_Sectores!L54="","",M4_Sectores!L54),""))</f>
        <v/>
      </c>
      <c r="AD650" s="17" t="str">
        <f>IF(M4_Sectores!A54="","","EE")</f>
        <v/>
      </c>
      <c r="AE650" s="17" t="str">
        <f>IF(M4_Sectores!A54="","",IF(M4_Sectores!N54="","",M4_Sectores!N54))</f>
        <v/>
      </c>
      <c r="AF650" s="17" t="str">
        <f>IF(M4_Sectores!A54="","",IF(M4_Sectores!O54="","",M4_Sectores!O54))</f>
        <v/>
      </c>
      <c r="AG650" s="17" t="str">
        <f>IF(M4_Sectores!A54="","",IF(M4_Sectores!P54="","",M4_Sectores!P54))</f>
        <v/>
      </c>
      <c r="AH650" s="17" t="str">
        <f>IF(M4_Sectores!A54="","",IF(M4_Sectores!H54="","",M4_Sectores!H54))</f>
        <v/>
      </c>
      <c r="AI650" s="17" t="str">
        <f>IF(M4_Sectores!A54="","","M4_Sectores!54")</f>
        <v/>
      </c>
      <c r="AJ650" s="17" t="str">
        <f>IF(M4_Sectores!A54="","",IF(M4_Sectores!L54="","Pendiente de momento o resultado",IF(COUNTIFS(M4_Sectores!$A$9:A54,M4_Sectores!A54,M4_Sectores!$D$9:D54,M4_Sectores!D54,M4_Sectores!$H$9:H54,M4_Sectores!H54)=1,"Total del momento","Sector incluido en total")))</f>
        <v/>
      </c>
    </row>
    <row r="651" spans="1:36" ht="55.5" customHeight="1">
      <c r="A651" s="6" t="str">
        <f t="array" ref="A651">IF(647&gt;$S$1204,"",INDEX($T$5:$AJ$1204,MATCH(647,$S$5:$S$1204,0),1))</f>
        <v/>
      </c>
      <c r="B651" s="8" t="str">
        <f t="array" ref="B651">IF(647&gt;$S$1204,"",INDEX($T$5:$AJ$1204,MATCH(647,$S$5:$S$1204,0),2))</f>
        <v/>
      </c>
      <c r="C651" s="10" t="str">
        <f t="array" ref="C651">IF(647&gt;$S$1204,"",INDEX($T$5:$AJ$1204,MATCH(647,$S$5:$S$1204,0),3))</f>
        <v/>
      </c>
      <c r="D651" s="8" t="str">
        <f t="array" ref="D651">IF(647&gt;$S$1204,"",INDEX($T$5:$AJ$1204,MATCH(647,$S$5:$S$1204,0),4))</f>
        <v/>
      </c>
      <c r="E651" s="8" t="str">
        <f t="array" ref="E651">IF(647&gt;$S$1204,"",INDEX($T$5:$AJ$1204,MATCH(647,$S$5:$S$1204,0),5))</f>
        <v/>
      </c>
      <c r="F651" s="8" t="str">
        <f t="array" ref="F651">IF(647&gt;$S$1204,"",INDEX($T$5:$AJ$1204,MATCH(647,$S$5:$S$1204,0),6))</f>
        <v/>
      </c>
      <c r="G651" s="8" t="str">
        <f t="array" ref="G651">IF(647&gt;$S$1204,"",INDEX($T$5:$AJ$1204,MATCH(647,$S$5:$S$1204,0),7))</f>
        <v/>
      </c>
      <c r="H651" s="8" t="str">
        <f t="array" ref="H651">IF(647&gt;$S$1204,"",INDEX($T$5:$AJ$1204,MATCH(647,$S$5:$S$1204,0),8))</f>
        <v/>
      </c>
      <c r="I651" s="8" t="str">
        <f t="array" ref="I651">IF(647&gt;$S$1204,"",INDEX($T$5:$AJ$1204,MATCH(647,$S$5:$S$1204,0),9))</f>
        <v/>
      </c>
      <c r="J651" s="14" t="str">
        <f t="array" ref="J651">IF(647&gt;$S$1204,"",INDEX($T$5:$AJ$1204,MATCH(647,$S$5:$S$1204,0),10))</f>
        <v/>
      </c>
      <c r="K651" s="8" t="str">
        <f t="array" ref="K651">IF(647&gt;$S$1204,"",INDEX($T$5:$AJ$1204,MATCH(647,$S$5:$S$1204,0),11))</f>
        <v/>
      </c>
      <c r="L651" s="8" t="str">
        <f t="array" ref="L651">IF(647&gt;$S$1204,"",INDEX($T$5:$AJ$1204,MATCH(647,$S$5:$S$1204,0),12))</f>
        <v/>
      </c>
      <c r="M651" s="8" t="str">
        <f t="array" ref="M651">IF(647&gt;$S$1204,"",INDEX($T$5:$AJ$1204,MATCH(647,$S$5:$S$1204,0),13))</f>
        <v/>
      </c>
      <c r="N651" s="8" t="str">
        <f t="array" ref="N651">IF(647&gt;$S$1204,"",INDEX($T$5:$AJ$1204,MATCH(647,$S$5:$S$1204,0),14))</f>
        <v/>
      </c>
      <c r="O651" s="15" t="str">
        <f t="array" ref="O651">IF(647&gt;$S$1204,"",INDEX($T$5:$AJ$1204,MATCH(647,$S$5:$S$1204,0),15))</f>
        <v/>
      </c>
      <c r="P651" s="8" t="str">
        <f t="array" ref="P651">IF(647&gt;$S$1204,"",INDEX($T$5:$AJ$1204,MATCH(647,$S$5:$S$1204,0),16))</f>
        <v/>
      </c>
      <c r="Q651" s="8" t="str">
        <f t="array" ref="Q651">IF(647&gt;$S$1204,"",INDEX($T$5:$AJ$1204,MATCH(647,$S$5:$S$1204,0),17))</f>
        <v/>
      </c>
      <c r="R651" s="17"/>
      <c r="S651" s="17">
        <f>S650+IF(M4_Sectores!A55="",0,1)</f>
        <v>0</v>
      </c>
      <c r="T651" s="17" t="str">
        <f>IF(M4_Sectores!A55="","",IF(M4_Sectores!A55="","",M4_Sectores!A55))</f>
        <v/>
      </c>
      <c r="U651" s="17" t="str">
        <f>IF(M4_Sectores!A55="","",IF(M4_Sectores!Q55="","",M4_Sectores!Q55))</f>
        <v/>
      </c>
      <c r="V651" s="17" t="str">
        <f>IF(M4_Sectores!A55="","",IF(M4_Sectores!D55="","",M4_Sectores!D55))</f>
        <v/>
      </c>
      <c r="W651" s="17" t="str">
        <f>IF(M4_Sectores!A55="","",IF(M4_Sectores!B55="","",M4_Sectores!B55))</f>
        <v/>
      </c>
      <c r="X651" s="17" t="str">
        <f>IF(M4_Sectores!A55="","",IF(M4_Sectores!C55="","",M4_Sectores!C55))</f>
        <v/>
      </c>
      <c r="Y651" s="17" t="str">
        <f>IF(M4_Sectores!A55="","",IF(M4_Sectores!E55="","",M4_Sectores!E55))</f>
        <v/>
      </c>
      <c r="Z651" s="17" t="str">
        <f>IF(M4_Sectores!A55="","",IF(M4_Sectores!F55="","",M4_Sectores!F55))</f>
        <v/>
      </c>
      <c r="AA651" s="17" t="str">
        <f>IF(M4_Sectores!A55="","","M4 Sectores")</f>
        <v/>
      </c>
      <c r="AB651" s="17" t="str">
        <f>IF(M4_Sectores!A55="","",IF(M4_Sectores!G55="","",M4_Sectores!G55))</f>
        <v/>
      </c>
      <c r="AC651" s="17" t="str">
        <f>IF(M4_Sectores!A55="","",IF(COUNTIFS(M4_Sectores!$A$9:A55,M4_Sectores!A55,M4_Sectores!$D$9:D55,M4_Sectores!D55,M4_Sectores!$H$9:H55,M4_Sectores!H55)=1,IF(M4_Sectores!L55="","",M4_Sectores!L55),""))</f>
        <v/>
      </c>
      <c r="AD651" s="17" t="str">
        <f>IF(M4_Sectores!A55="","","EE")</f>
        <v/>
      </c>
      <c r="AE651" s="17" t="str">
        <f>IF(M4_Sectores!A55="","",IF(M4_Sectores!N55="","",M4_Sectores!N55))</f>
        <v/>
      </c>
      <c r="AF651" s="17" t="str">
        <f>IF(M4_Sectores!A55="","",IF(M4_Sectores!O55="","",M4_Sectores!O55))</f>
        <v/>
      </c>
      <c r="AG651" s="17" t="str">
        <f>IF(M4_Sectores!A55="","",IF(M4_Sectores!P55="","",M4_Sectores!P55))</f>
        <v/>
      </c>
      <c r="AH651" s="17" t="str">
        <f>IF(M4_Sectores!A55="","",IF(M4_Sectores!H55="","",M4_Sectores!H55))</f>
        <v/>
      </c>
      <c r="AI651" s="17" t="str">
        <f>IF(M4_Sectores!A55="","","M4_Sectores!55")</f>
        <v/>
      </c>
      <c r="AJ651" s="17" t="str">
        <f>IF(M4_Sectores!A55="","",IF(M4_Sectores!L55="","Pendiente de momento o resultado",IF(COUNTIFS(M4_Sectores!$A$9:A55,M4_Sectores!A55,M4_Sectores!$D$9:D55,M4_Sectores!D55,M4_Sectores!$H$9:H55,M4_Sectores!H55)=1,"Total del momento","Sector incluido en total")))</f>
        <v/>
      </c>
    </row>
    <row r="652" spans="1:36" ht="55.5" customHeight="1">
      <c r="A652" s="6" t="str">
        <f t="array" ref="A652">IF(648&gt;$S$1204,"",INDEX($T$5:$AJ$1204,MATCH(648,$S$5:$S$1204,0),1))</f>
        <v/>
      </c>
      <c r="B652" s="8" t="str">
        <f t="array" ref="B652">IF(648&gt;$S$1204,"",INDEX($T$5:$AJ$1204,MATCH(648,$S$5:$S$1204,0),2))</f>
        <v/>
      </c>
      <c r="C652" s="10" t="str">
        <f t="array" ref="C652">IF(648&gt;$S$1204,"",INDEX($T$5:$AJ$1204,MATCH(648,$S$5:$S$1204,0),3))</f>
        <v/>
      </c>
      <c r="D652" s="8" t="str">
        <f t="array" ref="D652">IF(648&gt;$S$1204,"",INDEX($T$5:$AJ$1204,MATCH(648,$S$5:$S$1204,0),4))</f>
        <v/>
      </c>
      <c r="E652" s="8" t="str">
        <f t="array" ref="E652">IF(648&gt;$S$1204,"",INDEX($T$5:$AJ$1204,MATCH(648,$S$5:$S$1204,0),5))</f>
        <v/>
      </c>
      <c r="F652" s="8" t="str">
        <f t="array" ref="F652">IF(648&gt;$S$1204,"",INDEX($T$5:$AJ$1204,MATCH(648,$S$5:$S$1204,0),6))</f>
        <v/>
      </c>
      <c r="G652" s="8" t="str">
        <f t="array" ref="G652">IF(648&gt;$S$1204,"",INDEX($T$5:$AJ$1204,MATCH(648,$S$5:$S$1204,0),7))</f>
        <v/>
      </c>
      <c r="H652" s="8" t="str">
        <f t="array" ref="H652">IF(648&gt;$S$1204,"",INDEX($T$5:$AJ$1204,MATCH(648,$S$5:$S$1204,0),8))</f>
        <v/>
      </c>
      <c r="I652" s="8" t="str">
        <f t="array" ref="I652">IF(648&gt;$S$1204,"",INDEX($T$5:$AJ$1204,MATCH(648,$S$5:$S$1204,0),9))</f>
        <v/>
      </c>
      <c r="J652" s="14" t="str">
        <f t="array" ref="J652">IF(648&gt;$S$1204,"",INDEX($T$5:$AJ$1204,MATCH(648,$S$5:$S$1204,0),10))</f>
        <v/>
      </c>
      <c r="K652" s="8" t="str">
        <f t="array" ref="K652">IF(648&gt;$S$1204,"",INDEX($T$5:$AJ$1204,MATCH(648,$S$5:$S$1204,0),11))</f>
        <v/>
      </c>
      <c r="L652" s="8" t="str">
        <f t="array" ref="L652">IF(648&gt;$S$1204,"",INDEX($T$5:$AJ$1204,MATCH(648,$S$5:$S$1204,0),12))</f>
        <v/>
      </c>
      <c r="M652" s="8" t="str">
        <f t="array" ref="M652">IF(648&gt;$S$1204,"",INDEX($T$5:$AJ$1204,MATCH(648,$S$5:$S$1204,0),13))</f>
        <v/>
      </c>
      <c r="N652" s="8" t="str">
        <f t="array" ref="N652">IF(648&gt;$S$1204,"",INDEX($T$5:$AJ$1204,MATCH(648,$S$5:$S$1204,0),14))</f>
        <v/>
      </c>
      <c r="O652" s="15" t="str">
        <f t="array" ref="O652">IF(648&gt;$S$1204,"",INDEX($T$5:$AJ$1204,MATCH(648,$S$5:$S$1204,0),15))</f>
        <v/>
      </c>
      <c r="P652" s="8" t="str">
        <f t="array" ref="P652">IF(648&gt;$S$1204,"",INDEX($T$5:$AJ$1204,MATCH(648,$S$5:$S$1204,0),16))</f>
        <v/>
      </c>
      <c r="Q652" s="8" t="str">
        <f t="array" ref="Q652">IF(648&gt;$S$1204,"",INDEX($T$5:$AJ$1204,MATCH(648,$S$5:$S$1204,0),17))</f>
        <v/>
      </c>
      <c r="R652" s="17"/>
      <c r="S652" s="17">
        <f>S651+IF(M4_Sectores!A56="",0,1)</f>
        <v>0</v>
      </c>
      <c r="T652" s="17" t="str">
        <f>IF(M4_Sectores!A56="","",IF(M4_Sectores!A56="","",M4_Sectores!A56))</f>
        <v/>
      </c>
      <c r="U652" s="17" t="str">
        <f>IF(M4_Sectores!A56="","",IF(M4_Sectores!Q56="","",M4_Sectores!Q56))</f>
        <v/>
      </c>
      <c r="V652" s="17" t="str">
        <f>IF(M4_Sectores!A56="","",IF(M4_Sectores!D56="","",M4_Sectores!D56))</f>
        <v/>
      </c>
      <c r="W652" s="17" t="str">
        <f>IF(M4_Sectores!A56="","",IF(M4_Sectores!B56="","",M4_Sectores!B56))</f>
        <v/>
      </c>
      <c r="X652" s="17" t="str">
        <f>IF(M4_Sectores!A56="","",IF(M4_Sectores!C56="","",M4_Sectores!C56))</f>
        <v/>
      </c>
      <c r="Y652" s="17" t="str">
        <f>IF(M4_Sectores!A56="","",IF(M4_Sectores!E56="","",M4_Sectores!E56))</f>
        <v/>
      </c>
      <c r="Z652" s="17" t="str">
        <f>IF(M4_Sectores!A56="","",IF(M4_Sectores!F56="","",M4_Sectores!F56))</f>
        <v/>
      </c>
      <c r="AA652" s="17" t="str">
        <f>IF(M4_Sectores!A56="","","M4 Sectores")</f>
        <v/>
      </c>
      <c r="AB652" s="17" t="str">
        <f>IF(M4_Sectores!A56="","",IF(M4_Sectores!G56="","",M4_Sectores!G56))</f>
        <v/>
      </c>
      <c r="AC652" s="17" t="str">
        <f>IF(M4_Sectores!A56="","",IF(COUNTIFS(M4_Sectores!$A$9:A56,M4_Sectores!A56,M4_Sectores!$D$9:D56,M4_Sectores!D56,M4_Sectores!$H$9:H56,M4_Sectores!H56)=1,IF(M4_Sectores!L56="","",M4_Sectores!L56),""))</f>
        <v/>
      </c>
      <c r="AD652" s="17" t="str">
        <f>IF(M4_Sectores!A56="","","EE")</f>
        <v/>
      </c>
      <c r="AE652" s="17" t="str">
        <f>IF(M4_Sectores!A56="","",IF(M4_Sectores!N56="","",M4_Sectores!N56))</f>
        <v/>
      </c>
      <c r="AF652" s="17" t="str">
        <f>IF(M4_Sectores!A56="","",IF(M4_Sectores!O56="","",M4_Sectores!O56))</f>
        <v/>
      </c>
      <c r="AG652" s="17" t="str">
        <f>IF(M4_Sectores!A56="","",IF(M4_Sectores!P56="","",M4_Sectores!P56))</f>
        <v/>
      </c>
      <c r="AH652" s="17" t="str">
        <f>IF(M4_Sectores!A56="","",IF(M4_Sectores!H56="","",M4_Sectores!H56))</f>
        <v/>
      </c>
      <c r="AI652" s="17" t="str">
        <f>IF(M4_Sectores!A56="","","M4_Sectores!56")</f>
        <v/>
      </c>
      <c r="AJ652" s="17" t="str">
        <f>IF(M4_Sectores!A56="","",IF(M4_Sectores!L56="","Pendiente de momento o resultado",IF(COUNTIFS(M4_Sectores!$A$9:A56,M4_Sectores!A56,M4_Sectores!$D$9:D56,M4_Sectores!D56,M4_Sectores!$H$9:H56,M4_Sectores!H56)=1,"Total del momento","Sector incluido en total")))</f>
        <v/>
      </c>
    </row>
    <row r="653" spans="1:36" ht="55.5" customHeight="1">
      <c r="A653" s="6" t="str">
        <f t="array" ref="A653">IF(649&gt;$S$1204,"",INDEX($T$5:$AJ$1204,MATCH(649,$S$5:$S$1204,0),1))</f>
        <v/>
      </c>
      <c r="B653" s="8" t="str">
        <f t="array" ref="B653">IF(649&gt;$S$1204,"",INDEX($T$5:$AJ$1204,MATCH(649,$S$5:$S$1204,0),2))</f>
        <v/>
      </c>
      <c r="C653" s="10" t="str">
        <f t="array" ref="C653">IF(649&gt;$S$1204,"",INDEX($T$5:$AJ$1204,MATCH(649,$S$5:$S$1204,0),3))</f>
        <v/>
      </c>
      <c r="D653" s="8" t="str">
        <f t="array" ref="D653">IF(649&gt;$S$1204,"",INDEX($T$5:$AJ$1204,MATCH(649,$S$5:$S$1204,0),4))</f>
        <v/>
      </c>
      <c r="E653" s="8" t="str">
        <f t="array" ref="E653">IF(649&gt;$S$1204,"",INDEX($T$5:$AJ$1204,MATCH(649,$S$5:$S$1204,0),5))</f>
        <v/>
      </c>
      <c r="F653" s="8" t="str">
        <f t="array" ref="F653">IF(649&gt;$S$1204,"",INDEX($T$5:$AJ$1204,MATCH(649,$S$5:$S$1204,0),6))</f>
        <v/>
      </c>
      <c r="G653" s="8" t="str">
        <f t="array" ref="G653">IF(649&gt;$S$1204,"",INDEX($T$5:$AJ$1204,MATCH(649,$S$5:$S$1204,0),7))</f>
        <v/>
      </c>
      <c r="H653" s="8" t="str">
        <f t="array" ref="H653">IF(649&gt;$S$1204,"",INDEX($T$5:$AJ$1204,MATCH(649,$S$5:$S$1204,0),8))</f>
        <v/>
      </c>
      <c r="I653" s="8" t="str">
        <f t="array" ref="I653">IF(649&gt;$S$1204,"",INDEX($T$5:$AJ$1204,MATCH(649,$S$5:$S$1204,0),9))</f>
        <v/>
      </c>
      <c r="J653" s="14" t="str">
        <f t="array" ref="J653">IF(649&gt;$S$1204,"",INDEX($T$5:$AJ$1204,MATCH(649,$S$5:$S$1204,0),10))</f>
        <v/>
      </c>
      <c r="K653" s="8" t="str">
        <f t="array" ref="K653">IF(649&gt;$S$1204,"",INDEX($T$5:$AJ$1204,MATCH(649,$S$5:$S$1204,0),11))</f>
        <v/>
      </c>
      <c r="L653" s="8" t="str">
        <f t="array" ref="L653">IF(649&gt;$S$1204,"",INDEX($T$5:$AJ$1204,MATCH(649,$S$5:$S$1204,0),12))</f>
        <v/>
      </c>
      <c r="M653" s="8" t="str">
        <f t="array" ref="M653">IF(649&gt;$S$1204,"",INDEX($T$5:$AJ$1204,MATCH(649,$S$5:$S$1204,0),13))</f>
        <v/>
      </c>
      <c r="N653" s="8" t="str">
        <f t="array" ref="N653">IF(649&gt;$S$1204,"",INDEX($T$5:$AJ$1204,MATCH(649,$S$5:$S$1204,0),14))</f>
        <v/>
      </c>
      <c r="O653" s="15" t="str">
        <f t="array" ref="O653">IF(649&gt;$S$1204,"",INDEX($T$5:$AJ$1204,MATCH(649,$S$5:$S$1204,0),15))</f>
        <v/>
      </c>
      <c r="P653" s="8" t="str">
        <f t="array" ref="P653">IF(649&gt;$S$1204,"",INDEX($T$5:$AJ$1204,MATCH(649,$S$5:$S$1204,0),16))</f>
        <v/>
      </c>
      <c r="Q653" s="8" t="str">
        <f t="array" ref="Q653">IF(649&gt;$S$1204,"",INDEX($T$5:$AJ$1204,MATCH(649,$S$5:$S$1204,0),17))</f>
        <v/>
      </c>
      <c r="R653" s="17"/>
      <c r="S653" s="17">
        <f>S652+IF(M4_Sectores!A57="",0,1)</f>
        <v>0</v>
      </c>
      <c r="T653" s="17" t="str">
        <f>IF(M4_Sectores!A57="","",IF(M4_Sectores!A57="","",M4_Sectores!A57))</f>
        <v/>
      </c>
      <c r="U653" s="17" t="str">
        <f>IF(M4_Sectores!A57="","",IF(M4_Sectores!Q57="","",M4_Sectores!Q57))</f>
        <v/>
      </c>
      <c r="V653" s="17" t="str">
        <f>IF(M4_Sectores!A57="","",IF(M4_Sectores!D57="","",M4_Sectores!D57))</f>
        <v/>
      </c>
      <c r="W653" s="17" t="str">
        <f>IF(M4_Sectores!A57="","",IF(M4_Sectores!B57="","",M4_Sectores!B57))</f>
        <v/>
      </c>
      <c r="X653" s="17" t="str">
        <f>IF(M4_Sectores!A57="","",IF(M4_Sectores!C57="","",M4_Sectores!C57))</f>
        <v/>
      </c>
      <c r="Y653" s="17" t="str">
        <f>IF(M4_Sectores!A57="","",IF(M4_Sectores!E57="","",M4_Sectores!E57))</f>
        <v/>
      </c>
      <c r="Z653" s="17" t="str">
        <f>IF(M4_Sectores!A57="","",IF(M4_Sectores!F57="","",M4_Sectores!F57))</f>
        <v/>
      </c>
      <c r="AA653" s="17" t="str">
        <f>IF(M4_Sectores!A57="","","M4 Sectores")</f>
        <v/>
      </c>
      <c r="AB653" s="17" t="str">
        <f>IF(M4_Sectores!A57="","",IF(M4_Sectores!G57="","",M4_Sectores!G57))</f>
        <v/>
      </c>
      <c r="AC653" s="17" t="str">
        <f>IF(M4_Sectores!A57="","",IF(COUNTIFS(M4_Sectores!$A$9:A57,M4_Sectores!A57,M4_Sectores!$D$9:D57,M4_Sectores!D57,M4_Sectores!$H$9:H57,M4_Sectores!H57)=1,IF(M4_Sectores!L57="","",M4_Sectores!L57),""))</f>
        <v/>
      </c>
      <c r="AD653" s="17" t="str">
        <f>IF(M4_Sectores!A57="","","EE")</f>
        <v/>
      </c>
      <c r="AE653" s="17" t="str">
        <f>IF(M4_Sectores!A57="","",IF(M4_Sectores!N57="","",M4_Sectores!N57))</f>
        <v/>
      </c>
      <c r="AF653" s="17" t="str">
        <f>IF(M4_Sectores!A57="","",IF(M4_Sectores!O57="","",M4_Sectores!O57))</f>
        <v/>
      </c>
      <c r="AG653" s="17" t="str">
        <f>IF(M4_Sectores!A57="","",IF(M4_Sectores!P57="","",M4_Sectores!P57))</f>
        <v/>
      </c>
      <c r="AH653" s="17" t="str">
        <f>IF(M4_Sectores!A57="","",IF(M4_Sectores!H57="","",M4_Sectores!H57))</f>
        <v/>
      </c>
      <c r="AI653" s="17" t="str">
        <f>IF(M4_Sectores!A57="","","M4_Sectores!57")</f>
        <v/>
      </c>
      <c r="AJ653" s="17" t="str">
        <f>IF(M4_Sectores!A57="","",IF(M4_Sectores!L57="","Pendiente de momento o resultado",IF(COUNTIFS(M4_Sectores!$A$9:A57,M4_Sectores!A57,M4_Sectores!$D$9:D57,M4_Sectores!D57,M4_Sectores!$H$9:H57,M4_Sectores!H57)=1,"Total del momento","Sector incluido en total")))</f>
        <v/>
      </c>
    </row>
    <row r="654" spans="1:36" ht="55.5" customHeight="1">
      <c r="A654" s="6" t="str">
        <f t="array" ref="A654">IF(650&gt;$S$1204,"",INDEX($T$5:$AJ$1204,MATCH(650,$S$5:$S$1204,0),1))</f>
        <v/>
      </c>
      <c r="B654" s="8" t="str">
        <f t="array" ref="B654">IF(650&gt;$S$1204,"",INDEX($T$5:$AJ$1204,MATCH(650,$S$5:$S$1204,0),2))</f>
        <v/>
      </c>
      <c r="C654" s="10" t="str">
        <f t="array" ref="C654">IF(650&gt;$S$1204,"",INDEX($T$5:$AJ$1204,MATCH(650,$S$5:$S$1204,0),3))</f>
        <v/>
      </c>
      <c r="D654" s="8" t="str">
        <f t="array" ref="D654">IF(650&gt;$S$1204,"",INDEX($T$5:$AJ$1204,MATCH(650,$S$5:$S$1204,0),4))</f>
        <v/>
      </c>
      <c r="E654" s="8" t="str">
        <f t="array" ref="E654">IF(650&gt;$S$1204,"",INDEX($T$5:$AJ$1204,MATCH(650,$S$5:$S$1204,0),5))</f>
        <v/>
      </c>
      <c r="F654" s="8" t="str">
        <f t="array" ref="F654">IF(650&gt;$S$1204,"",INDEX($T$5:$AJ$1204,MATCH(650,$S$5:$S$1204,0),6))</f>
        <v/>
      </c>
      <c r="G654" s="8" t="str">
        <f t="array" ref="G654">IF(650&gt;$S$1204,"",INDEX($T$5:$AJ$1204,MATCH(650,$S$5:$S$1204,0),7))</f>
        <v/>
      </c>
      <c r="H654" s="8" t="str">
        <f t="array" ref="H654">IF(650&gt;$S$1204,"",INDEX($T$5:$AJ$1204,MATCH(650,$S$5:$S$1204,0),8))</f>
        <v/>
      </c>
      <c r="I654" s="8" t="str">
        <f t="array" ref="I654">IF(650&gt;$S$1204,"",INDEX($T$5:$AJ$1204,MATCH(650,$S$5:$S$1204,0),9))</f>
        <v/>
      </c>
      <c r="J654" s="14" t="str">
        <f t="array" ref="J654">IF(650&gt;$S$1204,"",INDEX($T$5:$AJ$1204,MATCH(650,$S$5:$S$1204,0),10))</f>
        <v/>
      </c>
      <c r="K654" s="8" t="str">
        <f t="array" ref="K654">IF(650&gt;$S$1204,"",INDEX($T$5:$AJ$1204,MATCH(650,$S$5:$S$1204,0),11))</f>
        <v/>
      </c>
      <c r="L654" s="8" t="str">
        <f t="array" ref="L654">IF(650&gt;$S$1204,"",INDEX($T$5:$AJ$1204,MATCH(650,$S$5:$S$1204,0),12))</f>
        <v/>
      </c>
      <c r="M654" s="8" t="str">
        <f t="array" ref="M654">IF(650&gt;$S$1204,"",INDEX($T$5:$AJ$1204,MATCH(650,$S$5:$S$1204,0),13))</f>
        <v/>
      </c>
      <c r="N654" s="8" t="str">
        <f t="array" ref="N654">IF(650&gt;$S$1204,"",INDEX($T$5:$AJ$1204,MATCH(650,$S$5:$S$1204,0),14))</f>
        <v/>
      </c>
      <c r="O654" s="15" t="str">
        <f t="array" ref="O654">IF(650&gt;$S$1204,"",INDEX($T$5:$AJ$1204,MATCH(650,$S$5:$S$1204,0),15))</f>
        <v/>
      </c>
      <c r="P654" s="8" t="str">
        <f t="array" ref="P654">IF(650&gt;$S$1204,"",INDEX($T$5:$AJ$1204,MATCH(650,$S$5:$S$1204,0),16))</f>
        <v/>
      </c>
      <c r="Q654" s="8" t="str">
        <f t="array" ref="Q654">IF(650&gt;$S$1204,"",INDEX($T$5:$AJ$1204,MATCH(650,$S$5:$S$1204,0),17))</f>
        <v/>
      </c>
      <c r="R654" s="17"/>
      <c r="S654" s="17">
        <f>S653+IF(M4_Sectores!A58="",0,1)</f>
        <v>0</v>
      </c>
      <c r="T654" s="17" t="str">
        <f>IF(M4_Sectores!A58="","",IF(M4_Sectores!A58="","",M4_Sectores!A58))</f>
        <v/>
      </c>
      <c r="U654" s="17" t="str">
        <f>IF(M4_Sectores!A58="","",IF(M4_Sectores!Q58="","",M4_Sectores!Q58))</f>
        <v/>
      </c>
      <c r="V654" s="17" t="str">
        <f>IF(M4_Sectores!A58="","",IF(M4_Sectores!D58="","",M4_Sectores!D58))</f>
        <v/>
      </c>
      <c r="W654" s="17" t="str">
        <f>IF(M4_Sectores!A58="","",IF(M4_Sectores!B58="","",M4_Sectores!B58))</f>
        <v/>
      </c>
      <c r="X654" s="17" t="str">
        <f>IF(M4_Sectores!A58="","",IF(M4_Sectores!C58="","",M4_Sectores!C58))</f>
        <v/>
      </c>
      <c r="Y654" s="17" t="str">
        <f>IF(M4_Sectores!A58="","",IF(M4_Sectores!E58="","",M4_Sectores!E58))</f>
        <v/>
      </c>
      <c r="Z654" s="17" t="str">
        <f>IF(M4_Sectores!A58="","",IF(M4_Sectores!F58="","",M4_Sectores!F58))</f>
        <v/>
      </c>
      <c r="AA654" s="17" t="str">
        <f>IF(M4_Sectores!A58="","","M4 Sectores")</f>
        <v/>
      </c>
      <c r="AB654" s="17" t="str">
        <f>IF(M4_Sectores!A58="","",IF(M4_Sectores!G58="","",M4_Sectores!G58))</f>
        <v/>
      </c>
      <c r="AC654" s="17" t="str">
        <f>IF(M4_Sectores!A58="","",IF(COUNTIFS(M4_Sectores!$A$9:A58,M4_Sectores!A58,M4_Sectores!$D$9:D58,M4_Sectores!D58,M4_Sectores!$H$9:H58,M4_Sectores!H58)=1,IF(M4_Sectores!L58="","",M4_Sectores!L58),""))</f>
        <v/>
      </c>
      <c r="AD654" s="17" t="str">
        <f>IF(M4_Sectores!A58="","","EE")</f>
        <v/>
      </c>
      <c r="AE654" s="17" t="str">
        <f>IF(M4_Sectores!A58="","",IF(M4_Sectores!N58="","",M4_Sectores!N58))</f>
        <v/>
      </c>
      <c r="AF654" s="17" t="str">
        <f>IF(M4_Sectores!A58="","",IF(M4_Sectores!O58="","",M4_Sectores!O58))</f>
        <v/>
      </c>
      <c r="AG654" s="17" t="str">
        <f>IF(M4_Sectores!A58="","",IF(M4_Sectores!P58="","",M4_Sectores!P58))</f>
        <v/>
      </c>
      <c r="AH654" s="17" t="str">
        <f>IF(M4_Sectores!A58="","",IF(M4_Sectores!H58="","",M4_Sectores!H58))</f>
        <v/>
      </c>
      <c r="AI654" s="17" t="str">
        <f>IF(M4_Sectores!A58="","","M4_Sectores!58")</f>
        <v/>
      </c>
      <c r="AJ654" s="17" t="str">
        <f>IF(M4_Sectores!A58="","",IF(M4_Sectores!L58="","Pendiente de momento o resultado",IF(COUNTIFS(M4_Sectores!$A$9:A58,M4_Sectores!A58,M4_Sectores!$D$9:D58,M4_Sectores!D58,M4_Sectores!$H$9:H58,M4_Sectores!H58)=1,"Total del momento","Sector incluido en total")))</f>
        <v/>
      </c>
    </row>
    <row r="655" spans="1:36" ht="55.5" customHeight="1">
      <c r="A655" s="6" t="str">
        <f t="array" ref="A655">IF(651&gt;$S$1204,"",INDEX($T$5:$AJ$1204,MATCH(651,$S$5:$S$1204,0),1))</f>
        <v/>
      </c>
      <c r="B655" s="8" t="str">
        <f t="array" ref="B655">IF(651&gt;$S$1204,"",INDEX($T$5:$AJ$1204,MATCH(651,$S$5:$S$1204,0),2))</f>
        <v/>
      </c>
      <c r="C655" s="10" t="str">
        <f t="array" ref="C655">IF(651&gt;$S$1204,"",INDEX($T$5:$AJ$1204,MATCH(651,$S$5:$S$1204,0),3))</f>
        <v/>
      </c>
      <c r="D655" s="8" t="str">
        <f t="array" ref="D655">IF(651&gt;$S$1204,"",INDEX($T$5:$AJ$1204,MATCH(651,$S$5:$S$1204,0),4))</f>
        <v/>
      </c>
      <c r="E655" s="8" t="str">
        <f t="array" ref="E655">IF(651&gt;$S$1204,"",INDEX($T$5:$AJ$1204,MATCH(651,$S$5:$S$1204,0),5))</f>
        <v/>
      </c>
      <c r="F655" s="8" t="str">
        <f t="array" ref="F655">IF(651&gt;$S$1204,"",INDEX($T$5:$AJ$1204,MATCH(651,$S$5:$S$1204,0),6))</f>
        <v/>
      </c>
      <c r="G655" s="8" t="str">
        <f t="array" ref="G655">IF(651&gt;$S$1204,"",INDEX($T$5:$AJ$1204,MATCH(651,$S$5:$S$1204,0),7))</f>
        <v/>
      </c>
      <c r="H655" s="8" t="str">
        <f t="array" ref="H655">IF(651&gt;$S$1204,"",INDEX($T$5:$AJ$1204,MATCH(651,$S$5:$S$1204,0),8))</f>
        <v/>
      </c>
      <c r="I655" s="8" t="str">
        <f t="array" ref="I655">IF(651&gt;$S$1204,"",INDEX($T$5:$AJ$1204,MATCH(651,$S$5:$S$1204,0),9))</f>
        <v/>
      </c>
      <c r="J655" s="14" t="str">
        <f t="array" ref="J655">IF(651&gt;$S$1204,"",INDEX($T$5:$AJ$1204,MATCH(651,$S$5:$S$1204,0),10))</f>
        <v/>
      </c>
      <c r="K655" s="8" t="str">
        <f t="array" ref="K655">IF(651&gt;$S$1204,"",INDEX($T$5:$AJ$1204,MATCH(651,$S$5:$S$1204,0),11))</f>
        <v/>
      </c>
      <c r="L655" s="8" t="str">
        <f t="array" ref="L655">IF(651&gt;$S$1204,"",INDEX($T$5:$AJ$1204,MATCH(651,$S$5:$S$1204,0),12))</f>
        <v/>
      </c>
      <c r="M655" s="8" t="str">
        <f t="array" ref="M655">IF(651&gt;$S$1204,"",INDEX($T$5:$AJ$1204,MATCH(651,$S$5:$S$1204,0),13))</f>
        <v/>
      </c>
      <c r="N655" s="8" t="str">
        <f t="array" ref="N655">IF(651&gt;$S$1204,"",INDEX($T$5:$AJ$1204,MATCH(651,$S$5:$S$1204,0),14))</f>
        <v/>
      </c>
      <c r="O655" s="15" t="str">
        <f t="array" ref="O655">IF(651&gt;$S$1204,"",INDEX($T$5:$AJ$1204,MATCH(651,$S$5:$S$1204,0),15))</f>
        <v/>
      </c>
      <c r="P655" s="8" t="str">
        <f t="array" ref="P655">IF(651&gt;$S$1204,"",INDEX($T$5:$AJ$1204,MATCH(651,$S$5:$S$1204,0),16))</f>
        <v/>
      </c>
      <c r="Q655" s="8" t="str">
        <f t="array" ref="Q655">IF(651&gt;$S$1204,"",INDEX($T$5:$AJ$1204,MATCH(651,$S$5:$S$1204,0),17))</f>
        <v/>
      </c>
      <c r="R655" s="17"/>
      <c r="S655" s="17">
        <f>S654+IF(M4_Sectores!A59="",0,1)</f>
        <v>0</v>
      </c>
      <c r="T655" s="17" t="str">
        <f>IF(M4_Sectores!A59="","",IF(M4_Sectores!A59="","",M4_Sectores!A59))</f>
        <v/>
      </c>
      <c r="U655" s="17" t="str">
        <f>IF(M4_Sectores!A59="","",IF(M4_Sectores!Q59="","",M4_Sectores!Q59))</f>
        <v/>
      </c>
      <c r="V655" s="17" t="str">
        <f>IF(M4_Sectores!A59="","",IF(M4_Sectores!D59="","",M4_Sectores!D59))</f>
        <v/>
      </c>
      <c r="W655" s="17" t="str">
        <f>IF(M4_Sectores!A59="","",IF(M4_Sectores!B59="","",M4_Sectores!B59))</f>
        <v/>
      </c>
      <c r="X655" s="17" t="str">
        <f>IF(M4_Sectores!A59="","",IF(M4_Sectores!C59="","",M4_Sectores!C59))</f>
        <v/>
      </c>
      <c r="Y655" s="17" t="str">
        <f>IF(M4_Sectores!A59="","",IF(M4_Sectores!E59="","",M4_Sectores!E59))</f>
        <v/>
      </c>
      <c r="Z655" s="17" t="str">
        <f>IF(M4_Sectores!A59="","",IF(M4_Sectores!F59="","",M4_Sectores!F59))</f>
        <v/>
      </c>
      <c r="AA655" s="17" t="str">
        <f>IF(M4_Sectores!A59="","","M4 Sectores")</f>
        <v/>
      </c>
      <c r="AB655" s="17" t="str">
        <f>IF(M4_Sectores!A59="","",IF(M4_Sectores!G59="","",M4_Sectores!G59))</f>
        <v/>
      </c>
      <c r="AC655" s="17" t="str">
        <f>IF(M4_Sectores!A59="","",IF(COUNTIFS(M4_Sectores!$A$9:A59,M4_Sectores!A59,M4_Sectores!$D$9:D59,M4_Sectores!D59,M4_Sectores!$H$9:H59,M4_Sectores!H59)=1,IF(M4_Sectores!L59="","",M4_Sectores!L59),""))</f>
        <v/>
      </c>
      <c r="AD655" s="17" t="str">
        <f>IF(M4_Sectores!A59="","","EE")</f>
        <v/>
      </c>
      <c r="AE655" s="17" t="str">
        <f>IF(M4_Sectores!A59="","",IF(M4_Sectores!N59="","",M4_Sectores!N59))</f>
        <v/>
      </c>
      <c r="AF655" s="17" t="str">
        <f>IF(M4_Sectores!A59="","",IF(M4_Sectores!O59="","",M4_Sectores!O59))</f>
        <v/>
      </c>
      <c r="AG655" s="17" t="str">
        <f>IF(M4_Sectores!A59="","",IF(M4_Sectores!P59="","",M4_Sectores!P59))</f>
        <v/>
      </c>
      <c r="AH655" s="17" t="str">
        <f>IF(M4_Sectores!A59="","",IF(M4_Sectores!H59="","",M4_Sectores!H59))</f>
        <v/>
      </c>
      <c r="AI655" s="17" t="str">
        <f>IF(M4_Sectores!A59="","","M4_Sectores!59")</f>
        <v/>
      </c>
      <c r="AJ655" s="17" t="str">
        <f>IF(M4_Sectores!A59="","",IF(M4_Sectores!L59="","Pendiente de momento o resultado",IF(COUNTIFS(M4_Sectores!$A$9:A59,M4_Sectores!A59,M4_Sectores!$D$9:D59,M4_Sectores!D59,M4_Sectores!$H$9:H59,M4_Sectores!H59)=1,"Total del momento","Sector incluido en total")))</f>
        <v/>
      </c>
    </row>
    <row r="656" spans="1:36" ht="55.5" customHeight="1">
      <c r="A656" s="6" t="str">
        <f t="array" ref="A656">IF(652&gt;$S$1204,"",INDEX($T$5:$AJ$1204,MATCH(652,$S$5:$S$1204,0),1))</f>
        <v/>
      </c>
      <c r="B656" s="8" t="str">
        <f t="array" ref="B656">IF(652&gt;$S$1204,"",INDEX($T$5:$AJ$1204,MATCH(652,$S$5:$S$1204,0),2))</f>
        <v/>
      </c>
      <c r="C656" s="10" t="str">
        <f t="array" ref="C656">IF(652&gt;$S$1204,"",INDEX($T$5:$AJ$1204,MATCH(652,$S$5:$S$1204,0),3))</f>
        <v/>
      </c>
      <c r="D656" s="8" t="str">
        <f t="array" ref="D656">IF(652&gt;$S$1204,"",INDEX($T$5:$AJ$1204,MATCH(652,$S$5:$S$1204,0),4))</f>
        <v/>
      </c>
      <c r="E656" s="8" t="str">
        <f t="array" ref="E656">IF(652&gt;$S$1204,"",INDEX($T$5:$AJ$1204,MATCH(652,$S$5:$S$1204,0),5))</f>
        <v/>
      </c>
      <c r="F656" s="8" t="str">
        <f t="array" ref="F656">IF(652&gt;$S$1204,"",INDEX($T$5:$AJ$1204,MATCH(652,$S$5:$S$1204,0),6))</f>
        <v/>
      </c>
      <c r="G656" s="8" t="str">
        <f t="array" ref="G656">IF(652&gt;$S$1204,"",INDEX($T$5:$AJ$1204,MATCH(652,$S$5:$S$1204,0),7))</f>
        <v/>
      </c>
      <c r="H656" s="8" t="str">
        <f t="array" ref="H656">IF(652&gt;$S$1204,"",INDEX($T$5:$AJ$1204,MATCH(652,$S$5:$S$1204,0),8))</f>
        <v/>
      </c>
      <c r="I656" s="8" t="str">
        <f t="array" ref="I656">IF(652&gt;$S$1204,"",INDEX($T$5:$AJ$1204,MATCH(652,$S$5:$S$1204,0),9))</f>
        <v/>
      </c>
      <c r="J656" s="14" t="str">
        <f t="array" ref="J656">IF(652&gt;$S$1204,"",INDEX($T$5:$AJ$1204,MATCH(652,$S$5:$S$1204,0),10))</f>
        <v/>
      </c>
      <c r="K656" s="8" t="str">
        <f t="array" ref="K656">IF(652&gt;$S$1204,"",INDEX($T$5:$AJ$1204,MATCH(652,$S$5:$S$1204,0),11))</f>
        <v/>
      </c>
      <c r="L656" s="8" t="str">
        <f t="array" ref="L656">IF(652&gt;$S$1204,"",INDEX($T$5:$AJ$1204,MATCH(652,$S$5:$S$1204,0),12))</f>
        <v/>
      </c>
      <c r="M656" s="8" t="str">
        <f t="array" ref="M656">IF(652&gt;$S$1204,"",INDEX($T$5:$AJ$1204,MATCH(652,$S$5:$S$1204,0),13))</f>
        <v/>
      </c>
      <c r="N656" s="8" t="str">
        <f t="array" ref="N656">IF(652&gt;$S$1204,"",INDEX($T$5:$AJ$1204,MATCH(652,$S$5:$S$1204,0),14))</f>
        <v/>
      </c>
      <c r="O656" s="15" t="str">
        <f t="array" ref="O656">IF(652&gt;$S$1204,"",INDEX($T$5:$AJ$1204,MATCH(652,$S$5:$S$1204,0),15))</f>
        <v/>
      </c>
      <c r="P656" s="8" t="str">
        <f t="array" ref="P656">IF(652&gt;$S$1204,"",INDEX($T$5:$AJ$1204,MATCH(652,$S$5:$S$1204,0),16))</f>
        <v/>
      </c>
      <c r="Q656" s="8" t="str">
        <f t="array" ref="Q656">IF(652&gt;$S$1204,"",INDEX($T$5:$AJ$1204,MATCH(652,$S$5:$S$1204,0),17))</f>
        <v/>
      </c>
      <c r="R656" s="17"/>
      <c r="S656" s="17">
        <f>S655+IF(M4_Sectores!A60="",0,1)</f>
        <v>0</v>
      </c>
      <c r="T656" s="17" t="str">
        <f>IF(M4_Sectores!A60="","",IF(M4_Sectores!A60="","",M4_Sectores!A60))</f>
        <v/>
      </c>
      <c r="U656" s="17" t="str">
        <f>IF(M4_Sectores!A60="","",IF(M4_Sectores!Q60="","",M4_Sectores!Q60))</f>
        <v/>
      </c>
      <c r="V656" s="17" t="str">
        <f>IF(M4_Sectores!A60="","",IF(M4_Sectores!D60="","",M4_Sectores!D60))</f>
        <v/>
      </c>
      <c r="W656" s="17" t="str">
        <f>IF(M4_Sectores!A60="","",IF(M4_Sectores!B60="","",M4_Sectores!B60))</f>
        <v/>
      </c>
      <c r="X656" s="17" t="str">
        <f>IF(M4_Sectores!A60="","",IF(M4_Sectores!C60="","",M4_Sectores!C60))</f>
        <v/>
      </c>
      <c r="Y656" s="17" t="str">
        <f>IF(M4_Sectores!A60="","",IF(M4_Sectores!E60="","",M4_Sectores!E60))</f>
        <v/>
      </c>
      <c r="Z656" s="17" t="str">
        <f>IF(M4_Sectores!A60="","",IF(M4_Sectores!F60="","",M4_Sectores!F60))</f>
        <v/>
      </c>
      <c r="AA656" s="17" t="str">
        <f>IF(M4_Sectores!A60="","","M4 Sectores")</f>
        <v/>
      </c>
      <c r="AB656" s="17" t="str">
        <f>IF(M4_Sectores!A60="","",IF(M4_Sectores!G60="","",M4_Sectores!G60))</f>
        <v/>
      </c>
      <c r="AC656" s="17" t="str">
        <f>IF(M4_Sectores!A60="","",IF(COUNTIFS(M4_Sectores!$A$9:A60,M4_Sectores!A60,M4_Sectores!$D$9:D60,M4_Sectores!D60,M4_Sectores!$H$9:H60,M4_Sectores!H60)=1,IF(M4_Sectores!L60="","",M4_Sectores!L60),""))</f>
        <v/>
      </c>
      <c r="AD656" s="17" t="str">
        <f>IF(M4_Sectores!A60="","","EE")</f>
        <v/>
      </c>
      <c r="AE656" s="17" t="str">
        <f>IF(M4_Sectores!A60="","",IF(M4_Sectores!N60="","",M4_Sectores!N60))</f>
        <v/>
      </c>
      <c r="AF656" s="17" t="str">
        <f>IF(M4_Sectores!A60="","",IF(M4_Sectores!O60="","",M4_Sectores!O60))</f>
        <v/>
      </c>
      <c r="AG656" s="17" t="str">
        <f>IF(M4_Sectores!A60="","",IF(M4_Sectores!P60="","",M4_Sectores!P60))</f>
        <v/>
      </c>
      <c r="AH656" s="17" t="str">
        <f>IF(M4_Sectores!A60="","",IF(M4_Sectores!H60="","",M4_Sectores!H60))</f>
        <v/>
      </c>
      <c r="AI656" s="17" t="str">
        <f>IF(M4_Sectores!A60="","","M4_Sectores!60")</f>
        <v/>
      </c>
      <c r="AJ656" s="17" t="str">
        <f>IF(M4_Sectores!A60="","",IF(M4_Sectores!L60="","Pendiente de momento o resultado",IF(COUNTIFS(M4_Sectores!$A$9:A60,M4_Sectores!A60,M4_Sectores!$D$9:D60,M4_Sectores!D60,M4_Sectores!$H$9:H60,M4_Sectores!H60)=1,"Total del momento","Sector incluido en total")))</f>
        <v/>
      </c>
    </row>
    <row r="657" spans="1:36" ht="55.5" customHeight="1">
      <c r="A657" s="6" t="str">
        <f t="array" ref="A657">IF(653&gt;$S$1204,"",INDEX($T$5:$AJ$1204,MATCH(653,$S$5:$S$1204,0),1))</f>
        <v/>
      </c>
      <c r="B657" s="8" t="str">
        <f t="array" ref="B657">IF(653&gt;$S$1204,"",INDEX($T$5:$AJ$1204,MATCH(653,$S$5:$S$1204,0),2))</f>
        <v/>
      </c>
      <c r="C657" s="10" t="str">
        <f t="array" ref="C657">IF(653&gt;$S$1204,"",INDEX($T$5:$AJ$1204,MATCH(653,$S$5:$S$1204,0),3))</f>
        <v/>
      </c>
      <c r="D657" s="8" t="str">
        <f t="array" ref="D657">IF(653&gt;$S$1204,"",INDEX($T$5:$AJ$1204,MATCH(653,$S$5:$S$1204,0),4))</f>
        <v/>
      </c>
      <c r="E657" s="8" t="str">
        <f t="array" ref="E657">IF(653&gt;$S$1204,"",INDEX($T$5:$AJ$1204,MATCH(653,$S$5:$S$1204,0),5))</f>
        <v/>
      </c>
      <c r="F657" s="8" t="str">
        <f t="array" ref="F657">IF(653&gt;$S$1204,"",INDEX($T$5:$AJ$1204,MATCH(653,$S$5:$S$1204,0),6))</f>
        <v/>
      </c>
      <c r="G657" s="8" t="str">
        <f t="array" ref="G657">IF(653&gt;$S$1204,"",INDEX($T$5:$AJ$1204,MATCH(653,$S$5:$S$1204,0),7))</f>
        <v/>
      </c>
      <c r="H657" s="8" t="str">
        <f t="array" ref="H657">IF(653&gt;$S$1204,"",INDEX($T$5:$AJ$1204,MATCH(653,$S$5:$S$1204,0),8))</f>
        <v/>
      </c>
      <c r="I657" s="8" t="str">
        <f t="array" ref="I657">IF(653&gt;$S$1204,"",INDEX($T$5:$AJ$1204,MATCH(653,$S$5:$S$1204,0),9))</f>
        <v/>
      </c>
      <c r="J657" s="14" t="str">
        <f t="array" ref="J657">IF(653&gt;$S$1204,"",INDEX($T$5:$AJ$1204,MATCH(653,$S$5:$S$1204,0),10))</f>
        <v/>
      </c>
      <c r="K657" s="8" t="str">
        <f t="array" ref="K657">IF(653&gt;$S$1204,"",INDEX($T$5:$AJ$1204,MATCH(653,$S$5:$S$1204,0),11))</f>
        <v/>
      </c>
      <c r="L657" s="8" t="str">
        <f t="array" ref="L657">IF(653&gt;$S$1204,"",INDEX($T$5:$AJ$1204,MATCH(653,$S$5:$S$1204,0),12))</f>
        <v/>
      </c>
      <c r="M657" s="8" t="str">
        <f t="array" ref="M657">IF(653&gt;$S$1204,"",INDEX($T$5:$AJ$1204,MATCH(653,$S$5:$S$1204,0),13))</f>
        <v/>
      </c>
      <c r="N657" s="8" t="str">
        <f t="array" ref="N657">IF(653&gt;$S$1204,"",INDEX($T$5:$AJ$1204,MATCH(653,$S$5:$S$1204,0),14))</f>
        <v/>
      </c>
      <c r="O657" s="15" t="str">
        <f t="array" ref="O657">IF(653&gt;$S$1204,"",INDEX($T$5:$AJ$1204,MATCH(653,$S$5:$S$1204,0),15))</f>
        <v/>
      </c>
      <c r="P657" s="8" t="str">
        <f t="array" ref="P657">IF(653&gt;$S$1204,"",INDEX($T$5:$AJ$1204,MATCH(653,$S$5:$S$1204,0),16))</f>
        <v/>
      </c>
      <c r="Q657" s="8" t="str">
        <f t="array" ref="Q657">IF(653&gt;$S$1204,"",INDEX($T$5:$AJ$1204,MATCH(653,$S$5:$S$1204,0),17))</f>
        <v/>
      </c>
      <c r="R657" s="17"/>
      <c r="S657" s="17">
        <f>S656+IF(M4_Sectores!A61="",0,1)</f>
        <v>0</v>
      </c>
      <c r="T657" s="17" t="str">
        <f>IF(M4_Sectores!A61="","",IF(M4_Sectores!A61="","",M4_Sectores!A61))</f>
        <v/>
      </c>
      <c r="U657" s="17" t="str">
        <f>IF(M4_Sectores!A61="","",IF(M4_Sectores!Q61="","",M4_Sectores!Q61))</f>
        <v/>
      </c>
      <c r="V657" s="17" t="str">
        <f>IF(M4_Sectores!A61="","",IF(M4_Sectores!D61="","",M4_Sectores!D61))</f>
        <v/>
      </c>
      <c r="W657" s="17" t="str">
        <f>IF(M4_Sectores!A61="","",IF(M4_Sectores!B61="","",M4_Sectores!B61))</f>
        <v/>
      </c>
      <c r="X657" s="17" t="str">
        <f>IF(M4_Sectores!A61="","",IF(M4_Sectores!C61="","",M4_Sectores!C61))</f>
        <v/>
      </c>
      <c r="Y657" s="17" t="str">
        <f>IF(M4_Sectores!A61="","",IF(M4_Sectores!E61="","",M4_Sectores!E61))</f>
        <v/>
      </c>
      <c r="Z657" s="17" t="str">
        <f>IF(M4_Sectores!A61="","",IF(M4_Sectores!F61="","",M4_Sectores!F61))</f>
        <v/>
      </c>
      <c r="AA657" s="17" t="str">
        <f>IF(M4_Sectores!A61="","","M4 Sectores")</f>
        <v/>
      </c>
      <c r="AB657" s="17" t="str">
        <f>IF(M4_Sectores!A61="","",IF(M4_Sectores!G61="","",M4_Sectores!G61))</f>
        <v/>
      </c>
      <c r="AC657" s="17" t="str">
        <f>IF(M4_Sectores!A61="","",IF(COUNTIFS(M4_Sectores!$A$9:A61,M4_Sectores!A61,M4_Sectores!$D$9:D61,M4_Sectores!D61,M4_Sectores!$H$9:H61,M4_Sectores!H61)=1,IF(M4_Sectores!L61="","",M4_Sectores!L61),""))</f>
        <v/>
      </c>
      <c r="AD657" s="17" t="str">
        <f>IF(M4_Sectores!A61="","","EE")</f>
        <v/>
      </c>
      <c r="AE657" s="17" t="str">
        <f>IF(M4_Sectores!A61="","",IF(M4_Sectores!N61="","",M4_Sectores!N61))</f>
        <v/>
      </c>
      <c r="AF657" s="17" t="str">
        <f>IF(M4_Sectores!A61="","",IF(M4_Sectores!O61="","",M4_Sectores!O61))</f>
        <v/>
      </c>
      <c r="AG657" s="17" t="str">
        <f>IF(M4_Sectores!A61="","",IF(M4_Sectores!P61="","",M4_Sectores!P61))</f>
        <v/>
      </c>
      <c r="AH657" s="17" t="str">
        <f>IF(M4_Sectores!A61="","",IF(M4_Sectores!H61="","",M4_Sectores!H61))</f>
        <v/>
      </c>
      <c r="AI657" s="17" t="str">
        <f>IF(M4_Sectores!A61="","","M4_Sectores!61")</f>
        <v/>
      </c>
      <c r="AJ657" s="17" t="str">
        <f>IF(M4_Sectores!A61="","",IF(M4_Sectores!L61="","Pendiente de momento o resultado",IF(COUNTIFS(M4_Sectores!$A$9:A61,M4_Sectores!A61,M4_Sectores!$D$9:D61,M4_Sectores!D61,M4_Sectores!$H$9:H61,M4_Sectores!H61)=1,"Total del momento","Sector incluido en total")))</f>
        <v/>
      </c>
    </row>
    <row r="658" spans="1:36" ht="55.5" customHeight="1">
      <c r="A658" s="6" t="str">
        <f t="array" ref="A658">IF(654&gt;$S$1204,"",INDEX($T$5:$AJ$1204,MATCH(654,$S$5:$S$1204,0),1))</f>
        <v/>
      </c>
      <c r="B658" s="8" t="str">
        <f t="array" ref="B658">IF(654&gt;$S$1204,"",INDEX($T$5:$AJ$1204,MATCH(654,$S$5:$S$1204,0),2))</f>
        <v/>
      </c>
      <c r="C658" s="10" t="str">
        <f t="array" ref="C658">IF(654&gt;$S$1204,"",INDEX($T$5:$AJ$1204,MATCH(654,$S$5:$S$1204,0),3))</f>
        <v/>
      </c>
      <c r="D658" s="8" t="str">
        <f t="array" ref="D658">IF(654&gt;$S$1204,"",INDEX($T$5:$AJ$1204,MATCH(654,$S$5:$S$1204,0),4))</f>
        <v/>
      </c>
      <c r="E658" s="8" t="str">
        <f t="array" ref="E658">IF(654&gt;$S$1204,"",INDEX($T$5:$AJ$1204,MATCH(654,$S$5:$S$1204,0),5))</f>
        <v/>
      </c>
      <c r="F658" s="8" t="str">
        <f t="array" ref="F658">IF(654&gt;$S$1204,"",INDEX($T$5:$AJ$1204,MATCH(654,$S$5:$S$1204,0),6))</f>
        <v/>
      </c>
      <c r="G658" s="8" t="str">
        <f t="array" ref="G658">IF(654&gt;$S$1204,"",INDEX($T$5:$AJ$1204,MATCH(654,$S$5:$S$1204,0),7))</f>
        <v/>
      </c>
      <c r="H658" s="8" t="str">
        <f t="array" ref="H658">IF(654&gt;$S$1204,"",INDEX($T$5:$AJ$1204,MATCH(654,$S$5:$S$1204,0),8))</f>
        <v/>
      </c>
      <c r="I658" s="8" t="str">
        <f t="array" ref="I658">IF(654&gt;$S$1204,"",INDEX($T$5:$AJ$1204,MATCH(654,$S$5:$S$1204,0),9))</f>
        <v/>
      </c>
      <c r="J658" s="14" t="str">
        <f t="array" ref="J658">IF(654&gt;$S$1204,"",INDEX($T$5:$AJ$1204,MATCH(654,$S$5:$S$1204,0),10))</f>
        <v/>
      </c>
      <c r="K658" s="8" t="str">
        <f t="array" ref="K658">IF(654&gt;$S$1204,"",INDEX($T$5:$AJ$1204,MATCH(654,$S$5:$S$1204,0),11))</f>
        <v/>
      </c>
      <c r="L658" s="8" t="str">
        <f t="array" ref="L658">IF(654&gt;$S$1204,"",INDEX($T$5:$AJ$1204,MATCH(654,$S$5:$S$1204,0),12))</f>
        <v/>
      </c>
      <c r="M658" s="8" t="str">
        <f t="array" ref="M658">IF(654&gt;$S$1204,"",INDEX($T$5:$AJ$1204,MATCH(654,$S$5:$S$1204,0),13))</f>
        <v/>
      </c>
      <c r="N658" s="8" t="str">
        <f t="array" ref="N658">IF(654&gt;$S$1204,"",INDEX($T$5:$AJ$1204,MATCH(654,$S$5:$S$1204,0),14))</f>
        <v/>
      </c>
      <c r="O658" s="15" t="str">
        <f t="array" ref="O658">IF(654&gt;$S$1204,"",INDEX($T$5:$AJ$1204,MATCH(654,$S$5:$S$1204,0),15))</f>
        <v/>
      </c>
      <c r="P658" s="8" t="str">
        <f t="array" ref="P658">IF(654&gt;$S$1204,"",INDEX($T$5:$AJ$1204,MATCH(654,$S$5:$S$1204,0),16))</f>
        <v/>
      </c>
      <c r="Q658" s="8" t="str">
        <f t="array" ref="Q658">IF(654&gt;$S$1204,"",INDEX($T$5:$AJ$1204,MATCH(654,$S$5:$S$1204,0),17))</f>
        <v/>
      </c>
      <c r="R658" s="17"/>
      <c r="S658" s="17">
        <f>S657+IF(M4_Sectores!A62="",0,1)</f>
        <v>0</v>
      </c>
      <c r="T658" s="17" t="str">
        <f>IF(M4_Sectores!A62="","",IF(M4_Sectores!A62="","",M4_Sectores!A62))</f>
        <v/>
      </c>
      <c r="U658" s="17" t="str">
        <f>IF(M4_Sectores!A62="","",IF(M4_Sectores!Q62="","",M4_Sectores!Q62))</f>
        <v/>
      </c>
      <c r="V658" s="17" t="str">
        <f>IF(M4_Sectores!A62="","",IF(M4_Sectores!D62="","",M4_Sectores!D62))</f>
        <v/>
      </c>
      <c r="W658" s="17" t="str">
        <f>IF(M4_Sectores!A62="","",IF(M4_Sectores!B62="","",M4_Sectores!B62))</f>
        <v/>
      </c>
      <c r="X658" s="17" t="str">
        <f>IF(M4_Sectores!A62="","",IF(M4_Sectores!C62="","",M4_Sectores!C62))</f>
        <v/>
      </c>
      <c r="Y658" s="17" t="str">
        <f>IF(M4_Sectores!A62="","",IF(M4_Sectores!E62="","",M4_Sectores!E62))</f>
        <v/>
      </c>
      <c r="Z658" s="17" t="str">
        <f>IF(M4_Sectores!A62="","",IF(M4_Sectores!F62="","",M4_Sectores!F62))</f>
        <v/>
      </c>
      <c r="AA658" s="17" t="str">
        <f>IF(M4_Sectores!A62="","","M4 Sectores")</f>
        <v/>
      </c>
      <c r="AB658" s="17" t="str">
        <f>IF(M4_Sectores!A62="","",IF(M4_Sectores!G62="","",M4_Sectores!G62))</f>
        <v/>
      </c>
      <c r="AC658" s="17" t="str">
        <f>IF(M4_Sectores!A62="","",IF(COUNTIFS(M4_Sectores!$A$9:A62,M4_Sectores!A62,M4_Sectores!$D$9:D62,M4_Sectores!D62,M4_Sectores!$H$9:H62,M4_Sectores!H62)=1,IF(M4_Sectores!L62="","",M4_Sectores!L62),""))</f>
        <v/>
      </c>
      <c r="AD658" s="17" t="str">
        <f>IF(M4_Sectores!A62="","","EE")</f>
        <v/>
      </c>
      <c r="AE658" s="17" t="str">
        <f>IF(M4_Sectores!A62="","",IF(M4_Sectores!N62="","",M4_Sectores!N62))</f>
        <v/>
      </c>
      <c r="AF658" s="17" t="str">
        <f>IF(M4_Sectores!A62="","",IF(M4_Sectores!O62="","",M4_Sectores!O62))</f>
        <v/>
      </c>
      <c r="AG658" s="17" t="str">
        <f>IF(M4_Sectores!A62="","",IF(M4_Sectores!P62="","",M4_Sectores!P62))</f>
        <v/>
      </c>
      <c r="AH658" s="17" t="str">
        <f>IF(M4_Sectores!A62="","",IF(M4_Sectores!H62="","",M4_Sectores!H62))</f>
        <v/>
      </c>
      <c r="AI658" s="17" t="str">
        <f>IF(M4_Sectores!A62="","","M4_Sectores!62")</f>
        <v/>
      </c>
      <c r="AJ658" s="17" t="str">
        <f>IF(M4_Sectores!A62="","",IF(M4_Sectores!L62="","Pendiente de momento o resultado",IF(COUNTIFS(M4_Sectores!$A$9:A62,M4_Sectores!A62,M4_Sectores!$D$9:D62,M4_Sectores!D62,M4_Sectores!$H$9:H62,M4_Sectores!H62)=1,"Total del momento","Sector incluido en total")))</f>
        <v/>
      </c>
    </row>
    <row r="659" spans="1:36" ht="55.5" customHeight="1">
      <c r="A659" s="6" t="str">
        <f t="array" ref="A659">IF(655&gt;$S$1204,"",INDEX($T$5:$AJ$1204,MATCH(655,$S$5:$S$1204,0),1))</f>
        <v/>
      </c>
      <c r="B659" s="8" t="str">
        <f t="array" ref="B659">IF(655&gt;$S$1204,"",INDEX($T$5:$AJ$1204,MATCH(655,$S$5:$S$1204,0),2))</f>
        <v/>
      </c>
      <c r="C659" s="10" t="str">
        <f t="array" ref="C659">IF(655&gt;$S$1204,"",INDEX($T$5:$AJ$1204,MATCH(655,$S$5:$S$1204,0),3))</f>
        <v/>
      </c>
      <c r="D659" s="8" t="str">
        <f t="array" ref="D659">IF(655&gt;$S$1204,"",INDEX($T$5:$AJ$1204,MATCH(655,$S$5:$S$1204,0),4))</f>
        <v/>
      </c>
      <c r="E659" s="8" t="str">
        <f t="array" ref="E659">IF(655&gt;$S$1204,"",INDEX($T$5:$AJ$1204,MATCH(655,$S$5:$S$1204,0),5))</f>
        <v/>
      </c>
      <c r="F659" s="8" t="str">
        <f t="array" ref="F659">IF(655&gt;$S$1204,"",INDEX($T$5:$AJ$1204,MATCH(655,$S$5:$S$1204,0),6))</f>
        <v/>
      </c>
      <c r="G659" s="8" t="str">
        <f t="array" ref="G659">IF(655&gt;$S$1204,"",INDEX($T$5:$AJ$1204,MATCH(655,$S$5:$S$1204,0),7))</f>
        <v/>
      </c>
      <c r="H659" s="8" t="str">
        <f t="array" ref="H659">IF(655&gt;$S$1204,"",INDEX($T$5:$AJ$1204,MATCH(655,$S$5:$S$1204,0),8))</f>
        <v/>
      </c>
      <c r="I659" s="8" t="str">
        <f t="array" ref="I659">IF(655&gt;$S$1204,"",INDEX($T$5:$AJ$1204,MATCH(655,$S$5:$S$1204,0),9))</f>
        <v/>
      </c>
      <c r="J659" s="14" t="str">
        <f t="array" ref="J659">IF(655&gt;$S$1204,"",INDEX($T$5:$AJ$1204,MATCH(655,$S$5:$S$1204,0),10))</f>
        <v/>
      </c>
      <c r="K659" s="8" t="str">
        <f t="array" ref="K659">IF(655&gt;$S$1204,"",INDEX($T$5:$AJ$1204,MATCH(655,$S$5:$S$1204,0),11))</f>
        <v/>
      </c>
      <c r="L659" s="8" t="str">
        <f t="array" ref="L659">IF(655&gt;$S$1204,"",INDEX($T$5:$AJ$1204,MATCH(655,$S$5:$S$1204,0),12))</f>
        <v/>
      </c>
      <c r="M659" s="8" t="str">
        <f t="array" ref="M659">IF(655&gt;$S$1204,"",INDEX($T$5:$AJ$1204,MATCH(655,$S$5:$S$1204,0),13))</f>
        <v/>
      </c>
      <c r="N659" s="8" t="str">
        <f t="array" ref="N659">IF(655&gt;$S$1204,"",INDEX($T$5:$AJ$1204,MATCH(655,$S$5:$S$1204,0),14))</f>
        <v/>
      </c>
      <c r="O659" s="15" t="str">
        <f t="array" ref="O659">IF(655&gt;$S$1204,"",INDEX($T$5:$AJ$1204,MATCH(655,$S$5:$S$1204,0),15))</f>
        <v/>
      </c>
      <c r="P659" s="8" t="str">
        <f t="array" ref="P659">IF(655&gt;$S$1204,"",INDEX($T$5:$AJ$1204,MATCH(655,$S$5:$S$1204,0),16))</f>
        <v/>
      </c>
      <c r="Q659" s="8" t="str">
        <f t="array" ref="Q659">IF(655&gt;$S$1204,"",INDEX($T$5:$AJ$1204,MATCH(655,$S$5:$S$1204,0),17))</f>
        <v/>
      </c>
      <c r="R659" s="17"/>
      <c r="S659" s="17">
        <f>S658+IF(M4_Sectores!A63="",0,1)</f>
        <v>0</v>
      </c>
      <c r="T659" s="17" t="str">
        <f>IF(M4_Sectores!A63="","",IF(M4_Sectores!A63="","",M4_Sectores!A63))</f>
        <v/>
      </c>
      <c r="U659" s="17" t="str">
        <f>IF(M4_Sectores!A63="","",IF(M4_Sectores!Q63="","",M4_Sectores!Q63))</f>
        <v/>
      </c>
      <c r="V659" s="17" t="str">
        <f>IF(M4_Sectores!A63="","",IF(M4_Sectores!D63="","",M4_Sectores!D63))</f>
        <v/>
      </c>
      <c r="W659" s="17" t="str">
        <f>IF(M4_Sectores!A63="","",IF(M4_Sectores!B63="","",M4_Sectores!B63))</f>
        <v/>
      </c>
      <c r="X659" s="17" t="str">
        <f>IF(M4_Sectores!A63="","",IF(M4_Sectores!C63="","",M4_Sectores!C63))</f>
        <v/>
      </c>
      <c r="Y659" s="17" t="str">
        <f>IF(M4_Sectores!A63="","",IF(M4_Sectores!E63="","",M4_Sectores!E63))</f>
        <v/>
      </c>
      <c r="Z659" s="17" t="str">
        <f>IF(M4_Sectores!A63="","",IF(M4_Sectores!F63="","",M4_Sectores!F63))</f>
        <v/>
      </c>
      <c r="AA659" s="17" t="str">
        <f>IF(M4_Sectores!A63="","","M4 Sectores")</f>
        <v/>
      </c>
      <c r="AB659" s="17" t="str">
        <f>IF(M4_Sectores!A63="","",IF(M4_Sectores!G63="","",M4_Sectores!G63))</f>
        <v/>
      </c>
      <c r="AC659" s="17" t="str">
        <f>IF(M4_Sectores!A63="","",IF(COUNTIFS(M4_Sectores!$A$9:A63,M4_Sectores!A63,M4_Sectores!$D$9:D63,M4_Sectores!D63,M4_Sectores!$H$9:H63,M4_Sectores!H63)=1,IF(M4_Sectores!L63="","",M4_Sectores!L63),""))</f>
        <v/>
      </c>
      <c r="AD659" s="17" t="str">
        <f>IF(M4_Sectores!A63="","","EE")</f>
        <v/>
      </c>
      <c r="AE659" s="17" t="str">
        <f>IF(M4_Sectores!A63="","",IF(M4_Sectores!N63="","",M4_Sectores!N63))</f>
        <v/>
      </c>
      <c r="AF659" s="17" t="str">
        <f>IF(M4_Sectores!A63="","",IF(M4_Sectores!O63="","",M4_Sectores!O63))</f>
        <v/>
      </c>
      <c r="AG659" s="17" t="str">
        <f>IF(M4_Sectores!A63="","",IF(M4_Sectores!P63="","",M4_Sectores!P63))</f>
        <v/>
      </c>
      <c r="AH659" s="17" t="str">
        <f>IF(M4_Sectores!A63="","",IF(M4_Sectores!H63="","",M4_Sectores!H63))</f>
        <v/>
      </c>
      <c r="AI659" s="17" t="str">
        <f>IF(M4_Sectores!A63="","","M4_Sectores!63")</f>
        <v/>
      </c>
      <c r="AJ659" s="17" t="str">
        <f>IF(M4_Sectores!A63="","",IF(M4_Sectores!L63="","Pendiente de momento o resultado",IF(COUNTIFS(M4_Sectores!$A$9:A63,M4_Sectores!A63,M4_Sectores!$D$9:D63,M4_Sectores!D63,M4_Sectores!$H$9:H63,M4_Sectores!H63)=1,"Total del momento","Sector incluido en total")))</f>
        <v/>
      </c>
    </row>
    <row r="660" spans="1:36" ht="55.5" customHeight="1">
      <c r="A660" s="6" t="str">
        <f t="array" ref="A660">IF(656&gt;$S$1204,"",INDEX($T$5:$AJ$1204,MATCH(656,$S$5:$S$1204,0),1))</f>
        <v/>
      </c>
      <c r="B660" s="8" t="str">
        <f t="array" ref="B660">IF(656&gt;$S$1204,"",INDEX($T$5:$AJ$1204,MATCH(656,$S$5:$S$1204,0),2))</f>
        <v/>
      </c>
      <c r="C660" s="10" t="str">
        <f t="array" ref="C660">IF(656&gt;$S$1204,"",INDEX($T$5:$AJ$1204,MATCH(656,$S$5:$S$1204,0),3))</f>
        <v/>
      </c>
      <c r="D660" s="8" t="str">
        <f t="array" ref="D660">IF(656&gt;$S$1204,"",INDEX($T$5:$AJ$1204,MATCH(656,$S$5:$S$1204,0),4))</f>
        <v/>
      </c>
      <c r="E660" s="8" t="str">
        <f t="array" ref="E660">IF(656&gt;$S$1204,"",INDEX($T$5:$AJ$1204,MATCH(656,$S$5:$S$1204,0),5))</f>
        <v/>
      </c>
      <c r="F660" s="8" t="str">
        <f t="array" ref="F660">IF(656&gt;$S$1204,"",INDEX($T$5:$AJ$1204,MATCH(656,$S$5:$S$1204,0),6))</f>
        <v/>
      </c>
      <c r="G660" s="8" t="str">
        <f t="array" ref="G660">IF(656&gt;$S$1204,"",INDEX($T$5:$AJ$1204,MATCH(656,$S$5:$S$1204,0),7))</f>
        <v/>
      </c>
      <c r="H660" s="8" t="str">
        <f t="array" ref="H660">IF(656&gt;$S$1204,"",INDEX($T$5:$AJ$1204,MATCH(656,$S$5:$S$1204,0),8))</f>
        <v/>
      </c>
      <c r="I660" s="8" t="str">
        <f t="array" ref="I660">IF(656&gt;$S$1204,"",INDEX($T$5:$AJ$1204,MATCH(656,$S$5:$S$1204,0),9))</f>
        <v/>
      </c>
      <c r="J660" s="14" t="str">
        <f t="array" ref="J660">IF(656&gt;$S$1204,"",INDEX($T$5:$AJ$1204,MATCH(656,$S$5:$S$1204,0),10))</f>
        <v/>
      </c>
      <c r="K660" s="8" t="str">
        <f t="array" ref="K660">IF(656&gt;$S$1204,"",INDEX($T$5:$AJ$1204,MATCH(656,$S$5:$S$1204,0),11))</f>
        <v/>
      </c>
      <c r="L660" s="8" t="str">
        <f t="array" ref="L660">IF(656&gt;$S$1204,"",INDEX($T$5:$AJ$1204,MATCH(656,$S$5:$S$1204,0),12))</f>
        <v/>
      </c>
      <c r="M660" s="8" t="str">
        <f t="array" ref="M660">IF(656&gt;$S$1204,"",INDEX($T$5:$AJ$1204,MATCH(656,$S$5:$S$1204,0),13))</f>
        <v/>
      </c>
      <c r="N660" s="8" t="str">
        <f t="array" ref="N660">IF(656&gt;$S$1204,"",INDEX($T$5:$AJ$1204,MATCH(656,$S$5:$S$1204,0),14))</f>
        <v/>
      </c>
      <c r="O660" s="15" t="str">
        <f t="array" ref="O660">IF(656&gt;$S$1204,"",INDEX($T$5:$AJ$1204,MATCH(656,$S$5:$S$1204,0),15))</f>
        <v/>
      </c>
      <c r="P660" s="8" t="str">
        <f t="array" ref="P660">IF(656&gt;$S$1204,"",INDEX($T$5:$AJ$1204,MATCH(656,$S$5:$S$1204,0),16))</f>
        <v/>
      </c>
      <c r="Q660" s="8" t="str">
        <f t="array" ref="Q660">IF(656&gt;$S$1204,"",INDEX($T$5:$AJ$1204,MATCH(656,$S$5:$S$1204,0),17))</f>
        <v/>
      </c>
      <c r="R660" s="17"/>
      <c r="S660" s="17">
        <f>S659+IF(M4_Sectores!A64="",0,1)</f>
        <v>0</v>
      </c>
      <c r="T660" s="17" t="str">
        <f>IF(M4_Sectores!A64="","",IF(M4_Sectores!A64="","",M4_Sectores!A64))</f>
        <v/>
      </c>
      <c r="U660" s="17" t="str">
        <f>IF(M4_Sectores!A64="","",IF(M4_Sectores!Q64="","",M4_Sectores!Q64))</f>
        <v/>
      </c>
      <c r="V660" s="17" t="str">
        <f>IF(M4_Sectores!A64="","",IF(M4_Sectores!D64="","",M4_Sectores!D64))</f>
        <v/>
      </c>
      <c r="W660" s="17" t="str">
        <f>IF(M4_Sectores!A64="","",IF(M4_Sectores!B64="","",M4_Sectores!B64))</f>
        <v/>
      </c>
      <c r="X660" s="17" t="str">
        <f>IF(M4_Sectores!A64="","",IF(M4_Sectores!C64="","",M4_Sectores!C64))</f>
        <v/>
      </c>
      <c r="Y660" s="17" t="str">
        <f>IF(M4_Sectores!A64="","",IF(M4_Sectores!E64="","",M4_Sectores!E64))</f>
        <v/>
      </c>
      <c r="Z660" s="17" t="str">
        <f>IF(M4_Sectores!A64="","",IF(M4_Sectores!F64="","",M4_Sectores!F64))</f>
        <v/>
      </c>
      <c r="AA660" s="17" t="str">
        <f>IF(M4_Sectores!A64="","","M4 Sectores")</f>
        <v/>
      </c>
      <c r="AB660" s="17" t="str">
        <f>IF(M4_Sectores!A64="","",IF(M4_Sectores!G64="","",M4_Sectores!G64))</f>
        <v/>
      </c>
      <c r="AC660" s="17" t="str">
        <f>IF(M4_Sectores!A64="","",IF(COUNTIFS(M4_Sectores!$A$9:A64,M4_Sectores!A64,M4_Sectores!$D$9:D64,M4_Sectores!D64,M4_Sectores!$H$9:H64,M4_Sectores!H64)=1,IF(M4_Sectores!L64="","",M4_Sectores!L64),""))</f>
        <v/>
      </c>
      <c r="AD660" s="17" t="str">
        <f>IF(M4_Sectores!A64="","","EE")</f>
        <v/>
      </c>
      <c r="AE660" s="17" t="str">
        <f>IF(M4_Sectores!A64="","",IF(M4_Sectores!N64="","",M4_Sectores!N64))</f>
        <v/>
      </c>
      <c r="AF660" s="17" t="str">
        <f>IF(M4_Sectores!A64="","",IF(M4_Sectores!O64="","",M4_Sectores!O64))</f>
        <v/>
      </c>
      <c r="AG660" s="17" t="str">
        <f>IF(M4_Sectores!A64="","",IF(M4_Sectores!P64="","",M4_Sectores!P64))</f>
        <v/>
      </c>
      <c r="AH660" s="17" t="str">
        <f>IF(M4_Sectores!A64="","",IF(M4_Sectores!H64="","",M4_Sectores!H64))</f>
        <v/>
      </c>
      <c r="AI660" s="17" t="str">
        <f>IF(M4_Sectores!A64="","","M4_Sectores!64")</f>
        <v/>
      </c>
      <c r="AJ660" s="17" t="str">
        <f>IF(M4_Sectores!A64="","",IF(M4_Sectores!L64="","Pendiente de momento o resultado",IF(COUNTIFS(M4_Sectores!$A$9:A64,M4_Sectores!A64,M4_Sectores!$D$9:D64,M4_Sectores!D64,M4_Sectores!$H$9:H64,M4_Sectores!H64)=1,"Total del momento","Sector incluido en total")))</f>
        <v/>
      </c>
    </row>
    <row r="661" spans="1:36" ht="55.5" customHeight="1">
      <c r="A661" s="6" t="str">
        <f t="array" ref="A661">IF(657&gt;$S$1204,"",INDEX($T$5:$AJ$1204,MATCH(657,$S$5:$S$1204,0),1))</f>
        <v/>
      </c>
      <c r="B661" s="8" t="str">
        <f t="array" ref="B661">IF(657&gt;$S$1204,"",INDEX($T$5:$AJ$1204,MATCH(657,$S$5:$S$1204,0),2))</f>
        <v/>
      </c>
      <c r="C661" s="10" t="str">
        <f t="array" ref="C661">IF(657&gt;$S$1204,"",INDEX($T$5:$AJ$1204,MATCH(657,$S$5:$S$1204,0),3))</f>
        <v/>
      </c>
      <c r="D661" s="8" t="str">
        <f t="array" ref="D661">IF(657&gt;$S$1204,"",INDEX($T$5:$AJ$1204,MATCH(657,$S$5:$S$1204,0),4))</f>
        <v/>
      </c>
      <c r="E661" s="8" t="str">
        <f t="array" ref="E661">IF(657&gt;$S$1204,"",INDEX($T$5:$AJ$1204,MATCH(657,$S$5:$S$1204,0),5))</f>
        <v/>
      </c>
      <c r="F661" s="8" t="str">
        <f t="array" ref="F661">IF(657&gt;$S$1204,"",INDEX($T$5:$AJ$1204,MATCH(657,$S$5:$S$1204,0),6))</f>
        <v/>
      </c>
      <c r="G661" s="8" t="str">
        <f t="array" ref="G661">IF(657&gt;$S$1204,"",INDEX($T$5:$AJ$1204,MATCH(657,$S$5:$S$1204,0),7))</f>
        <v/>
      </c>
      <c r="H661" s="8" t="str">
        <f t="array" ref="H661">IF(657&gt;$S$1204,"",INDEX($T$5:$AJ$1204,MATCH(657,$S$5:$S$1204,0),8))</f>
        <v/>
      </c>
      <c r="I661" s="8" t="str">
        <f t="array" ref="I661">IF(657&gt;$S$1204,"",INDEX($T$5:$AJ$1204,MATCH(657,$S$5:$S$1204,0),9))</f>
        <v/>
      </c>
      <c r="J661" s="14" t="str">
        <f t="array" ref="J661">IF(657&gt;$S$1204,"",INDEX($T$5:$AJ$1204,MATCH(657,$S$5:$S$1204,0),10))</f>
        <v/>
      </c>
      <c r="K661" s="8" t="str">
        <f t="array" ref="K661">IF(657&gt;$S$1204,"",INDEX($T$5:$AJ$1204,MATCH(657,$S$5:$S$1204,0),11))</f>
        <v/>
      </c>
      <c r="L661" s="8" t="str">
        <f t="array" ref="L661">IF(657&gt;$S$1204,"",INDEX($T$5:$AJ$1204,MATCH(657,$S$5:$S$1204,0),12))</f>
        <v/>
      </c>
      <c r="M661" s="8" t="str">
        <f t="array" ref="M661">IF(657&gt;$S$1204,"",INDEX($T$5:$AJ$1204,MATCH(657,$S$5:$S$1204,0),13))</f>
        <v/>
      </c>
      <c r="N661" s="8" t="str">
        <f t="array" ref="N661">IF(657&gt;$S$1204,"",INDEX($T$5:$AJ$1204,MATCH(657,$S$5:$S$1204,0),14))</f>
        <v/>
      </c>
      <c r="O661" s="15" t="str">
        <f t="array" ref="O661">IF(657&gt;$S$1204,"",INDEX($T$5:$AJ$1204,MATCH(657,$S$5:$S$1204,0),15))</f>
        <v/>
      </c>
      <c r="P661" s="8" t="str">
        <f t="array" ref="P661">IF(657&gt;$S$1204,"",INDEX($T$5:$AJ$1204,MATCH(657,$S$5:$S$1204,0),16))</f>
        <v/>
      </c>
      <c r="Q661" s="8" t="str">
        <f t="array" ref="Q661">IF(657&gt;$S$1204,"",INDEX($T$5:$AJ$1204,MATCH(657,$S$5:$S$1204,0),17))</f>
        <v/>
      </c>
      <c r="R661" s="17"/>
      <c r="S661" s="17">
        <f>S660+IF(M4_Sectores!A65="",0,1)</f>
        <v>0</v>
      </c>
      <c r="T661" s="17" t="str">
        <f>IF(M4_Sectores!A65="","",IF(M4_Sectores!A65="","",M4_Sectores!A65))</f>
        <v/>
      </c>
      <c r="U661" s="17" t="str">
        <f>IF(M4_Sectores!A65="","",IF(M4_Sectores!Q65="","",M4_Sectores!Q65))</f>
        <v/>
      </c>
      <c r="V661" s="17" t="str">
        <f>IF(M4_Sectores!A65="","",IF(M4_Sectores!D65="","",M4_Sectores!D65))</f>
        <v/>
      </c>
      <c r="W661" s="17" t="str">
        <f>IF(M4_Sectores!A65="","",IF(M4_Sectores!B65="","",M4_Sectores!B65))</f>
        <v/>
      </c>
      <c r="X661" s="17" t="str">
        <f>IF(M4_Sectores!A65="","",IF(M4_Sectores!C65="","",M4_Sectores!C65))</f>
        <v/>
      </c>
      <c r="Y661" s="17" t="str">
        <f>IF(M4_Sectores!A65="","",IF(M4_Sectores!E65="","",M4_Sectores!E65))</f>
        <v/>
      </c>
      <c r="Z661" s="17" t="str">
        <f>IF(M4_Sectores!A65="","",IF(M4_Sectores!F65="","",M4_Sectores!F65))</f>
        <v/>
      </c>
      <c r="AA661" s="17" t="str">
        <f>IF(M4_Sectores!A65="","","M4 Sectores")</f>
        <v/>
      </c>
      <c r="AB661" s="17" t="str">
        <f>IF(M4_Sectores!A65="","",IF(M4_Sectores!G65="","",M4_Sectores!G65))</f>
        <v/>
      </c>
      <c r="AC661" s="17" t="str">
        <f>IF(M4_Sectores!A65="","",IF(COUNTIFS(M4_Sectores!$A$9:A65,M4_Sectores!A65,M4_Sectores!$D$9:D65,M4_Sectores!D65,M4_Sectores!$H$9:H65,M4_Sectores!H65)=1,IF(M4_Sectores!L65="","",M4_Sectores!L65),""))</f>
        <v/>
      </c>
      <c r="AD661" s="17" t="str">
        <f>IF(M4_Sectores!A65="","","EE")</f>
        <v/>
      </c>
      <c r="AE661" s="17" t="str">
        <f>IF(M4_Sectores!A65="","",IF(M4_Sectores!N65="","",M4_Sectores!N65))</f>
        <v/>
      </c>
      <c r="AF661" s="17" t="str">
        <f>IF(M4_Sectores!A65="","",IF(M4_Sectores!O65="","",M4_Sectores!O65))</f>
        <v/>
      </c>
      <c r="AG661" s="17" t="str">
        <f>IF(M4_Sectores!A65="","",IF(M4_Sectores!P65="","",M4_Sectores!P65))</f>
        <v/>
      </c>
      <c r="AH661" s="17" t="str">
        <f>IF(M4_Sectores!A65="","",IF(M4_Sectores!H65="","",M4_Sectores!H65))</f>
        <v/>
      </c>
      <c r="AI661" s="17" t="str">
        <f>IF(M4_Sectores!A65="","","M4_Sectores!65")</f>
        <v/>
      </c>
      <c r="AJ661" s="17" t="str">
        <f>IF(M4_Sectores!A65="","",IF(M4_Sectores!L65="","Pendiente de momento o resultado",IF(COUNTIFS(M4_Sectores!$A$9:A65,M4_Sectores!A65,M4_Sectores!$D$9:D65,M4_Sectores!D65,M4_Sectores!$H$9:H65,M4_Sectores!H65)=1,"Total del momento","Sector incluido en total")))</f>
        <v/>
      </c>
    </row>
    <row r="662" spans="1:36" ht="55.5" customHeight="1">
      <c r="A662" s="6" t="str">
        <f t="array" ref="A662">IF(658&gt;$S$1204,"",INDEX($T$5:$AJ$1204,MATCH(658,$S$5:$S$1204,0),1))</f>
        <v/>
      </c>
      <c r="B662" s="8" t="str">
        <f t="array" ref="B662">IF(658&gt;$S$1204,"",INDEX($T$5:$AJ$1204,MATCH(658,$S$5:$S$1204,0),2))</f>
        <v/>
      </c>
      <c r="C662" s="10" t="str">
        <f t="array" ref="C662">IF(658&gt;$S$1204,"",INDEX($T$5:$AJ$1204,MATCH(658,$S$5:$S$1204,0),3))</f>
        <v/>
      </c>
      <c r="D662" s="8" t="str">
        <f t="array" ref="D662">IF(658&gt;$S$1204,"",INDEX($T$5:$AJ$1204,MATCH(658,$S$5:$S$1204,0),4))</f>
        <v/>
      </c>
      <c r="E662" s="8" t="str">
        <f t="array" ref="E662">IF(658&gt;$S$1204,"",INDEX($T$5:$AJ$1204,MATCH(658,$S$5:$S$1204,0),5))</f>
        <v/>
      </c>
      <c r="F662" s="8" t="str">
        <f t="array" ref="F662">IF(658&gt;$S$1204,"",INDEX($T$5:$AJ$1204,MATCH(658,$S$5:$S$1204,0),6))</f>
        <v/>
      </c>
      <c r="G662" s="8" t="str">
        <f t="array" ref="G662">IF(658&gt;$S$1204,"",INDEX($T$5:$AJ$1204,MATCH(658,$S$5:$S$1204,0),7))</f>
        <v/>
      </c>
      <c r="H662" s="8" t="str">
        <f t="array" ref="H662">IF(658&gt;$S$1204,"",INDEX($T$5:$AJ$1204,MATCH(658,$S$5:$S$1204,0),8))</f>
        <v/>
      </c>
      <c r="I662" s="8" t="str">
        <f t="array" ref="I662">IF(658&gt;$S$1204,"",INDEX($T$5:$AJ$1204,MATCH(658,$S$5:$S$1204,0),9))</f>
        <v/>
      </c>
      <c r="J662" s="14" t="str">
        <f t="array" ref="J662">IF(658&gt;$S$1204,"",INDEX($T$5:$AJ$1204,MATCH(658,$S$5:$S$1204,0),10))</f>
        <v/>
      </c>
      <c r="K662" s="8" t="str">
        <f t="array" ref="K662">IF(658&gt;$S$1204,"",INDEX($T$5:$AJ$1204,MATCH(658,$S$5:$S$1204,0),11))</f>
        <v/>
      </c>
      <c r="L662" s="8" t="str">
        <f t="array" ref="L662">IF(658&gt;$S$1204,"",INDEX($T$5:$AJ$1204,MATCH(658,$S$5:$S$1204,0),12))</f>
        <v/>
      </c>
      <c r="M662" s="8" t="str">
        <f t="array" ref="M662">IF(658&gt;$S$1204,"",INDEX($T$5:$AJ$1204,MATCH(658,$S$5:$S$1204,0),13))</f>
        <v/>
      </c>
      <c r="N662" s="8" t="str">
        <f t="array" ref="N662">IF(658&gt;$S$1204,"",INDEX($T$5:$AJ$1204,MATCH(658,$S$5:$S$1204,0),14))</f>
        <v/>
      </c>
      <c r="O662" s="15" t="str">
        <f t="array" ref="O662">IF(658&gt;$S$1204,"",INDEX($T$5:$AJ$1204,MATCH(658,$S$5:$S$1204,0),15))</f>
        <v/>
      </c>
      <c r="P662" s="8" t="str">
        <f t="array" ref="P662">IF(658&gt;$S$1204,"",INDEX($T$5:$AJ$1204,MATCH(658,$S$5:$S$1204,0),16))</f>
        <v/>
      </c>
      <c r="Q662" s="8" t="str">
        <f t="array" ref="Q662">IF(658&gt;$S$1204,"",INDEX($T$5:$AJ$1204,MATCH(658,$S$5:$S$1204,0),17))</f>
        <v/>
      </c>
      <c r="R662" s="17"/>
      <c r="S662" s="17">
        <f>S661+IF(M4_Sectores!A66="",0,1)</f>
        <v>0</v>
      </c>
      <c r="T662" s="17" t="str">
        <f>IF(M4_Sectores!A66="","",IF(M4_Sectores!A66="","",M4_Sectores!A66))</f>
        <v/>
      </c>
      <c r="U662" s="17" t="str">
        <f>IF(M4_Sectores!A66="","",IF(M4_Sectores!Q66="","",M4_Sectores!Q66))</f>
        <v/>
      </c>
      <c r="V662" s="17" t="str">
        <f>IF(M4_Sectores!A66="","",IF(M4_Sectores!D66="","",M4_Sectores!D66))</f>
        <v/>
      </c>
      <c r="W662" s="17" t="str">
        <f>IF(M4_Sectores!A66="","",IF(M4_Sectores!B66="","",M4_Sectores!B66))</f>
        <v/>
      </c>
      <c r="X662" s="17" t="str">
        <f>IF(M4_Sectores!A66="","",IF(M4_Sectores!C66="","",M4_Sectores!C66))</f>
        <v/>
      </c>
      <c r="Y662" s="17" t="str">
        <f>IF(M4_Sectores!A66="","",IF(M4_Sectores!E66="","",M4_Sectores!E66))</f>
        <v/>
      </c>
      <c r="Z662" s="17" t="str">
        <f>IF(M4_Sectores!A66="","",IF(M4_Sectores!F66="","",M4_Sectores!F66))</f>
        <v/>
      </c>
      <c r="AA662" s="17" t="str">
        <f>IF(M4_Sectores!A66="","","M4 Sectores")</f>
        <v/>
      </c>
      <c r="AB662" s="17" t="str">
        <f>IF(M4_Sectores!A66="","",IF(M4_Sectores!G66="","",M4_Sectores!G66))</f>
        <v/>
      </c>
      <c r="AC662" s="17" t="str">
        <f>IF(M4_Sectores!A66="","",IF(COUNTIFS(M4_Sectores!$A$9:A66,M4_Sectores!A66,M4_Sectores!$D$9:D66,M4_Sectores!D66,M4_Sectores!$H$9:H66,M4_Sectores!H66)=1,IF(M4_Sectores!L66="","",M4_Sectores!L66),""))</f>
        <v/>
      </c>
      <c r="AD662" s="17" t="str">
        <f>IF(M4_Sectores!A66="","","EE")</f>
        <v/>
      </c>
      <c r="AE662" s="17" t="str">
        <f>IF(M4_Sectores!A66="","",IF(M4_Sectores!N66="","",M4_Sectores!N66))</f>
        <v/>
      </c>
      <c r="AF662" s="17" t="str">
        <f>IF(M4_Sectores!A66="","",IF(M4_Sectores!O66="","",M4_Sectores!O66))</f>
        <v/>
      </c>
      <c r="AG662" s="17" t="str">
        <f>IF(M4_Sectores!A66="","",IF(M4_Sectores!P66="","",M4_Sectores!P66))</f>
        <v/>
      </c>
      <c r="AH662" s="17" t="str">
        <f>IF(M4_Sectores!A66="","",IF(M4_Sectores!H66="","",M4_Sectores!H66))</f>
        <v/>
      </c>
      <c r="AI662" s="17" t="str">
        <f>IF(M4_Sectores!A66="","","M4_Sectores!66")</f>
        <v/>
      </c>
      <c r="AJ662" s="17" t="str">
        <f>IF(M4_Sectores!A66="","",IF(M4_Sectores!L66="","Pendiente de momento o resultado",IF(COUNTIFS(M4_Sectores!$A$9:A66,M4_Sectores!A66,M4_Sectores!$D$9:D66,M4_Sectores!D66,M4_Sectores!$H$9:H66,M4_Sectores!H66)=1,"Total del momento","Sector incluido en total")))</f>
        <v/>
      </c>
    </row>
    <row r="663" spans="1:36" ht="55.5" customHeight="1">
      <c r="A663" s="6" t="str">
        <f t="array" ref="A663">IF(659&gt;$S$1204,"",INDEX($T$5:$AJ$1204,MATCH(659,$S$5:$S$1204,0),1))</f>
        <v/>
      </c>
      <c r="B663" s="8" t="str">
        <f t="array" ref="B663">IF(659&gt;$S$1204,"",INDEX($T$5:$AJ$1204,MATCH(659,$S$5:$S$1204,0),2))</f>
        <v/>
      </c>
      <c r="C663" s="10" t="str">
        <f t="array" ref="C663">IF(659&gt;$S$1204,"",INDEX($T$5:$AJ$1204,MATCH(659,$S$5:$S$1204,0),3))</f>
        <v/>
      </c>
      <c r="D663" s="8" t="str">
        <f t="array" ref="D663">IF(659&gt;$S$1204,"",INDEX($T$5:$AJ$1204,MATCH(659,$S$5:$S$1204,0),4))</f>
        <v/>
      </c>
      <c r="E663" s="8" t="str">
        <f t="array" ref="E663">IF(659&gt;$S$1204,"",INDEX($T$5:$AJ$1204,MATCH(659,$S$5:$S$1204,0),5))</f>
        <v/>
      </c>
      <c r="F663" s="8" t="str">
        <f t="array" ref="F663">IF(659&gt;$S$1204,"",INDEX($T$5:$AJ$1204,MATCH(659,$S$5:$S$1204,0),6))</f>
        <v/>
      </c>
      <c r="G663" s="8" t="str">
        <f t="array" ref="G663">IF(659&gt;$S$1204,"",INDEX($T$5:$AJ$1204,MATCH(659,$S$5:$S$1204,0),7))</f>
        <v/>
      </c>
      <c r="H663" s="8" t="str">
        <f t="array" ref="H663">IF(659&gt;$S$1204,"",INDEX($T$5:$AJ$1204,MATCH(659,$S$5:$S$1204,0),8))</f>
        <v/>
      </c>
      <c r="I663" s="8" t="str">
        <f t="array" ref="I663">IF(659&gt;$S$1204,"",INDEX($T$5:$AJ$1204,MATCH(659,$S$5:$S$1204,0),9))</f>
        <v/>
      </c>
      <c r="J663" s="14" t="str">
        <f t="array" ref="J663">IF(659&gt;$S$1204,"",INDEX($T$5:$AJ$1204,MATCH(659,$S$5:$S$1204,0),10))</f>
        <v/>
      </c>
      <c r="K663" s="8" t="str">
        <f t="array" ref="K663">IF(659&gt;$S$1204,"",INDEX($T$5:$AJ$1204,MATCH(659,$S$5:$S$1204,0),11))</f>
        <v/>
      </c>
      <c r="L663" s="8" t="str">
        <f t="array" ref="L663">IF(659&gt;$S$1204,"",INDEX($T$5:$AJ$1204,MATCH(659,$S$5:$S$1204,0),12))</f>
        <v/>
      </c>
      <c r="M663" s="8" t="str">
        <f t="array" ref="M663">IF(659&gt;$S$1204,"",INDEX($T$5:$AJ$1204,MATCH(659,$S$5:$S$1204,0),13))</f>
        <v/>
      </c>
      <c r="N663" s="8" t="str">
        <f t="array" ref="N663">IF(659&gt;$S$1204,"",INDEX($T$5:$AJ$1204,MATCH(659,$S$5:$S$1204,0),14))</f>
        <v/>
      </c>
      <c r="O663" s="15" t="str">
        <f t="array" ref="O663">IF(659&gt;$S$1204,"",INDEX($T$5:$AJ$1204,MATCH(659,$S$5:$S$1204,0),15))</f>
        <v/>
      </c>
      <c r="P663" s="8" t="str">
        <f t="array" ref="P663">IF(659&gt;$S$1204,"",INDEX($T$5:$AJ$1204,MATCH(659,$S$5:$S$1204,0),16))</f>
        <v/>
      </c>
      <c r="Q663" s="8" t="str">
        <f t="array" ref="Q663">IF(659&gt;$S$1204,"",INDEX($T$5:$AJ$1204,MATCH(659,$S$5:$S$1204,0),17))</f>
        <v/>
      </c>
      <c r="R663" s="17"/>
      <c r="S663" s="17">
        <f>S662+IF(M4_Sectores!A67="",0,1)</f>
        <v>0</v>
      </c>
      <c r="T663" s="17" t="str">
        <f>IF(M4_Sectores!A67="","",IF(M4_Sectores!A67="","",M4_Sectores!A67))</f>
        <v/>
      </c>
      <c r="U663" s="17" t="str">
        <f>IF(M4_Sectores!A67="","",IF(M4_Sectores!Q67="","",M4_Sectores!Q67))</f>
        <v/>
      </c>
      <c r="V663" s="17" t="str">
        <f>IF(M4_Sectores!A67="","",IF(M4_Sectores!D67="","",M4_Sectores!D67))</f>
        <v/>
      </c>
      <c r="W663" s="17" t="str">
        <f>IF(M4_Sectores!A67="","",IF(M4_Sectores!B67="","",M4_Sectores!B67))</f>
        <v/>
      </c>
      <c r="X663" s="17" t="str">
        <f>IF(M4_Sectores!A67="","",IF(M4_Sectores!C67="","",M4_Sectores!C67))</f>
        <v/>
      </c>
      <c r="Y663" s="17" t="str">
        <f>IF(M4_Sectores!A67="","",IF(M4_Sectores!E67="","",M4_Sectores!E67))</f>
        <v/>
      </c>
      <c r="Z663" s="17" t="str">
        <f>IF(M4_Sectores!A67="","",IF(M4_Sectores!F67="","",M4_Sectores!F67))</f>
        <v/>
      </c>
      <c r="AA663" s="17" t="str">
        <f>IF(M4_Sectores!A67="","","M4 Sectores")</f>
        <v/>
      </c>
      <c r="AB663" s="17" t="str">
        <f>IF(M4_Sectores!A67="","",IF(M4_Sectores!G67="","",M4_Sectores!G67))</f>
        <v/>
      </c>
      <c r="AC663" s="17" t="str">
        <f>IF(M4_Sectores!A67="","",IF(COUNTIFS(M4_Sectores!$A$9:A67,M4_Sectores!A67,M4_Sectores!$D$9:D67,M4_Sectores!D67,M4_Sectores!$H$9:H67,M4_Sectores!H67)=1,IF(M4_Sectores!L67="","",M4_Sectores!L67),""))</f>
        <v/>
      </c>
      <c r="AD663" s="17" t="str">
        <f>IF(M4_Sectores!A67="","","EE")</f>
        <v/>
      </c>
      <c r="AE663" s="17" t="str">
        <f>IF(M4_Sectores!A67="","",IF(M4_Sectores!N67="","",M4_Sectores!N67))</f>
        <v/>
      </c>
      <c r="AF663" s="17" t="str">
        <f>IF(M4_Sectores!A67="","",IF(M4_Sectores!O67="","",M4_Sectores!O67))</f>
        <v/>
      </c>
      <c r="AG663" s="17" t="str">
        <f>IF(M4_Sectores!A67="","",IF(M4_Sectores!P67="","",M4_Sectores!P67))</f>
        <v/>
      </c>
      <c r="AH663" s="17" t="str">
        <f>IF(M4_Sectores!A67="","",IF(M4_Sectores!H67="","",M4_Sectores!H67))</f>
        <v/>
      </c>
      <c r="AI663" s="17" t="str">
        <f>IF(M4_Sectores!A67="","","M4_Sectores!67")</f>
        <v/>
      </c>
      <c r="AJ663" s="17" t="str">
        <f>IF(M4_Sectores!A67="","",IF(M4_Sectores!L67="","Pendiente de momento o resultado",IF(COUNTIFS(M4_Sectores!$A$9:A67,M4_Sectores!A67,M4_Sectores!$D$9:D67,M4_Sectores!D67,M4_Sectores!$H$9:H67,M4_Sectores!H67)=1,"Total del momento","Sector incluido en total")))</f>
        <v/>
      </c>
    </row>
    <row r="664" spans="1:36" ht="55.5" customHeight="1">
      <c r="A664" s="6" t="str">
        <f t="array" ref="A664">IF(660&gt;$S$1204,"",INDEX($T$5:$AJ$1204,MATCH(660,$S$5:$S$1204,0),1))</f>
        <v/>
      </c>
      <c r="B664" s="8" t="str">
        <f t="array" ref="B664">IF(660&gt;$S$1204,"",INDEX($T$5:$AJ$1204,MATCH(660,$S$5:$S$1204,0),2))</f>
        <v/>
      </c>
      <c r="C664" s="10" t="str">
        <f t="array" ref="C664">IF(660&gt;$S$1204,"",INDEX($T$5:$AJ$1204,MATCH(660,$S$5:$S$1204,0),3))</f>
        <v/>
      </c>
      <c r="D664" s="8" t="str">
        <f t="array" ref="D664">IF(660&gt;$S$1204,"",INDEX($T$5:$AJ$1204,MATCH(660,$S$5:$S$1204,0),4))</f>
        <v/>
      </c>
      <c r="E664" s="8" t="str">
        <f t="array" ref="E664">IF(660&gt;$S$1204,"",INDEX($T$5:$AJ$1204,MATCH(660,$S$5:$S$1204,0),5))</f>
        <v/>
      </c>
      <c r="F664" s="8" t="str">
        <f t="array" ref="F664">IF(660&gt;$S$1204,"",INDEX($T$5:$AJ$1204,MATCH(660,$S$5:$S$1204,0),6))</f>
        <v/>
      </c>
      <c r="G664" s="8" t="str">
        <f t="array" ref="G664">IF(660&gt;$S$1204,"",INDEX($T$5:$AJ$1204,MATCH(660,$S$5:$S$1204,0),7))</f>
        <v/>
      </c>
      <c r="H664" s="8" t="str">
        <f t="array" ref="H664">IF(660&gt;$S$1204,"",INDEX($T$5:$AJ$1204,MATCH(660,$S$5:$S$1204,0),8))</f>
        <v/>
      </c>
      <c r="I664" s="8" t="str">
        <f t="array" ref="I664">IF(660&gt;$S$1204,"",INDEX($T$5:$AJ$1204,MATCH(660,$S$5:$S$1204,0),9))</f>
        <v/>
      </c>
      <c r="J664" s="14" t="str">
        <f t="array" ref="J664">IF(660&gt;$S$1204,"",INDEX($T$5:$AJ$1204,MATCH(660,$S$5:$S$1204,0),10))</f>
        <v/>
      </c>
      <c r="K664" s="8" t="str">
        <f t="array" ref="K664">IF(660&gt;$S$1204,"",INDEX($T$5:$AJ$1204,MATCH(660,$S$5:$S$1204,0),11))</f>
        <v/>
      </c>
      <c r="L664" s="8" t="str">
        <f t="array" ref="L664">IF(660&gt;$S$1204,"",INDEX($T$5:$AJ$1204,MATCH(660,$S$5:$S$1204,0),12))</f>
        <v/>
      </c>
      <c r="M664" s="8" t="str">
        <f t="array" ref="M664">IF(660&gt;$S$1204,"",INDEX($T$5:$AJ$1204,MATCH(660,$S$5:$S$1204,0),13))</f>
        <v/>
      </c>
      <c r="N664" s="8" t="str">
        <f t="array" ref="N664">IF(660&gt;$S$1204,"",INDEX($T$5:$AJ$1204,MATCH(660,$S$5:$S$1204,0),14))</f>
        <v/>
      </c>
      <c r="O664" s="15" t="str">
        <f t="array" ref="O664">IF(660&gt;$S$1204,"",INDEX($T$5:$AJ$1204,MATCH(660,$S$5:$S$1204,0),15))</f>
        <v/>
      </c>
      <c r="P664" s="8" t="str">
        <f t="array" ref="P664">IF(660&gt;$S$1204,"",INDEX($T$5:$AJ$1204,MATCH(660,$S$5:$S$1204,0),16))</f>
        <v/>
      </c>
      <c r="Q664" s="8" t="str">
        <f t="array" ref="Q664">IF(660&gt;$S$1204,"",INDEX($T$5:$AJ$1204,MATCH(660,$S$5:$S$1204,0),17))</f>
        <v/>
      </c>
      <c r="R664" s="17"/>
      <c r="S664" s="17">
        <f>S663+IF(M4_Sectores!A68="",0,1)</f>
        <v>0</v>
      </c>
      <c r="T664" s="17" t="str">
        <f>IF(M4_Sectores!A68="","",IF(M4_Sectores!A68="","",M4_Sectores!A68))</f>
        <v/>
      </c>
      <c r="U664" s="17" t="str">
        <f>IF(M4_Sectores!A68="","",IF(M4_Sectores!Q68="","",M4_Sectores!Q68))</f>
        <v/>
      </c>
      <c r="V664" s="17" t="str">
        <f>IF(M4_Sectores!A68="","",IF(M4_Sectores!D68="","",M4_Sectores!D68))</f>
        <v/>
      </c>
      <c r="W664" s="17" t="str">
        <f>IF(M4_Sectores!A68="","",IF(M4_Sectores!B68="","",M4_Sectores!B68))</f>
        <v/>
      </c>
      <c r="X664" s="17" t="str">
        <f>IF(M4_Sectores!A68="","",IF(M4_Sectores!C68="","",M4_Sectores!C68))</f>
        <v/>
      </c>
      <c r="Y664" s="17" t="str">
        <f>IF(M4_Sectores!A68="","",IF(M4_Sectores!E68="","",M4_Sectores!E68))</f>
        <v/>
      </c>
      <c r="Z664" s="17" t="str">
        <f>IF(M4_Sectores!A68="","",IF(M4_Sectores!F68="","",M4_Sectores!F68))</f>
        <v/>
      </c>
      <c r="AA664" s="17" t="str">
        <f>IF(M4_Sectores!A68="","","M4 Sectores")</f>
        <v/>
      </c>
      <c r="AB664" s="17" t="str">
        <f>IF(M4_Sectores!A68="","",IF(M4_Sectores!G68="","",M4_Sectores!G68))</f>
        <v/>
      </c>
      <c r="AC664" s="17" t="str">
        <f>IF(M4_Sectores!A68="","",IF(COUNTIFS(M4_Sectores!$A$9:A68,M4_Sectores!A68,M4_Sectores!$D$9:D68,M4_Sectores!D68,M4_Sectores!$H$9:H68,M4_Sectores!H68)=1,IF(M4_Sectores!L68="","",M4_Sectores!L68),""))</f>
        <v/>
      </c>
      <c r="AD664" s="17" t="str">
        <f>IF(M4_Sectores!A68="","","EE")</f>
        <v/>
      </c>
      <c r="AE664" s="17" t="str">
        <f>IF(M4_Sectores!A68="","",IF(M4_Sectores!N68="","",M4_Sectores!N68))</f>
        <v/>
      </c>
      <c r="AF664" s="17" t="str">
        <f>IF(M4_Sectores!A68="","",IF(M4_Sectores!O68="","",M4_Sectores!O68))</f>
        <v/>
      </c>
      <c r="AG664" s="17" t="str">
        <f>IF(M4_Sectores!A68="","",IF(M4_Sectores!P68="","",M4_Sectores!P68))</f>
        <v/>
      </c>
      <c r="AH664" s="17" t="str">
        <f>IF(M4_Sectores!A68="","",IF(M4_Sectores!H68="","",M4_Sectores!H68))</f>
        <v/>
      </c>
      <c r="AI664" s="17" t="str">
        <f>IF(M4_Sectores!A68="","","M4_Sectores!68")</f>
        <v/>
      </c>
      <c r="AJ664" s="17" t="str">
        <f>IF(M4_Sectores!A68="","",IF(M4_Sectores!L68="","Pendiente de momento o resultado",IF(COUNTIFS(M4_Sectores!$A$9:A68,M4_Sectores!A68,M4_Sectores!$D$9:D68,M4_Sectores!D68,M4_Sectores!$H$9:H68,M4_Sectores!H68)=1,"Total del momento","Sector incluido en total")))</f>
        <v/>
      </c>
    </row>
    <row r="665" spans="1:36" ht="55.5" customHeight="1">
      <c r="A665" s="6" t="str">
        <f t="array" ref="A665">IF(661&gt;$S$1204,"",INDEX($T$5:$AJ$1204,MATCH(661,$S$5:$S$1204,0),1))</f>
        <v/>
      </c>
      <c r="B665" s="8" t="str">
        <f t="array" ref="B665">IF(661&gt;$S$1204,"",INDEX($T$5:$AJ$1204,MATCH(661,$S$5:$S$1204,0),2))</f>
        <v/>
      </c>
      <c r="C665" s="10" t="str">
        <f t="array" ref="C665">IF(661&gt;$S$1204,"",INDEX($T$5:$AJ$1204,MATCH(661,$S$5:$S$1204,0),3))</f>
        <v/>
      </c>
      <c r="D665" s="8" t="str">
        <f t="array" ref="D665">IF(661&gt;$S$1204,"",INDEX($T$5:$AJ$1204,MATCH(661,$S$5:$S$1204,0),4))</f>
        <v/>
      </c>
      <c r="E665" s="8" t="str">
        <f t="array" ref="E665">IF(661&gt;$S$1204,"",INDEX($T$5:$AJ$1204,MATCH(661,$S$5:$S$1204,0),5))</f>
        <v/>
      </c>
      <c r="F665" s="8" t="str">
        <f t="array" ref="F665">IF(661&gt;$S$1204,"",INDEX($T$5:$AJ$1204,MATCH(661,$S$5:$S$1204,0),6))</f>
        <v/>
      </c>
      <c r="G665" s="8" t="str">
        <f t="array" ref="G665">IF(661&gt;$S$1204,"",INDEX($T$5:$AJ$1204,MATCH(661,$S$5:$S$1204,0),7))</f>
        <v/>
      </c>
      <c r="H665" s="8" t="str">
        <f t="array" ref="H665">IF(661&gt;$S$1204,"",INDEX($T$5:$AJ$1204,MATCH(661,$S$5:$S$1204,0),8))</f>
        <v/>
      </c>
      <c r="I665" s="8" t="str">
        <f t="array" ref="I665">IF(661&gt;$S$1204,"",INDEX($T$5:$AJ$1204,MATCH(661,$S$5:$S$1204,0),9))</f>
        <v/>
      </c>
      <c r="J665" s="14" t="str">
        <f t="array" ref="J665">IF(661&gt;$S$1204,"",INDEX($T$5:$AJ$1204,MATCH(661,$S$5:$S$1204,0),10))</f>
        <v/>
      </c>
      <c r="K665" s="8" t="str">
        <f t="array" ref="K665">IF(661&gt;$S$1204,"",INDEX($T$5:$AJ$1204,MATCH(661,$S$5:$S$1204,0),11))</f>
        <v/>
      </c>
      <c r="L665" s="8" t="str">
        <f t="array" ref="L665">IF(661&gt;$S$1204,"",INDEX($T$5:$AJ$1204,MATCH(661,$S$5:$S$1204,0),12))</f>
        <v/>
      </c>
      <c r="M665" s="8" t="str">
        <f t="array" ref="M665">IF(661&gt;$S$1204,"",INDEX($T$5:$AJ$1204,MATCH(661,$S$5:$S$1204,0),13))</f>
        <v/>
      </c>
      <c r="N665" s="8" t="str">
        <f t="array" ref="N665">IF(661&gt;$S$1204,"",INDEX($T$5:$AJ$1204,MATCH(661,$S$5:$S$1204,0),14))</f>
        <v/>
      </c>
      <c r="O665" s="15" t="str">
        <f t="array" ref="O665">IF(661&gt;$S$1204,"",INDEX($T$5:$AJ$1204,MATCH(661,$S$5:$S$1204,0),15))</f>
        <v/>
      </c>
      <c r="P665" s="8" t="str">
        <f t="array" ref="P665">IF(661&gt;$S$1204,"",INDEX($T$5:$AJ$1204,MATCH(661,$S$5:$S$1204,0),16))</f>
        <v/>
      </c>
      <c r="Q665" s="8" t="str">
        <f t="array" ref="Q665">IF(661&gt;$S$1204,"",INDEX($T$5:$AJ$1204,MATCH(661,$S$5:$S$1204,0),17))</f>
        <v/>
      </c>
      <c r="R665" s="17"/>
      <c r="S665" s="17">
        <f>S664+IF(M4_Sectores!A69="",0,1)</f>
        <v>0</v>
      </c>
      <c r="T665" s="17" t="str">
        <f>IF(M4_Sectores!A69="","",IF(M4_Sectores!A69="","",M4_Sectores!A69))</f>
        <v/>
      </c>
      <c r="U665" s="17" t="str">
        <f>IF(M4_Sectores!A69="","",IF(M4_Sectores!Q69="","",M4_Sectores!Q69))</f>
        <v/>
      </c>
      <c r="V665" s="17" t="str">
        <f>IF(M4_Sectores!A69="","",IF(M4_Sectores!D69="","",M4_Sectores!D69))</f>
        <v/>
      </c>
      <c r="W665" s="17" t="str">
        <f>IF(M4_Sectores!A69="","",IF(M4_Sectores!B69="","",M4_Sectores!B69))</f>
        <v/>
      </c>
      <c r="X665" s="17" t="str">
        <f>IF(M4_Sectores!A69="","",IF(M4_Sectores!C69="","",M4_Sectores!C69))</f>
        <v/>
      </c>
      <c r="Y665" s="17" t="str">
        <f>IF(M4_Sectores!A69="","",IF(M4_Sectores!E69="","",M4_Sectores!E69))</f>
        <v/>
      </c>
      <c r="Z665" s="17" t="str">
        <f>IF(M4_Sectores!A69="","",IF(M4_Sectores!F69="","",M4_Sectores!F69))</f>
        <v/>
      </c>
      <c r="AA665" s="17" t="str">
        <f>IF(M4_Sectores!A69="","","M4 Sectores")</f>
        <v/>
      </c>
      <c r="AB665" s="17" t="str">
        <f>IF(M4_Sectores!A69="","",IF(M4_Sectores!G69="","",M4_Sectores!G69))</f>
        <v/>
      </c>
      <c r="AC665" s="17" t="str">
        <f>IF(M4_Sectores!A69="","",IF(COUNTIFS(M4_Sectores!$A$9:A69,M4_Sectores!A69,M4_Sectores!$D$9:D69,M4_Sectores!D69,M4_Sectores!$H$9:H69,M4_Sectores!H69)=1,IF(M4_Sectores!L69="","",M4_Sectores!L69),""))</f>
        <v/>
      </c>
      <c r="AD665" s="17" t="str">
        <f>IF(M4_Sectores!A69="","","EE")</f>
        <v/>
      </c>
      <c r="AE665" s="17" t="str">
        <f>IF(M4_Sectores!A69="","",IF(M4_Sectores!N69="","",M4_Sectores!N69))</f>
        <v/>
      </c>
      <c r="AF665" s="17" t="str">
        <f>IF(M4_Sectores!A69="","",IF(M4_Sectores!O69="","",M4_Sectores!O69))</f>
        <v/>
      </c>
      <c r="AG665" s="17" t="str">
        <f>IF(M4_Sectores!A69="","",IF(M4_Sectores!P69="","",M4_Sectores!P69))</f>
        <v/>
      </c>
      <c r="AH665" s="17" t="str">
        <f>IF(M4_Sectores!A69="","",IF(M4_Sectores!H69="","",M4_Sectores!H69))</f>
        <v/>
      </c>
      <c r="AI665" s="17" t="str">
        <f>IF(M4_Sectores!A69="","","M4_Sectores!69")</f>
        <v/>
      </c>
      <c r="AJ665" s="17" t="str">
        <f>IF(M4_Sectores!A69="","",IF(M4_Sectores!L69="","Pendiente de momento o resultado",IF(COUNTIFS(M4_Sectores!$A$9:A69,M4_Sectores!A69,M4_Sectores!$D$9:D69,M4_Sectores!D69,M4_Sectores!$H$9:H69,M4_Sectores!H69)=1,"Total del momento","Sector incluido en total")))</f>
        <v/>
      </c>
    </row>
    <row r="666" spans="1:36" ht="55.5" customHeight="1">
      <c r="A666" s="6" t="str">
        <f t="array" ref="A666">IF(662&gt;$S$1204,"",INDEX($T$5:$AJ$1204,MATCH(662,$S$5:$S$1204,0),1))</f>
        <v/>
      </c>
      <c r="B666" s="8" t="str">
        <f t="array" ref="B666">IF(662&gt;$S$1204,"",INDEX($T$5:$AJ$1204,MATCH(662,$S$5:$S$1204,0),2))</f>
        <v/>
      </c>
      <c r="C666" s="10" t="str">
        <f t="array" ref="C666">IF(662&gt;$S$1204,"",INDEX($T$5:$AJ$1204,MATCH(662,$S$5:$S$1204,0),3))</f>
        <v/>
      </c>
      <c r="D666" s="8" t="str">
        <f t="array" ref="D666">IF(662&gt;$S$1204,"",INDEX($T$5:$AJ$1204,MATCH(662,$S$5:$S$1204,0),4))</f>
        <v/>
      </c>
      <c r="E666" s="8" t="str">
        <f t="array" ref="E666">IF(662&gt;$S$1204,"",INDEX($T$5:$AJ$1204,MATCH(662,$S$5:$S$1204,0),5))</f>
        <v/>
      </c>
      <c r="F666" s="8" t="str">
        <f t="array" ref="F666">IF(662&gt;$S$1204,"",INDEX($T$5:$AJ$1204,MATCH(662,$S$5:$S$1204,0),6))</f>
        <v/>
      </c>
      <c r="G666" s="8" t="str">
        <f t="array" ref="G666">IF(662&gt;$S$1204,"",INDEX($T$5:$AJ$1204,MATCH(662,$S$5:$S$1204,0),7))</f>
        <v/>
      </c>
      <c r="H666" s="8" t="str">
        <f t="array" ref="H666">IF(662&gt;$S$1204,"",INDEX($T$5:$AJ$1204,MATCH(662,$S$5:$S$1204,0),8))</f>
        <v/>
      </c>
      <c r="I666" s="8" t="str">
        <f t="array" ref="I666">IF(662&gt;$S$1204,"",INDEX($T$5:$AJ$1204,MATCH(662,$S$5:$S$1204,0),9))</f>
        <v/>
      </c>
      <c r="J666" s="14" t="str">
        <f t="array" ref="J666">IF(662&gt;$S$1204,"",INDEX($T$5:$AJ$1204,MATCH(662,$S$5:$S$1204,0),10))</f>
        <v/>
      </c>
      <c r="K666" s="8" t="str">
        <f t="array" ref="K666">IF(662&gt;$S$1204,"",INDEX($T$5:$AJ$1204,MATCH(662,$S$5:$S$1204,0),11))</f>
        <v/>
      </c>
      <c r="L666" s="8" t="str">
        <f t="array" ref="L666">IF(662&gt;$S$1204,"",INDEX($T$5:$AJ$1204,MATCH(662,$S$5:$S$1204,0),12))</f>
        <v/>
      </c>
      <c r="M666" s="8" t="str">
        <f t="array" ref="M666">IF(662&gt;$S$1204,"",INDEX($T$5:$AJ$1204,MATCH(662,$S$5:$S$1204,0),13))</f>
        <v/>
      </c>
      <c r="N666" s="8" t="str">
        <f t="array" ref="N666">IF(662&gt;$S$1204,"",INDEX($T$5:$AJ$1204,MATCH(662,$S$5:$S$1204,0),14))</f>
        <v/>
      </c>
      <c r="O666" s="15" t="str">
        <f t="array" ref="O666">IF(662&gt;$S$1204,"",INDEX($T$5:$AJ$1204,MATCH(662,$S$5:$S$1204,0),15))</f>
        <v/>
      </c>
      <c r="P666" s="8" t="str">
        <f t="array" ref="P666">IF(662&gt;$S$1204,"",INDEX($T$5:$AJ$1204,MATCH(662,$S$5:$S$1204,0),16))</f>
        <v/>
      </c>
      <c r="Q666" s="8" t="str">
        <f t="array" ref="Q666">IF(662&gt;$S$1204,"",INDEX($T$5:$AJ$1204,MATCH(662,$S$5:$S$1204,0),17))</f>
        <v/>
      </c>
      <c r="R666" s="17"/>
      <c r="S666" s="17">
        <f>S665+IF(M4_Sectores!A70="",0,1)</f>
        <v>0</v>
      </c>
      <c r="T666" s="17" t="str">
        <f>IF(M4_Sectores!A70="","",IF(M4_Sectores!A70="","",M4_Sectores!A70))</f>
        <v/>
      </c>
      <c r="U666" s="17" t="str">
        <f>IF(M4_Sectores!A70="","",IF(M4_Sectores!Q70="","",M4_Sectores!Q70))</f>
        <v/>
      </c>
      <c r="V666" s="17" t="str">
        <f>IF(M4_Sectores!A70="","",IF(M4_Sectores!D70="","",M4_Sectores!D70))</f>
        <v/>
      </c>
      <c r="W666" s="17" t="str">
        <f>IF(M4_Sectores!A70="","",IF(M4_Sectores!B70="","",M4_Sectores!B70))</f>
        <v/>
      </c>
      <c r="X666" s="17" t="str">
        <f>IF(M4_Sectores!A70="","",IF(M4_Sectores!C70="","",M4_Sectores!C70))</f>
        <v/>
      </c>
      <c r="Y666" s="17" t="str">
        <f>IF(M4_Sectores!A70="","",IF(M4_Sectores!E70="","",M4_Sectores!E70))</f>
        <v/>
      </c>
      <c r="Z666" s="17" t="str">
        <f>IF(M4_Sectores!A70="","",IF(M4_Sectores!F70="","",M4_Sectores!F70))</f>
        <v/>
      </c>
      <c r="AA666" s="17" t="str">
        <f>IF(M4_Sectores!A70="","","M4 Sectores")</f>
        <v/>
      </c>
      <c r="AB666" s="17" t="str">
        <f>IF(M4_Sectores!A70="","",IF(M4_Sectores!G70="","",M4_Sectores!G70))</f>
        <v/>
      </c>
      <c r="AC666" s="17" t="str">
        <f>IF(M4_Sectores!A70="","",IF(COUNTIFS(M4_Sectores!$A$9:A70,M4_Sectores!A70,M4_Sectores!$D$9:D70,M4_Sectores!D70,M4_Sectores!$H$9:H70,M4_Sectores!H70)=1,IF(M4_Sectores!L70="","",M4_Sectores!L70),""))</f>
        <v/>
      </c>
      <c r="AD666" s="17" t="str">
        <f>IF(M4_Sectores!A70="","","EE")</f>
        <v/>
      </c>
      <c r="AE666" s="17" t="str">
        <f>IF(M4_Sectores!A70="","",IF(M4_Sectores!N70="","",M4_Sectores!N70))</f>
        <v/>
      </c>
      <c r="AF666" s="17" t="str">
        <f>IF(M4_Sectores!A70="","",IF(M4_Sectores!O70="","",M4_Sectores!O70))</f>
        <v/>
      </c>
      <c r="AG666" s="17" t="str">
        <f>IF(M4_Sectores!A70="","",IF(M4_Sectores!P70="","",M4_Sectores!P70))</f>
        <v/>
      </c>
      <c r="AH666" s="17" t="str">
        <f>IF(M4_Sectores!A70="","",IF(M4_Sectores!H70="","",M4_Sectores!H70))</f>
        <v/>
      </c>
      <c r="AI666" s="17" t="str">
        <f>IF(M4_Sectores!A70="","","M4_Sectores!70")</f>
        <v/>
      </c>
      <c r="AJ666" s="17" t="str">
        <f>IF(M4_Sectores!A70="","",IF(M4_Sectores!L70="","Pendiente de momento o resultado",IF(COUNTIFS(M4_Sectores!$A$9:A70,M4_Sectores!A70,M4_Sectores!$D$9:D70,M4_Sectores!D70,M4_Sectores!$H$9:H70,M4_Sectores!H70)=1,"Total del momento","Sector incluido en total")))</f>
        <v/>
      </c>
    </row>
    <row r="667" spans="1:36" ht="55.5" customHeight="1">
      <c r="A667" s="6" t="str">
        <f t="array" ref="A667">IF(663&gt;$S$1204,"",INDEX($T$5:$AJ$1204,MATCH(663,$S$5:$S$1204,0),1))</f>
        <v/>
      </c>
      <c r="B667" s="8" t="str">
        <f t="array" ref="B667">IF(663&gt;$S$1204,"",INDEX($T$5:$AJ$1204,MATCH(663,$S$5:$S$1204,0),2))</f>
        <v/>
      </c>
      <c r="C667" s="10" t="str">
        <f t="array" ref="C667">IF(663&gt;$S$1204,"",INDEX($T$5:$AJ$1204,MATCH(663,$S$5:$S$1204,0),3))</f>
        <v/>
      </c>
      <c r="D667" s="8" t="str">
        <f t="array" ref="D667">IF(663&gt;$S$1204,"",INDEX($T$5:$AJ$1204,MATCH(663,$S$5:$S$1204,0),4))</f>
        <v/>
      </c>
      <c r="E667" s="8" t="str">
        <f t="array" ref="E667">IF(663&gt;$S$1204,"",INDEX($T$5:$AJ$1204,MATCH(663,$S$5:$S$1204,0),5))</f>
        <v/>
      </c>
      <c r="F667" s="8" t="str">
        <f t="array" ref="F667">IF(663&gt;$S$1204,"",INDEX($T$5:$AJ$1204,MATCH(663,$S$5:$S$1204,0),6))</f>
        <v/>
      </c>
      <c r="G667" s="8" t="str">
        <f t="array" ref="G667">IF(663&gt;$S$1204,"",INDEX($T$5:$AJ$1204,MATCH(663,$S$5:$S$1204,0),7))</f>
        <v/>
      </c>
      <c r="H667" s="8" t="str">
        <f t="array" ref="H667">IF(663&gt;$S$1204,"",INDEX($T$5:$AJ$1204,MATCH(663,$S$5:$S$1204,0),8))</f>
        <v/>
      </c>
      <c r="I667" s="8" t="str">
        <f t="array" ref="I667">IF(663&gt;$S$1204,"",INDEX($T$5:$AJ$1204,MATCH(663,$S$5:$S$1204,0),9))</f>
        <v/>
      </c>
      <c r="J667" s="14" t="str">
        <f t="array" ref="J667">IF(663&gt;$S$1204,"",INDEX($T$5:$AJ$1204,MATCH(663,$S$5:$S$1204,0),10))</f>
        <v/>
      </c>
      <c r="K667" s="8" t="str">
        <f t="array" ref="K667">IF(663&gt;$S$1204,"",INDEX($T$5:$AJ$1204,MATCH(663,$S$5:$S$1204,0),11))</f>
        <v/>
      </c>
      <c r="L667" s="8" t="str">
        <f t="array" ref="L667">IF(663&gt;$S$1204,"",INDEX($T$5:$AJ$1204,MATCH(663,$S$5:$S$1204,0),12))</f>
        <v/>
      </c>
      <c r="M667" s="8" t="str">
        <f t="array" ref="M667">IF(663&gt;$S$1204,"",INDEX($T$5:$AJ$1204,MATCH(663,$S$5:$S$1204,0),13))</f>
        <v/>
      </c>
      <c r="N667" s="8" t="str">
        <f t="array" ref="N667">IF(663&gt;$S$1204,"",INDEX($T$5:$AJ$1204,MATCH(663,$S$5:$S$1204,0),14))</f>
        <v/>
      </c>
      <c r="O667" s="15" t="str">
        <f t="array" ref="O667">IF(663&gt;$S$1204,"",INDEX($T$5:$AJ$1204,MATCH(663,$S$5:$S$1204,0),15))</f>
        <v/>
      </c>
      <c r="P667" s="8" t="str">
        <f t="array" ref="P667">IF(663&gt;$S$1204,"",INDEX($T$5:$AJ$1204,MATCH(663,$S$5:$S$1204,0),16))</f>
        <v/>
      </c>
      <c r="Q667" s="8" t="str">
        <f t="array" ref="Q667">IF(663&gt;$S$1204,"",INDEX($T$5:$AJ$1204,MATCH(663,$S$5:$S$1204,0),17))</f>
        <v/>
      </c>
      <c r="R667" s="17"/>
      <c r="S667" s="17">
        <f>S666+IF(M4_Sectores!A71="",0,1)</f>
        <v>0</v>
      </c>
      <c r="T667" s="17" t="str">
        <f>IF(M4_Sectores!A71="","",IF(M4_Sectores!A71="","",M4_Sectores!A71))</f>
        <v/>
      </c>
      <c r="U667" s="17" t="str">
        <f>IF(M4_Sectores!A71="","",IF(M4_Sectores!Q71="","",M4_Sectores!Q71))</f>
        <v/>
      </c>
      <c r="V667" s="17" t="str">
        <f>IF(M4_Sectores!A71="","",IF(M4_Sectores!D71="","",M4_Sectores!D71))</f>
        <v/>
      </c>
      <c r="W667" s="17" t="str">
        <f>IF(M4_Sectores!A71="","",IF(M4_Sectores!B71="","",M4_Sectores!B71))</f>
        <v/>
      </c>
      <c r="X667" s="17" t="str">
        <f>IF(M4_Sectores!A71="","",IF(M4_Sectores!C71="","",M4_Sectores!C71))</f>
        <v/>
      </c>
      <c r="Y667" s="17" t="str">
        <f>IF(M4_Sectores!A71="","",IF(M4_Sectores!E71="","",M4_Sectores!E71))</f>
        <v/>
      </c>
      <c r="Z667" s="17" t="str">
        <f>IF(M4_Sectores!A71="","",IF(M4_Sectores!F71="","",M4_Sectores!F71))</f>
        <v/>
      </c>
      <c r="AA667" s="17" t="str">
        <f>IF(M4_Sectores!A71="","","M4 Sectores")</f>
        <v/>
      </c>
      <c r="AB667" s="17" t="str">
        <f>IF(M4_Sectores!A71="","",IF(M4_Sectores!G71="","",M4_Sectores!G71))</f>
        <v/>
      </c>
      <c r="AC667" s="17" t="str">
        <f>IF(M4_Sectores!A71="","",IF(COUNTIFS(M4_Sectores!$A$9:A71,M4_Sectores!A71,M4_Sectores!$D$9:D71,M4_Sectores!D71,M4_Sectores!$H$9:H71,M4_Sectores!H71)=1,IF(M4_Sectores!L71="","",M4_Sectores!L71),""))</f>
        <v/>
      </c>
      <c r="AD667" s="17" t="str">
        <f>IF(M4_Sectores!A71="","","EE")</f>
        <v/>
      </c>
      <c r="AE667" s="17" t="str">
        <f>IF(M4_Sectores!A71="","",IF(M4_Sectores!N71="","",M4_Sectores!N71))</f>
        <v/>
      </c>
      <c r="AF667" s="17" t="str">
        <f>IF(M4_Sectores!A71="","",IF(M4_Sectores!O71="","",M4_Sectores!O71))</f>
        <v/>
      </c>
      <c r="AG667" s="17" t="str">
        <f>IF(M4_Sectores!A71="","",IF(M4_Sectores!P71="","",M4_Sectores!P71))</f>
        <v/>
      </c>
      <c r="AH667" s="17" t="str">
        <f>IF(M4_Sectores!A71="","",IF(M4_Sectores!H71="","",M4_Sectores!H71))</f>
        <v/>
      </c>
      <c r="AI667" s="17" t="str">
        <f>IF(M4_Sectores!A71="","","M4_Sectores!71")</f>
        <v/>
      </c>
      <c r="AJ667" s="17" t="str">
        <f>IF(M4_Sectores!A71="","",IF(M4_Sectores!L71="","Pendiente de momento o resultado",IF(COUNTIFS(M4_Sectores!$A$9:A71,M4_Sectores!A71,M4_Sectores!$D$9:D71,M4_Sectores!D71,M4_Sectores!$H$9:H71,M4_Sectores!H71)=1,"Total del momento","Sector incluido en total")))</f>
        <v/>
      </c>
    </row>
    <row r="668" spans="1:36" ht="55.5" customHeight="1">
      <c r="A668" s="6" t="str">
        <f t="array" ref="A668">IF(664&gt;$S$1204,"",INDEX($T$5:$AJ$1204,MATCH(664,$S$5:$S$1204,0),1))</f>
        <v/>
      </c>
      <c r="B668" s="8" t="str">
        <f t="array" ref="B668">IF(664&gt;$S$1204,"",INDEX($T$5:$AJ$1204,MATCH(664,$S$5:$S$1204,0),2))</f>
        <v/>
      </c>
      <c r="C668" s="10" t="str">
        <f t="array" ref="C668">IF(664&gt;$S$1204,"",INDEX($T$5:$AJ$1204,MATCH(664,$S$5:$S$1204,0),3))</f>
        <v/>
      </c>
      <c r="D668" s="8" t="str">
        <f t="array" ref="D668">IF(664&gt;$S$1204,"",INDEX($T$5:$AJ$1204,MATCH(664,$S$5:$S$1204,0),4))</f>
        <v/>
      </c>
      <c r="E668" s="8" t="str">
        <f t="array" ref="E668">IF(664&gt;$S$1204,"",INDEX($T$5:$AJ$1204,MATCH(664,$S$5:$S$1204,0),5))</f>
        <v/>
      </c>
      <c r="F668" s="8" t="str">
        <f t="array" ref="F668">IF(664&gt;$S$1204,"",INDEX($T$5:$AJ$1204,MATCH(664,$S$5:$S$1204,0),6))</f>
        <v/>
      </c>
      <c r="G668" s="8" t="str">
        <f t="array" ref="G668">IF(664&gt;$S$1204,"",INDEX($T$5:$AJ$1204,MATCH(664,$S$5:$S$1204,0),7))</f>
        <v/>
      </c>
      <c r="H668" s="8" t="str">
        <f t="array" ref="H668">IF(664&gt;$S$1204,"",INDEX($T$5:$AJ$1204,MATCH(664,$S$5:$S$1204,0),8))</f>
        <v/>
      </c>
      <c r="I668" s="8" t="str">
        <f t="array" ref="I668">IF(664&gt;$S$1204,"",INDEX($T$5:$AJ$1204,MATCH(664,$S$5:$S$1204,0),9))</f>
        <v/>
      </c>
      <c r="J668" s="14" t="str">
        <f t="array" ref="J668">IF(664&gt;$S$1204,"",INDEX($T$5:$AJ$1204,MATCH(664,$S$5:$S$1204,0),10))</f>
        <v/>
      </c>
      <c r="K668" s="8" t="str">
        <f t="array" ref="K668">IF(664&gt;$S$1204,"",INDEX($T$5:$AJ$1204,MATCH(664,$S$5:$S$1204,0),11))</f>
        <v/>
      </c>
      <c r="L668" s="8" t="str">
        <f t="array" ref="L668">IF(664&gt;$S$1204,"",INDEX($T$5:$AJ$1204,MATCH(664,$S$5:$S$1204,0),12))</f>
        <v/>
      </c>
      <c r="M668" s="8" t="str">
        <f t="array" ref="M668">IF(664&gt;$S$1204,"",INDEX($T$5:$AJ$1204,MATCH(664,$S$5:$S$1204,0),13))</f>
        <v/>
      </c>
      <c r="N668" s="8" t="str">
        <f t="array" ref="N668">IF(664&gt;$S$1204,"",INDEX($T$5:$AJ$1204,MATCH(664,$S$5:$S$1204,0),14))</f>
        <v/>
      </c>
      <c r="O668" s="15" t="str">
        <f t="array" ref="O668">IF(664&gt;$S$1204,"",INDEX($T$5:$AJ$1204,MATCH(664,$S$5:$S$1204,0),15))</f>
        <v/>
      </c>
      <c r="P668" s="8" t="str">
        <f t="array" ref="P668">IF(664&gt;$S$1204,"",INDEX($T$5:$AJ$1204,MATCH(664,$S$5:$S$1204,0),16))</f>
        <v/>
      </c>
      <c r="Q668" s="8" t="str">
        <f t="array" ref="Q668">IF(664&gt;$S$1204,"",INDEX($T$5:$AJ$1204,MATCH(664,$S$5:$S$1204,0),17))</f>
        <v/>
      </c>
      <c r="R668" s="17"/>
      <c r="S668" s="17">
        <f>S667+IF(M4_Sectores!A72="",0,1)</f>
        <v>0</v>
      </c>
      <c r="T668" s="17" t="str">
        <f>IF(M4_Sectores!A72="","",IF(M4_Sectores!A72="","",M4_Sectores!A72))</f>
        <v/>
      </c>
      <c r="U668" s="17" t="str">
        <f>IF(M4_Sectores!A72="","",IF(M4_Sectores!Q72="","",M4_Sectores!Q72))</f>
        <v/>
      </c>
      <c r="V668" s="17" t="str">
        <f>IF(M4_Sectores!A72="","",IF(M4_Sectores!D72="","",M4_Sectores!D72))</f>
        <v/>
      </c>
      <c r="W668" s="17" t="str">
        <f>IF(M4_Sectores!A72="","",IF(M4_Sectores!B72="","",M4_Sectores!B72))</f>
        <v/>
      </c>
      <c r="X668" s="17" t="str">
        <f>IF(M4_Sectores!A72="","",IF(M4_Sectores!C72="","",M4_Sectores!C72))</f>
        <v/>
      </c>
      <c r="Y668" s="17" t="str">
        <f>IF(M4_Sectores!A72="","",IF(M4_Sectores!E72="","",M4_Sectores!E72))</f>
        <v/>
      </c>
      <c r="Z668" s="17" t="str">
        <f>IF(M4_Sectores!A72="","",IF(M4_Sectores!F72="","",M4_Sectores!F72))</f>
        <v/>
      </c>
      <c r="AA668" s="17" t="str">
        <f>IF(M4_Sectores!A72="","","M4 Sectores")</f>
        <v/>
      </c>
      <c r="AB668" s="17" t="str">
        <f>IF(M4_Sectores!A72="","",IF(M4_Sectores!G72="","",M4_Sectores!G72))</f>
        <v/>
      </c>
      <c r="AC668" s="17" t="str">
        <f>IF(M4_Sectores!A72="","",IF(COUNTIFS(M4_Sectores!$A$9:A72,M4_Sectores!A72,M4_Sectores!$D$9:D72,M4_Sectores!D72,M4_Sectores!$H$9:H72,M4_Sectores!H72)=1,IF(M4_Sectores!L72="","",M4_Sectores!L72),""))</f>
        <v/>
      </c>
      <c r="AD668" s="17" t="str">
        <f>IF(M4_Sectores!A72="","","EE")</f>
        <v/>
      </c>
      <c r="AE668" s="17" t="str">
        <f>IF(M4_Sectores!A72="","",IF(M4_Sectores!N72="","",M4_Sectores!N72))</f>
        <v/>
      </c>
      <c r="AF668" s="17" t="str">
        <f>IF(M4_Sectores!A72="","",IF(M4_Sectores!O72="","",M4_Sectores!O72))</f>
        <v/>
      </c>
      <c r="AG668" s="17" t="str">
        <f>IF(M4_Sectores!A72="","",IF(M4_Sectores!P72="","",M4_Sectores!P72))</f>
        <v/>
      </c>
      <c r="AH668" s="17" t="str">
        <f>IF(M4_Sectores!A72="","",IF(M4_Sectores!H72="","",M4_Sectores!H72))</f>
        <v/>
      </c>
      <c r="AI668" s="17" t="str">
        <f>IF(M4_Sectores!A72="","","M4_Sectores!72")</f>
        <v/>
      </c>
      <c r="AJ668" s="17" t="str">
        <f>IF(M4_Sectores!A72="","",IF(M4_Sectores!L72="","Pendiente de momento o resultado",IF(COUNTIFS(M4_Sectores!$A$9:A72,M4_Sectores!A72,M4_Sectores!$D$9:D72,M4_Sectores!D72,M4_Sectores!$H$9:H72,M4_Sectores!H72)=1,"Total del momento","Sector incluido en total")))</f>
        <v/>
      </c>
    </row>
    <row r="669" spans="1:36" ht="55.5" customHeight="1">
      <c r="A669" s="6" t="str">
        <f t="array" ref="A669">IF(665&gt;$S$1204,"",INDEX($T$5:$AJ$1204,MATCH(665,$S$5:$S$1204,0),1))</f>
        <v/>
      </c>
      <c r="B669" s="8" t="str">
        <f t="array" ref="B669">IF(665&gt;$S$1204,"",INDEX($T$5:$AJ$1204,MATCH(665,$S$5:$S$1204,0),2))</f>
        <v/>
      </c>
      <c r="C669" s="10" t="str">
        <f t="array" ref="C669">IF(665&gt;$S$1204,"",INDEX($T$5:$AJ$1204,MATCH(665,$S$5:$S$1204,0),3))</f>
        <v/>
      </c>
      <c r="D669" s="8" t="str">
        <f t="array" ref="D669">IF(665&gt;$S$1204,"",INDEX($T$5:$AJ$1204,MATCH(665,$S$5:$S$1204,0),4))</f>
        <v/>
      </c>
      <c r="E669" s="8" t="str">
        <f t="array" ref="E669">IF(665&gt;$S$1204,"",INDEX($T$5:$AJ$1204,MATCH(665,$S$5:$S$1204,0),5))</f>
        <v/>
      </c>
      <c r="F669" s="8" t="str">
        <f t="array" ref="F669">IF(665&gt;$S$1204,"",INDEX($T$5:$AJ$1204,MATCH(665,$S$5:$S$1204,0),6))</f>
        <v/>
      </c>
      <c r="G669" s="8" t="str">
        <f t="array" ref="G669">IF(665&gt;$S$1204,"",INDEX($T$5:$AJ$1204,MATCH(665,$S$5:$S$1204,0),7))</f>
        <v/>
      </c>
      <c r="H669" s="8" t="str">
        <f t="array" ref="H669">IF(665&gt;$S$1204,"",INDEX($T$5:$AJ$1204,MATCH(665,$S$5:$S$1204,0),8))</f>
        <v/>
      </c>
      <c r="I669" s="8" t="str">
        <f t="array" ref="I669">IF(665&gt;$S$1204,"",INDEX($T$5:$AJ$1204,MATCH(665,$S$5:$S$1204,0),9))</f>
        <v/>
      </c>
      <c r="J669" s="14" t="str">
        <f t="array" ref="J669">IF(665&gt;$S$1204,"",INDEX($T$5:$AJ$1204,MATCH(665,$S$5:$S$1204,0),10))</f>
        <v/>
      </c>
      <c r="K669" s="8" t="str">
        <f t="array" ref="K669">IF(665&gt;$S$1204,"",INDEX($T$5:$AJ$1204,MATCH(665,$S$5:$S$1204,0),11))</f>
        <v/>
      </c>
      <c r="L669" s="8" t="str">
        <f t="array" ref="L669">IF(665&gt;$S$1204,"",INDEX($T$5:$AJ$1204,MATCH(665,$S$5:$S$1204,0),12))</f>
        <v/>
      </c>
      <c r="M669" s="8" t="str">
        <f t="array" ref="M669">IF(665&gt;$S$1204,"",INDEX($T$5:$AJ$1204,MATCH(665,$S$5:$S$1204,0),13))</f>
        <v/>
      </c>
      <c r="N669" s="8" t="str">
        <f t="array" ref="N669">IF(665&gt;$S$1204,"",INDEX($T$5:$AJ$1204,MATCH(665,$S$5:$S$1204,0),14))</f>
        <v/>
      </c>
      <c r="O669" s="15" t="str">
        <f t="array" ref="O669">IF(665&gt;$S$1204,"",INDEX($T$5:$AJ$1204,MATCH(665,$S$5:$S$1204,0),15))</f>
        <v/>
      </c>
      <c r="P669" s="8" t="str">
        <f t="array" ref="P669">IF(665&gt;$S$1204,"",INDEX($T$5:$AJ$1204,MATCH(665,$S$5:$S$1204,0),16))</f>
        <v/>
      </c>
      <c r="Q669" s="8" t="str">
        <f t="array" ref="Q669">IF(665&gt;$S$1204,"",INDEX($T$5:$AJ$1204,MATCH(665,$S$5:$S$1204,0),17))</f>
        <v/>
      </c>
      <c r="R669" s="17"/>
      <c r="S669" s="17">
        <f>S668+IF(M4_Sectores!A73="",0,1)</f>
        <v>0</v>
      </c>
      <c r="T669" s="17" t="str">
        <f>IF(M4_Sectores!A73="","",IF(M4_Sectores!A73="","",M4_Sectores!A73))</f>
        <v/>
      </c>
      <c r="U669" s="17" t="str">
        <f>IF(M4_Sectores!A73="","",IF(M4_Sectores!Q73="","",M4_Sectores!Q73))</f>
        <v/>
      </c>
      <c r="V669" s="17" t="str">
        <f>IF(M4_Sectores!A73="","",IF(M4_Sectores!D73="","",M4_Sectores!D73))</f>
        <v/>
      </c>
      <c r="W669" s="17" t="str">
        <f>IF(M4_Sectores!A73="","",IF(M4_Sectores!B73="","",M4_Sectores!B73))</f>
        <v/>
      </c>
      <c r="X669" s="17" t="str">
        <f>IF(M4_Sectores!A73="","",IF(M4_Sectores!C73="","",M4_Sectores!C73))</f>
        <v/>
      </c>
      <c r="Y669" s="17" t="str">
        <f>IF(M4_Sectores!A73="","",IF(M4_Sectores!E73="","",M4_Sectores!E73))</f>
        <v/>
      </c>
      <c r="Z669" s="17" t="str">
        <f>IF(M4_Sectores!A73="","",IF(M4_Sectores!F73="","",M4_Sectores!F73))</f>
        <v/>
      </c>
      <c r="AA669" s="17" t="str">
        <f>IF(M4_Sectores!A73="","","M4 Sectores")</f>
        <v/>
      </c>
      <c r="AB669" s="17" t="str">
        <f>IF(M4_Sectores!A73="","",IF(M4_Sectores!G73="","",M4_Sectores!G73))</f>
        <v/>
      </c>
      <c r="AC669" s="17" t="str">
        <f>IF(M4_Sectores!A73="","",IF(COUNTIFS(M4_Sectores!$A$9:A73,M4_Sectores!A73,M4_Sectores!$D$9:D73,M4_Sectores!D73,M4_Sectores!$H$9:H73,M4_Sectores!H73)=1,IF(M4_Sectores!L73="","",M4_Sectores!L73),""))</f>
        <v/>
      </c>
      <c r="AD669" s="17" t="str">
        <f>IF(M4_Sectores!A73="","","EE")</f>
        <v/>
      </c>
      <c r="AE669" s="17" t="str">
        <f>IF(M4_Sectores!A73="","",IF(M4_Sectores!N73="","",M4_Sectores!N73))</f>
        <v/>
      </c>
      <c r="AF669" s="17" t="str">
        <f>IF(M4_Sectores!A73="","",IF(M4_Sectores!O73="","",M4_Sectores!O73))</f>
        <v/>
      </c>
      <c r="AG669" s="17" t="str">
        <f>IF(M4_Sectores!A73="","",IF(M4_Sectores!P73="","",M4_Sectores!P73))</f>
        <v/>
      </c>
      <c r="AH669" s="17" t="str">
        <f>IF(M4_Sectores!A73="","",IF(M4_Sectores!H73="","",M4_Sectores!H73))</f>
        <v/>
      </c>
      <c r="AI669" s="17" t="str">
        <f>IF(M4_Sectores!A73="","","M4_Sectores!73")</f>
        <v/>
      </c>
      <c r="AJ669" s="17" t="str">
        <f>IF(M4_Sectores!A73="","",IF(M4_Sectores!L73="","Pendiente de momento o resultado",IF(COUNTIFS(M4_Sectores!$A$9:A73,M4_Sectores!A73,M4_Sectores!$D$9:D73,M4_Sectores!D73,M4_Sectores!$H$9:H73,M4_Sectores!H73)=1,"Total del momento","Sector incluido en total")))</f>
        <v/>
      </c>
    </row>
    <row r="670" spans="1:36" ht="55.5" customHeight="1">
      <c r="A670" s="6" t="str">
        <f t="array" ref="A670">IF(666&gt;$S$1204,"",INDEX($T$5:$AJ$1204,MATCH(666,$S$5:$S$1204,0),1))</f>
        <v/>
      </c>
      <c r="B670" s="8" t="str">
        <f t="array" ref="B670">IF(666&gt;$S$1204,"",INDEX($T$5:$AJ$1204,MATCH(666,$S$5:$S$1204,0),2))</f>
        <v/>
      </c>
      <c r="C670" s="10" t="str">
        <f t="array" ref="C670">IF(666&gt;$S$1204,"",INDEX($T$5:$AJ$1204,MATCH(666,$S$5:$S$1204,0),3))</f>
        <v/>
      </c>
      <c r="D670" s="8" t="str">
        <f t="array" ref="D670">IF(666&gt;$S$1204,"",INDEX($T$5:$AJ$1204,MATCH(666,$S$5:$S$1204,0),4))</f>
        <v/>
      </c>
      <c r="E670" s="8" t="str">
        <f t="array" ref="E670">IF(666&gt;$S$1204,"",INDEX($T$5:$AJ$1204,MATCH(666,$S$5:$S$1204,0),5))</f>
        <v/>
      </c>
      <c r="F670" s="8" t="str">
        <f t="array" ref="F670">IF(666&gt;$S$1204,"",INDEX($T$5:$AJ$1204,MATCH(666,$S$5:$S$1204,0),6))</f>
        <v/>
      </c>
      <c r="G670" s="8" t="str">
        <f t="array" ref="G670">IF(666&gt;$S$1204,"",INDEX($T$5:$AJ$1204,MATCH(666,$S$5:$S$1204,0),7))</f>
        <v/>
      </c>
      <c r="H670" s="8" t="str">
        <f t="array" ref="H670">IF(666&gt;$S$1204,"",INDEX($T$5:$AJ$1204,MATCH(666,$S$5:$S$1204,0),8))</f>
        <v/>
      </c>
      <c r="I670" s="8" t="str">
        <f t="array" ref="I670">IF(666&gt;$S$1204,"",INDEX($T$5:$AJ$1204,MATCH(666,$S$5:$S$1204,0),9))</f>
        <v/>
      </c>
      <c r="J670" s="14" t="str">
        <f t="array" ref="J670">IF(666&gt;$S$1204,"",INDEX($T$5:$AJ$1204,MATCH(666,$S$5:$S$1204,0),10))</f>
        <v/>
      </c>
      <c r="K670" s="8" t="str">
        <f t="array" ref="K670">IF(666&gt;$S$1204,"",INDEX($T$5:$AJ$1204,MATCH(666,$S$5:$S$1204,0),11))</f>
        <v/>
      </c>
      <c r="L670" s="8" t="str">
        <f t="array" ref="L670">IF(666&gt;$S$1204,"",INDEX($T$5:$AJ$1204,MATCH(666,$S$5:$S$1204,0),12))</f>
        <v/>
      </c>
      <c r="M670" s="8" t="str">
        <f t="array" ref="M670">IF(666&gt;$S$1204,"",INDEX($T$5:$AJ$1204,MATCH(666,$S$5:$S$1204,0),13))</f>
        <v/>
      </c>
      <c r="N670" s="8" t="str">
        <f t="array" ref="N670">IF(666&gt;$S$1204,"",INDEX($T$5:$AJ$1204,MATCH(666,$S$5:$S$1204,0),14))</f>
        <v/>
      </c>
      <c r="O670" s="15" t="str">
        <f t="array" ref="O670">IF(666&gt;$S$1204,"",INDEX($T$5:$AJ$1204,MATCH(666,$S$5:$S$1204,0),15))</f>
        <v/>
      </c>
      <c r="P670" s="8" t="str">
        <f t="array" ref="P670">IF(666&gt;$S$1204,"",INDEX($T$5:$AJ$1204,MATCH(666,$S$5:$S$1204,0),16))</f>
        <v/>
      </c>
      <c r="Q670" s="8" t="str">
        <f t="array" ref="Q670">IF(666&gt;$S$1204,"",INDEX($T$5:$AJ$1204,MATCH(666,$S$5:$S$1204,0),17))</f>
        <v/>
      </c>
      <c r="R670" s="17"/>
      <c r="S670" s="17">
        <f>S669+IF(M4_Sectores!A74="",0,1)</f>
        <v>0</v>
      </c>
      <c r="T670" s="17" t="str">
        <f>IF(M4_Sectores!A74="","",IF(M4_Sectores!A74="","",M4_Sectores!A74))</f>
        <v/>
      </c>
      <c r="U670" s="17" t="str">
        <f>IF(M4_Sectores!A74="","",IF(M4_Sectores!Q74="","",M4_Sectores!Q74))</f>
        <v/>
      </c>
      <c r="V670" s="17" t="str">
        <f>IF(M4_Sectores!A74="","",IF(M4_Sectores!D74="","",M4_Sectores!D74))</f>
        <v/>
      </c>
      <c r="W670" s="17" t="str">
        <f>IF(M4_Sectores!A74="","",IF(M4_Sectores!B74="","",M4_Sectores!B74))</f>
        <v/>
      </c>
      <c r="X670" s="17" t="str">
        <f>IF(M4_Sectores!A74="","",IF(M4_Sectores!C74="","",M4_Sectores!C74))</f>
        <v/>
      </c>
      <c r="Y670" s="17" t="str">
        <f>IF(M4_Sectores!A74="","",IF(M4_Sectores!E74="","",M4_Sectores!E74))</f>
        <v/>
      </c>
      <c r="Z670" s="17" t="str">
        <f>IF(M4_Sectores!A74="","",IF(M4_Sectores!F74="","",M4_Sectores!F74))</f>
        <v/>
      </c>
      <c r="AA670" s="17" t="str">
        <f>IF(M4_Sectores!A74="","","M4 Sectores")</f>
        <v/>
      </c>
      <c r="AB670" s="17" t="str">
        <f>IF(M4_Sectores!A74="","",IF(M4_Sectores!G74="","",M4_Sectores!G74))</f>
        <v/>
      </c>
      <c r="AC670" s="17" t="str">
        <f>IF(M4_Sectores!A74="","",IF(COUNTIFS(M4_Sectores!$A$9:A74,M4_Sectores!A74,M4_Sectores!$D$9:D74,M4_Sectores!D74,M4_Sectores!$H$9:H74,M4_Sectores!H74)=1,IF(M4_Sectores!L74="","",M4_Sectores!L74),""))</f>
        <v/>
      </c>
      <c r="AD670" s="17" t="str">
        <f>IF(M4_Sectores!A74="","","EE")</f>
        <v/>
      </c>
      <c r="AE670" s="17" t="str">
        <f>IF(M4_Sectores!A74="","",IF(M4_Sectores!N74="","",M4_Sectores!N74))</f>
        <v/>
      </c>
      <c r="AF670" s="17" t="str">
        <f>IF(M4_Sectores!A74="","",IF(M4_Sectores!O74="","",M4_Sectores!O74))</f>
        <v/>
      </c>
      <c r="AG670" s="17" t="str">
        <f>IF(M4_Sectores!A74="","",IF(M4_Sectores!P74="","",M4_Sectores!P74))</f>
        <v/>
      </c>
      <c r="AH670" s="17" t="str">
        <f>IF(M4_Sectores!A74="","",IF(M4_Sectores!H74="","",M4_Sectores!H74))</f>
        <v/>
      </c>
      <c r="AI670" s="17" t="str">
        <f>IF(M4_Sectores!A74="","","M4_Sectores!74")</f>
        <v/>
      </c>
      <c r="AJ670" s="17" t="str">
        <f>IF(M4_Sectores!A74="","",IF(M4_Sectores!L74="","Pendiente de momento o resultado",IF(COUNTIFS(M4_Sectores!$A$9:A74,M4_Sectores!A74,M4_Sectores!$D$9:D74,M4_Sectores!D74,M4_Sectores!$H$9:H74,M4_Sectores!H74)=1,"Total del momento","Sector incluido en total")))</f>
        <v/>
      </c>
    </row>
    <row r="671" spans="1:36" ht="55.5" customHeight="1">
      <c r="A671" s="6" t="str">
        <f t="array" ref="A671">IF(667&gt;$S$1204,"",INDEX($T$5:$AJ$1204,MATCH(667,$S$5:$S$1204,0),1))</f>
        <v/>
      </c>
      <c r="B671" s="8" t="str">
        <f t="array" ref="B671">IF(667&gt;$S$1204,"",INDEX($T$5:$AJ$1204,MATCH(667,$S$5:$S$1204,0),2))</f>
        <v/>
      </c>
      <c r="C671" s="10" t="str">
        <f t="array" ref="C671">IF(667&gt;$S$1204,"",INDEX($T$5:$AJ$1204,MATCH(667,$S$5:$S$1204,0),3))</f>
        <v/>
      </c>
      <c r="D671" s="8" t="str">
        <f t="array" ref="D671">IF(667&gt;$S$1204,"",INDEX($T$5:$AJ$1204,MATCH(667,$S$5:$S$1204,0),4))</f>
        <v/>
      </c>
      <c r="E671" s="8" t="str">
        <f t="array" ref="E671">IF(667&gt;$S$1204,"",INDEX($T$5:$AJ$1204,MATCH(667,$S$5:$S$1204,0),5))</f>
        <v/>
      </c>
      <c r="F671" s="8" t="str">
        <f t="array" ref="F671">IF(667&gt;$S$1204,"",INDEX($T$5:$AJ$1204,MATCH(667,$S$5:$S$1204,0),6))</f>
        <v/>
      </c>
      <c r="G671" s="8" t="str">
        <f t="array" ref="G671">IF(667&gt;$S$1204,"",INDEX($T$5:$AJ$1204,MATCH(667,$S$5:$S$1204,0),7))</f>
        <v/>
      </c>
      <c r="H671" s="8" t="str">
        <f t="array" ref="H671">IF(667&gt;$S$1204,"",INDEX($T$5:$AJ$1204,MATCH(667,$S$5:$S$1204,0),8))</f>
        <v/>
      </c>
      <c r="I671" s="8" t="str">
        <f t="array" ref="I671">IF(667&gt;$S$1204,"",INDEX($T$5:$AJ$1204,MATCH(667,$S$5:$S$1204,0),9))</f>
        <v/>
      </c>
      <c r="J671" s="14" t="str">
        <f t="array" ref="J671">IF(667&gt;$S$1204,"",INDEX($T$5:$AJ$1204,MATCH(667,$S$5:$S$1204,0),10))</f>
        <v/>
      </c>
      <c r="K671" s="8" t="str">
        <f t="array" ref="K671">IF(667&gt;$S$1204,"",INDEX($T$5:$AJ$1204,MATCH(667,$S$5:$S$1204,0),11))</f>
        <v/>
      </c>
      <c r="L671" s="8" t="str">
        <f t="array" ref="L671">IF(667&gt;$S$1204,"",INDEX($T$5:$AJ$1204,MATCH(667,$S$5:$S$1204,0),12))</f>
        <v/>
      </c>
      <c r="M671" s="8" t="str">
        <f t="array" ref="M671">IF(667&gt;$S$1204,"",INDEX($T$5:$AJ$1204,MATCH(667,$S$5:$S$1204,0),13))</f>
        <v/>
      </c>
      <c r="N671" s="8" t="str">
        <f t="array" ref="N671">IF(667&gt;$S$1204,"",INDEX($T$5:$AJ$1204,MATCH(667,$S$5:$S$1204,0),14))</f>
        <v/>
      </c>
      <c r="O671" s="15" t="str">
        <f t="array" ref="O671">IF(667&gt;$S$1204,"",INDEX($T$5:$AJ$1204,MATCH(667,$S$5:$S$1204,0),15))</f>
        <v/>
      </c>
      <c r="P671" s="8" t="str">
        <f t="array" ref="P671">IF(667&gt;$S$1204,"",INDEX($T$5:$AJ$1204,MATCH(667,$S$5:$S$1204,0),16))</f>
        <v/>
      </c>
      <c r="Q671" s="8" t="str">
        <f t="array" ref="Q671">IF(667&gt;$S$1204,"",INDEX($T$5:$AJ$1204,MATCH(667,$S$5:$S$1204,0),17))</f>
        <v/>
      </c>
      <c r="R671" s="17"/>
      <c r="S671" s="17">
        <f>S670+IF(M4_Sectores!A75="",0,1)</f>
        <v>0</v>
      </c>
      <c r="T671" s="17" t="str">
        <f>IF(M4_Sectores!A75="","",IF(M4_Sectores!A75="","",M4_Sectores!A75))</f>
        <v/>
      </c>
      <c r="U671" s="17" t="str">
        <f>IF(M4_Sectores!A75="","",IF(M4_Sectores!Q75="","",M4_Sectores!Q75))</f>
        <v/>
      </c>
      <c r="V671" s="17" t="str">
        <f>IF(M4_Sectores!A75="","",IF(M4_Sectores!D75="","",M4_Sectores!D75))</f>
        <v/>
      </c>
      <c r="W671" s="17" t="str">
        <f>IF(M4_Sectores!A75="","",IF(M4_Sectores!B75="","",M4_Sectores!B75))</f>
        <v/>
      </c>
      <c r="X671" s="17" t="str">
        <f>IF(M4_Sectores!A75="","",IF(M4_Sectores!C75="","",M4_Sectores!C75))</f>
        <v/>
      </c>
      <c r="Y671" s="17" t="str">
        <f>IF(M4_Sectores!A75="","",IF(M4_Sectores!E75="","",M4_Sectores!E75))</f>
        <v/>
      </c>
      <c r="Z671" s="17" t="str">
        <f>IF(M4_Sectores!A75="","",IF(M4_Sectores!F75="","",M4_Sectores!F75))</f>
        <v/>
      </c>
      <c r="AA671" s="17" t="str">
        <f>IF(M4_Sectores!A75="","","M4 Sectores")</f>
        <v/>
      </c>
      <c r="AB671" s="17" t="str">
        <f>IF(M4_Sectores!A75="","",IF(M4_Sectores!G75="","",M4_Sectores!G75))</f>
        <v/>
      </c>
      <c r="AC671" s="17" t="str">
        <f>IF(M4_Sectores!A75="","",IF(COUNTIFS(M4_Sectores!$A$9:A75,M4_Sectores!A75,M4_Sectores!$D$9:D75,M4_Sectores!D75,M4_Sectores!$H$9:H75,M4_Sectores!H75)=1,IF(M4_Sectores!L75="","",M4_Sectores!L75),""))</f>
        <v/>
      </c>
      <c r="AD671" s="17" t="str">
        <f>IF(M4_Sectores!A75="","","EE")</f>
        <v/>
      </c>
      <c r="AE671" s="17" t="str">
        <f>IF(M4_Sectores!A75="","",IF(M4_Sectores!N75="","",M4_Sectores!N75))</f>
        <v/>
      </c>
      <c r="AF671" s="17" t="str">
        <f>IF(M4_Sectores!A75="","",IF(M4_Sectores!O75="","",M4_Sectores!O75))</f>
        <v/>
      </c>
      <c r="AG671" s="17" t="str">
        <f>IF(M4_Sectores!A75="","",IF(M4_Sectores!P75="","",M4_Sectores!P75))</f>
        <v/>
      </c>
      <c r="AH671" s="17" t="str">
        <f>IF(M4_Sectores!A75="","",IF(M4_Sectores!H75="","",M4_Sectores!H75))</f>
        <v/>
      </c>
      <c r="AI671" s="17" t="str">
        <f>IF(M4_Sectores!A75="","","M4_Sectores!75")</f>
        <v/>
      </c>
      <c r="AJ671" s="17" t="str">
        <f>IF(M4_Sectores!A75="","",IF(M4_Sectores!L75="","Pendiente de momento o resultado",IF(COUNTIFS(M4_Sectores!$A$9:A75,M4_Sectores!A75,M4_Sectores!$D$9:D75,M4_Sectores!D75,M4_Sectores!$H$9:H75,M4_Sectores!H75)=1,"Total del momento","Sector incluido en total")))</f>
        <v/>
      </c>
    </row>
    <row r="672" spans="1:36" ht="55.5" customHeight="1">
      <c r="A672" s="6" t="str">
        <f t="array" ref="A672">IF(668&gt;$S$1204,"",INDEX($T$5:$AJ$1204,MATCH(668,$S$5:$S$1204,0),1))</f>
        <v/>
      </c>
      <c r="B672" s="8" t="str">
        <f t="array" ref="B672">IF(668&gt;$S$1204,"",INDEX($T$5:$AJ$1204,MATCH(668,$S$5:$S$1204,0),2))</f>
        <v/>
      </c>
      <c r="C672" s="10" t="str">
        <f t="array" ref="C672">IF(668&gt;$S$1204,"",INDEX($T$5:$AJ$1204,MATCH(668,$S$5:$S$1204,0),3))</f>
        <v/>
      </c>
      <c r="D672" s="8" t="str">
        <f t="array" ref="D672">IF(668&gt;$S$1204,"",INDEX($T$5:$AJ$1204,MATCH(668,$S$5:$S$1204,0),4))</f>
        <v/>
      </c>
      <c r="E672" s="8" t="str">
        <f t="array" ref="E672">IF(668&gt;$S$1204,"",INDEX($T$5:$AJ$1204,MATCH(668,$S$5:$S$1204,0),5))</f>
        <v/>
      </c>
      <c r="F672" s="8" t="str">
        <f t="array" ref="F672">IF(668&gt;$S$1204,"",INDEX($T$5:$AJ$1204,MATCH(668,$S$5:$S$1204,0),6))</f>
        <v/>
      </c>
      <c r="G672" s="8" t="str">
        <f t="array" ref="G672">IF(668&gt;$S$1204,"",INDEX($T$5:$AJ$1204,MATCH(668,$S$5:$S$1204,0),7))</f>
        <v/>
      </c>
      <c r="H672" s="8" t="str">
        <f t="array" ref="H672">IF(668&gt;$S$1204,"",INDEX($T$5:$AJ$1204,MATCH(668,$S$5:$S$1204,0),8))</f>
        <v/>
      </c>
      <c r="I672" s="8" t="str">
        <f t="array" ref="I672">IF(668&gt;$S$1204,"",INDEX($T$5:$AJ$1204,MATCH(668,$S$5:$S$1204,0),9))</f>
        <v/>
      </c>
      <c r="J672" s="14" t="str">
        <f t="array" ref="J672">IF(668&gt;$S$1204,"",INDEX($T$5:$AJ$1204,MATCH(668,$S$5:$S$1204,0),10))</f>
        <v/>
      </c>
      <c r="K672" s="8" t="str">
        <f t="array" ref="K672">IF(668&gt;$S$1204,"",INDEX($T$5:$AJ$1204,MATCH(668,$S$5:$S$1204,0),11))</f>
        <v/>
      </c>
      <c r="L672" s="8" t="str">
        <f t="array" ref="L672">IF(668&gt;$S$1204,"",INDEX($T$5:$AJ$1204,MATCH(668,$S$5:$S$1204,0),12))</f>
        <v/>
      </c>
      <c r="M672" s="8" t="str">
        <f t="array" ref="M672">IF(668&gt;$S$1204,"",INDEX($T$5:$AJ$1204,MATCH(668,$S$5:$S$1204,0),13))</f>
        <v/>
      </c>
      <c r="N672" s="8" t="str">
        <f t="array" ref="N672">IF(668&gt;$S$1204,"",INDEX($T$5:$AJ$1204,MATCH(668,$S$5:$S$1204,0),14))</f>
        <v/>
      </c>
      <c r="O672" s="15" t="str">
        <f t="array" ref="O672">IF(668&gt;$S$1204,"",INDEX($T$5:$AJ$1204,MATCH(668,$S$5:$S$1204,0),15))</f>
        <v/>
      </c>
      <c r="P672" s="8" t="str">
        <f t="array" ref="P672">IF(668&gt;$S$1204,"",INDEX($T$5:$AJ$1204,MATCH(668,$S$5:$S$1204,0),16))</f>
        <v/>
      </c>
      <c r="Q672" s="8" t="str">
        <f t="array" ref="Q672">IF(668&gt;$S$1204,"",INDEX($T$5:$AJ$1204,MATCH(668,$S$5:$S$1204,0),17))</f>
        <v/>
      </c>
      <c r="R672" s="17"/>
      <c r="S672" s="17">
        <f>S671+IF(M4_Sectores!A76="",0,1)</f>
        <v>0</v>
      </c>
      <c r="T672" s="17" t="str">
        <f>IF(M4_Sectores!A76="","",IF(M4_Sectores!A76="","",M4_Sectores!A76))</f>
        <v/>
      </c>
      <c r="U672" s="17" t="str">
        <f>IF(M4_Sectores!A76="","",IF(M4_Sectores!Q76="","",M4_Sectores!Q76))</f>
        <v/>
      </c>
      <c r="V672" s="17" t="str">
        <f>IF(M4_Sectores!A76="","",IF(M4_Sectores!D76="","",M4_Sectores!D76))</f>
        <v/>
      </c>
      <c r="W672" s="17" t="str">
        <f>IF(M4_Sectores!A76="","",IF(M4_Sectores!B76="","",M4_Sectores!B76))</f>
        <v/>
      </c>
      <c r="X672" s="17" t="str">
        <f>IF(M4_Sectores!A76="","",IF(M4_Sectores!C76="","",M4_Sectores!C76))</f>
        <v/>
      </c>
      <c r="Y672" s="17" t="str">
        <f>IF(M4_Sectores!A76="","",IF(M4_Sectores!E76="","",M4_Sectores!E76))</f>
        <v/>
      </c>
      <c r="Z672" s="17" t="str">
        <f>IF(M4_Sectores!A76="","",IF(M4_Sectores!F76="","",M4_Sectores!F76))</f>
        <v/>
      </c>
      <c r="AA672" s="17" t="str">
        <f>IF(M4_Sectores!A76="","","M4 Sectores")</f>
        <v/>
      </c>
      <c r="AB672" s="17" t="str">
        <f>IF(M4_Sectores!A76="","",IF(M4_Sectores!G76="","",M4_Sectores!G76))</f>
        <v/>
      </c>
      <c r="AC672" s="17" t="str">
        <f>IF(M4_Sectores!A76="","",IF(COUNTIFS(M4_Sectores!$A$9:A76,M4_Sectores!A76,M4_Sectores!$D$9:D76,M4_Sectores!D76,M4_Sectores!$H$9:H76,M4_Sectores!H76)=1,IF(M4_Sectores!L76="","",M4_Sectores!L76),""))</f>
        <v/>
      </c>
      <c r="AD672" s="17" t="str">
        <f>IF(M4_Sectores!A76="","","EE")</f>
        <v/>
      </c>
      <c r="AE672" s="17" t="str">
        <f>IF(M4_Sectores!A76="","",IF(M4_Sectores!N76="","",M4_Sectores!N76))</f>
        <v/>
      </c>
      <c r="AF672" s="17" t="str">
        <f>IF(M4_Sectores!A76="","",IF(M4_Sectores!O76="","",M4_Sectores!O76))</f>
        <v/>
      </c>
      <c r="AG672" s="17" t="str">
        <f>IF(M4_Sectores!A76="","",IF(M4_Sectores!P76="","",M4_Sectores!P76))</f>
        <v/>
      </c>
      <c r="AH672" s="17" t="str">
        <f>IF(M4_Sectores!A76="","",IF(M4_Sectores!H76="","",M4_Sectores!H76))</f>
        <v/>
      </c>
      <c r="AI672" s="17" t="str">
        <f>IF(M4_Sectores!A76="","","M4_Sectores!76")</f>
        <v/>
      </c>
      <c r="AJ672" s="17" t="str">
        <f>IF(M4_Sectores!A76="","",IF(M4_Sectores!L76="","Pendiente de momento o resultado",IF(COUNTIFS(M4_Sectores!$A$9:A76,M4_Sectores!A76,M4_Sectores!$D$9:D76,M4_Sectores!D76,M4_Sectores!$H$9:H76,M4_Sectores!H76)=1,"Total del momento","Sector incluido en total")))</f>
        <v/>
      </c>
    </row>
    <row r="673" spans="1:36" ht="55.5" customHeight="1">
      <c r="A673" s="6" t="str">
        <f t="array" ref="A673">IF(669&gt;$S$1204,"",INDEX($T$5:$AJ$1204,MATCH(669,$S$5:$S$1204,0),1))</f>
        <v/>
      </c>
      <c r="B673" s="8" t="str">
        <f t="array" ref="B673">IF(669&gt;$S$1204,"",INDEX($T$5:$AJ$1204,MATCH(669,$S$5:$S$1204,0),2))</f>
        <v/>
      </c>
      <c r="C673" s="10" t="str">
        <f t="array" ref="C673">IF(669&gt;$S$1204,"",INDEX($T$5:$AJ$1204,MATCH(669,$S$5:$S$1204,0),3))</f>
        <v/>
      </c>
      <c r="D673" s="8" t="str">
        <f t="array" ref="D673">IF(669&gt;$S$1204,"",INDEX($T$5:$AJ$1204,MATCH(669,$S$5:$S$1204,0),4))</f>
        <v/>
      </c>
      <c r="E673" s="8" t="str">
        <f t="array" ref="E673">IF(669&gt;$S$1204,"",INDEX($T$5:$AJ$1204,MATCH(669,$S$5:$S$1204,0),5))</f>
        <v/>
      </c>
      <c r="F673" s="8" t="str">
        <f t="array" ref="F673">IF(669&gt;$S$1204,"",INDEX($T$5:$AJ$1204,MATCH(669,$S$5:$S$1204,0),6))</f>
        <v/>
      </c>
      <c r="G673" s="8" t="str">
        <f t="array" ref="G673">IF(669&gt;$S$1204,"",INDEX($T$5:$AJ$1204,MATCH(669,$S$5:$S$1204,0),7))</f>
        <v/>
      </c>
      <c r="H673" s="8" t="str">
        <f t="array" ref="H673">IF(669&gt;$S$1204,"",INDEX($T$5:$AJ$1204,MATCH(669,$S$5:$S$1204,0),8))</f>
        <v/>
      </c>
      <c r="I673" s="8" t="str">
        <f t="array" ref="I673">IF(669&gt;$S$1204,"",INDEX($T$5:$AJ$1204,MATCH(669,$S$5:$S$1204,0),9))</f>
        <v/>
      </c>
      <c r="J673" s="14" t="str">
        <f t="array" ref="J673">IF(669&gt;$S$1204,"",INDEX($T$5:$AJ$1204,MATCH(669,$S$5:$S$1204,0),10))</f>
        <v/>
      </c>
      <c r="K673" s="8" t="str">
        <f t="array" ref="K673">IF(669&gt;$S$1204,"",INDEX($T$5:$AJ$1204,MATCH(669,$S$5:$S$1204,0),11))</f>
        <v/>
      </c>
      <c r="L673" s="8" t="str">
        <f t="array" ref="L673">IF(669&gt;$S$1204,"",INDEX($T$5:$AJ$1204,MATCH(669,$S$5:$S$1204,0),12))</f>
        <v/>
      </c>
      <c r="M673" s="8" t="str">
        <f t="array" ref="M673">IF(669&gt;$S$1204,"",INDEX($T$5:$AJ$1204,MATCH(669,$S$5:$S$1204,0),13))</f>
        <v/>
      </c>
      <c r="N673" s="8" t="str">
        <f t="array" ref="N673">IF(669&gt;$S$1204,"",INDEX($T$5:$AJ$1204,MATCH(669,$S$5:$S$1204,0),14))</f>
        <v/>
      </c>
      <c r="O673" s="15" t="str">
        <f t="array" ref="O673">IF(669&gt;$S$1204,"",INDEX($T$5:$AJ$1204,MATCH(669,$S$5:$S$1204,0),15))</f>
        <v/>
      </c>
      <c r="P673" s="8" t="str">
        <f t="array" ref="P673">IF(669&gt;$S$1204,"",INDEX($T$5:$AJ$1204,MATCH(669,$S$5:$S$1204,0),16))</f>
        <v/>
      </c>
      <c r="Q673" s="8" t="str">
        <f t="array" ref="Q673">IF(669&gt;$S$1204,"",INDEX($T$5:$AJ$1204,MATCH(669,$S$5:$S$1204,0),17))</f>
        <v/>
      </c>
      <c r="R673" s="17"/>
      <c r="S673" s="17">
        <f>S672+IF(M4_Sectores!A77="",0,1)</f>
        <v>0</v>
      </c>
      <c r="T673" s="17" t="str">
        <f>IF(M4_Sectores!A77="","",IF(M4_Sectores!A77="","",M4_Sectores!A77))</f>
        <v/>
      </c>
      <c r="U673" s="17" t="str">
        <f>IF(M4_Sectores!A77="","",IF(M4_Sectores!Q77="","",M4_Sectores!Q77))</f>
        <v/>
      </c>
      <c r="V673" s="17" t="str">
        <f>IF(M4_Sectores!A77="","",IF(M4_Sectores!D77="","",M4_Sectores!D77))</f>
        <v/>
      </c>
      <c r="W673" s="17" t="str">
        <f>IF(M4_Sectores!A77="","",IF(M4_Sectores!B77="","",M4_Sectores!B77))</f>
        <v/>
      </c>
      <c r="X673" s="17" t="str">
        <f>IF(M4_Sectores!A77="","",IF(M4_Sectores!C77="","",M4_Sectores!C77))</f>
        <v/>
      </c>
      <c r="Y673" s="17" t="str">
        <f>IF(M4_Sectores!A77="","",IF(M4_Sectores!E77="","",M4_Sectores!E77))</f>
        <v/>
      </c>
      <c r="Z673" s="17" t="str">
        <f>IF(M4_Sectores!A77="","",IF(M4_Sectores!F77="","",M4_Sectores!F77))</f>
        <v/>
      </c>
      <c r="AA673" s="17" t="str">
        <f>IF(M4_Sectores!A77="","","M4 Sectores")</f>
        <v/>
      </c>
      <c r="AB673" s="17" t="str">
        <f>IF(M4_Sectores!A77="","",IF(M4_Sectores!G77="","",M4_Sectores!G77))</f>
        <v/>
      </c>
      <c r="AC673" s="17" t="str">
        <f>IF(M4_Sectores!A77="","",IF(COUNTIFS(M4_Sectores!$A$9:A77,M4_Sectores!A77,M4_Sectores!$D$9:D77,M4_Sectores!D77,M4_Sectores!$H$9:H77,M4_Sectores!H77)=1,IF(M4_Sectores!L77="","",M4_Sectores!L77),""))</f>
        <v/>
      </c>
      <c r="AD673" s="17" t="str">
        <f>IF(M4_Sectores!A77="","","EE")</f>
        <v/>
      </c>
      <c r="AE673" s="17" t="str">
        <f>IF(M4_Sectores!A77="","",IF(M4_Sectores!N77="","",M4_Sectores!N77))</f>
        <v/>
      </c>
      <c r="AF673" s="17" t="str">
        <f>IF(M4_Sectores!A77="","",IF(M4_Sectores!O77="","",M4_Sectores!O77))</f>
        <v/>
      </c>
      <c r="AG673" s="17" t="str">
        <f>IF(M4_Sectores!A77="","",IF(M4_Sectores!P77="","",M4_Sectores!P77))</f>
        <v/>
      </c>
      <c r="AH673" s="17" t="str">
        <f>IF(M4_Sectores!A77="","",IF(M4_Sectores!H77="","",M4_Sectores!H77))</f>
        <v/>
      </c>
      <c r="AI673" s="17" t="str">
        <f>IF(M4_Sectores!A77="","","M4_Sectores!77")</f>
        <v/>
      </c>
      <c r="AJ673" s="17" t="str">
        <f>IF(M4_Sectores!A77="","",IF(M4_Sectores!L77="","Pendiente de momento o resultado",IF(COUNTIFS(M4_Sectores!$A$9:A77,M4_Sectores!A77,M4_Sectores!$D$9:D77,M4_Sectores!D77,M4_Sectores!$H$9:H77,M4_Sectores!H77)=1,"Total del momento","Sector incluido en total")))</f>
        <v/>
      </c>
    </row>
    <row r="674" spans="1:36" ht="55.5" customHeight="1">
      <c r="A674" s="6" t="str">
        <f t="array" ref="A674">IF(670&gt;$S$1204,"",INDEX($T$5:$AJ$1204,MATCH(670,$S$5:$S$1204,0),1))</f>
        <v/>
      </c>
      <c r="B674" s="8" t="str">
        <f t="array" ref="B674">IF(670&gt;$S$1204,"",INDEX($T$5:$AJ$1204,MATCH(670,$S$5:$S$1204,0),2))</f>
        <v/>
      </c>
      <c r="C674" s="10" t="str">
        <f t="array" ref="C674">IF(670&gt;$S$1204,"",INDEX($T$5:$AJ$1204,MATCH(670,$S$5:$S$1204,0),3))</f>
        <v/>
      </c>
      <c r="D674" s="8" t="str">
        <f t="array" ref="D674">IF(670&gt;$S$1204,"",INDEX($T$5:$AJ$1204,MATCH(670,$S$5:$S$1204,0),4))</f>
        <v/>
      </c>
      <c r="E674" s="8" t="str">
        <f t="array" ref="E674">IF(670&gt;$S$1204,"",INDEX($T$5:$AJ$1204,MATCH(670,$S$5:$S$1204,0),5))</f>
        <v/>
      </c>
      <c r="F674" s="8" t="str">
        <f t="array" ref="F674">IF(670&gt;$S$1204,"",INDEX($T$5:$AJ$1204,MATCH(670,$S$5:$S$1204,0),6))</f>
        <v/>
      </c>
      <c r="G674" s="8" t="str">
        <f t="array" ref="G674">IF(670&gt;$S$1204,"",INDEX($T$5:$AJ$1204,MATCH(670,$S$5:$S$1204,0),7))</f>
        <v/>
      </c>
      <c r="H674" s="8" t="str">
        <f t="array" ref="H674">IF(670&gt;$S$1204,"",INDEX($T$5:$AJ$1204,MATCH(670,$S$5:$S$1204,0),8))</f>
        <v/>
      </c>
      <c r="I674" s="8" t="str">
        <f t="array" ref="I674">IF(670&gt;$S$1204,"",INDEX($T$5:$AJ$1204,MATCH(670,$S$5:$S$1204,0),9))</f>
        <v/>
      </c>
      <c r="J674" s="14" t="str">
        <f t="array" ref="J674">IF(670&gt;$S$1204,"",INDEX($T$5:$AJ$1204,MATCH(670,$S$5:$S$1204,0),10))</f>
        <v/>
      </c>
      <c r="K674" s="8" t="str">
        <f t="array" ref="K674">IF(670&gt;$S$1204,"",INDEX($T$5:$AJ$1204,MATCH(670,$S$5:$S$1204,0),11))</f>
        <v/>
      </c>
      <c r="L674" s="8" t="str">
        <f t="array" ref="L674">IF(670&gt;$S$1204,"",INDEX($T$5:$AJ$1204,MATCH(670,$S$5:$S$1204,0),12))</f>
        <v/>
      </c>
      <c r="M674" s="8" t="str">
        <f t="array" ref="M674">IF(670&gt;$S$1204,"",INDEX($T$5:$AJ$1204,MATCH(670,$S$5:$S$1204,0),13))</f>
        <v/>
      </c>
      <c r="N674" s="8" t="str">
        <f t="array" ref="N674">IF(670&gt;$S$1204,"",INDEX($T$5:$AJ$1204,MATCH(670,$S$5:$S$1204,0),14))</f>
        <v/>
      </c>
      <c r="O674" s="15" t="str">
        <f t="array" ref="O674">IF(670&gt;$S$1204,"",INDEX($T$5:$AJ$1204,MATCH(670,$S$5:$S$1204,0),15))</f>
        <v/>
      </c>
      <c r="P674" s="8" t="str">
        <f t="array" ref="P674">IF(670&gt;$S$1204,"",INDEX($T$5:$AJ$1204,MATCH(670,$S$5:$S$1204,0),16))</f>
        <v/>
      </c>
      <c r="Q674" s="8" t="str">
        <f t="array" ref="Q674">IF(670&gt;$S$1204,"",INDEX($T$5:$AJ$1204,MATCH(670,$S$5:$S$1204,0),17))</f>
        <v/>
      </c>
      <c r="R674" s="17"/>
      <c r="S674" s="17">
        <f>S673+IF(M4_Sectores!A78="",0,1)</f>
        <v>0</v>
      </c>
      <c r="T674" s="17" t="str">
        <f>IF(M4_Sectores!A78="","",IF(M4_Sectores!A78="","",M4_Sectores!A78))</f>
        <v/>
      </c>
      <c r="U674" s="17" t="str">
        <f>IF(M4_Sectores!A78="","",IF(M4_Sectores!Q78="","",M4_Sectores!Q78))</f>
        <v/>
      </c>
      <c r="V674" s="17" t="str">
        <f>IF(M4_Sectores!A78="","",IF(M4_Sectores!D78="","",M4_Sectores!D78))</f>
        <v/>
      </c>
      <c r="W674" s="17" t="str">
        <f>IF(M4_Sectores!A78="","",IF(M4_Sectores!B78="","",M4_Sectores!B78))</f>
        <v/>
      </c>
      <c r="X674" s="17" t="str">
        <f>IF(M4_Sectores!A78="","",IF(M4_Sectores!C78="","",M4_Sectores!C78))</f>
        <v/>
      </c>
      <c r="Y674" s="17" t="str">
        <f>IF(M4_Sectores!A78="","",IF(M4_Sectores!E78="","",M4_Sectores!E78))</f>
        <v/>
      </c>
      <c r="Z674" s="17" t="str">
        <f>IF(M4_Sectores!A78="","",IF(M4_Sectores!F78="","",M4_Sectores!F78))</f>
        <v/>
      </c>
      <c r="AA674" s="17" t="str">
        <f>IF(M4_Sectores!A78="","","M4 Sectores")</f>
        <v/>
      </c>
      <c r="AB674" s="17" t="str">
        <f>IF(M4_Sectores!A78="","",IF(M4_Sectores!G78="","",M4_Sectores!G78))</f>
        <v/>
      </c>
      <c r="AC674" s="17" t="str">
        <f>IF(M4_Sectores!A78="","",IF(COUNTIFS(M4_Sectores!$A$9:A78,M4_Sectores!A78,M4_Sectores!$D$9:D78,M4_Sectores!D78,M4_Sectores!$H$9:H78,M4_Sectores!H78)=1,IF(M4_Sectores!L78="","",M4_Sectores!L78),""))</f>
        <v/>
      </c>
      <c r="AD674" s="17" t="str">
        <f>IF(M4_Sectores!A78="","","EE")</f>
        <v/>
      </c>
      <c r="AE674" s="17" t="str">
        <f>IF(M4_Sectores!A78="","",IF(M4_Sectores!N78="","",M4_Sectores!N78))</f>
        <v/>
      </c>
      <c r="AF674" s="17" t="str">
        <f>IF(M4_Sectores!A78="","",IF(M4_Sectores!O78="","",M4_Sectores!O78))</f>
        <v/>
      </c>
      <c r="AG674" s="17" t="str">
        <f>IF(M4_Sectores!A78="","",IF(M4_Sectores!P78="","",M4_Sectores!P78))</f>
        <v/>
      </c>
      <c r="AH674" s="17" t="str">
        <f>IF(M4_Sectores!A78="","",IF(M4_Sectores!H78="","",M4_Sectores!H78))</f>
        <v/>
      </c>
      <c r="AI674" s="17" t="str">
        <f>IF(M4_Sectores!A78="","","M4_Sectores!78")</f>
        <v/>
      </c>
      <c r="AJ674" s="17" t="str">
        <f>IF(M4_Sectores!A78="","",IF(M4_Sectores!L78="","Pendiente de momento o resultado",IF(COUNTIFS(M4_Sectores!$A$9:A78,M4_Sectores!A78,M4_Sectores!$D$9:D78,M4_Sectores!D78,M4_Sectores!$H$9:H78,M4_Sectores!H78)=1,"Total del momento","Sector incluido en total")))</f>
        <v/>
      </c>
    </row>
    <row r="675" spans="1:36" ht="55.5" customHeight="1">
      <c r="A675" s="6" t="str">
        <f t="array" ref="A675">IF(671&gt;$S$1204,"",INDEX($T$5:$AJ$1204,MATCH(671,$S$5:$S$1204,0),1))</f>
        <v/>
      </c>
      <c r="B675" s="8" t="str">
        <f t="array" ref="B675">IF(671&gt;$S$1204,"",INDEX($T$5:$AJ$1204,MATCH(671,$S$5:$S$1204,0),2))</f>
        <v/>
      </c>
      <c r="C675" s="10" t="str">
        <f t="array" ref="C675">IF(671&gt;$S$1204,"",INDEX($T$5:$AJ$1204,MATCH(671,$S$5:$S$1204,0),3))</f>
        <v/>
      </c>
      <c r="D675" s="8" t="str">
        <f t="array" ref="D675">IF(671&gt;$S$1204,"",INDEX($T$5:$AJ$1204,MATCH(671,$S$5:$S$1204,0),4))</f>
        <v/>
      </c>
      <c r="E675" s="8" t="str">
        <f t="array" ref="E675">IF(671&gt;$S$1204,"",INDEX($T$5:$AJ$1204,MATCH(671,$S$5:$S$1204,0),5))</f>
        <v/>
      </c>
      <c r="F675" s="8" t="str">
        <f t="array" ref="F675">IF(671&gt;$S$1204,"",INDEX($T$5:$AJ$1204,MATCH(671,$S$5:$S$1204,0),6))</f>
        <v/>
      </c>
      <c r="G675" s="8" t="str">
        <f t="array" ref="G675">IF(671&gt;$S$1204,"",INDEX($T$5:$AJ$1204,MATCH(671,$S$5:$S$1204,0),7))</f>
        <v/>
      </c>
      <c r="H675" s="8" t="str">
        <f t="array" ref="H675">IF(671&gt;$S$1204,"",INDEX($T$5:$AJ$1204,MATCH(671,$S$5:$S$1204,0),8))</f>
        <v/>
      </c>
      <c r="I675" s="8" t="str">
        <f t="array" ref="I675">IF(671&gt;$S$1204,"",INDEX($T$5:$AJ$1204,MATCH(671,$S$5:$S$1204,0),9))</f>
        <v/>
      </c>
      <c r="J675" s="14" t="str">
        <f t="array" ref="J675">IF(671&gt;$S$1204,"",INDEX($T$5:$AJ$1204,MATCH(671,$S$5:$S$1204,0),10))</f>
        <v/>
      </c>
      <c r="K675" s="8" t="str">
        <f t="array" ref="K675">IF(671&gt;$S$1204,"",INDEX($T$5:$AJ$1204,MATCH(671,$S$5:$S$1204,0),11))</f>
        <v/>
      </c>
      <c r="L675" s="8" t="str">
        <f t="array" ref="L675">IF(671&gt;$S$1204,"",INDEX($T$5:$AJ$1204,MATCH(671,$S$5:$S$1204,0),12))</f>
        <v/>
      </c>
      <c r="M675" s="8" t="str">
        <f t="array" ref="M675">IF(671&gt;$S$1204,"",INDEX($T$5:$AJ$1204,MATCH(671,$S$5:$S$1204,0),13))</f>
        <v/>
      </c>
      <c r="N675" s="8" t="str">
        <f t="array" ref="N675">IF(671&gt;$S$1204,"",INDEX($T$5:$AJ$1204,MATCH(671,$S$5:$S$1204,0),14))</f>
        <v/>
      </c>
      <c r="O675" s="15" t="str">
        <f t="array" ref="O675">IF(671&gt;$S$1204,"",INDEX($T$5:$AJ$1204,MATCH(671,$S$5:$S$1204,0),15))</f>
        <v/>
      </c>
      <c r="P675" s="8" t="str">
        <f t="array" ref="P675">IF(671&gt;$S$1204,"",INDEX($T$5:$AJ$1204,MATCH(671,$S$5:$S$1204,0),16))</f>
        <v/>
      </c>
      <c r="Q675" s="8" t="str">
        <f t="array" ref="Q675">IF(671&gt;$S$1204,"",INDEX($T$5:$AJ$1204,MATCH(671,$S$5:$S$1204,0),17))</f>
        <v/>
      </c>
      <c r="R675" s="17"/>
      <c r="S675" s="17">
        <f>S674+IF(M4_Sectores!A79="",0,1)</f>
        <v>0</v>
      </c>
      <c r="T675" s="17" t="str">
        <f>IF(M4_Sectores!A79="","",IF(M4_Sectores!A79="","",M4_Sectores!A79))</f>
        <v/>
      </c>
      <c r="U675" s="17" t="str">
        <f>IF(M4_Sectores!A79="","",IF(M4_Sectores!Q79="","",M4_Sectores!Q79))</f>
        <v/>
      </c>
      <c r="V675" s="17" t="str">
        <f>IF(M4_Sectores!A79="","",IF(M4_Sectores!D79="","",M4_Sectores!D79))</f>
        <v/>
      </c>
      <c r="W675" s="17" t="str">
        <f>IF(M4_Sectores!A79="","",IF(M4_Sectores!B79="","",M4_Sectores!B79))</f>
        <v/>
      </c>
      <c r="X675" s="17" t="str">
        <f>IF(M4_Sectores!A79="","",IF(M4_Sectores!C79="","",M4_Sectores!C79))</f>
        <v/>
      </c>
      <c r="Y675" s="17" t="str">
        <f>IF(M4_Sectores!A79="","",IF(M4_Sectores!E79="","",M4_Sectores!E79))</f>
        <v/>
      </c>
      <c r="Z675" s="17" t="str">
        <f>IF(M4_Sectores!A79="","",IF(M4_Sectores!F79="","",M4_Sectores!F79))</f>
        <v/>
      </c>
      <c r="AA675" s="17" t="str">
        <f>IF(M4_Sectores!A79="","","M4 Sectores")</f>
        <v/>
      </c>
      <c r="AB675" s="17" t="str">
        <f>IF(M4_Sectores!A79="","",IF(M4_Sectores!G79="","",M4_Sectores!G79))</f>
        <v/>
      </c>
      <c r="AC675" s="17" t="str">
        <f>IF(M4_Sectores!A79="","",IF(COUNTIFS(M4_Sectores!$A$9:A79,M4_Sectores!A79,M4_Sectores!$D$9:D79,M4_Sectores!D79,M4_Sectores!$H$9:H79,M4_Sectores!H79)=1,IF(M4_Sectores!L79="","",M4_Sectores!L79),""))</f>
        <v/>
      </c>
      <c r="AD675" s="17" t="str">
        <f>IF(M4_Sectores!A79="","","EE")</f>
        <v/>
      </c>
      <c r="AE675" s="17" t="str">
        <f>IF(M4_Sectores!A79="","",IF(M4_Sectores!N79="","",M4_Sectores!N79))</f>
        <v/>
      </c>
      <c r="AF675" s="17" t="str">
        <f>IF(M4_Sectores!A79="","",IF(M4_Sectores!O79="","",M4_Sectores!O79))</f>
        <v/>
      </c>
      <c r="AG675" s="17" t="str">
        <f>IF(M4_Sectores!A79="","",IF(M4_Sectores!P79="","",M4_Sectores!P79))</f>
        <v/>
      </c>
      <c r="AH675" s="17" t="str">
        <f>IF(M4_Sectores!A79="","",IF(M4_Sectores!H79="","",M4_Sectores!H79))</f>
        <v/>
      </c>
      <c r="AI675" s="17" t="str">
        <f>IF(M4_Sectores!A79="","","M4_Sectores!79")</f>
        <v/>
      </c>
      <c r="AJ675" s="17" t="str">
        <f>IF(M4_Sectores!A79="","",IF(M4_Sectores!L79="","Pendiente de momento o resultado",IF(COUNTIFS(M4_Sectores!$A$9:A79,M4_Sectores!A79,M4_Sectores!$D$9:D79,M4_Sectores!D79,M4_Sectores!$H$9:H79,M4_Sectores!H79)=1,"Total del momento","Sector incluido en total")))</f>
        <v/>
      </c>
    </row>
    <row r="676" spans="1:36" ht="55.5" customHeight="1">
      <c r="A676" s="6" t="str">
        <f t="array" ref="A676">IF(672&gt;$S$1204,"",INDEX($T$5:$AJ$1204,MATCH(672,$S$5:$S$1204,0),1))</f>
        <v/>
      </c>
      <c r="B676" s="8" t="str">
        <f t="array" ref="B676">IF(672&gt;$S$1204,"",INDEX($T$5:$AJ$1204,MATCH(672,$S$5:$S$1204,0),2))</f>
        <v/>
      </c>
      <c r="C676" s="10" t="str">
        <f t="array" ref="C676">IF(672&gt;$S$1204,"",INDEX($T$5:$AJ$1204,MATCH(672,$S$5:$S$1204,0),3))</f>
        <v/>
      </c>
      <c r="D676" s="8" t="str">
        <f t="array" ref="D676">IF(672&gt;$S$1204,"",INDEX($T$5:$AJ$1204,MATCH(672,$S$5:$S$1204,0),4))</f>
        <v/>
      </c>
      <c r="E676" s="8" t="str">
        <f t="array" ref="E676">IF(672&gt;$S$1204,"",INDEX($T$5:$AJ$1204,MATCH(672,$S$5:$S$1204,0),5))</f>
        <v/>
      </c>
      <c r="F676" s="8" t="str">
        <f t="array" ref="F676">IF(672&gt;$S$1204,"",INDEX($T$5:$AJ$1204,MATCH(672,$S$5:$S$1204,0),6))</f>
        <v/>
      </c>
      <c r="G676" s="8" t="str">
        <f t="array" ref="G676">IF(672&gt;$S$1204,"",INDEX($T$5:$AJ$1204,MATCH(672,$S$5:$S$1204,0),7))</f>
        <v/>
      </c>
      <c r="H676" s="8" t="str">
        <f t="array" ref="H676">IF(672&gt;$S$1204,"",INDEX($T$5:$AJ$1204,MATCH(672,$S$5:$S$1204,0),8))</f>
        <v/>
      </c>
      <c r="I676" s="8" t="str">
        <f t="array" ref="I676">IF(672&gt;$S$1204,"",INDEX($T$5:$AJ$1204,MATCH(672,$S$5:$S$1204,0),9))</f>
        <v/>
      </c>
      <c r="J676" s="14" t="str">
        <f t="array" ref="J676">IF(672&gt;$S$1204,"",INDEX($T$5:$AJ$1204,MATCH(672,$S$5:$S$1204,0),10))</f>
        <v/>
      </c>
      <c r="K676" s="8" t="str">
        <f t="array" ref="K676">IF(672&gt;$S$1204,"",INDEX($T$5:$AJ$1204,MATCH(672,$S$5:$S$1204,0),11))</f>
        <v/>
      </c>
      <c r="L676" s="8" t="str">
        <f t="array" ref="L676">IF(672&gt;$S$1204,"",INDEX($T$5:$AJ$1204,MATCH(672,$S$5:$S$1204,0),12))</f>
        <v/>
      </c>
      <c r="M676" s="8" t="str">
        <f t="array" ref="M676">IF(672&gt;$S$1204,"",INDEX($T$5:$AJ$1204,MATCH(672,$S$5:$S$1204,0),13))</f>
        <v/>
      </c>
      <c r="N676" s="8" t="str">
        <f t="array" ref="N676">IF(672&gt;$S$1204,"",INDEX($T$5:$AJ$1204,MATCH(672,$S$5:$S$1204,0),14))</f>
        <v/>
      </c>
      <c r="O676" s="15" t="str">
        <f t="array" ref="O676">IF(672&gt;$S$1204,"",INDEX($T$5:$AJ$1204,MATCH(672,$S$5:$S$1204,0),15))</f>
        <v/>
      </c>
      <c r="P676" s="8" t="str">
        <f t="array" ref="P676">IF(672&gt;$S$1204,"",INDEX($T$5:$AJ$1204,MATCH(672,$S$5:$S$1204,0),16))</f>
        <v/>
      </c>
      <c r="Q676" s="8" t="str">
        <f t="array" ref="Q676">IF(672&gt;$S$1204,"",INDEX($T$5:$AJ$1204,MATCH(672,$S$5:$S$1204,0),17))</f>
        <v/>
      </c>
      <c r="R676" s="17"/>
      <c r="S676" s="17">
        <f>S675+IF(M4_Sectores!A80="",0,1)</f>
        <v>0</v>
      </c>
      <c r="T676" s="17" t="str">
        <f>IF(M4_Sectores!A80="","",IF(M4_Sectores!A80="","",M4_Sectores!A80))</f>
        <v/>
      </c>
      <c r="U676" s="17" t="str">
        <f>IF(M4_Sectores!A80="","",IF(M4_Sectores!Q80="","",M4_Sectores!Q80))</f>
        <v/>
      </c>
      <c r="V676" s="17" t="str">
        <f>IF(M4_Sectores!A80="","",IF(M4_Sectores!D80="","",M4_Sectores!D80))</f>
        <v/>
      </c>
      <c r="W676" s="17" t="str">
        <f>IF(M4_Sectores!A80="","",IF(M4_Sectores!B80="","",M4_Sectores!B80))</f>
        <v/>
      </c>
      <c r="X676" s="17" t="str">
        <f>IF(M4_Sectores!A80="","",IF(M4_Sectores!C80="","",M4_Sectores!C80))</f>
        <v/>
      </c>
      <c r="Y676" s="17" t="str">
        <f>IF(M4_Sectores!A80="","",IF(M4_Sectores!E80="","",M4_Sectores!E80))</f>
        <v/>
      </c>
      <c r="Z676" s="17" t="str">
        <f>IF(M4_Sectores!A80="","",IF(M4_Sectores!F80="","",M4_Sectores!F80))</f>
        <v/>
      </c>
      <c r="AA676" s="17" t="str">
        <f>IF(M4_Sectores!A80="","","M4 Sectores")</f>
        <v/>
      </c>
      <c r="AB676" s="17" t="str">
        <f>IF(M4_Sectores!A80="","",IF(M4_Sectores!G80="","",M4_Sectores!G80))</f>
        <v/>
      </c>
      <c r="AC676" s="17" t="str">
        <f>IF(M4_Sectores!A80="","",IF(COUNTIFS(M4_Sectores!$A$9:A80,M4_Sectores!A80,M4_Sectores!$D$9:D80,M4_Sectores!D80,M4_Sectores!$H$9:H80,M4_Sectores!H80)=1,IF(M4_Sectores!L80="","",M4_Sectores!L80),""))</f>
        <v/>
      </c>
      <c r="AD676" s="17" t="str">
        <f>IF(M4_Sectores!A80="","","EE")</f>
        <v/>
      </c>
      <c r="AE676" s="17" t="str">
        <f>IF(M4_Sectores!A80="","",IF(M4_Sectores!N80="","",M4_Sectores!N80))</f>
        <v/>
      </c>
      <c r="AF676" s="17" t="str">
        <f>IF(M4_Sectores!A80="","",IF(M4_Sectores!O80="","",M4_Sectores!O80))</f>
        <v/>
      </c>
      <c r="AG676" s="17" t="str">
        <f>IF(M4_Sectores!A80="","",IF(M4_Sectores!P80="","",M4_Sectores!P80))</f>
        <v/>
      </c>
      <c r="AH676" s="17" t="str">
        <f>IF(M4_Sectores!A80="","",IF(M4_Sectores!H80="","",M4_Sectores!H80))</f>
        <v/>
      </c>
      <c r="AI676" s="17" t="str">
        <f>IF(M4_Sectores!A80="","","M4_Sectores!80")</f>
        <v/>
      </c>
      <c r="AJ676" s="17" t="str">
        <f>IF(M4_Sectores!A80="","",IF(M4_Sectores!L80="","Pendiente de momento o resultado",IF(COUNTIFS(M4_Sectores!$A$9:A80,M4_Sectores!A80,M4_Sectores!$D$9:D80,M4_Sectores!D80,M4_Sectores!$H$9:H80,M4_Sectores!H80)=1,"Total del momento","Sector incluido en total")))</f>
        <v/>
      </c>
    </row>
    <row r="677" spans="1:36" ht="55.5" customHeight="1">
      <c r="A677" s="6" t="str">
        <f t="array" ref="A677">IF(673&gt;$S$1204,"",INDEX($T$5:$AJ$1204,MATCH(673,$S$5:$S$1204,0),1))</f>
        <v/>
      </c>
      <c r="B677" s="8" t="str">
        <f t="array" ref="B677">IF(673&gt;$S$1204,"",INDEX($T$5:$AJ$1204,MATCH(673,$S$5:$S$1204,0),2))</f>
        <v/>
      </c>
      <c r="C677" s="10" t="str">
        <f t="array" ref="C677">IF(673&gt;$S$1204,"",INDEX($T$5:$AJ$1204,MATCH(673,$S$5:$S$1204,0),3))</f>
        <v/>
      </c>
      <c r="D677" s="8" t="str">
        <f t="array" ref="D677">IF(673&gt;$S$1204,"",INDEX($T$5:$AJ$1204,MATCH(673,$S$5:$S$1204,0),4))</f>
        <v/>
      </c>
      <c r="E677" s="8" t="str">
        <f t="array" ref="E677">IF(673&gt;$S$1204,"",INDEX($T$5:$AJ$1204,MATCH(673,$S$5:$S$1204,0),5))</f>
        <v/>
      </c>
      <c r="F677" s="8" t="str">
        <f t="array" ref="F677">IF(673&gt;$S$1204,"",INDEX($T$5:$AJ$1204,MATCH(673,$S$5:$S$1204,0),6))</f>
        <v/>
      </c>
      <c r="G677" s="8" t="str">
        <f t="array" ref="G677">IF(673&gt;$S$1204,"",INDEX($T$5:$AJ$1204,MATCH(673,$S$5:$S$1204,0),7))</f>
        <v/>
      </c>
      <c r="H677" s="8" t="str">
        <f t="array" ref="H677">IF(673&gt;$S$1204,"",INDEX($T$5:$AJ$1204,MATCH(673,$S$5:$S$1204,0),8))</f>
        <v/>
      </c>
      <c r="I677" s="8" t="str">
        <f t="array" ref="I677">IF(673&gt;$S$1204,"",INDEX($T$5:$AJ$1204,MATCH(673,$S$5:$S$1204,0),9))</f>
        <v/>
      </c>
      <c r="J677" s="14" t="str">
        <f t="array" ref="J677">IF(673&gt;$S$1204,"",INDEX($T$5:$AJ$1204,MATCH(673,$S$5:$S$1204,0),10))</f>
        <v/>
      </c>
      <c r="K677" s="8" t="str">
        <f t="array" ref="K677">IF(673&gt;$S$1204,"",INDEX($T$5:$AJ$1204,MATCH(673,$S$5:$S$1204,0),11))</f>
        <v/>
      </c>
      <c r="L677" s="8" t="str">
        <f t="array" ref="L677">IF(673&gt;$S$1204,"",INDEX($T$5:$AJ$1204,MATCH(673,$S$5:$S$1204,0),12))</f>
        <v/>
      </c>
      <c r="M677" s="8" t="str">
        <f t="array" ref="M677">IF(673&gt;$S$1204,"",INDEX($T$5:$AJ$1204,MATCH(673,$S$5:$S$1204,0),13))</f>
        <v/>
      </c>
      <c r="N677" s="8" t="str">
        <f t="array" ref="N677">IF(673&gt;$S$1204,"",INDEX($T$5:$AJ$1204,MATCH(673,$S$5:$S$1204,0),14))</f>
        <v/>
      </c>
      <c r="O677" s="15" t="str">
        <f t="array" ref="O677">IF(673&gt;$S$1204,"",INDEX($T$5:$AJ$1204,MATCH(673,$S$5:$S$1204,0),15))</f>
        <v/>
      </c>
      <c r="P677" s="8" t="str">
        <f t="array" ref="P677">IF(673&gt;$S$1204,"",INDEX($T$5:$AJ$1204,MATCH(673,$S$5:$S$1204,0),16))</f>
        <v/>
      </c>
      <c r="Q677" s="8" t="str">
        <f t="array" ref="Q677">IF(673&gt;$S$1204,"",INDEX($T$5:$AJ$1204,MATCH(673,$S$5:$S$1204,0),17))</f>
        <v/>
      </c>
      <c r="R677" s="17"/>
      <c r="S677" s="17">
        <f>S676+IF(M4_Sectores!A81="",0,1)</f>
        <v>0</v>
      </c>
      <c r="T677" s="17" t="str">
        <f>IF(M4_Sectores!A81="","",IF(M4_Sectores!A81="","",M4_Sectores!A81))</f>
        <v/>
      </c>
      <c r="U677" s="17" t="str">
        <f>IF(M4_Sectores!A81="","",IF(M4_Sectores!Q81="","",M4_Sectores!Q81))</f>
        <v/>
      </c>
      <c r="V677" s="17" t="str">
        <f>IF(M4_Sectores!A81="","",IF(M4_Sectores!D81="","",M4_Sectores!D81))</f>
        <v/>
      </c>
      <c r="W677" s="17" t="str">
        <f>IF(M4_Sectores!A81="","",IF(M4_Sectores!B81="","",M4_Sectores!B81))</f>
        <v/>
      </c>
      <c r="X677" s="17" t="str">
        <f>IF(M4_Sectores!A81="","",IF(M4_Sectores!C81="","",M4_Sectores!C81))</f>
        <v/>
      </c>
      <c r="Y677" s="17" t="str">
        <f>IF(M4_Sectores!A81="","",IF(M4_Sectores!E81="","",M4_Sectores!E81))</f>
        <v/>
      </c>
      <c r="Z677" s="17" t="str">
        <f>IF(M4_Sectores!A81="","",IF(M4_Sectores!F81="","",M4_Sectores!F81))</f>
        <v/>
      </c>
      <c r="AA677" s="17" t="str">
        <f>IF(M4_Sectores!A81="","","M4 Sectores")</f>
        <v/>
      </c>
      <c r="AB677" s="17" t="str">
        <f>IF(M4_Sectores!A81="","",IF(M4_Sectores!G81="","",M4_Sectores!G81))</f>
        <v/>
      </c>
      <c r="AC677" s="17" t="str">
        <f>IF(M4_Sectores!A81="","",IF(COUNTIFS(M4_Sectores!$A$9:A81,M4_Sectores!A81,M4_Sectores!$D$9:D81,M4_Sectores!D81,M4_Sectores!$H$9:H81,M4_Sectores!H81)=1,IF(M4_Sectores!L81="","",M4_Sectores!L81),""))</f>
        <v/>
      </c>
      <c r="AD677" s="17" t="str">
        <f>IF(M4_Sectores!A81="","","EE")</f>
        <v/>
      </c>
      <c r="AE677" s="17" t="str">
        <f>IF(M4_Sectores!A81="","",IF(M4_Sectores!N81="","",M4_Sectores!N81))</f>
        <v/>
      </c>
      <c r="AF677" s="17" t="str">
        <f>IF(M4_Sectores!A81="","",IF(M4_Sectores!O81="","",M4_Sectores!O81))</f>
        <v/>
      </c>
      <c r="AG677" s="17" t="str">
        <f>IF(M4_Sectores!A81="","",IF(M4_Sectores!P81="","",M4_Sectores!P81))</f>
        <v/>
      </c>
      <c r="AH677" s="17" t="str">
        <f>IF(M4_Sectores!A81="","",IF(M4_Sectores!H81="","",M4_Sectores!H81))</f>
        <v/>
      </c>
      <c r="AI677" s="17" t="str">
        <f>IF(M4_Sectores!A81="","","M4_Sectores!81")</f>
        <v/>
      </c>
      <c r="AJ677" s="17" t="str">
        <f>IF(M4_Sectores!A81="","",IF(M4_Sectores!L81="","Pendiente de momento o resultado",IF(COUNTIFS(M4_Sectores!$A$9:A81,M4_Sectores!A81,M4_Sectores!$D$9:D81,M4_Sectores!D81,M4_Sectores!$H$9:H81,M4_Sectores!H81)=1,"Total del momento","Sector incluido en total")))</f>
        <v/>
      </c>
    </row>
    <row r="678" spans="1:36" ht="55.5" customHeight="1">
      <c r="A678" s="6" t="str">
        <f t="array" ref="A678">IF(674&gt;$S$1204,"",INDEX($T$5:$AJ$1204,MATCH(674,$S$5:$S$1204,0),1))</f>
        <v/>
      </c>
      <c r="B678" s="8" t="str">
        <f t="array" ref="B678">IF(674&gt;$S$1204,"",INDEX($T$5:$AJ$1204,MATCH(674,$S$5:$S$1204,0),2))</f>
        <v/>
      </c>
      <c r="C678" s="10" t="str">
        <f t="array" ref="C678">IF(674&gt;$S$1204,"",INDEX($T$5:$AJ$1204,MATCH(674,$S$5:$S$1204,0),3))</f>
        <v/>
      </c>
      <c r="D678" s="8" t="str">
        <f t="array" ref="D678">IF(674&gt;$S$1204,"",INDEX($T$5:$AJ$1204,MATCH(674,$S$5:$S$1204,0),4))</f>
        <v/>
      </c>
      <c r="E678" s="8" t="str">
        <f t="array" ref="E678">IF(674&gt;$S$1204,"",INDEX($T$5:$AJ$1204,MATCH(674,$S$5:$S$1204,0),5))</f>
        <v/>
      </c>
      <c r="F678" s="8" t="str">
        <f t="array" ref="F678">IF(674&gt;$S$1204,"",INDEX($T$5:$AJ$1204,MATCH(674,$S$5:$S$1204,0),6))</f>
        <v/>
      </c>
      <c r="G678" s="8" t="str">
        <f t="array" ref="G678">IF(674&gt;$S$1204,"",INDEX($T$5:$AJ$1204,MATCH(674,$S$5:$S$1204,0),7))</f>
        <v/>
      </c>
      <c r="H678" s="8" t="str">
        <f t="array" ref="H678">IF(674&gt;$S$1204,"",INDEX($T$5:$AJ$1204,MATCH(674,$S$5:$S$1204,0),8))</f>
        <v/>
      </c>
      <c r="I678" s="8" t="str">
        <f t="array" ref="I678">IF(674&gt;$S$1204,"",INDEX($T$5:$AJ$1204,MATCH(674,$S$5:$S$1204,0),9))</f>
        <v/>
      </c>
      <c r="J678" s="14" t="str">
        <f t="array" ref="J678">IF(674&gt;$S$1204,"",INDEX($T$5:$AJ$1204,MATCH(674,$S$5:$S$1204,0),10))</f>
        <v/>
      </c>
      <c r="K678" s="8" t="str">
        <f t="array" ref="K678">IF(674&gt;$S$1204,"",INDEX($T$5:$AJ$1204,MATCH(674,$S$5:$S$1204,0),11))</f>
        <v/>
      </c>
      <c r="L678" s="8" t="str">
        <f t="array" ref="L678">IF(674&gt;$S$1204,"",INDEX($T$5:$AJ$1204,MATCH(674,$S$5:$S$1204,0),12))</f>
        <v/>
      </c>
      <c r="M678" s="8" t="str">
        <f t="array" ref="M678">IF(674&gt;$S$1204,"",INDEX($T$5:$AJ$1204,MATCH(674,$S$5:$S$1204,0),13))</f>
        <v/>
      </c>
      <c r="N678" s="8" t="str">
        <f t="array" ref="N678">IF(674&gt;$S$1204,"",INDEX($T$5:$AJ$1204,MATCH(674,$S$5:$S$1204,0),14))</f>
        <v/>
      </c>
      <c r="O678" s="15" t="str">
        <f t="array" ref="O678">IF(674&gt;$S$1204,"",INDEX($T$5:$AJ$1204,MATCH(674,$S$5:$S$1204,0),15))</f>
        <v/>
      </c>
      <c r="P678" s="8" t="str">
        <f t="array" ref="P678">IF(674&gt;$S$1204,"",INDEX($T$5:$AJ$1204,MATCH(674,$S$5:$S$1204,0),16))</f>
        <v/>
      </c>
      <c r="Q678" s="8" t="str">
        <f t="array" ref="Q678">IF(674&gt;$S$1204,"",INDEX($T$5:$AJ$1204,MATCH(674,$S$5:$S$1204,0),17))</f>
        <v/>
      </c>
      <c r="R678" s="17"/>
      <c r="S678" s="17">
        <f>S677+IF(M4_Sectores!A82="",0,1)</f>
        <v>0</v>
      </c>
      <c r="T678" s="17" t="str">
        <f>IF(M4_Sectores!A82="","",IF(M4_Sectores!A82="","",M4_Sectores!A82))</f>
        <v/>
      </c>
      <c r="U678" s="17" t="str">
        <f>IF(M4_Sectores!A82="","",IF(M4_Sectores!Q82="","",M4_Sectores!Q82))</f>
        <v/>
      </c>
      <c r="V678" s="17" t="str">
        <f>IF(M4_Sectores!A82="","",IF(M4_Sectores!D82="","",M4_Sectores!D82))</f>
        <v/>
      </c>
      <c r="W678" s="17" t="str">
        <f>IF(M4_Sectores!A82="","",IF(M4_Sectores!B82="","",M4_Sectores!B82))</f>
        <v/>
      </c>
      <c r="X678" s="17" t="str">
        <f>IF(M4_Sectores!A82="","",IF(M4_Sectores!C82="","",M4_Sectores!C82))</f>
        <v/>
      </c>
      <c r="Y678" s="17" t="str">
        <f>IF(M4_Sectores!A82="","",IF(M4_Sectores!E82="","",M4_Sectores!E82))</f>
        <v/>
      </c>
      <c r="Z678" s="17" t="str">
        <f>IF(M4_Sectores!A82="","",IF(M4_Sectores!F82="","",M4_Sectores!F82))</f>
        <v/>
      </c>
      <c r="AA678" s="17" t="str">
        <f>IF(M4_Sectores!A82="","","M4 Sectores")</f>
        <v/>
      </c>
      <c r="AB678" s="17" t="str">
        <f>IF(M4_Sectores!A82="","",IF(M4_Sectores!G82="","",M4_Sectores!G82))</f>
        <v/>
      </c>
      <c r="AC678" s="17" t="str">
        <f>IF(M4_Sectores!A82="","",IF(COUNTIFS(M4_Sectores!$A$9:A82,M4_Sectores!A82,M4_Sectores!$D$9:D82,M4_Sectores!D82,M4_Sectores!$H$9:H82,M4_Sectores!H82)=1,IF(M4_Sectores!L82="","",M4_Sectores!L82),""))</f>
        <v/>
      </c>
      <c r="AD678" s="17" t="str">
        <f>IF(M4_Sectores!A82="","","EE")</f>
        <v/>
      </c>
      <c r="AE678" s="17" t="str">
        <f>IF(M4_Sectores!A82="","",IF(M4_Sectores!N82="","",M4_Sectores!N82))</f>
        <v/>
      </c>
      <c r="AF678" s="17" t="str">
        <f>IF(M4_Sectores!A82="","",IF(M4_Sectores!O82="","",M4_Sectores!O82))</f>
        <v/>
      </c>
      <c r="AG678" s="17" t="str">
        <f>IF(M4_Sectores!A82="","",IF(M4_Sectores!P82="","",M4_Sectores!P82))</f>
        <v/>
      </c>
      <c r="AH678" s="17" t="str">
        <f>IF(M4_Sectores!A82="","",IF(M4_Sectores!H82="","",M4_Sectores!H82))</f>
        <v/>
      </c>
      <c r="AI678" s="17" t="str">
        <f>IF(M4_Sectores!A82="","","M4_Sectores!82")</f>
        <v/>
      </c>
      <c r="AJ678" s="17" t="str">
        <f>IF(M4_Sectores!A82="","",IF(M4_Sectores!L82="","Pendiente de momento o resultado",IF(COUNTIFS(M4_Sectores!$A$9:A82,M4_Sectores!A82,M4_Sectores!$D$9:D82,M4_Sectores!D82,M4_Sectores!$H$9:H82,M4_Sectores!H82)=1,"Total del momento","Sector incluido en total")))</f>
        <v/>
      </c>
    </row>
    <row r="679" spans="1:36" ht="55.5" customHeight="1">
      <c r="A679" s="6" t="str">
        <f t="array" ref="A679">IF(675&gt;$S$1204,"",INDEX($T$5:$AJ$1204,MATCH(675,$S$5:$S$1204,0),1))</f>
        <v/>
      </c>
      <c r="B679" s="8" t="str">
        <f t="array" ref="B679">IF(675&gt;$S$1204,"",INDEX($T$5:$AJ$1204,MATCH(675,$S$5:$S$1204,0),2))</f>
        <v/>
      </c>
      <c r="C679" s="10" t="str">
        <f t="array" ref="C679">IF(675&gt;$S$1204,"",INDEX($T$5:$AJ$1204,MATCH(675,$S$5:$S$1204,0),3))</f>
        <v/>
      </c>
      <c r="D679" s="8" t="str">
        <f t="array" ref="D679">IF(675&gt;$S$1204,"",INDEX($T$5:$AJ$1204,MATCH(675,$S$5:$S$1204,0),4))</f>
        <v/>
      </c>
      <c r="E679" s="8" t="str">
        <f t="array" ref="E679">IF(675&gt;$S$1204,"",INDEX($T$5:$AJ$1204,MATCH(675,$S$5:$S$1204,0),5))</f>
        <v/>
      </c>
      <c r="F679" s="8" t="str">
        <f t="array" ref="F679">IF(675&gt;$S$1204,"",INDEX($T$5:$AJ$1204,MATCH(675,$S$5:$S$1204,0),6))</f>
        <v/>
      </c>
      <c r="G679" s="8" t="str">
        <f t="array" ref="G679">IF(675&gt;$S$1204,"",INDEX($T$5:$AJ$1204,MATCH(675,$S$5:$S$1204,0),7))</f>
        <v/>
      </c>
      <c r="H679" s="8" t="str">
        <f t="array" ref="H679">IF(675&gt;$S$1204,"",INDEX($T$5:$AJ$1204,MATCH(675,$S$5:$S$1204,0),8))</f>
        <v/>
      </c>
      <c r="I679" s="8" t="str">
        <f t="array" ref="I679">IF(675&gt;$S$1204,"",INDEX($T$5:$AJ$1204,MATCH(675,$S$5:$S$1204,0),9))</f>
        <v/>
      </c>
      <c r="J679" s="14" t="str">
        <f t="array" ref="J679">IF(675&gt;$S$1204,"",INDEX($T$5:$AJ$1204,MATCH(675,$S$5:$S$1204,0),10))</f>
        <v/>
      </c>
      <c r="K679" s="8" t="str">
        <f t="array" ref="K679">IF(675&gt;$S$1204,"",INDEX($T$5:$AJ$1204,MATCH(675,$S$5:$S$1204,0),11))</f>
        <v/>
      </c>
      <c r="L679" s="8" t="str">
        <f t="array" ref="L679">IF(675&gt;$S$1204,"",INDEX($T$5:$AJ$1204,MATCH(675,$S$5:$S$1204,0),12))</f>
        <v/>
      </c>
      <c r="M679" s="8" t="str">
        <f t="array" ref="M679">IF(675&gt;$S$1204,"",INDEX($T$5:$AJ$1204,MATCH(675,$S$5:$S$1204,0),13))</f>
        <v/>
      </c>
      <c r="N679" s="8" t="str">
        <f t="array" ref="N679">IF(675&gt;$S$1204,"",INDEX($T$5:$AJ$1204,MATCH(675,$S$5:$S$1204,0),14))</f>
        <v/>
      </c>
      <c r="O679" s="15" t="str">
        <f t="array" ref="O679">IF(675&gt;$S$1204,"",INDEX($T$5:$AJ$1204,MATCH(675,$S$5:$S$1204,0),15))</f>
        <v/>
      </c>
      <c r="P679" s="8" t="str">
        <f t="array" ref="P679">IF(675&gt;$S$1204,"",INDEX($T$5:$AJ$1204,MATCH(675,$S$5:$S$1204,0),16))</f>
        <v/>
      </c>
      <c r="Q679" s="8" t="str">
        <f t="array" ref="Q679">IF(675&gt;$S$1204,"",INDEX($T$5:$AJ$1204,MATCH(675,$S$5:$S$1204,0),17))</f>
        <v/>
      </c>
      <c r="R679" s="17"/>
      <c r="S679" s="17">
        <f>S678+IF(M4_Sectores!A83="",0,1)</f>
        <v>0</v>
      </c>
      <c r="T679" s="17" t="str">
        <f>IF(M4_Sectores!A83="","",IF(M4_Sectores!A83="","",M4_Sectores!A83))</f>
        <v/>
      </c>
      <c r="U679" s="17" t="str">
        <f>IF(M4_Sectores!A83="","",IF(M4_Sectores!Q83="","",M4_Sectores!Q83))</f>
        <v/>
      </c>
      <c r="V679" s="17" t="str">
        <f>IF(M4_Sectores!A83="","",IF(M4_Sectores!D83="","",M4_Sectores!D83))</f>
        <v/>
      </c>
      <c r="W679" s="17" t="str">
        <f>IF(M4_Sectores!A83="","",IF(M4_Sectores!B83="","",M4_Sectores!B83))</f>
        <v/>
      </c>
      <c r="X679" s="17" t="str">
        <f>IF(M4_Sectores!A83="","",IF(M4_Sectores!C83="","",M4_Sectores!C83))</f>
        <v/>
      </c>
      <c r="Y679" s="17" t="str">
        <f>IF(M4_Sectores!A83="","",IF(M4_Sectores!E83="","",M4_Sectores!E83))</f>
        <v/>
      </c>
      <c r="Z679" s="17" t="str">
        <f>IF(M4_Sectores!A83="","",IF(M4_Sectores!F83="","",M4_Sectores!F83))</f>
        <v/>
      </c>
      <c r="AA679" s="17" t="str">
        <f>IF(M4_Sectores!A83="","","M4 Sectores")</f>
        <v/>
      </c>
      <c r="AB679" s="17" t="str">
        <f>IF(M4_Sectores!A83="","",IF(M4_Sectores!G83="","",M4_Sectores!G83))</f>
        <v/>
      </c>
      <c r="AC679" s="17" t="str">
        <f>IF(M4_Sectores!A83="","",IF(COUNTIFS(M4_Sectores!$A$9:A83,M4_Sectores!A83,M4_Sectores!$D$9:D83,M4_Sectores!D83,M4_Sectores!$H$9:H83,M4_Sectores!H83)=1,IF(M4_Sectores!L83="","",M4_Sectores!L83),""))</f>
        <v/>
      </c>
      <c r="AD679" s="17" t="str">
        <f>IF(M4_Sectores!A83="","","EE")</f>
        <v/>
      </c>
      <c r="AE679" s="17" t="str">
        <f>IF(M4_Sectores!A83="","",IF(M4_Sectores!N83="","",M4_Sectores!N83))</f>
        <v/>
      </c>
      <c r="AF679" s="17" t="str">
        <f>IF(M4_Sectores!A83="","",IF(M4_Sectores!O83="","",M4_Sectores!O83))</f>
        <v/>
      </c>
      <c r="AG679" s="17" t="str">
        <f>IF(M4_Sectores!A83="","",IF(M4_Sectores!P83="","",M4_Sectores!P83))</f>
        <v/>
      </c>
      <c r="AH679" s="17" t="str">
        <f>IF(M4_Sectores!A83="","",IF(M4_Sectores!H83="","",M4_Sectores!H83))</f>
        <v/>
      </c>
      <c r="AI679" s="17" t="str">
        <f>IF(M4_Sectores!A83="","","M4_Sectores!83")</f>
        <v/>
      </c>
      <c r="AJ679" s="17" t="str">
        <f>IF(M4_Sectores!A83="","",IF(M4_Sectores!L83="","Pendiente de momento o resultado",IF(COUNTIFS(M4_Sectores!$A$9:A83,M4_Sectores!A83,M4_Sectores!$D$9:D83,M4_Sectores!D83,M4_Sectores!$H$9:H83,M4_Sectores!H83)=1,"Total del momento","Sector incluido en total")))</f>
        <v/>
      </c>
    </row>
    <row r="680" spans="1:36" ht="55.5" customHeight="1">
      <c r="A680" s="6" t="str">
        <f t="array" ref="A680">IF(676&gt;$S$1204,"",INDEX($T$5:$AJ$1204,MATCH(676,$S$5:$S$1204,0),1))</f>
        <v/>
      </c>
      <c r="B680" s="8" t="str">
        <f t="array" ref="B680">IF(676&gt;$S$1204,"",INDEX($T$5:$AJ$1204,MATCH(676,$S$5:$S$1204,0),2))</f>
        <v/>
      </c>
      <c r="C680" s="10" t="str">
        <f t="array" ref="C680">IF(676&gt;$S$1204,"",INDEX($T$5:$AJ$1204,MATCH(676,$S$5:$S$1204,0),3))</f>
        <v/>
      </c>
      <c r="D680" s="8" t="str">
        <f t="array" ref="D680">IF(676&gt;$S$1204,"",INDEX($T$5:$AJ$1204,MATCH(676,$S$5:$S$1204,0),4))</f>
        <v/>
      </c>
      <c r="E680" s="8" t="str">
        <f t="array" ref="E680">IF(676&gt;$S$1204,"",INDEX($T$5:$AJ$1204,MATCH(676,$S$5:$S$1204,0),5))</f>
        <v/>
      </c>
      <c r="F680" s="8" t="str">
        <f t="array" ref="F680">IF(676&gt;$S$1204,"",INDEX($T$5:$AJ$1204,MATCH(676,$S$5:$S$1204,0),6))</f>
        <v/>
      </c>
      <c r="G680" s="8" t="str">
        <f t="array" ref="G680">IF(676&gt;$S$1204,"",INDEX($T$5:$AJ$1204,MATCH(676,$S$5:$S$1204,0),7))</f>
        <v/>
      </c>
      <c r="H680" s="8" t="str">
        <f t="array" ref="H680">IF(676&gt;$S$1204,"",INDEX($T$5:$AJ$1204,MATCH(676,$S$5:$S$1204,0),8))</f>
        <v/>
      </c>
      <c r="I680" s="8" t="str">
        <f t="array" ref="I680">IF(676&gt;$S$1204,"",INDEX($T$5:$AJ$1204,MATCH(676,$S$5:$S$1204,0),9))</f>
        <v/>
      </c>
      <c r="J680" s="14" t="str">
        <f t="array" ref="J680">IF(676&gt;$S$1204,"",INDEX($T$5:$AJ$1204,MATCH(676,$S$5:$S$1204,0),10))</f>
        <v/>
      </c>
      <c r="K680" s="8" t="str">
        <f t="array" ref="K680">IF(676&gt;$S$1204,"",INDEX($T$5:$AJ$1204,MATCH(676,$S$5:$S$1204,0),11))</f>
        <v/>
      </c>
      <c r="L680" s="8" t="str">
        <f t="array" ref="L680">IF(676&gt;$S$1204,"",INDEX($T$5:$AJ$1204,MATCH(676,$S$5:$S$1204,0),12))</f>
        <v/>
      </c>
      <c r="M680" s="8" t="str">
        <f t="array" ref="M680">IF(676&gt;$S$1204,"",INDEX($T$5:$AJ$1204,MATCH(676,$S$5:$S$1204,0),13))</f>
        <v/>
      </c>
      <c r="N680" s="8" t="str">
        <f t="array" ref="N680">IF(676&gt;$S$1204,"",INDEX($T$5:$AJ$1204,MATCH(676,$S$5:$S$1204,0),14))</f>
        <v/>
      </c>
      <c r="O680" s="15" t="str">
        <f t="array" ref="O680">IF(676&gt;$S$1204,"",INDEX($T$5:$AJ$1204,MATCH(676,$S$5:$S$1204,0),15))</f>
        <v/>
      </c>
      <c r="P680" s="8" t="str">
        <f t="array" ref="P680">IF(676&gt;$S$1204,"",INDEX($T$5:$AJ$1204,MATCH(676,$S$5:$S$1204,0),16))</f>
        <v/>
      </c>
      <c r="Q680" s="8" t="str">
        <f t="array" ref="Q680">IF(676&gt;$S$1204,"",INDEX($T$5:$AJ$1204,MATCH(676,$S$5:$S$1204,0),17))</f>
        <v/>
      </c>
      <c r="R680" s="17"/>
      <c r="S680" s="17">
        <f>S679+IF(M4_Sectores!A84="",0,1)</f>
        <v>0</v>
      </c>
      <c r="T680" s="17" t="str">
        <f>IF(M4_Sectores!A84="","",IF(M4_Sectores!A84="","",M4_Sectores!A84))</f>
        <v/>
      </c>
      <c r="U680" s="17" t="str">
        <f>IF(M4_Sectores!A84="","",IF(M4_Sectores!Q84="","",M4_Sectores!Q84))</f>
        <v/>
      </c>
      <c r="V680" s="17" t="str">
        <f>IF(M4_Sectores!A84="","",IF(M4_Sectores!D84="","",M4_Sectores!D84))</f>
        <v/>
      </c>
      <c r="W680" s="17" t="str">
        <f>IF(M4_Sectores!A84="","",IF(M4_Sectores!B84="","",M4_Sectores!B84))</f>
        <v/>
      </c>
      <c r="X680" s="17" t="str">
        <f>IF(M4_Sectores!A84="","",IF(M4_Sectores!C84="","",M4_Sectores!C84))</f>
        <v/>
      </c>
      <c r="Y680" s="17" t="str">
        <f>IF(M4_Sectores!A84="","",IF(M4_Sectores!E84="","",M4_Sectores!E84))</f>
        <v/>
      </c>
      <c r="Z680" s="17" t="str">
        <f>IF(M4_Sectores!A84="","",IF(M4_Sectores!F84="","",M4_Sectores!F84))</f>
        <v/>
      </c>
      <c r="AA680" s="17" t="str">
        <f>IF(M4_Sectores!A84="","","M4 Sectores")</f>
        <v/>
      </c>
      <c r="AB680" s="17" t="str">
        <f>IF(M4_Sectores!A84="","",IF(M4_Sectores!G84="","",M4_Sectores!G84))</f>
        <v/>
      </c>
      <c r="AC680" s="17" t="str">
        <f>IF(M4_Sectores!A84="","",IF(COUNTIFS(M4_Sectores!$A$9:A84,M4_Sectores!A84,M4_Sectores!$D$9:D84,M4_Sectores!D84,M4_Sectores!$H$9:H84,M4_Sectores!H84)=1,IF(M4_Sectores!L84="","",M4_Sectores!L84),""))</f>
        <v/>
      </c>
      <c r="AD680" s="17" t="str">
        <f>IF(M4_Sectores!A84="","","EE")</f>
        <v/>
      </c>
      <c r="AE680" s="17" t="str">
        <f>IF(M4_Sectores!A84="","",IF(M4_Sectores!N84="","",M4_Sectores!N84))</f>
        <v/>
      </c>
      <c r="AF680" s="17" t="str">
        <f>IF(M4_Sectores!A84="","",IF(M4_Sectores!O84="","",M4_Sectores!O84))</f>
        <v/>
      </c>
      <c r="AG680" s="17" t="str">
        <f>IF(M4_Sectores!A84="","",IF(M4_Sectores!P84="","",M4_Sectores!P84))</f>
        <v/>
      </c>
      <c r="AH680" s="17" t="str">
        <f>IF(M4_Sectores!A84="","",IF(M4_Sectores!H84="","",M4_Sectores!H84))</f>
        <v/>
      </c>
      <c r="AI680" s="17" t="str">
        <f>IF(M4_Sectores!A84="","","M4_Sectores!84")</f>
        <v/>
      </c>
      <c r="AJ680" s="17" t="str">
        <f>IF(M4_Sectores!A84="","",IF(M4_Sectores!L84="","Pendiente de momento o resultado",IF(COUNTIFS(M4_Sectores!$A$9:A84,M4_Sectores!A84,M4_Sectores!$D$9:D84,M4_Sectores!D84,M4_Sectores!$H$9:H84,M4_Sectores!H84)=1,"Total del momento","Sector incluido en total")))</f>
        <v/>
      </c>
    </row>
    <row r="681" spans="1:36" ht="55.5" customHeight="1">
      <c r="A681" s="6" t="str">
        <f t="array" ref="A681">IF(677&gt;$S$1204,"",INDEX($T$5:$AJ$1204,MATCH(677,$S$5:$S$1204,0),1))</f>
        <v/>
      </c>
      <c r="B681" s="8" t="str">
        <f t="array" ref="B681">IF(677&gt;$S$1204,"",INDEX($T$5:$AJ$1204,MATCH(677,$S$5:$S$1204,0),2))</f>
        <v/>
      </c>
      <c r="C681" s="10" t="str">
        <f t="array" ref="C681">IF(677&gt;$S$1204,"",INDEX($T$5:$AJ$1204,MATCH(677,$S$5:$S$1204,0),3))</f>
        <v/>
      </c>
      <c r="D681" s="8" t="str">
        <f t="array" ref="D681">IF(677&gt;$S$1204,"",INDEX($T$5:$AJ$1204,MATCH(677,$S$5:$S$1204,0),4))</f>
        <v/>
      </c>
      <c r="E681" s="8" t="str">
        <f t="array" ref="E681">IF(677&gt;$S$1204,"",INDEX($T$5:$AJ$1204,MATCH(677,$S$5:$S$1204,0),5))</f>
        <v/>
      </c>
      <c r="F681" s="8" t="str">
        <f t="array" ref="F681">IF(677&gt;$S$1204,"",INDEX($T$5:$AJ$1204,MATCH(677,$S$5:$S$1204,0),6))</f>
        <v/>
      </c>
      <c r="G681" s="8" t="str">
        <f t="array" ref="G681">IF(677&gt;$S$1204,"",INDEX($T$5:$AJ$1204,MATCH(677,$S$5:$S$1204,0),7))</f>
        <v/>
      </c>
      <c r="H681" s="8" t="str">
        <f t="array" ref="H681">IF(677&gt;$S$1204,"",INDEX($T$5:$AJ$1204,MATCH(677,$S$5:$S$1204,0),8))</f>
        <v/>
      </c>
      <c r="I681" s="8" t="str">
        <f t="array" ref="I681">IF(677&gt;$S$1204,"",INDEX($T$5:$AJ$1204,MATCH(677,$S$5:$S$1204,0),9))</f>
        <v/>
      </c>
      <c r="J681" s="14" t="str">
        <f t="array" ref="J681">IF(677&gt;$S$1204,"",INDEX($T$5:$AJ$1204,MATCH(677,$S$5:$S$1204,0),10))</f>
        <v/>
      </c>
      <c r="K681" s="8" t="str">
        <f t="array" ref="K681">IF(677&gt;$S$1204,"",INDEX($T$5:$AJ$1204,MATCH(677,$S$5:$S$1204,0),11))</f>
        <v/>
      </c>
      <c r="L681" s="8" t="str">
        <f t="array" ref="L681">IF(677&gt;$S$1204,"",INDEX($T$5:$AJ$1204,MATCH(677,$S$5:$S$1204,0),12))</f>
        <v/>
      </c>
      <c r="M681" s="8" t="str">
        <f t="array" ref="M681">IF(677&gt;$S$1204,"",INDEX($T$5:$AJ$1204,MATCH(677,$S$5:$S$1204,0),13))</f>
        <v/>
      </c>
      <c r="N681" s="8" t="str">
        <f t="array" ref="N681">IF(677&gt;$S$1204,"",INDEX($T$5:$AJ$1204,MATCH(677,$S$5:$S$1204,0),14))</f>
        <v/>
      </c>
      <c r="O681" s="15" t="str">
        <f t="array" ref="O681">IF(677&gt;$S$1204,"",INDEX($T$5:$AJ$1204,MATCH(677,$S$5:$S$1204,0),15))</f>
        <v/>
      </c>
      <c r="P681" s="8" t="str">
        <f t="array" ref="P681">IF(677&gt;$S$1204,"",INDEX($T$5:$AJ$1204,MATCH(677,$S$5:$S$1204,0),16))</f>
        <v/>
      </c>
      <c r="Q681" s="8" t="str">
        <f t="array" ref="Q681">IF(677&gt;$S$1204,"",INDEX($T$5:$AJ$1204,MATCH(677,$S$5:$S$1204,0),17))</f>
        <v/>
      </c>
      <c r="R681" s="17"/>
      <c r="S681" s="17">
        <f>S680+IF(M4_Sectores!A85="",0,1)</f>
        <v>0</v>
      </c>
      <c r="T681" s="17" t="str">
        <f>IF(M4_Sectores!A85="","",IF(M4_Sectores!A85="","",M4_Sectores!A85))</f>
        <v/>
      </c>
      <c r="U681" s="17" t="str">
        <f>IF(M4_Sectores!A85="","",IF(M4_Sectores!Q85="","",M4_Sectores!Q85))</f>
        <v/>
      </c>
      <c r="V681" s="17" t="str">
        <f>IF(M4_Sectores!A85="","",IF(M4_Sectores!D85="","",M4_Sectores!D85))</f>
        <v/>
      </c>
      <c r="W681" s="17" t="str">
        <f>IF(M4_Sectores!A85="","",IF(M4_Sectores!B85="","",M4_Sectores!B85))</f>
        <v/>
      </c>
      <c r="X681" s="17" t="str">
        <f>IF(M4_Sectores!A85="","",IF(M4_Sectores!C85="","",M4_Sectores!C85))</f>
        <v/>
      </c>
      <c r="Y681" s="17" t="str">
        <f>IF(M4_Sectores!A85="","",IF(M4_Sectores!E85="","",M4_Sectores!E85))</f>
        <v/>
      </c>
      <c r="Z681" s="17" t="str">
        <f>IF(M4_Sectores!A85="","",IF(M4_Sectores!F85="","",M4_Sectores!F85))</f>
        <v/>
      </c>
      <c r="AA681" s="17" t="str">
        <f>IF(M4_Sectores!A85="","","M4 Sectores")</f>
        <v/>
      </c>
      <c r="AB681" s="17" t="str">
        <f>IF(M4_Sectores!A85="","",IF(M4_Sectores!G85="","",M4_Sectores!G85))</f>
        <v/>
      </c>
      <c r="AC681" s="17" t="str">
        <f>IF(M4_Sectores!A85="","",IF(COUNTIFS(M4_Sectores!$A$9:A85,M4_Sectores!A85,M4_Sectores!$D$9:D85,M4_Sectores!D85,M4_Sectores!$H$9:H85,M4_Sectores!H85)=1,IF(M4_Sectores!L85="","",M4_Sectores!L85),""))</f>
        <v/>
      </c>
      <c r="AD681" s="17" t="str">
        <f>IF(M4_Sectores!A85="","","EE")</f>
        <v/>
      </c>
      <c r="AE681" s="17" t="str">
        <f>IF(M4_Sectores!A85="","",IF(M4_Sectores!N85="","",M4_Sectores!N85))</f>
        <v/>
      </c>
      <c r="AF681" s="17" t="str">
        <f>IF(M4_Sectores!A85="","",IF(M4_Sectores!O85="","",M4_Sectores!O85))</f>
        <v/>
      </c>
      <c r="AG681" s="17" t="str">
        <f>IF(M4_Sectores!A85="","",IF(M4_Sectores!P85="","",M4_Sectores!P85))</f>
        <v/>
      </c>
      <c r="AH681" s="17" t="str">
        <f>IF(M4_Sectores!A85="","",IF(M4_Sectores!H85="","",M4_Sectores!H85))</f>
        <v/>
      </c>
      <c r="AI681" s="17" t="str">
        <f>IF(M4_Sectores!A85="","","M4_Sectores!85")</f>
        <v/>
      </c>
      <c r="AJ681" s="17" t="str">
        <f>IF(M4_Sectores!A85="","",IF(M4_Sectores!L85="","Pendiente de momento o resultado",IF(COUNTIFS(M4_Sectores!$A$9:A85,M4_Sectores!A85,M4_Sectores!$D$9:D85,M4_Sectores!D85,M4_Sectores!$H$9:H85,M4_Sectores!H85)=1,"Total del momento","Sector incluido en total")))</f>
        <v/>
      </c>
    </row>
    <row r="682" spans="1:36" ht="55.5" customHeight="1">
      <c r="A682" s="6" t="str">
        <f t="array" ref="A682">IF(678&gt;$S$1204,"",INDEX($T$5:$AJ$1204,MATCH(678,$S$5:$S$1204,0),1))</f>
        <v/>
      </c>
      <c r="B682" s="8" t="str">
        <f t="array" ref="B682">IF(678&gt;$S$1204,"",INDEX($T$5:$AJ$1204,MATCH(678,$S$5:$S$1204,0),2))</f>
        <v/>
      </c>
      <c r="C682" s="10" t="str">
        <f t="array" ref="C682">IF(678&gt;$S$1204,"",INDEX($T$5:$AJ$1204,MATCH(678,$S$5:$S$1204,0),3))</f>
        <v/>
      </c>
      <c r="D682" s="8" t="str">
        <f t="array" ref="D682">IF(678&gt;$S$1204,"",INDEX($T$5:$AJ$1204,MATCH(678,$S$5:$S$1204,0),4))</f>
        <v/>
      </c>
      <c r="E682" s="8" t="str">
        <f t="array" ref="E682">IF(678&gt;$S$1204,"",INDEX($T$5:$AJ$1204,MATCH(678,$S$5:$S$1204,0),5))</f>
        <v/>
      </c>
      <c r="F682" s="8" t="str">
        <f t="array" ref="F682">IF(678&gt;$S$1204,"",INDEX($T$5:$AJ$1204,MATCH(678,$S$5:$S$1204,0),6))</f>
        <v/>
      </c>
      <c r="G682" s="8" t="str">
        <f t="array" ref="G682">IF(678&gt;$S$1204,"",INDEX($T$5:$AJ$1204,MATCH(678,$S$5:$S$1204,0),7))</f>
        <v/>
      </c>
      <c r="H682" s="8" t="str">
        <f t="array" ref="H682">IF(678&gt;$S$1204,"",INDEX($T$5:$AJ$1204,MATCH(678,$S$5:$S$1204,0),8))</f>
        <v/>
      </c>
      <c r="I682" s="8" t="str">
        <f t="array" ref="I682">IF(678&gt;$S$1204,"",INDEX($T$5:$AJ$1204,MATCH(678,$S$5:$S$1204,0),9))</f>
        <v/>
      </c>
      <c r="J682" s="14" t="str">
        <f t="array" ref="J682">IF(678&gt;$S$1204,"",INDEX($T$5:$AJ$1204,MATCH(678,$S$5:$S$1204,0),10))</f>
        <v/>
      </c>
      <c r="K682" s="8" t="str">
        <f t="array" ref="K682">IF(678&gt;$S$1204,"",INDEX($T$5:$AJ$1204,MATCH(678,$S$5:$S$1204,0),11))</f>
        <v/>
      </c>
      <c r="L682" s="8" t="str">
        <f t="array" ref="L682">IF(678&gt;$S$1204,"",INDEX($T$5:$AJ$1204,MATCH(678,$S$5:$S$1204,0),12))</f>
        <v/>
      </c>
      <c r="M682" s="8" t="str">
        <f t="array" ref="M682">IF(678&gt;$S$1204,"",INDEX($T$5:$AJ$1204,MATCH(678,$S$5:$S$1204,0),13))</f>
        <v/>
      </c>
      <c r="N682" s="8" t="str">
        <f t="array" ref="N682">IF(678&gt;$S$1204,"",INDEX($T$5:$AJ$1204,MATCH(678,$S$5:$S$1204,0),14))</f>
        <v/>
      </c>
      <c r="O682" s="15" t="str">
        <f t="array" ref="O682">IF(678&gt;$S$1204,"",INDEX($T$5:$AJ$1204,MATCH(678,$S$5:$S$1204,0),15))</f>
        <v/>
      </c>
      <c r="P682" s="8" t="str">
        <f t="array" ref="P682">IF(678&gt;$S$1204,"",INDEX($T$5:$AJ$1204,MATCH(678,$S$5:$S$1204,0),16))</f>
        <v/>
      </c>
      <c r="Q682" s="8" t="str">
        <f t="array" ref="Q682">IF(678&gt;$S$1204,"",INDEX($T$5:$AJ$1204,MATCH(678,$S$5:$S$1204,0),17))</f>
        <v/>
      </c>
      <c r="R682" s="17"/>
      <c r="S682" s="17">
        <f>S681+IF(M4_Sectores!A86="",0,1)</f>
        <v>0</v>
      </c>
      <c r="T682" s="17" t="str">
        <f>IF(M4_Sectores!A86="","",IF(M4_Sectores!A86="","",M4_Sectores!A86))</f>
        <v/>
      </c>
      <c r="U682" s="17" t="str">
        <f>IF(M4_Sectores!A86="","",IF(M4_Sectores!Q86="","",M4_Sectores!Q86))</f>
        <v/>
      </c>
      <c r="V682" s="17" t="str">
        <f>IF(M4_Sectores!A86="","",IF(M4_Sectores!D86="","",M4_Sectores!D86))</f>
        <v/>
      </c>
      <c r="W682" s="17" t="str">
        <f>IF(M4_Sectores!A86="","",IF(M4_Sectores!B86="","",M4_Sectores!B86))</f>
        <v/>
      </c>
      <c r="X682" s="17" t="str">
        <f>IF(M4_Sectores!A86="","",IF(M4_Sectores!C86="","",M4_Sectores!C86))</f>
        <v/>
      </c>
      <c r="Y682" s="17" t="str">
        <f>IF(M4_Sectores!A86="","",IF(M4_Sectores!E86="","",M4_Sectores!E86))</f>
        <v/>
      </c>
      <c r="Z682" s="17" t="str">
        <f>IF(M4_Sectores!A86="","",IF(M4_Sectores!F86="","",M4_Sectores!F86))</f>
        <v/>
      </c>
      <c r="AA682" s="17" t="str">
        <f>IF(M4_Sectores!A86="","","M4 Sectores")</f>
        <v/>
      </c>
      <c r="AB682" s="17" t="str">
        <f>IF(M4_Sectores!A86="","",IF(M4_Sectores!G86="","",M4_Sectores!G86))</f>
        <v/>
      </c>
      <c r="AC682" s="17" t="str">
        <f>IF(M4_Sectores!A86="","",IF(COUNTIFS(M4_Sectores!$A$9:A86,M4_Sectores!A86,M4_Sectores!$D$9:D86,M4_Sectores!D86,M4_Sectores!$H$9:H86,M4_Sectores!H86)=1,IF(M4_Sectores!L86="","",M4_Sectores!L86),""))</f>
        <v/>
      </c>
      <c r="AD682" s="17" t="str">
        <f>IF(M4_Sectores!A86="","","EE")</f>
        <v/>
      </c>
      <c r="AE682" s="17" t="str">
        <f>IF(M4_Sectores!A86="","",IF(M4_Sectores!N86="","",M4_Sectores!N86))</f>
        <v/>
      </c>
      <c r="AF682" s="17" t="str">
        <f>IF(M4_Sectores!A86="","",IF(M4_Sectores!O86="","",M4_Sectores!O86))</f>
        <v/>
      </c>
      <c r="AG682" s="17" t="str">
        <f>IF(M4_Sectores!A86="","",IF(M4_Sectores!P86="","",M4_Sectores!P86))</f>
        <v/>
      </c>
      <c r="AH682" s="17" t="str">
        <f>IF(M4_Sectores!A86="","",IF(M4_Sectores!H86="","",M4_Sectores!H86))</f>
        <v/>
      </c>
      <c r="AI682" s="17" t="str">
        <f>IF(M4_Sectores!A86="","","M4_Sectores!86")</f>
        <v/>
      </c>
      <c r="AJ682" s="17" t="str">
        <f>IF(M4_Sectores!A86="","",IF(M4_Sectores!L86="","Pendiente de momento o resultado",IF(COUNTIFS(M4_Sectores!$A$9:A86,M4_Sectores!A86,M4_Sectores!$D$9:D86,M4_Sectores!D86,M4_Sectores!$H$9:H86,M4_Sectores!H86)=1,"Total del momento","Sector incluido en total")))</f>
        <v/>
      </c>
    </row>
    <row r="683" spans="1:36" ht="55.5" customHeight="1">
      <c r="A683" s="6" t="str">
        <f t="array" ref="A683">IF(679&gt;$S$1204,"",INDEX($T$5:$AJ$1204,MATCH(679,$S$5:$S$1204,0),1))</f>
        <v/>
      </c>
      <c r="B683" s="8" t="str">
        <f t="array" ref="B683">IF(679&gt;$S$1204,"",INDEX($T$5:$AJ$1204,MATCH(679,$S$5:$S$1204,0),2))</f>
        <v/>
      </c>
      <c r="C683" s="10" t="str">
        <f t="array" ref="C683">IF(679&gt;$S$1204,"",INDEX($T$5:$AJ$1204,MATCH(679,$S$5:$S$1204,0),3))</f>
        <v/>
      </c>
      <c r="D683" s="8" t="str">
        <f t="array" ref="D683">IF(679&gt;$S$1204,"",INDEX($T$5:$AJ$1204,MATCH(679,$S$5:$S$1204,0),4))</f>
        <v/>
      </c>
      <c r="E683" s="8" t="str">
        <f t="array" ref="E683">IF(679&gt;$S$1204,"",INDEX($T$5:$AJ$1204,MATCH(679,$S$5:$S$1204,0),5))</f>
        <v/>
      </c>
      <c r="F683" s="8" t="str">
        <f t="array" ref="F683">IF(679&gt;$S$1204,"",INDEX($T$5:$AJ$1204,MATCH(679,$S$5:$S$1204,0),6))</f>
        <v/>
      </c>
      <c r="G683" s="8" t="str">
        <f t="array" ref="G683">IF(679&gt;$S$1204,"",INDEX($T$5:$AJ$1204,MATCH(679,$S$5:$S$1204,0),7))</f>
        <v/>
      </c>
      <c r="H683" s="8" t="str">
        <f t="array" ref="H683">IF(679&gt;$S$1204,"",INDEX($T$5:$AJ$1204,MATCH(679,$S$5:$S$1204,0),8))</f>
        <v/>
      </c>
      <c r="I683" s="8" t="str">
        <f t="array" ref="I683">IF(679&gt;$S$1204,"",INDEX($T$5:$AJ$1204,MATCH(679,$S$5:$S$1204,0),9))</f>
        <v/>
      </c>
      <c r="J683" s="14" t="str">
        <f t="array" ref="J683">IF(679&gt;$S$1204,"",INDEX($T$5:$AJ$1204,MATCH(679,$S$5:$S$1204,0),10))</f>
        <v/>
      </c>
      <c r="K683" s="8" t="str">
        <f t="array" ref="K683">IF(679&gt;$S$1204,"",INDEX($T$5:$AJ$1204,MATCH(679,$S$5:$S$1204,0),11))</f>
        <v/>
      </c>
      <c r="L683" s="8" t="str">
        <f t="array" ref="L683">IF(679&gt;$S$1204,"",INDEX($T$5:$AJ$1204,MATCH(679,$S$5:$S$1204,0),12))</f>
        <v/>
      </c>
      <c r="M683" s="8" t="str">
        <f t="array" ref="M683">IF(679&gt;$S$1204,"",INDEX($T$5:$AJ$1204,MATCH(679,$S$5:$S$1204,0),13))</f>
        <v/>
      </c>
      <c r="N683" s="8" t="str">
        <f t="array" ref="N683">IF(679&gt;$S$1204,"",INDEX($T$5:$AJ$1204,MATCH(679,$S$5:$S$1204,0),14))</f>
        <v/>
      </c>
      <c r="O683" s="15" t="str">
        <f t="array" ref="O683">IF(679&gt;$S$1204,"",INDEX($T$5:$AJ$1204,MATCH(679,$S$5:$S$1204,0),15))</f>
        <v/>
      </c>
      <c r="P683" s="8" t="str">
        <f t="array" ref="P683">IF(679&gt;$S$1204,"",INDEX($T$5:$AJ$1204,MATCH(679,$S$5:$S$1204,0),16))</f>
        <v/>
      </c>
      <c r="Q683" s="8" t="str">
        <f t="array" ref="Q683">IF(679&gt;$S$1204,"",INDEX($T$5:$AJ$1204,MATCH(679,$S$5:$S$1204,0),17))</f>
        <v/>
      </c>
      <c r="R683" s="17"/>
      <c r="S683" s="17">
        <f>S682+IF(M4_Sectores!A87="",0,1)</f>
        <v>0</v>
      </c>
      <c r="T683" s="17" t="str">
        <f>IF(M4_Sectores!A87="","",IF(M4_Sectores!A87="","",M4_Sectores!A87))</f>
        <v/>
      </c>
      <c r="U683" s="17" t="str">
        <f>IF(M4_Sectores!A87="","",IF(M4_Sectores!Q87="","",M4_Sectores!Q87))</f>
        <v/>
      </c>
      <c r="V683" s="17" t="str">
        <f>IF(M4_Sectores!A87="","",IF(M4_Sectores!D87="","",M4_Sectores!D87))</f>
        <v/>
      </c>
      <c r="W683" s="17" t="str">
        <f>IF(M4_Sectores!A87="","",IF(M4_Sectores!B87="","",M4_Sectores!B87))</f>
        <v/>
      </c>
      <c r="X683" s="17" t="str">
        <f>IF(M4_Sectores!A87="","",IF(M4_Sectores!C87="","",M4_Sectores!C87))</f>
        <v/>
      </c>
      <c r="Y683" s="17" t="str">
        <f>IF(M4_Sectores!A87="","",IF(M4_Sectores!E87="","",M4_Sectores!E87))</f>
        <v/>
      </c>
      <c r="Z683" s="17" t="str">
        <f>IF(M4_Sectores!A87="","",IF(M4_Sectores!F87="","",M4_Sectores!F87))</f>
        <v/>
      </c>
      <c r="AA683" s="17" t="str">
        <f>IF(M4_Sectores!A87="","","M4 Sectores")</f>
        <v/>
      </c>
      <c r="AB683" s="17" t="str">
        <f>IF(M4_Sectores!A87="","",IF(M4_Sectores!G87="","",M4_Sectores!G87))</f>
        <v/>
      </c>
      <c r="AC683" s="17" t="str">
        <f>IF(M4_Sectores!A87="","",IF(COUNTIFS(M4_Sectores!$A$9:A87,M4_Sectores!A87,M4_Sectores!$D$9:D87,M4_Sectores!D87,M4_Sectores!$H$9:H87,M4_Sectores!H87)=1,IF(M4_Sectores!L87="","",M4_Sectores!L87),""))</f>
        <v/>
      </c>
      <c r="AD683" s="17" t="str">
        <f>IF(M4_Sectores!A87="","","EE")</f>
        <v/>
      </c>
      <c r="AE683" s="17" t="str">
        <f>IF(M4_Sectores!A87="","",IF(M4_Sectores!N87="","",M4_Sectores!N87))</f>
        <v/>
      </c>
      <c r="AF683" s="17" t="str">
        <f>IF(M4_Sectores!A87="","",IF(M4_Sectores!O87="","",M4_Sectores!O87))</f>
        <v/>
      </c>
      <c r="AG683" s="17" t="str">
        <f>IF(M4_Sectores!A87="","",IF(M4_Sectores!P87="","",M4_Sectores!P87))</f>
        <v/>
      </c>
      <c r="AH683" s="17" t="str">
        <f>IF(M4_Sectores!A87="","",IF(M4_Sectores!H87="","",M4_Sectores!H87))</f>
        <v/>
      </c>
      <c r="AI683" s="17" t="str">
        <f>IF(M4_Sectores!A87="","","M4_Sectores!87")</f>
        <v/>
      </c>
      <c r="AJ683" s="17" t="str">
        <f>IF(M4_Sectores!A87="","",IF(M4_Sectores!L87="","Pendiente de momento o resultado",IF(COUNTIFS(M4_Sectores!$A$9:A87,M4_Sectores!A87,M4_Sectores!$D$9:D87,M4_Sectores!D87,M4_Sectores!$H$9:H87,M4_Sectores!H87)=1,"Total del momento","Sector incluido en total")))</f>
        <v/>
      </c>
    </row>
    <row r="684" spans="1:36" ht="55.5" customHeight="1">
      <c r="A684" s="6" t="str">
        <f t="array" ref="A684">IF(680&gt;$S$1204,"",INDEX($T$5:$AJ$1204,MATCH(680,$S$5:$S$1204,0),1))</f>
        <v/>
      </c>
      <c r="B684" s="8" t="str">
        <f t="array" ref="B684">IF(680&gt;$S$1204,"",INDEX($T$5:$AJ$1204,MATCH(680,$S$5:$S$1204,0),2))</f>
        <v/>
      </c>
      <c r="C684" s="10" t="str">
        <f t="array" ref="C684">IF(680&gt;$S$1204,"",INDEX($T$5:$AJ$1204,MATCH(680,$S$5:$S$1204,0),3))</f>
        <v/>
      </c>
      <c r="D684" s="8" t="str">
        <f t="array" ref="D684">IF(680&gt;$S$1204,"",INDEX($T$5:$AJ$1204,MATCH(680,$S$5:$S$1204,0),4))</f>
        <v/>
      </c>
      <c r="E684" s="8" t="str">
        <f t="array" ref="E684">IF(680&gt;$S$1204,"",INDEX($T$5:$AJ$1204,MATCH(680,$S$5:$S$1204,0),5))</f>
        <v/>
      </c>
      <c r="F684" s="8" t="str">
        <f t="array" ref="F684">IF(680&gt;$S$1204,"",INDEX($T$5:$AJ$1204,MATCH(680,$S$5:$S$1204,0),6))</f>
        <v/>
      </c>
      <c r="G684" s="8" t="str">
        <f t="array" ref="G684">IF(680&gt;$S$1204,"",INDEX($T$5:$AJ$1204,MATCH(680,$S$5:$S$1204,0),7))</f>
        <v/>
      </c>
      <c r="H684" s="8" t="str">
        <f t="array" ref="H684">IF(680&gt;$S$1204,"",INDEX($T$5:$AJ$1204,MATCH(680,$S$5:$S$1204,0),8))</f>
        <v/>
      </c>
      <c r="I684" s="8" t="str">
        <f t="array" ref="I684">IF(680&gt;$S$1204,"",INDEX($T$5:$AJ$1204,MATCH(680,$S$5:$S$1204,0),9))</f>
        <v/>
      </c>
      <c r="J684" s="14" t="str">
        <f t="array" ref="J684">IF(680&gt;$S$1204,"",INDEX($T$5:$AJ$1204,MATCH(680,$S$5:$S$1204,0),10))</f>
        <v/>
      </c>
      <c r="K684" s="8" t="str">
        <f t="array" ref="K684">IF(680&gt;$S$1204,"",INDEX($T$5:$AJ$1204,MATCH(680,$S$5:$S$1204,0),11))</f>
        <v/>
      </c>
      <c r="L684" s="8" t="str">
        <f t="array" ref="L684">IF(680&gt;$S$1204,"",INDEX($T$5:$AJ$1204,MATCH(680,$S$5:$S$1204,0),12))</f>
        <v/>
      </c>
      <c r="M684" s="8" t="str">
        <f t="array" ref="M684">IF(680&gt;$S$1204,"",INDEX($T$5:$AJ$1204,MATCH(680,$S$5:$S$1204,0),13))</f>
        <v/>
      </c>
      <c r="N684" s="8" t="str">
        <f t="array" ref="N684">IF(680&gt;$S$1204,"",INDEX($T$5:$AJ$1204,MATCH(680,$S$5:$S$1204,0),14))</f>
        <v/>
      </c>
      <c r="O684" s="15" t="str">
        <f t="array" ref="O684">IF(680&gt;$S$1204,"",INDEX($T$5:$AJ$1204,MATCH(680,$S$5:$S$1204,0),15))</f>
        <v/>
      </c>
      <c r="P684" s="8" t="str">
        <f t="array" ref="P684">IF(680&gt;$S$1204,"",INDEX($T$5:$AJ$1204,MATCH(680,$S$5:$S$1204,0),16))</f>
        <v/>
      </c>
      <c r="Q684" s="8" t="str">
        <f t="array" ref="Q684">IF(680&gt;$S$1204,"",INDEX($T$5:$AJ$1204,MATCH(680,$S$5:$S$1204,0),17))</f>
        <v/>
      </c>
      <c r="R684" s="17"/>
      <c r="S684" s="17">
        <f>S683+IF(M4_Sectores!A88="",0,1)</f>
        <v>0</v>
      </c>
      <c r="T684" s="17" t="str">
        <f>IF(M4_Sectores!A88="","",IF(M4_Sectores!A88="","",M4_Sectores!A88))</f>
        <v/>
      </c>
      <c r="U684" s="17" t="str">
        <f>IF(M4_Sectores!A88="","",IF(M4_Sectores!Q88="","",M4_Sectores!Q88))</f>
        <v/>
      </c>
      <c r="V684" s="17" t="str">
        <f>IF(M4_Sectores!A88="","",IF(M4_Sectores!D88="","",M4_Sectores!D88))</f>
        <v/>
      </c>
      <c r="W684" s="17" t="str">
        <f>IF(M4_Sectores!A88="","",IF(M4_Sectores!B88="","",M4_Sectores!B88))</f>
        <v/>
      </c>
      <c r="X684" s="17" t="str">
        <f>IF(M4_Sectores!A88="","",IF(M4_Sectores!C88="","",M4_Sectores!C88))</f>
        <v/>
      </c>
      <c r="Y684" s="17" t="str">
        <f>IF(M4_Sectores!A88="","",IF(M4_Sectores!E88="","",M4_Sectores!E88))</f>
        <v/>
      </c>
      <c r="Z684" s="17" t="str">
        <f>IF(M4_Sectores!A88="","",IF(M4_Sectores!F88="","",M4_Sectores!F88))</f>
        <v/>
      </c>
      <c r="AA684" s="17" t="str">
        <f>IF(M4_Sectores!A88="","","M4 Sectores")</f>
        <v/>
      </c>
      <c r="AB684" s="17" t="str">
        <f>IF(M4_Sectores!A88="","",IF(M4_Sectores!G88="","",M4_Sectores!G88))</f>
        <v/>
      </c>
      <c r="AC684" s="17" t="str">
        <f>IF(M4_Sectores!A88="","",IF(COUNTIFS(M4_Sectores!$A$9:A88,M4_Sectores!A88,M4_Sectores!$D$9:D88,M4_Sectores!D88,M4_Sectores!$H$9:H88,M4_Sectores!H88)=1,IF(M4_Sectores!L88="","",M4_Sectores!L88),""))</f>
        <v/>
      </c>
      <c r="AD684" s="17" t="str">
        <f>IF(M4_Sectores!A88="","","EE")</f>
        <v/>
      </c>
      <c r="AE684" s="17" t="str">
        <f>IF(M4_Sectores!A88="","",IF(M4_Sectores!N88="","",M4_Sectores!N88))</f>
        <v/>
      </c>
      <c r="AF684" s="17" t="str">
        <f>IF(M4_Sectores!A88="","",IF(M4_Sectores!O88="","",M4_Sectores!O88))</f>
        <v/>
      </c>
      <c r="AG684" s="17" t="str">
        <f>IF(M4_Sectores!A88="","",IF(M4_Sectores!P88="","",M4_Sectores!P88))</f>
        <v/>
      </c>
      <c r="AH684" s="17" t="str">
        <f>IF(M4_Sectores!A88="","",IF(M4_Sectores!H88="","",M4_Sectores!H88))</f>
        <v/>
      </c>
      <c r="AI684" s="17" t="str">
        <f>IF(M4_Sectores!A88="","","M4_Sectores!88")</f>
        <v/>
      </c>
      <c r="AJ684" s="17" t="str">
        <f>IF(M4_Sectores!A88="","",IF(M4_Sectores!L88="","Pendiente de momento o resultado",IF(COUNTIFS(M4_Sectores!$A$9:A88,M4_Sectores!A88,M4_Sectores!$D$9:D88,M4_Sectores!D88,M4_Sectores!$H$9:H88,M4_Sectores!H88)=1,"Total del momento","Sector incluido en total")))</f>
        <v/>
      </c>
    </row>
    <row r="685" spans="1:36" ht="55.5" customHeight="1">
      <c r="A685" s="6" t="str">
        <f t="array" ref="A685">IF(681&gt;$S$1204,"",INDEX($T$5:$AJ$1204,MATCH(681,$S$5:$S$1204,0),1))</f>
        <v/>
      </c>
      <c r="B685" s="8" t="str">
        <f t="array" ref="B685">IF(681&gt;$S$1204,"",INDEX($T$5:$AJ$1204,MATCH(681,$S$5:$S$1204,0),2))</f>
        <v/>
      </c>
      <c r="C685" s="10" t="str">
        <f t="array" ref="C685">IF(681&gt;$S$1204,"",INDEX($T$5:$AJ$1204,MATCH(681,$S$5:$S$1204,0),3))</f>
        <v/>
      </c>
      <c r="D685" s="8" t="str">
        <f t="array" ref="D685">IF(681&gt;$S$1204,"",INDEX($T$5:$AJ$1204,MATCH(681,$S$5:$S$1204,0),4))</f>
        <v/>
      </c>
      <c r="E685" s="8" t="str">
        <f t="array" ref="E685">IF(681&gt;$S$1204,"",INDEX($T$5:$AJ$1204,MATCH(681,$S$5:$S$1204,0),5))</f>
        <v/>
      </c>
      <c r="F685" s="8" t="str">
        <f t="array" ref="F685">IF(681&gt;$S$1204,"",INDEX($T$5:$AJ$1204,MATCH(681,$S$5:$S$1204,0),6))</f>
        <v/>
      </c>
      <c r="G685" s="8" t="str">
        <f t="array" ref="G685">IF(681&gt;$S$1204,"",INDEX($T$5:$AJ$1204,MATCH(681,$S$5:$S$1204,0),7))</f>
        <v/>
      </c>
      <c r="H685" s="8" t="str">
        <f t="array" ref="H685">IF(681&gt;$S$1204,"",INDEX($T$5:$AJ$1204,MATCH(681,$S$5:$S$1204,0),8))</f>
        <v/>
      </c>
      <c r="I685" s="8" t="str">
        <f t="array" ref="I685">IF(681&gt;$S$1204,"",INDEX($T$5:$AJ$1204,MATCH(681,$S$5:$S$1204,0),9))</f>
        <v/>
      </c>
      <c r="J685" s="14" t="str">
        <f t="array" ref="J685">IF(681&gt;$S$1204,"",INDEX($T$5:$AJ$1204,MATCH(681,$S$5:$S$1204,0),10))</f>
        <v/>
      </c>
      <c r="K685" s="8" t="str">
        <f t="array" ref="K685">IF(681&gt;$S$1204,"",INDEX($T$5:$AJ$1204,MATCH(681,$S$5:$S$1204,0),11))</f>
        <v/>
      </c>
      <c r="L685" s="8" t="str">
        <f t="array" ref="L685">IF(681&gt;$S$1204,"",INDEX($T$5:$AJ$1204,MATCH(681,$S$5:$S$1204,0),12))</f>
        <v/>
      </c>
      <c r="M685" s="8" t="str">
        <f t="array" ref="M685">IF(681&gt;$S$1204,"",INDEX($T$5:$AJ$1204,MATCH(681,$S$5:$S$1204,0),13))</f>
        <v/>
      </c>
      <c r="N685" s="8" t="str">
        <f t="array" ref="N685">IF(681&gt;$S$1204,"",INDEX($T$5:$AJ$1204,MATCH(681,$S$5:$S$1204,0),14))</f>
        <v/>
      </c>
      <c r="O685" s="15" t="str">
        <f t="array" ref="O685">IF(681&gt;$S$1204,"",INDEX($T$5:$AJ$1204,MATCH(681,$S$5:$S$1204,0),15))</f>
        <v/>
      </c>
      <c r="P685" s="8" t="str">
        <f t="array" ref="P685">IF(681&gt;$S$1204,"",INDEX($T$5:$AJ$1204,MATCH(681,$S$5:$S$1204,0),16))</f>
        <v/>
      </c>
      <c r="Q685" s="8" t="str">
        <f t="array" ref="Q685">IF(681&gt;$S$1204,"",INDEX($T$5:$AJ$1204,MATCH(681,$S$5:$S$1204,0),17))</f>
        <v/>
      </c>
      <c r="R685" s="17"/>
      <c r="S685" s="17">
        <f>S684+IF(M4_Sectores!A89="",0,1)</f>
        <v>0</v>
      </c>
      <c r="T685" s="17" t="str">
        <f>IF(M4_Sectores!A89="","",IF(M4_Sectores!A89="","",M4_Sectores!A89))</f>
        <v/>
      </c>
      <c r="U685" s="17" t="str">
        <f>IF(M4_Sectores!A89="","",IF(M4_Sectores!Q89="","",M4_Sectores!Q89))</f>
        <v/>
      </c>
      <c r="V685" s="17" t="str">
        <f>IF(M4_Sectores!A89="","",IF(M4_Sectores!D89="","",M4_Sectores!D89))</f>
        <v/>
      </c>
      <c r="W685" s="17" t="str">
        <f>IF(M4_Sectores!A89="","",IF(M4_Sectores!B89="","",M4_Sectores!B89))</f>
        <v/>
      </c>
      <c r="X685" s="17" t="str">
        <f>IF(M4_Sectores!A89="","",IF(M4_Sectores!C89="","",M4_Sectores!C89))</f>
        <v/>
      </c>
      <c r="Y685" s="17" t="str">
        <f>IF(M4_Sectores!A89="","",IF(M4_Sectores!E89="","",M4_Sectores!E89))</f>
        <v/>
      </c>
      <c r="Z685" s="17" t="str">
        <f>IF(M4_Sectores!A89="","",IF(M4_Sectores!F89="","",M4_Sectores!F89))</f>
        <v/>
      </c>
      <c r="AA685" s="17" t="str">
        <f>IF(M4_Sectores!A89="","","M4 Sectores")</f>
        <v/>
      </c>
      <c r="AB685" s="17" t="str">
        <f>IF(M4_Sectores!A89="","",IF(M4_Sectores!G89="","",M4_Sectores!G89))</f>
        <v/>
      </c>
      <c r="AC685" s="17" t="str">
        <f>IF(M4_Sectores!A89="","",IF(COUNTIFS(M4_Sectores!$A$9:A89,M4_Sectores!A89,M4_Sectores!$D$9:D89,M4_Sectores!D89,M4_Sectores!$H$9:H89,M4_Sectores!H89)=1,IF(M4_Sectores!L89="","",M4_Sectores!L89),""))</f>
        <v/>
      </c>
      <c r="AD685" s="17" t="str">
        <f>IF(M4_Sectores!A89="","","EE")</f>
        <v/>
      </c>
      <c r="AE685" s="17" t="str">
        <f>IF(M4_Sectores!A89="","",IF(M4_Sectores!N89="","",M4_Sectores!N89))</f>
        <v/>
      </c>
      <c r="AF685" s="17" t="str">
        <f>IF(M4_Sectores!A89="","",IF(M4_Sectores!O89="","",M4_Sectores!O89))</f>
        <v/>
      </c>
      <c r="AG685" s="17" t="str">
        <f>IF(M4_Sectores!A89="","",IF(M4_Sectores!P89="","",M4_Sectores!P89))</f>
        <v/>
      </c>
      <c r="AH685" s="17" t="str">
        <f>IF(M4_Sectores!A89="","",IF(M4_Sectores!H89="","",M4_Sectores!H89))</f>
        <v/>
      </c>
      <c r="AI685" s="17" t="str">
        <f>IF(M4_Sectores!A89="","","M4_Sectores!89")</f>
        <v/>
      </c>
      <c r="AJ685" s="17" t="str">
        <f>IF(M4_Sectores!A89="","",IF(M4_Sectores!L89="","Pendiente de momento o resultado",IF(COUNTIFS(M4_Sectores!$A$9:A89,M4_Sectores!A89,M4_Sectores!$D$9:D89,M4_Sectores!D89,M4_Sectores!$H$9:H89,M4_Sectores!H89)=1,"Total del momento","Sector incluido en total")))</f>
        <v/>
      </c>
    </row>
    <row r="686" spans="1:36" ht="55.5" customHeight="1">
      <c r="A686" s="6" t="str">
        <f t="array" ref="A686">IF(682&gt;$S$1204,"",INDEX($T$5:$AJ$1204,MATCH(682,$S$5:$S$1204,0),1))</f>
        <v/>
      </c>
      <c r="B686" s="8" t="str">
        <f t="array" ref="B686">IF(682&gt;$S$1204,"",INDEX($T$5:$AJ$1204,MATCH(682,$S$5:$S$1204,0),2))</f>
        <v/>
      </c>
      <c r="C686" s="10" t="str">
        <f t="array" ref="C686">IF(682&gt;$S$1204,"",INDEX($T$5:$AJ$1204,MATCH(682,$S$5:$S$1204,0),3))</f>
        <v/>
      </c>
      <c r="D686" s="8" t="str">
        <f t="array" ref="D686">IF(682&gt;$S$1204,"",INDEX($T$5:$AJ$1204,MATCH(682,$S$5:$S$1204,0),4))</f>
        <v/>
      </c>
      <c r="E686" s="8" t="str">
        <f t="array" ref="E686">IF(682&gt;$S$1204,"",INDEX($T$5:$AJ$1204,MATCH(682,$S$5:$S$1204,0),5))</f>
        <v/>
      </c>
      <c r="F686" s="8" t="str">
        <f t="array" ref="F686">IF(682&gt;$S$1204,"",INDEX($T$5:$AJ$1204,MATCH(682,$S$5:$S$1204,0),6))</f>
        <v/>
      </c>
      <c r="G686" s="8" t="str">
        <f t="array" ref="G686">IF(682&gt;$S$1204,"",INDEX($T$5:$AJ$1204,MATCH(682,$S$5:$S$1204,0),7))</f>
        <v/>
      </c>
      <c r="H686" s="8" t="str">
        <f t="array" ref="H686">IF(682&gt;$S$1204,"",INDEX($T$5:$AJ$1204,MATCH(682,$S$5:$S$1204,0),8))</f>
        <v/>
      </c>
      <c r="I686" s="8" t="str">
        <f t="array" ref="I686">IF(682&gt;$S$1204,"",INDEX($T$5:$AJ$1204,MATCH(682,$S$5:$S$1204,0),9))</f>
        <v/>
      </c>
      <c r="J686" s="14" t="str">
        <f t="array" ref="J686">IF(682&gt;$S$1204,"",INDEX($T$5:$AJ$1204,MATCH(682,$S$5:$S$1204,0),10))</f>
        <v/>
      </c>
      <c r="K686" s="8" t="str">
        <f t="array" ref="K686">IF(682&gt;$S$1204,"",INDEX($T$5:$AJ$1204,MATCH(682,$S$5:$S$1204,0),11))</f>
        <v/>
      </c>
      <c r="L686" s="8" t="str">
        <f t="array" ref="L686">IF(682&gt;$S$1204,"",INDEX($T$5:$AJ$1204,MATCH(682,$S$5:$S$1204,0),12))</f>
        <v/>
      </c>
      <c r="M686" s="8" t="str">
        <f t="array" ref="M686">IF(682&gt;$S$1204,"",INDEX($T$5:$AJ$1204,MATCH(682,$S$5:$S$1204,0),13))</f>
        <v/>
      </c>
      <c r="N686" s="8" t="str">
        <f t="array" ref="N686">IF(682&gt;$S$1204,"",INDEX($T$5:$AJ$1204,MATCH(682,$S$5:$S$1204,0),14))</f>
        <v/>
      </c>
      <c r="O686" s="15" t="str">
        <f t="array" ref="O686">IF(682&gt;$S$1204,"",INDEX($T$5:$AJ$1204,MATCH(682,$S$5:$S$1204,0),15))</f>
        <v/>
      </c>
      <c r="P686" s="8" t="str">
        <f t="array" ref="P686">IF(682&gt;$S$1204,"",INDEX($T$5:$AJ$1204,MATCH(682,$S$5:$S$1204,0),16))</f>
        <v/>
      </c>
      <c r="Q686" s="8" t="str">
        <f t="array" ref="Q686">IF(682&gt;$S$1204,"",INDEX($T$5:$AJ$1204,MATCH(682,$S$5:$S$1204,0),17))</f>
        <v/>
      </c>
      <c r="R686" s="17"/>
      <c r="S686" s="17">
        <f>S685+IF(M4_Sectores!A90="",0,1)</f>
        <v>0</v>
      </c>
      <c r="T686" s="17" t="str">
        <f>IF(M4_Sectores!A90="","",IF(M4_Sectores!A90="","",M4_Sectores!A90))</f>
        <v/>
      </c>
      <c r="U686" s="17" t="str">
        <f>IF(M4_Sectores!A90="","",IF(M4_Sectores!Q90="","",M4_Sectores!Q90))</f>
        <v/>
      </c>
      <c r="V686" s="17" t="str">
        <f>IF(M4_Sectores!A90="","",IF(M4_Sectores!D90="","",M4_Sectores!D90))</f>
        <v/>
      </c>
      <c r="W686" s="17" t="str">
        <f>IF(M4_Sectores!A90="","",IF(M4_Sectores!B90="","",M4_Sectores!B90))</f>
        <v/>
      </c>
      <c r="X686" s="17" t="str">
        <f>IF(M4_Sectores!A90="","",IF(M4_Sectores!C90="","",M4_Sectores!C90))</f>
        <v/>
      </c>
      <c r="Y686" s="17" t="str">
        <f>IF(M4_Sectores!A90="","",IF(M4_Sectores!E90="","",M4_Sectores!E90))</f>
        <v/>
      </c>
      <c r="Z686" s="17" t="str">
        <f>IF(M4_Sectores!A90="","",IF(M4_Sectores!F90="","",M4_Sectores!F90))</f>
        <v/>
      </c>
      <c r="AA686" s="17" t="str">
        <f>IF(M4_Sectores!A90="","","M4 Sectores")</f>
        <v/>
      </c>
      <c r="AB686" s="17" t="str">
        <f>IF(M4_Sectores!A90="","",IF(M4_Sectores!G90="","",M4_Sectores!G90))</f>
        <v/>
      </c>
      <c r="AC686" s="17" t="str">
        <f>IF(M4_Sectores!A90="","",IF(COUNTIFS(M4_Sectores!$A$9:A90,M4_Sectores!A90,M4_Sectores!$D$9:D90,M4_Sectores!D90,M4_Sectores!$H$9:H90,M4_Sectores!H90)=1,IF(M4_Sectores!L90="","",M4_Sectores!L90),""))</f>
        <v/>
      </c>
      <c r="AD686" s="17" t="str">
        <f>IF(M4_Sectores!A90="","","EE")</f>
        <v/>
      </c>
      <c r="AE686" s="17" t="str">
        <f>IF(M4_Sectores!A90="","",IF(M4_Sectores!N90="","",M4_Sectores!N90))</f>
        <v/>
      </c>
      <c r="AF686" s="17" t="str">
        <f>IF(M4_Sectores!A90="","",IF(M4_Sectores!O90="","",M4_Sectores!O90))</f>
        <v/>
      </c>
      <c r="AG686" s="17" t="str">
        <f>IF(M4_Sectores!A90="","",IF(M4_Sectores!P90="","",M4_Sectores!P90))</f>
        <v/>
      </c>
      <c r="AH686" s="17" t="str">
        <f>IF(M4_Sectores!A90="","",IF(M4_Sectores!H90="","",M4_Sectores!H90))</f>
        <v/>
      </c>
      <c r="AI686" s="17" t="str">
        <f>IF(M4_Sectores!A90="","","M4_Sectores!90")</f>
        <v/>
      </c>
      <c r="AJ686" s="17" t="str">
        <f>IF(M4_Sectores!A90="","",IF(M4_Sectores!L90="","Pendiente de momento o resultado",IF(COUNTIFS(M4_Sectores!$A$9:A90,M4_Sectores!A90,M4_Sectores!$D$9:D90,M4_Sectores!D90,M4_Sectores!$H$9:H90,M4_Sectores!H90)=1,"Total del momento","Sector incluido en total")))</f>
        <v/>
      </c>
    </row>
    <row r="687" spans="1:36" ht="55.5" customHeight="1">
      <c r="A687" s="6" t="str">
        <f t="array" ref="A687">IF(683&gt;$S$1204,"",INDEX($T$5:$AJ$1204,MATCH(683,$S$5:$S$1204,0),1))</f>
        <v/>
      </c>
      <c r="B687" s="8" t="str">
        <f t="array" ref="B687">IF(683&gt;$S$1204,"",INDEX($T$5:$AJ$1204,MATCH(683,$S$5:$S$1204,0),2))</f>
        <v/>
      </c>
      <c r="C687" s="10" t="str">
        <f t="array" ref="C687">IF(683&gt;$S$1204,"",INDEX($T$5:$AJ$1204,MATCH(683,$S$5:$S$1204,0),3))</f>
        <v/>
      </c>
      <c r="D687" s="8" t="str">
        <f t="array" ref="D687">IF(683&gt;$S$1204,"",INDEX($T$5:$AJ$1204,MATCH(683,$S$5:$S$1204,0),4))</f>
        <v/>
      </c>
      <c r="E687" s="8" t="str">
        <f t="array" ref="E687">IF(683&gt;$S$1204,"",INDEX($T$5:$AJ$1204,MATCH(683,$S$5:$S$1204,0),5))</f>
        <v/>
      </c>
      <c r="F687" s="8" t="str">
        <f t="array" ref="F687">IF(683&gt;$S$1204,"",INDEX($T$5:$AJ$1204,MATCH(683,$S$5:$S$1204,0),6))</f>
        <v/>
      </c>
      <c r="G687" s="8" t="str">
        <f t="array" ref="G687">IF(683&gt;$S$1204,"",INDEX($T$5:$AJ$1204,MATCH(683,$S$5:$S$1204,0),7))</f>
        <v/>
      </c>
      <c r="H687" s="8" t="str">
        <f t="array" ref="H687">IF(683&gt;$S$1204,"",INDEX($T$5:$AJ$1204,MATCH(683,$S$5:$S$1204,0),8))</f>
        <v/>
      </c>
      <c r="I687" s="8" t="str">
        <f t="array" ref="I687">IF(683&gt;$S$1204,"",INDEX($T$5:$AJ$1204,MATCH(683,$S$5:$S$1204,0),9))</f>
        <v/>
      </c>
      <c r="J687" s="14" t="str">
        <f t="array" ref="J687">IF(683&gt;$S$1204,"",INDEX($T$5:$AJ$1204,MATCH(683,$S$5:$S$1204,0),10))</f>
        <v/>
      </c>
      <c r="K687" s="8" t="str">
        <f t="array" ref="K687">IF(683&gt;$S$1204,"",INDEX($T$5:$AJ$1204,MATCH(683,$S$5:$S$1204,0),11))</f>
        <v/>
      </c>
      <c r="L687" s="8" t="str">
        <f t="array" ref="L687">IF(683&gt;$S$1204,"",INDEX($T$5:$AJ$1204,MATCH(683,$S$5:$S$1204,0),12))</f>
        <v/>
      </c>
      <c r="M687" s="8" t="str">
        <f t="array" ref="M687">IF(683&gt;$S$1204,"",INDEX($T$5:$AJ$1204,MATCH(683,$S$5:$S$1204,0),13))</f>
        <v/>
      </c>
      <c r="N687" s="8" t="str">
        <f t="array" ref="N687">IF(683&gt;$S$1204,"",INDEX($T$5:$AJ$1204,MATCH(683,$S$5:$S$1204,0),14))</f>
        <v/>
      </c>
      <c r="O687" s="15" t="str">
        <f t="array" ref="O687">IF(683&gt;$S$1204,"",INDEX($T$5:$AJ$1204,MATCH(683,$S$5:$S$1204,0),15))</f>
        <v/>
      </c>
      <c r="P687" s="8" t="str">
        <f t="array" ref="P687">IF(683&gt;$S$1204,"",INDEX($T$5:$AJ$1204,MATCH(683,$S$5:$S$1204,0),16))</f>
        <v/>
      </c>
      <c r="Q687" s="8" t="str">
        <f t="array" ref="Q687">IF(683&gt;$S$1204,"",INDEX($T$5:$AJ$1204,MATCH(683,$S$5:$S$1204,0),17))</f>
        <v/>
      </c>
      <c r="R687" s="17"/>
      <c r="S687" s="17">
        <f>S686+IF(M4_Sectores!A91="",0,1)</f>
        <v>0</v>
      </c>
      <c r="T687" s="17" t="str">
        <f>IF(M4_Sectores!A91="","",IF(M4_Sectores!A91="","",M4_Sectores!A91))</f>
        <v/>
      </c>
      <c r="U687" s="17" t="str">
        <f>IF(M4_Sectores!A91="","",IF(M4_Sectores!Q91="","",M4_Sectores!Q91))</f>
        <v/>
      </c>
      <c r="V687" s="17" t="str">
        <f>IF(M4_Sectores!A91="","",IF(M4_Sectores!D91="","",M4_Sectores!D91))</f>
        <v/>
      </c>
      <c r="W687" s="17" t="str">
        <f>IF(M4_Sectores!A91="","",IF(M4_Sectores!B91="","",M4_Sectores!B91))</f>
        <v/>
      </c>
      <c r="X687" s="17" t="str">
        <f>IF(M4_Sectores!A91="","",IF(M4_Sectores!C91="","",M4_Sectores!C91))</f>
        <v/>
      </c>
      <c r="Y687" s="17" t="str">
        <f>IF(M4_Sectores!A91="","",IF(M4_Sectores!E91="","",M4_Sectores!E91))</f>
        <v/>
      </c>
      <c r="Z687" s="17" t="str">
        <f>IF(M4_Sectores!A91="","",IF(M4_Sectores!F91="","",M4_Sectores!F91))</f>
        <v/>
      </c>
      <c r="AA687" s="17" t="str">
        <f>IF(M4_Sectores!A91="","","M4 Sectores")</f>
        <v/>
      </c>
      <c r="AB687" s="17" t="str">
        <f>IF(M4_Sectores!A91="","",IF(M4_Sectores!G91="","",M4_Sectores!G91))</f>
        <v/>
      </c>
      <c r="AC687" s="17" t="str">
        <f>IF(M4_Sectores!A91="","",IF(COUNTIFS(M4_Sectores!$A$9:A91,M4_Sectores!A91,M4_Sectores!$D$9:D91,M4_Sectores!D91,M4_Sectores!$H$9:H91,M4_Sectores!H91)=1,IF(M4_Sectores!L91="","",M4_Sectores!L91),""))</f>
        <v/>
      </c>
      <c r="AD687" s="17" t="str">
        <f>IF(M4_Sectores!A91="","","EE")</f>
        <v/>
      </c>
      <c r="AE687" s="17" t="str">
        <f>IF(M4_Sectores!A91="","",IF(M4_Sectores!N91="","",M4_Sectores!N91))</f>
        <v/>
      </c>
      <c r="AF687" s="17" t="str">
        <f>IF(M4_Sectores!A91="","",IF(M4_Sectores!O91="","",M4_Sectores!O91))</f>
        <v/>
      </c>
      <c r="AG687" s="17" t="str">
        <f>IF(M4_Sectores!A91="","",IF(M4_Sectores!P91="","",M4_Sectores!P91))</f>
        <v/>
      </c>
      <c r="AH687" s="17" t="str">
        <f>IF(M4_Sectores!A91="","",IF(M4_Sectores!H91="","",M4_Sectores!H91))</f>
        <v/>
      </c>
      <c r="AI687" s="17" t="str">
        <f>IF(M4_Sectores!A91="","","M4_Sectores!91")</f>
        <v/>
      </c>
      <c r="AJ687" s="17" t="str">
        <f>IF(M4_Sectores!A91="","",IF(M4_Sectores!L91="","Pendiente de momento o resultado",IF(COUNTIFS(M4_Sectores!$A$9:A91,M4_Sectores!A91,M4_Sectores!$D$9:D91,M4_Sectores!D91,M4_Sectores!$H$9:H91,M4_Sectores!H91)=1,"Total del momento","Sector incluido en total")))</f>
        <v/>
      </c>
    </row>
    <row r="688" spans="1:36" ht="55.5" customHeight="1">
      <c r="A688" s="6" t="str">
        <f t="array" ref="A688">IF(684&gt;$S$1204,"",INDEX($T$5:$AJ$1204,MATCH(684,$S$5:$S$1204,0),1))</f>
        <v/>
      </c>
      <c r="B688" s="8" t="str">
        <f t="array" ref="B688">IF(684&gt;$S$1204,"",INDEX($T$5:$AJ$1204,MATCH(684,$S$5:$S$1204,0),2))</f>
        <v/>
      </c>
      <c r="C688" s="10" t="str">
        <f t="array" ref="C688">IF(684&gt;$S$1204,"",INDEX($T$5:$AJ$1204,MATCH(684,$S$5:$S$1204,0),3))</f>
        <v/>
      </c>
      <c r="D688" s="8" t="str">
        <f t="array" ref="D688">IF(684&gt;$S$1204,"",INDEX($T$5:$AJ$1204,MATCH(684,$S$5:$S$1204,0),4))</f>
        <v/>
      </c>
      <c r="E688" s="8" t="str">
        <f t="array" ref="E688">IF(684&gt;$S$1204,"",INDEX($T$5:$AJ$1204,MATCH(684,$S$5:$S$1204,0),5))</f>
        <v/>
      </c>
      <c r="F688" s="8" t="str">
        <f t="array" ref="F688">IF(684&gt;$S$1204,"",INDEX($T$5:$AJ$1204,MATCH(684,$S$5:$S$1204,0),6))</f>
        <v/>
      </c>
      <c r="G688" s="8" t="str">
        <f t="array" ref="G688">IF(684&gt;$S$1204,"",INDEX($T$5:$AJ$1204,MATCH(684,$S$5:$S$1204,0),7))</f>
        <v/>
      </c>
      <c r="H688" s="8" t="str">
        <f t="array" ref="H688">IF(684&gt;$S$1204,"",INDEX($T$5:$AJ$1204,MATCH(684,$S$5:$S$1204,0),8))</f>
        <v/>
      </c>
      <c r="I688" s="8" t="str">
        <f t="array" ref="I688">IF(684&gt;$S$1204,"",INDEX($T$5:$AJ$1204,MATCH(684,$S$5:$S$1204,0),9))</f>
        <v/>
      </c>
      <c r="J688" s="14" t="str">
        <f t="array" ref="J688">IF(684&gt;$S$1204,"",INDEX($T$5:$AJ$1204,MATCH(684,$S$5:$S$1204,0),10))</f>
        <v/>
      </c>
      <c r="K688" s="8" t="str">
        <f t="array" ref="K688">IF(684&gt;$S$1204,"",INDEX($T$5:$AJ$1204,MATCH(684,$S$5:$S$1204,0),11))</f>
        <v/>
      </c>
      <c r="L688" s="8" t="str">
        <f t="array" ref="L688">IF(684&gt;$S$1204,"",INDEX($T$5:$AJ$1204,MATCH(684,$S$5:$S$1204,0),12))</f>
        <v/>
      </c>
      <c r="M688" s="8" t="str">
        <f t="array" ref="M688">IF(684&gt;$S$1204,"",INDEX($T$5:$AJ$1204,MATCH(684,$S$5:$S$1204,0),13))</f>
        <v/>
      </c>
      <c r="N688" s="8" t="str">
        <f t="array" ref="N688">IF(684&gt;$S$1204,"",INDEX($T$5:$AJ$1204,MATCH(684,$S$5:$S$1204,0),14))</f>
        <v/>
      </c>
      <c r="O688" s="15" t="str">
        <f t="array" ref="O688">IF(684&gt;$S$1204,"",INDEX($T$5:$AJ$1204,MATCH(684,$S$5:$S$1204,0),15))</f>
        <v/>
      </c>
      <c r="P688" s="8" t="str">
        <f t="array" ref="P688">IF(684&gt;$S$1204,"",INDEX($T$5:$AJ$1204,MATCH(684,$S$5:$S$1204,0),16))</f>
        <v/>
      </c>
      <c r="Q688" s="8" t="str">
        <f t="array" ref="Q688">IF(684&gt;$S$1204,"",INDEX($T$5:$AJ$1204,MATCH(684,$S$5:$S$1204,0),17))</f>
        <v/>
      </c>
      <c r="R688" s="17"/>
      <c r="S688" s="17">
        <f>S687+IF(M4_Sectores!A92="",0,1)</f>
        <v>0</v>
      </c>
      <c r="T688" s="17" t="str">
        <f>IF(M4_Sectores!A92="","",IF(M4_Sectores!A92="","",M4_Sectores!A92))</f>
        <v/>
      </c>
      <c r="U688" s="17" t="str">
        <f>IF(M4_Sectores!A92="","",IF(M4_Sectores!Q92="","",M4_Sectores!Q92))</f>
        <v/>
      </c>
      <c r="V688" s="17" t="str">
        <f>IF(M4_Sectores!A92="","",IF(M4_Sectores!D92="","",M4_Sectores!D92))</f>
        <v/>
      </c>
      <c r="W688" s="17" t="str">
        <f>IF(M4_Sectores!A92="","",IF(M4_Sectores!B92="","",M4_Sectores!B92))</f>
        <v/>
      </c>
      <c r="X688" s="17" t="str">
        <f>IF(M4_Sectores!A92="","",IF(M4_Sectores!C92="","",M4_Sectores!C92))</f>
        <v/>
      </c>
      <c r="Y688" s="17" t="str">
        <f>IF(M4_Sectores!A92="","",IF(M4_Sectores!E92="","",M4_Sectores!E92))</f>
        <v/>
      </c>
      <c r="Z688" s="17" t="str">
        <f>IF(M4_Sectores!A92="","",IF(M4_Sectores!F92="","",M4_Sectores!F92))</f>
        <v/>
      </c>
      <c r="AA688" s="17" t="str">
        <f>IF(M4_Sectores!A92="","","M4 Sectores")</f>
        <v/>
      </c>
      <c r="AB688" s="17" t="str">
        <f>IF(M4_Sectores!A92="","",IF(M4_Sectores!G92="","",M4_Sectores!G92))</f>
        <v/>
      </c>
      <c r="AC688" s="17" t="str">
        <f>IF(M4_Sectores!A92="","",IF(COUNTIFS(M4_Sectores!$A$9:A92,M4_Sectores!A92,M4_Sectores!$D$9:D92,M4_Sectores!D92,M4_Sectores!$H$9:H92,M4_Sectores!H92)=1,IF(M4_Sectores!L92="","",M4_Sectores!L92),""))</f>
        <v/>
      </c>
      <c r="AD688" s="17" t="str">
        <f>IF(M4_Sectores!A92="","","EE")</f>
        <v/>
      </c>
      <c r="AE688" s="17" t="str">
        <f>IF(M4_Sectores!A92="","",IF(M4_Sectores!N92="","",M4_Sectores!N92))</f>
        <v/>
      </c>
      <c r="AF688" s="17" t="str">
        <f>IF(M4_Sectores!A92="","",IF(M4_Sectores!O92="","",M4_Sectores!O92))</f>
        <v/>
      </c>
      <c r="AG688" s="17" t="str">
        <f>IF(M4_Sectores!A92="","",IF(M4_Sectores!P92="","",M4_Sectores!P92))</f>
        <v/>
      </c>
      <c r="AH688" s="17" t="str">
        <f>IF(M4_Sectores!A92="","",IF(M4_Sectores!H92="","",M4_Sectores!H92))</f>
        <v/>
      </c>
      <c r="AI688" s="17" t="str">
        <f>IF(M4_Sectores!A92="","","M4_Sectores!92")</f>
        <v/>
      </c>
      <c r="AJ688" s="17" t="str">
        <f>IF(M4_Sectores!A92="","",IF(M4_Sectores!L92="","Pendiente de momento o resultado",IF(COUNTIFS(M4_Sectores!$A$9:A92,M4_Sectores!A92,M4_Sectores!$D$9:D92,M4_Sectores!D92,M4_Sectores!$H$9:H92,M4_Sectores!H92)=1,"Total del momento","Sector incluido en total")))</f>
        <v/>
      </c>
    </row>
    <row r="689" spans="1:36" ht="55.5" customHeight="1">
      <c r="A689" s="6" t="str">
        <f t="array" ref="A689">IF(685&gt;$S$1204,"",INDEX($T$5:$AJ$1204,MATCH(685,$S$5:$S$1204,0),1))</f>
        <v/>
      </c>
      <c r="B689" s="8" t="str">
        <f t="array" ref="B689">IF(685&gt;$S$1204,"",INDEX($T$5:$AJ$1204,MATCH(685,$S$5:$S$1204,0),2))</f>
        <v/>
      </c>
      <c r="C689" s="10" t="str">
        <f t="array" ref="C689">IF(685&gt;$S$1204,"",INDEX($T$5:$AJ$1204,MATCH(685,$S$5:$S$1204,0),3))</f>
        <v/>
      </c>
      <c r="D689" s="8" t="str">
        <f t="array" ref="D689">IF(685&gt;$S$1204,"",INDEX($T$5:$AJ$1204,MATCH(685,$S$5:$S$1204,0),4))</f>
        <v/>
      </c>
      <c r="E689" s="8" t="str">
        <f t="array" ref="E689">IF(685&gt;$S$1204,"",INDEX($T$5:$AJ$1204,MATCH(685,$S$5:$S$1204,0),5))</f>
        <v/>
      </c>
      <c r="F689" s="8" t="str">
        <f t="array" ref="F689">IF(685&gt;$S$1204,"",INDEX($T$5:$AJ$1204,MATCH(685,$S$5:$S$1204,0),6))</f>
        <v/>
      </c>
      <c r="G689" s="8" t="str">
        <f t="array" ref="G689">IF(685&gt;$S$1204,"",INDEX($T$5:$AJ$1204,MATCH(685,$S$5:$S$1204,0),7))</f>
        <v/>
      </c>
      <c r="H689" s="8" t="str">
        <f t="array" ref="H689">IF(685&gt;$S$1204,"",INDEX($T$5:$AJ$1204,MATCH(685,$S$5:$S$1204,0),8))</f>
        <v/>
      </c>
      <c r="I689" s="8" t="str">
        <f t="array" ref="I689">IF(685&gt;$S$1204,"",INDEX($T$5:$AJ$1204,MATCH(685,$S$5:$S$1204,0),9))</f>
        <v/>
      </c>
      <c r="J689" s="14" t="str">
        <f t="array" ref="J689">IF(685&gt;$S$1204,"",INDEX($T$5:$AJ$1204,MATCH(685,$S$5:$S$1204,0),10))</f>
        <v/>
      </c>
      <c r="K689" s="8" t="str">
        <f t="array" ref="K689">IF(685&gt;$S$1204,"",INDEX($T$5:$AJ$1204,MATCH(685,$S$5:$S$1204,0),11))</f>
        <v/>
      </c>
      <c r="L689" s="8" t="str">
        <f t="array" ref="L689">IF(685&gt;$S$1204,"",INDEX($T$5:$AJ$1204,MATCH(685,$S$5:$S$1204,0),12))</f>
        <v/>
      </c>
      <c r="M689" s="8" t="str">
        <f t="array" ref="M689">IF(685&gt;$S$1204,"",INDEX($T$5:$AJ$1204,MATCH(685,$S$5:$S$1204,0),13))</f>
        <v/>
      </c>
      <c r="N689" s="8" t="str">
        <f t="array" ref="N689">IF(685&gt;$S$1204,"",INDEX($T$5:$AJ$1204,MATCH(685,$S$5:$S$1204,0),14))</f>
        <v/>
      </c>
      <c r="O689" s="15" t="str">
        <f t="array" ref="O689">IF(685&gt;$S$1204,"",INDEX($T$5:$AJ$1204,MATCH(685,$S$5:$S$1204,0),15))</f>
        <v/>
      </c>
      <c r="P689" s="8" t="str">
        <f t="array" ref="P689">IF(685&gt;$S$1204,"",INDEX($T$5:$AJ$1204,MATCH(685,$S$5:$S$1204,0),16))</f>
        <v/>
      </c>
      <c r="Q689" s="8" t="str">
        <f t="array" ref="Q689">IF(685&gt;$S$1204,"",INDEX($T$5:$AJ$1204,MATCH(685,$S$5:$S$1204,0),17))</f>
        <v/>
      </c>
      <c r="R689" s="17"/>
      <c r="S689" s="17">
        <f>S688+IF(M4_Sectores!A93="",0,1)</f>
        <v>0</v>
      </c>
      <c r="T689" s="17" t="str">
        <f>IF(M4_Sectores!A93="","",IF(M4_Sectores!A93="","",M4_Sectores!A93))</f>
        <v/>
      </c>
      <c r="U689" s="17" t="str">
        <f>IF(M4_Sectores!A93="","",IF(M4_Sectores!Q93="","",M4_Sectores!Q93))</f>
        <v/>
      </c>
      <c r="V689" s="17" t="str">
        <f>IF(M4_Sectores!A93="","",IF(M4_Sectores!D93="","",M4_Sectores!D93))</f>
        <v/>
      </c>
      <c r="W689" s="17" t="str">
        <f>IF(M4_Sectores!A93="","",IF(M4_Sectores!B93="","",M4_Sectores!B93))</f>
        <v/>
      </c>
      <c r="X689" s="17" t="str">
        <f>IF(M4_Sectores!A93="","",IF(M4_Sectores!C93="","",M4_Sectores!C93))</f>
        <v/>
      </c>
      <c r="Y689" s="17" t="str">
        <f>IF(M4_Sectores!A93="","",IF(M4_Sectores!E93="","",M4_Sectores!E93))</f>
        <v/>
      </c>
      <c r="Z689" s="17" t="str">
        <f>IF(M4_Sectores!A93="","",IF(M4_Sectores!F93="","",M4_Sectores!F93))</f>
        <v/>
      </c>
      <c r="AA689" s="17" t="str">
        <f>IF(M4_Sectores!A93="","","M4 Sectores")</f>
        <v/>
      </c>
      <c r="AB689" s="17" t="str">
        <f>IF(M4_Sectores!A93="","",IF(M4_Sectores!G93="","",M4_Sectores!G93))</f>
        <v/>
      </c>
      <c r="AC689" s="17" t="str">
        <f>IF(M4_Sectores!A93="","",IF(COUNTIFS(M4_Sectores!$A$9:A93,M4_Sectores!A93,M4_Sectores!$D$9:D93,M4_Sectores!D93,M4_Sectores!$H$9:H93,M4_Sectores!H93)=1,IF(M4_Sectores!L93="","",M4_Sectores!L93),""))</f>
        <v/>
      </c>
      <c r="AD689" s="17" t="str">
        <f>IF(M4_Sectores!A93="","","EE")</f>
        <v/>
      </c>
      <c r="AE689" s="17" t="str">
        <f>IF(M4_Sectores!A93="","",IF(M4_Sectores!N93="","",M4_Sectores!N93))</f>
        <v/>
      </c>
      <c r="AF689" s="17" t="str">
        <f>IF(M4_Sectores!A93="","",IF(M4_Sectores!O93="","",M4_Sectores!O93))</f>
        <v/>
      </c>
      <c r="AG689" s="17" t="str">
        <f>IF(M4_Sectores!A93="","",IF(M4_Sectores!P93="","",M4_Sectores!P93))</f>
        <v/>
      </c>
      <c r="AH689" s="17" t="str">
        <f>IF(M4_Sectores!A93="","",IF(M4_Sectores!H93="","",M4_Sectores!H93))</f>
        <v/>
      </c>
      <c r="AI689" s="17" t="str">
        <f>IF(M4_Sectores!A93="","","M4_Sectores!93")</f>
        <v/>
      </c>
      <c r="AJ689" s="17" t="str">
        <f>IF(M4_Sectores!A93="","",IF(M4_Sectores!L93="","Pendiente de momento o resultado",IF(COUNTIFS(M4_Sectores!$A$9:A93,M4_Sectores!A93,M4_Sectores!$D$9:D93,M4_Sectores!D93,M4_Sectores!$H$9:H93,M4_Sectores!H93)=1,"Total del momento","Sector incluido en total")))</f>
        <v/>
      </c>
    </row>
    <row r="690" spans="1:36" ht="55.5" customHeight="1">
      <c r="A690" s="6" t="str">
        <f t="array" ref="A690">IF(686&gt;$S$1204,"",INDEX($T$5:$AJ$1204,MATCH(686,$S$5:$S$1204,0),1))</f>
        <v/>
      </c>
      <c r="B690" s="8" t="str">
        <f t="array" ref="B690">IF(686&gt;$S$1204,"",INDEX($T$5:$AJ$1204,MATCH(686,$S$5:$S$1204,0),2))</f>
        <v/>
      </c>
      <c r="C690" s="10" t="str">
        <f t="array" ref="C690">IF(686&gt;$S$1204,"",INDEX($T$5:$AJ$1204,MATCH(686,$S$5:$S$1204,0),3))</f>
        <v/>
      </c>
      <c r="D690" s="8" t="str">
        <f t="array" ref="D690">IF(686&gt;$S$1204,"",INDEX($T$5:$AJ$1204,MATCH(686,$S$5:$S$1204,0),4))</f>
        <v/>
      </c>
      <c r="E690" s="8" t="str">
        <f t="array" ref="E690">IF(686&gt;$S$1204,"",INDEX($T$5:$AJ$1204,MATCH(686,$S$5:$S$1204,0),5))</f>
        <v/>
      </c>
      <c r="F690" s="8" t="str">
        <f t="array" ref="F690">IF(686&gt;$S$1204,"",INDEX($T$5:$AJ$1204,MATCH(686,$S$5:$S$1204,0),6))</f>
        <v/>
      </c>
      <c r="G690" s="8" t="str">
        <f t="array" ref="G690">IF(686&gt;$S$1204,"",INDEX($T$5:$AJ$1204,MATCH(686,$S$5:$S$1204,0),7))</f>
        <v/>
      </c>
      <c r="H690" s="8" t="str">
        <f t="array" ref="H690">IF(686&gt;$S$1204,"",INDEX($T$5:$AJ$1204,MATCH(686,$S$5:$S$1204,0),8))</f>
        <v/>
      </c>
      <c r="I690" s="8" t="str">
        <f t="array" ref="I690">IF(686&gt;$S$1204,"",INDEX($T$5:$AJ$1204,MATCH(686,$S$5:$S$1204,0),9))</f>
        <v/>
      </c>
      <c r="J690" s="14" t="str">
        <f t="array" ref="J690">IF(686&gt;$S$1204,"",INDEX($T$5:$AJ$1204,MATCH(686,$S$5:$S$1204,0),10))</f>
        <v/>
      </c>
      <c r="K690" s="8" t="str">
        <f t="array" ref="K690">IF(686&gt;$S$1204,"",INDEX($T$5:$AJ$1204,MATCH(686,$S$5:$S$1204,0),11))</f>
        <v/>
      </c>
      <c r="L690" s="8" t="str">
        <f t="array" ref="L690">IF(686&gt;$S$1204,"",INDEX($T$5:$AJ$1204,MATCH(686,$S$5:$S$1204,0),12))</f>
        <v/>
      </c>
      <c r="M690" s="8" t="str">
        <f t="array" ref="M690">IF(686&gt;$S$1204,"",INDEX($T$5:$AJ$1204,MATCH(686,$S$5:$S$1204,0),13))</f>
        <v/>
      </c>
      <c r="N690" s="8" t="str">
        <f t="array" ref="N690">IF(686&gt;$S$1204,"",INDEX($T$5:$AJ$1204,MATCH(686,$S$5:$S$1204,0),14))</f>
        <v/>
      </c>
      <c r="O690" s="15" t="str">
        <f t="array" ref="O690">IF(686&gt;$S$1204,"",INDEX($T$5:$AJ$1204,MATCH(686,$S$5:$S$1204,0),15))</f>
        <v/>
      </c>
      <c r="P690" s="8" t="str">
        <f t="array" ref="P690">IF(686&gt;$S$1204,"",INDEX($T$5:$AJ$1204,MATCH(686,$S$5:$S$1204,0),16))</f>
        <v/>
      </c>
      <c r="Q690" s="8" t="str">
        <f t="array" ref="Q690">IF(686&gt;$S$1204,"",INDEX($T$5:$AJ$1204,MATCH(686,$S$5:$S$1204,0),17))</f>
        <v/>
      </c>
      <c r="R690" s="17"/>
      <c r="S690" s="17">
        <f>S689+IF(M4_Sectores!A94="",0,1)</f>
        <v>0</v>
      </c>
      <c r="T690" s="17" t="str">
        <f>IF(M4_Sectores!A94="","",IF(M4_Sectores!A94="","",M4_Sectores!A94))</f>
        <v/>
      </c>
      <c r="U690" s="17" t="str">
        <f>IF(M4_Sectores!A94="","",IF(M4_Sectores!Q94="","",M4_Sectores!Q94))</f>
        <v/>
      </c>
      <c r="V690" s="17" t="str">
        <f>IF(M4_Sectores!A94="","",IF(M4_Sectores!D94="","",M4_Sectores!D94))</f>
        <v/>
      </c>
      <c r="W690" s="17" t="str">
        <f>IF(M4_Sectores!A94="","",IF(M4_Sectores!B94="","",M4_Sectores!B94))</f>
        <v/>
      </c>
      <c r="X690" s="17" t="str">
        <f>IF(M4_Sectores!A94="","",IF(M4_Sectores!C94="","",M4_Sectores!C94))</f>
        <v/>
      </c>
      <c r="Y690" s="17" t="str">
        <f>IF(M4_Sectores!A94="","",IF(M4_Sectores!E94="","",M4_Sectores!E94))</f>
        <v/>
      </c>
      <c r="Z690" s="17" t="str">
        <f>IF(M4_Sectores!A94="","",IF(M4_Sectores!F94="","",M4_Sectores!F94))</f>
        <v/>
      </c>
      <c r="AA690" s="17" t="str">
        <f>IF(M4_Sectores!A94="","","M4 Sectores")</f>
        <v/>
      </c>
      <c r="AB690" s="17" t="str">
        <f>IF(M4_Sectores!A94="","",IF(M4_Sectores!G94="","",M4_Sectores!G94))</f>
        <v/>
      </c>
      <c r="AC690" s="17" t="str">
        <f>IF(M4_Sectores!A94="","",IF(COUNTIFS(M4_Sectores!$A$9:A94,M4_Sectores!A94,M4_Sectores!$D$9:D94,M4_Sectores!D94,M4_Sectores!$H$9:H94,M4_Sectores!H94)=1,IF(M4_Sectores!L94="","",M4_Sectores!L94),""))</f>
        <v/>
      </c>
      <c r="AD690" s="17" t="str">
        <f>IF(M4_Sectores!A94="","","EE")</f>
        <v/>
      </c>
      <c r="AE690" s="17" t="str">
        <f>IF(M4_Sectores!A94="","",IF(M4_Sectores!N94="","",M4_Sectores!N94))</f>
        <v/>
      </c>
      <c r="AF690" s="17" t="str">
        <f>IF(M4_Sectores!A94="","",IF(M4_Sectores!O94="","",M4_Sectores!O94))</f>
        <v/>
      </c>
      <c r="AG690" s="17" t="str">
        <f>IF(M4_Sectores!A94="","",IF(M4_Sectores!P94="","",M4_Sectores!P94))</f>
        <v/>
      </c>
      <c r="AH690" s="17" t="str">
        <f>IF(M4_Sectores!A94="","",IF(M4_Sectores!H94="","",M4_Sectores!H94))</f>
        <v/>
      </c>
      <c r="AI690" s="17" t="str">
        <f>IF(M4_Sectores!A94="","","M4_Sectores!94")</f>
        <v/>
      </c>
      <c r="AJ690" s="17" t="str">
        <f>IF(M4_Sectores!A94="","",IF(M4_Sectores!L94="","Pendiente de momento o resultado",IF(COUNTIFS(M4_Sectores!$A$9:A94,M4_Sectores!A94,M4_Sectores!$D$9:D94,M4_Sectores!D94,M4_Sectores!$H$9:H94,M4_Sectores!H94)=1,"Total del momento","Sector incluido en total")))</f>
        <v/>
      </c>
    </row>
    <row r="691" spans="1:36" ht="55.5" customHeight="1">
      <c r="A691" s="6" t="str">
        <f t="array" ref="A691">IF(687&gt;$S$1204,"",INDEX($T$5:$AJ$1204,MATCH(687,$S$5:$S$1204,0),1))</f>
        <v/>
      </c>
      <c r="B691" s="8" t="str">
        <f t="array" ref="B691">IF(687&gt;$S$1204,"",INDEX($T$5:$AJ$1204,MATCH(687,$S$5:$S$1204,0),2))</f>
        <v/>
      </c>
      <c r="C691" s="10" t="str">
        <f t="array" ref="C691">IF(687&gt;$S$1204,"",INDEX($T$5:$AJ$1204,MATCH(687,$S$5:$S$1204,0),3))</f>
        <v/>
      </c>
      <c r="D691" s="8" t="str">
        <f t="array" ref="D691">IF(687&gt;$S$1204,"",INDEX($T$5:$AJ$1204,MATCH(687,$S$5:$S$1204,0),4))</f>
        <v/>
      </c>
      <c r="E691" s="8" t="str">
        <f t="array" ref="E691">IF(687&gt;$S$1204,"",INDEX($T$5:$AJ$1204,MATCH(687,$S$5:$S$1204,0),5))</f>
        <v/>
      </c>
      <c r="F691" s="8" t="str">
        <f t="array" ref="F691">IF(687&gt;$S$1204,"",INDEX($T$5:$AJ$1204,MATCH(687,$S$5:$S$1204,0),6))</f>
        <v/>
      </c>
      <c r="G691" s="8" t="str">
        <f t="array" ref="G691">IF(687&gt;$S$1204,"",INDEX($T$5:$AJ$1204,MATCH(687,$S$5:$S$1204,0),7))</f>
        <v/>
      </c>
      <c r="H691" s="8" t="str">
        <f t="array" ref="H691">IF(687&gt;$S$1204,"",INDEX($T$5:$AJ$1204,MATCH(687,$S$5:$S$1204,0),8))</f>
        <v/>
      </c>
      <c r="I691" s="8" t="str">
        <f t="array" ref="I691">IF(687&gt;$S$1204,"",INDEX($T$5:$AJ$1204,MATCH(687,$S$5:$S$1204,0),9))</f>
        <v/>
      </c>
      <c r="J691" s="14" t="str">
        <f t="array" ref="J691">IF(687&gt;$S$1204,"",INDEX($T$5:$AJ$1204,MATCH(687,$S$5:$S$1204,0),10))</f>
        <v/>
      </c>
      <c r="K691" s="8" t="str">
        <f t="array" ref="K691">IF(687&gt;$S$1204,"",INDEX($T$5:$AJ$1204,MATCH(687,$S$5:$S$1204,0),11))</f>
        <v/>
      </c>
      <c r="L691" s="8" t="str">
        <f t="array" ref="L691">IF(687&gt;$S$1204,"",INDEX($T$5:$AJ$1204,MATCH(687,$S$5:$S$1204,0),12))</f>
        <v/>
      </c>
      <c r="M691" s="8" t="str">
        <f t="array" ref="M691">IF(687&gt;$S$1204,"",INDEX($T$5:$AJ$1204,MATCH(687,$S$5:$S$1204,0),13))</f>
        <v/>
      </c>
      <c r="N691" s="8" t="str">
        <f t="array" ref="N691">IF(687&gt;$S$1204,"",INDEX($T$5:$AJ$1204,MATCH(687,$S$5:$S$1204,0),14))</f>
        <v/>
      </c>
      <c r="O691" s="15" t="str">
        <f t="array" ref="O691">IF(687&gt;$S$1204,"",INDEX($T$5:$AJ$1204,MATCH(687,$S$5:$S$1204,0),15))</f>
        <v/>
      </c>
      <c r="P691" s="8" t="str">
        <f t="array" ref="P691">IF(687&gt;$S$1204,"",INDEX($T$5:$AJ$1204,MATCH(687,$S$5:$S$1204,0),16))</f>
        <v/>
      </c>
      <c r="Q691" s="8" t="str">
        <f t="array" ref="Q691">IF(687&gt;$S$1204,"",INDEX($T$5:$AJ$1204,MATCH(687,$S$5:$S$1204,0),17))</f>
        <v/>
      </c>
      <c r="R691" s="17"/>
      <c r="S691" s="17">
        <f>S690+IF(M4_Sectores!A95="",0,1)</f>
        <v>0</v>
      </c>
      <c r="T691" s="17" t="str">
        <f>IF(M4_Sectores!A95="","",IF(M4_Sectores!A95="","",M4_Sectores!A95))</f>
        <v/>
      </c>
      <c r="U691" s="17" t="str">
        <f>IF(M4_Sectores!A95="","",IF(M4_Sectores!Q95="","",M4_Sectores!Q95))</f>
        <v/>
      </c>
      <c r="V691" s="17" t="str">
        <f>IF(M4_Sectores!A95="","",IF(M4_Sectores!D95="","",M4_Sectores!D95))</f>
        <v/>
      </c>
      <c r="W691" s="17" t="str">
        <f>IF(M4_Sectores!A95="","",IF(M4_Sectores!B95="","",M4_Sectores!B95))</f>
        <v/>
      </c>
      <c r="X691" s="17" t="str">
        <f>IF(M4_Sectores!A95="","",IF(M4_Sectores!C95="","",M4_Sectores!C95))</f>
        <v/>
      </c>
      <c r="Y691" s="17" t="str">
        <f>IF(M4_Sectores!A95="","",IF(M4_Sectores!E95="","",M4_Sectores!E95))</f>
        <v/>
      </c>
      <c r="Z691" s="17" t="str">
        <f>IF(M4_Sectores!A95="","",IF(M4_Sectores!F95="","",M4_Sectores!F95))</f>
        <v/>
      </c>
      <c r="AA691" s="17" t="str">
        <f>IF(M4_Sectores!A95="","","M4 Sectores")</f>
        <v/>
      </c>
      <c r="AB691" s="17" t="str">
        <f>IF(M4_Sectores!A95="","",IF(M4_Sectores!G95="","",M4_Sectores!G95))</f>
        <v/>
      </c>
      <c r="AC691" s="17" t="str">
        <f>IF(M4_Sectores!A95="","",IF(COUNTIFS(M4_Sectores!$A$9:A95,M4_Sectores!A95,M4_Sectores!$D$9:D95,M4_Sectores!D95,M4_Sectores!$H$9:H95,M4_Sectores!H95)=1,IF(M4_Sectores!L95="","",M4_Sectores!L95),""))</f>
        <v/>
      </c>
      <c r="AD691" s="17" t="str">
        <f>IF(M4_Sectores!A95="","","EE")</f>
        <v/>
      </c>
      <c r="AE691" s="17" t="str">
        <f>IF(M4_Sectores!A95="","",IF(M4_Sectores!N95="","",M4_Sectores!N95))</f>
        <v/>
      </c>
      <c r="AF691" s="17" t="str">
        <f>IF(M4_Sectores!A95="","",IF(M4_Sectores!O95="","",M4_Sectores!O95))</f>
        <v/>
      </c>
      <c r="AG691" s="17" t="str">
        <f>IF(M4_Sectores!A95="","",IF(M4_Sectores!P95="","",M4_Sectores!P95))</f>
        <v/>
      </c>
      <c r="AH691" s="17" t="str">
        <f>IF(M4_Sectores!A95="","",IF(M4_Sectores!H95="","",M4_Sectores!H95))</f>
        <v/>
      </c>
      <c r="AI691" s="17" t="str">
        <f>IF(M4_Sectores!A95="","","M4_Sectores!95")</f>
        <v/>
      </c>
      <c r="AJ691" s="17" t="str">
        <f>IF(M4_Sectores!A95="","",IF(M4_Sectores!L95="","Pendiente de momento o resultado",IF(COUNTIFS(M4_Sectores!$A$9:A95,M4_Sectores!A95,M4_Sectores!$D$9:D95,M4_Sectores!D95,M4_Sectores!$H$9:H95,M4_Sectores!H95)=1,"Total del momento","Sector incluido en total")))</f>
        <v/>
      </c>
    </row>
    <row r="692" spans="1:36" ht="55.5" customHeight="1">
      <c r="A692" s="6" t="str">
        <f t="array" ref="A692">IF(688&gt;$S$1204,"",INDEX($T$5:$AJ$1204,MATCH(688,$S$5:$S$1204,0),1))</f>
        <v/>
      </c>
      <c r="B692" s="8" t="str">
        <f t="array" ref="B692">IF(688&gt;$S$1204,"",INDEX($T$5:$AJ$1204,MATCH(688,$S$5:$S$1204,0),2))</f>
        <v/>
      </c>
      <c r="C692" s="10" t="str">
        <f t="array" ref="C692">IF(688&gt;$S$1204,"",INDEX($T$5:$AJ$1204,MATCH(688,$S$5:$S$1204,0),3))</f>
        <v/>
      </c>
      <c r="D692" s="8" t="str">
        <f t="array" ref="D692">IF(688&gt;$S$1204,"",INDEX($T$5:$AJ$1204,MATCH(688,$S$5:$S$1204,0),4))</f>
        <v/>
      </c>
      <c r="E692" s="8" t="str">
        <f t="array" ref="E692">IF(688&gt;$S$1204,"",INDEX($T$5:$AJ$1204,MATCH(688,$S$5:$S$1204,0),5))</f>
        <v/>
      </c>
      <c r="F692" s="8" t="str">
        <f t="array" ref="F692">IF(688&gt;$S$1204,"",INDEX($T$5:$AJ$1204,MATCH(688,$S$5:$S$1204,0),6))</f>
        <v/>
      </c>
      <c r="G692" s="8" t="str">
        <f t="array" ref="G692">IF(688&gt;$S$1204,"",INDEX($T$5:$AJ$1204,MATCH(688,$S$5:$S$1204,0),7))</f>
        <v/>
      </c>
      <c r="H692" s="8" t="str">
        <f t="array" ref="H692">IF(688&gt;$S$1204,"",INDEX($T$5:$AJ$1204,MATCH(688,$S$5:$S$1204,0),8))</f>
        <v/>
      </c>
      <c r="I692" s="8" t="str">
        <f t="array" ref="I692">IF(688&gt;$S$1204,"",INDEX($T$5:$AJ$1204,MATCH(688,$S$5:$S$1204,0),9))</f>
        <v/>
      </c>
      <c r="J692" s="14" t="str">
        <f t="array" ref="J692">IF(688&gt;$S$1204,"",INDEX($T$5:$AJ$1204,MATCH(688,$S$5:$S$1204,0),10))</f>
        <v/>
      </c>
      <c r="K692" s="8" t="str">
        <f t="array" ref="K692">IF(688&gt;$S$1204,"",INDEX($T$5:$AJ$1204,MATCH(688,$S$5:$S$1204,0),11))</f>
        <v/>
      </c>
      <c r="L692" s="8" t="str">
        <f t="array" ref="L692">IF(688&gt;$S$1204,"",INDEX($T$5:$AJ$1204,MATCH(688,$S$5:$S$1204,0),12))</f>
        <v/>
      </c>
      <c r="M692" s="8" t="str">
        <f t="array" ref="M692">IF(688&gt;$S$1204,"",INDEX($T$5:$AJ$1204,MATCH(688,$S$5:$S$1204,0),13))</f>
        <v/>
      </c>
      <c r="N692" s="8" t="str">
        <f t="array" ref="N692">IF(688&gt;$S$1204,"",INDEX($T$5:$AJ$1204,MATCH(688,$S$5:$S$1204,0),14))</f>
        <v/>
      </c>
      <c r="O692" s="15" t="str">
        <f t="array" ref="O692">IF(688&gt;$S$1204,"",INDEX($T$5:$AJ$1204,MATCH(688,$S$5:$S$1204,0),15))</f>
        <v/>
      </c>
      <c r="P692" s="8" t="str">
        <f t="array" ref="P692">IF(688&gt;$S$1204,"",INDEX($T$5:$AJ$1204,MATCH(688,$S$5:$S$1204,0),16))</f>
        <v/>
      </c>
      <c r="Q692" s="8" t="str">
        <f t="array" ref="Q692">IF(688&gt;$S$1204,"",INDEX($T$5:$AJ$1204,MATCH(688,$S$5:$S$1204,0),17))</f>
        <v/>
      </c>
      <c r="R692" s="17"/>
      <c r="S692" s="17">
        <f>S691+IF(M4_Sectores!A96="",0,1)</f>
        <v>0</v>
      </c>
      <c r="T692" s="17" t="str">
        <f>IF(M4_Sectores!A96="","",IF(M4_Sectores!A96="","",M4_Sectores!A96))</f>
        <v/>
      </c>
      <c r="U692" s="17" t="str">
        <f>IF(M4_Sectores!A96="","",IF(M4_Sectores!Q96="","",M4_Sectores!Q96))</f>
        <v/>
      </c>
      <c r="V692" s="17" t="str">
        <f>IF(M4_Sectores!A96="","",IF(M4_Sectores!D96="","",M4_Sectores!D96))</f>
        <v/>
      </c>
      <c r="W692" s="17" t="str">
        <f>IF(M4_Sectores!A96="","",IF(M4_Sectores!B96="","",M4_Sectores!B96))</f>
        <v/>
      </c>
      <c r="X692" s="17" t="str">
        <f>IF(M4_Sectores!A96="","",IF(M4_Sectores!C96="","",M4_Sectores!C96))</f>
        <v/>
      </c>
      <c r="Y692" s="17" t="str">
        <f>IF(M4_Sectores!A96="","",IF(M4_Sectores!E96="","",M4_Sectores!E96))</f>
        <v/>
      </c>
      <c r="Z692" s="17" t="str">
        <f>IF(M4_Sectores!A96="","",IF(M4_Sectores!F96="","",M4_Sectores!F96))</f>
        <v/>
      </c>
      <c r="AA692" s="17" t="str">
        <f>IF(M4_Sectores!A96="","","M4 Sectores")</f>
        <v/>
      </c>
      <c r="AB692" s="17" t="str">
        <f>IF(M4_Sectores!A96="","",IF(M4_Sectores!G96="","",M4_Sectores!G96))</f>
        <v/>
      </c>
      <c r="AC692" s="17" t="str">
        <f>IF(M4_Sectores!A96="","",IF(COUNTIFS(M4_Sectores!$A$9:A96,M4_Sectores!A96,M4_Sectores!$D$9:D96,M4_Sectores!D96,M4_Sectores!$H$9:H96,M4_Sectores!H96)=1,IF(M4_Sectores!L96="","",M4_Sectores!L96),""))</f>
        <v/>
      </c>
      <c r="AD692" s="17" t="str">
        <f>IF(M4_Sectores!A96="","","EE")</f>
        <v/>
      </c>
      <c r="AE692" s="17" t="str">
        <f>IF(M4_Sectores!A96="","",IF(M4_Sectores!N96="","",M4_Sectores!N96))</f>
        <v/>
      </c>
      <c r="AF692" s="17" t="str">
        <f>IF(M4_Sectores!A96="","",IF(M4_Sectores!O96="","",M4_Sectores!O96))</f>
        <v/>
      </c>
      <c r="AG692" s="17" t="str">
        <f>IF(M4_Sectores!A96="","",IF(M4_Sectores!P96="","",M4_Sectores!P96))</f>
        <v/>
      </c>
      <c r="AH692" s="17" t="str">
        <f>IF(M4_Sectores!A96="","",IF(M4_Sectores!H96="","",M4_Sectores!H96))</f>
        <v/>
      </c>
      <c r="AI692" s="17" t="str">
        <f>IF(M4_Sectores!A96="","","M4_Sectores!96")</f>
        <v/>
      </c>
      <c r="AJ692" s="17" t="str">
        <f>IF(M4_Sectores!A96="","",IF(M4_Sectores!L96="","Pendiente de momento o resultado",IF(COUNTIFS(M4_Sectores!$A$9:A96,M4_Sectores!A96,M4_Sectores!$D$9:D96,M4_Sectores!D96,M4_Sectores!$H$9:H96,M4_Sectores!H96)=1,"Total del momento","Sector incluido en total")))</f>
        <v/>
      </c>
    </row>
    <row r="693" spans="1:36" ht="55.5" customHeight="1">
      <c r="A693" s="6" t="str">
        <f t="array" ref="A693">IF(689&gt;$S$1204,"",INDEX($T$5:$AJ$1204,MATCH(689,$S$5:$S$1204,0),1))</f>
        <v/>
      </c>
      <c r="B693" s="8" t="str">
        <f t="array" ref="B693">IF(689&gt;$S$1204,"",INDEX($T$5:$AJ$1204,MATCH(689,$S$5:$S$1204,0),2))</f>
        <v/>
      </c>
      <c r="C693" s="10" t="str">
        <f t="array" ref="C693">IF(689&gt;$S$1204,"",INDEX($T$5:$AJ$1204,MATCH(689,$S$5:$S$1204,0),3))</f>
        <v/>
      </c>
      <c r="D693" s="8" t="str">
        <f t="array" ref="D693">IF(689&gt;$S$1204,"",INDEX($T$5:$AJ$1204,MATCH(689,$S$5:$S$1204,0),4))</f>
        <v/>
      </c>
      <c r="E693" s="8" t="str">
        <f t="array" ref="E693">IF(689&gt;$S$1204,"",INDEX($T$5:$AJ$1204,MATCH(689,$S$5:$S$1204,0),5))</f>
        <v/>
      </c>
      <c r="F693" s="8" t="str">
        <f t="array" ref="F693">IF(689&gt;$S$1204,"",INDEX($T$5:$AJ$1204,MATCH(689,$S$5:$S$1204,0),6))</f>
        <v/>
      </c>
      <c r="G693" s="8" t="str">
        <f t="array" ref="G693">IF(689&gt;$S$1204,"",INDEX($T$5:$AJ$1204,MATCH(689,$S$5:$S$1204,0),7))</f>
        <v/>
      </c>
      <c r="H693" s="8" t="str">
        <f t="array" ref="H693">IF(689&gt;$S$1204,"",INDEX($T$5:$AJ$1204,MATCH(689,$S$5:$S$1204,0),8))</f>
        <v/>
      </c>
      <c r="I693" s="8" t="str">
        <f t="array" ref="I693">IF(689&gt;$S$1204,"",INDEX($T$5:$AJ$1204,MATCH(689,$S$5:$S$1204,0),9))</f>
        <v/>
      </c>
      <c r="J693" s="14" t="str">
        <f t="array" ref="J693">IF(689&gt;$S$1204,"",INDEX($T$5:$AJ$1204,MATCH(689,$S$5:$S$1204,0),10))</f>
        <v/>
      </c>
      <c r="K693" s="8" t="str">
        <f t="array" ref="K693">IF(689&gt;$S$1204,"",INDEX($T$5:$AJ$1204,MATCH(689,$S$5:$S$1204,0),11))</f>
        <v/>
      </c>
      <c r="L693" s="8" t="str">
        <f t="array" ref="L693">IF(689&gt;$S$1204,"",INDEX($T$5:$AJ$1204,MATCH(689,$S$5:$S$1204,0),12))</f>
        <v/>
      </c>
      <c r="M693" s="8" t="str">
        <f t="array" ref="M693">IF(689&gt;$S$1204,"",INDEX($T$5:$AJ$1204,MATCH(689,$S$5:$S$1204,0),13))</f>
        <v/>
      </c>
      <c r="N693" s="8" t="str">
        <f t="array" ref="N693">IF(689&gt;$S$1204,"",INDEX($T$5:$AJ$1204,MATCH(689,$S$5:$S$1204,0),14))</f>
        <v/>
      </c>
      <c r="O693" s="15" t="str">
        <f t="array" ref="O693">IF(689&gt;$S$1204,"",INDEX($T$5:$AJ$1204,MATCH(689,$S$5:$S$1204,0),15))</f>
        <v/>
      </c>
      <c r="P693" s="8" t="str">
        <f t="array" ref="P693">IF(689&gt;$S$1204,"",INDEX($T$5:$AJ$1204,MATCH(689,$S$5:$S$1204,0),16))</f>
        <v/>
      </c>
      <c r="Q693" s="8" t="str">
        <f t="array" ref="Q693">IF(689&gt;$S$1204,"",INDEX($T$5:$AJ$1204,MATCH(689,$S$5:$S$1204,0),17))</f>
        <v/>
      </c>
      <c r="R693" s="17"/>
      <c r="S693" s="17">
        <f>S692+IF(M4_Sectores!A97="",0,1)</f>
        <v>0</v>
      </c>
      <c r="T693" s="17" t="str">
        <f>IF(M4_Sectores!A97="","",IF(M4_Sectores!A97="","",M4_Sectores!A97))</f>
        <v/>
      </c>
      <c r="U693" s="17" t="str">
        <f>IF(M4_Sectores!A97="","",IF(M4_Sectores!Q97="","",M4_Sectores!Q97))</f>
        <v/>
      </c>
      <c r="V693" s="17" t="str">
        <f>IF(M4_Sectores!A97="","",IF(M4_Sectores!D97="","",M4_Sectores!D97))</f>
        <v/>
      </c>
      <c r="W693" s="17" t="str">
        <f>IF(M4_Sectores!A97="","",IF(M4_Sectores!B97="","",M4_Sectores!B97))</f>
        <v/>
      </c>
      <c r="X693" s="17" t="str">
        <f>IF(M4_Sectores!A97="","",IF(M4_Sectores!C97="","",M4_Sectores!C97))</f>
        <v/>
      </c>
      <c r="Y693" s="17" t="str">
        <f>IF(M4_Sectores!A97="","",IF(M4_Sectores!E97="","",M4_Sectores!E97))</f>
        <v/>
      </c>
      <c r="Z693" s="17" t="str">
        <f>IF(M4_Sectores!A97="","",IF(M4_Sectores!F97="","",M4_Sectores!F97))</f>
        <v/>
      </c>
      <c r="AA693" s="17" t="str">
        <f>IF(M4_Sectores!A97="","","M4 Sectores")</f>
        <v/>
      </c>
      <c r="AB693" s="17" t="str">
        <f>IF(M4_Sectores!A97="","",IF(M4_Sectores!G97="","",M4_Sectores!G97))</f>
        <v/>
      </c>
      <c r="AC693" s="17" t="str">
        <f>IF(M4_Sectores!A97="","",IF(COUNTIFS(M4_Sectores!$A$9:A97,M4_Sectores!A97,M4_Sectores!$D$9:D97,M4_Sectores!D97,M4_Sectores!$H$9:H97,M4_Sectores!H97)=1,IF(M4_Sectores!L97="","",M4_Sectores!L97),""))</f>
        <v/>
      </c>
      <c r="AD693" s="17" t="str">
        <f>IF(M4_Sectores!A97="","","EE")</f>
        <v/>
      </c>
      <c r="AE693" s="17" t="str">
        <f>IF(M4_Sectores!A97="","",IF(M4_Sectores!N97="","",M4_Sectores!N97))</f>
        <v/>
      </c>
      <c r="AF693" s="17" t="str">
        <f>IF(M4_Sectores!A97="","",IF(M4_Sectores!O97="","",M4_Sectores!O97))</f>
        <v/>
      </c>
      <c r="AG693" s="17" t="str">
        <f>IF(M4_Sectores!A97="","",IF(M4_Sectores!P97="","",M4_Sectores!P97))</f>
        <v/>
      </c>
      <c r="AH693" s="17" t="str">
        <f>IF(M4_Sectores!A97="","",IF(M4_Sectores!H97="","",M4_Sectores!H97))</f>
        <v/>
      </c>
      <c r="AI693" s="17" t="str">
        <f>IF(M4_Sectores!A97="","","M4_Sectores!97")</f>
        <v/>
      </c>
      <c r="AJ693" s="17" t="str">
        <f>IF(M4_Sectores!A97="","",IF(M4_Sectores!L97="","Pendiente de momento o resultado",IF(COUNTIFS(M4_Sectores!$A$9:A97,M4_Sectores!A97,M4_Sectores!$D$9:D97,M4_Sectores!D97,M4_Sectores!$H$9:H97,M4_Sectores!H97)=1,"Total del momento","Sector incluido en total")))</f>
        <v/>
      </c>
    </row>
    <row r="694" spans="1:36" ht="55.5" customHeight="1">
      <c r="A694" s="6" t="str">
        <f t="array" ref="A694">IF(690&gt;$S$1204,"",INDEX($T$5:$AJ$1204,MATCH(690,$S$5:$S$1204,0),1))</f>
        <v/>
      </c>
      <c r="B694" s="8" t="str">
        <f t="array" ref="B694">IF(690&gt;$S$1204,"",INDEX($T$5:$AJ$1204,MATCH(690,$S$5:$S$1204,0),2))</f>
        <v/>
      </c>
      <c r="C694" s="10" t="str">
        <f t="array" ref="C694">IF(690&gt;$S$1204,"",INDEX($T$5:$AJ$1204,MATCH(690,$S$5:$S$1204,0),3))</f>
        <v/>
      </c>
      <c r="D694" s="8" t="str">
        <f t="array" ref="D694">IF(690&gt;$S$1204,"",INDEX($T$5:$AJ$1204,MATCH(690,$S$5:$S$1204,0),4))</f>
        <v/>
      </c>
      <c r="E694" s="8" t="str">
        <f t="array" ref="E694">IF(690&gt;$S$1204,"",INDEX($T$5:$AJ$1204,MATCH(690,$S$5:$S$1204,0),5))</f>
        <v/>
      </c>
      <c r="F694" s="8" t="str">
        <f t="array" ref="F694">IF(690&gt;$S$1204,"",INDEX($T$5:$AJ$1204,MATCH(690,$S$5:$S$1204,0),6))</f>
        <v/>
      </c>
      <c r="G694" s="8" t="str">
        <f t="array" ref="G694">IF(690&gt;$S$1204,"",INDEX($T$5:$AJ$1204,MATCH(690,$S$5:$S$1204,0),7))</f>
        <v/>
      </c>
      <c r="H694" s="8" t="str">
        <f t="array" ref="H694">IF(690&gt;$S$1204,"",INDEX($T$5:$AJ$1204,MATCH(690,$S$5:$S$1204,0),8))</f>
        <v/>
      </c>
      <c r="I694" s="8" t="str">
        <f t="array" ref="I694">IF(690&gt;$S$1204,"",INDEX($T$5:$AJ$1204,MATCH(690,$S$5:$S$1204,0),9))</f>
        <v/>
      </c>
      <c r="J694" s="14" t="str">
        <f t="array" ref="J694">IF(690&gt;$S$1204,"",INDEX($T$5:$AJ$1204,MATCH(690,$S$5:$S$1204,0),10))</f>
        <v/>
      </c>
      <c r="K694" s="8" t="str">
        <f t="array" ref="K694">IF(690&gt;$S$1204,"",INDEX($T$5:$AJ$1204,MATCH(690,$S$5:$S$1204,0),11))</f>
        <v/>
      </c>
      <c r="L694" s="8" t="str">
        <f t="array" ref="L694">IF(690&gt;$S$1204,"",INDEX($T$5:$AJ$1204,MATCH(690,$S$5:$S$1204,0),12))</f>
        <v/>
      </c>
      <c r="M694" s="8" t="str">
        <f t="array" ref="M694">IF(690&gt;$S$1204,"",INDEX($T$5:$AJ$1204,MATCH(690,$S$5:$S$1204,0),13))</f>
        <v/>
      </c>
      <c r="N694" s="8" t="str">
        <f t="array" ref="N694">IF(690&gt;$S$1204,"",INDEX($T$5:$AJ$1204,MATCH(690,$S$5:$S$1204,0),14))</f>
        <v/>
      </c>
      <c r="O694" s="15" t="str">
        <f t="array" ref="O694">IF(690&gt;$S$1204,"",INDEX($T$5:$AJ$1204,MATCH(690,$S$5:$S$1204,0),15))</f>
        <v/>
      </c>
      <c r="P694" s="8" t="str">
        <f t="array" ref="P694">IF(690&gt;$S$1204,"",INDEX($T$5:$AJ$1204,MATCH(690,$S$5:$S$1204,0),16))</f>
        <v/>
      </c>
      <c r="Q694" s="8" t="str">
        <f t="array" ref="Q694">IF(690&gt;$S$1204,"",INDEX($T$5:$AJ$1204,MATCH(690,$S$5:$S$1204,0),17))</f>
        <v/>
      </c>
      <c r="R694" s="17"/>
      <c r="S694" s="17">
        <f>S693+IF(M4_Sectores!A98="",0,1)</f>
        <v>0</v>
      </c>
      <c r="T694" s="17" t="str">
        <f>IF(M4_Sectores!A98="","",IF(M4_Sectores!A98="","",M4_Sectores!A98))</f>
        <v/>
      </c>
      <c r="U694" s="17" t="str">
        <f>IF(M4_Sectores!A98="","",IF(M4_Sectores!Q98="","",M4_Sectores!Q98))</f>
        <v/>
      </c>
      <c r="V694" s="17" t="str">
        <f>IF(M4_Sectores!A98="","",IF(M4_Sectores!D98="","",M4_Sectores!D98))</f>
        <v/>
      </c>
      <c r="W694" s="17" t="str">
        <f>IF(M4_Sectores!A98="","",IF(M4_Sectores!B98="","",M4_Sectores!B98))</f>
        <v/>
      </c>
      <c r="X694" s="17" t="str">
        <f>IF(M4_Sectores!A98="","",IF(M4_Sectores!C98="","",M4_Sectores!C98))</f>
        <v/>
      </c>
      <c r="Y694" s="17" t="str">
        <f>IF(M4_Sectores!A98="","",IF(M4_Sectores!E98="","",M4_Sectores!E98))</f>
        <v/>
      </c>
      <c r="Z694" s="17" t="str">
        <f>IF(M4_Sectores!A98="","",IF(M4_Sectores!F98="","",M4_Sectores!F98))</f>
        <v/>
      </c>
      <c r="AA694" s="17" t="str">
        <f>IF(M4_Sectores!A98="","","M4 Sectores")</f>
        <v/>
      </c>
      <c r="AB694" s="17" t="str">
        <f>IF(M4_Sectores!A98="","",IF(M4_Sectores!G98="","",M4_Sectores!G98))</f>
        <v/>
      </c>
      <c r="AC694" s="17" t="str">
        <f>IF(M4_Sectores!A98="","",IF(COUNTIFS(M4_Sectores!$A$9:A98,M4_Sectores!A98,M4_Sectores!$D$9:D98,M4_Sectores!D98,M4_Sectores!$H$9:H98,M4_Sectores!H98)=1,IF(M4_Sectores!L98="","",M4_Sectores!L98),""))</f>
        <v/>
      </c>
      <c r="AD694" s="17" t="str">
        <f>IF(M4_Sectores!A98="","","EE")</f>
        <v/>
      </c>
      <c r="AE694" s="17" t="str">
        <f>IF(M4_Sectores!A98="","",IF(M4_Sectores!N98="","",M4_Sectores!N98))</f>
        <v/>
      </c>
      <c r="AF694" s="17" t="str">
        <f>IF(M4_Sectores!A98="","",IF(M4_Sectores!O98="","",M4_Sectores!O98))</f>
        <v/>
      </c>
      <c r="AG694" s="17" t="str">
        <f>IF(M4_Sectores!A98="","",IF(M4_Sectores!P98="","",M4_Sectores!P98))</f>
        <v/>
      </c>
      <c r="AH694" s="17" t="str">
        <f>IF(M4_Sectores!A98="","",IF(M4_Sectores!H98="","",M4_Sectores!H98))</f>
        <v/>
      </c>
      <c r="AI694" s="17" t="str">
        <f>IF(M4_Sectores!A98="","","M4_Sectores!98")</f>
        <v/>
      </c>
      <c r="AJ694" s="17" t="str">
        <f>IF(M4_Sectores!A98="","",IF(M4_Sectores!L98="","Pendiente de momento o resultado",IF(COUNTIFS(M4_Sectores!$A$9:A98,M4_Sectores!A98,M4_Sectores!$D$9:D98,M4_Sectores!D98,M4_Sectores!$H$9:H98,M4_Sectores!H98)=1,"Total del momento","Sector incluido en total")))</f>
        <v/>
      </c>
    </row>
    <row r="695" spans="1:36" ht="55.5" customHeight="1">
      <c r="A695" s="6" t="str">
        <f t="array" ref="A695">IF(691&gt;$S$1204,"",INDEX($T$5:$AJ$1204,MATCH(691,$S$5:$S$1204,0),1))</f>
        <v/>
      </c>
      <c r="B695" s="8" t="str">
        <f t="array" ref="B695">IF(691&gt;$S$1204,"",INDEX($T$5:$AJ$1204,MATCH(691,$S$5:$S$1204,0),2))</f>
        <v/>
      </c>
      <c r="C695" s="10" t="str">
        <f t="array" ref="C695">IF(691&gt;$S$1204,"",INDEX($T$5:$AJ$1204,MATCH(691,$S$5:$S$1204,0),3))</f>
        <v/>
      </c>
      <c r="D695" s="8" t="str">
        <f t="array" ref="D695">IF(691&gt;$S$1204,"",INDEX($T$5:$AJ$1204,MATCH(691,$S$5:$S$1204,0),4))</f>
        <v/>
      </c>
      <c r="E695" s="8" t="str">
        <f t="array" ref="E695">IF(691&gt;$S$1204,"",INDEX($T$5:$AJ$1204,MATCH(691,$S$5:$S$1204,0),5))</f>
        <v/>
      </c>
      <c r="F695" s="8" t="str">
        <f t="array" ref="F695">IF(691&gt;$S$1204,"",INDEX($T$5:$AJ$1204,MATCH(691,$S$5:$S$1204,0),6))</f>
        <v/>
      </c>
      <c r="G695" s="8" t="str">
        <f t="array" ref="G695">IF(691&gt;$S$1204,"",INDEX($T$5:$AJ$1204,MATCH(691,$S$5:$S$1204,0),7))</f>
        <v/>
      </c>
      <c r="H695" s="8" t="str">
        <f t="array" ref="H695">IF(691&gt;$S$1204,"",INDEX($T$5:$AJ$1204,MATCH(691,$S$5:$S$1204,0),8))</f>
        <v/>
      </c>
      <c r="I695" s="8" t="str">
        <f t="array" ref="I695">IF(691&gt;$S$1204,"",INDEX($T$5:$AJ$1204,MATCH(691,$S$5:$S$1204,0),9))</f>
        <v/>
      </c>
      <c r="J695" s="14" t="str">
        <f t="array" ref="J695">IF(691&gt;$S$1204,"",INDEX($T$5:$AJ$1204,MATCH(691,$S$5:$S$1204,0),10))</f>
        <v/>
      </c>
      <c r="K695" s="8" t="str">
        <f t="array" ref="K695">IF(691&gt;$S$1204,"",INDEX($T$5:$AJ$1204,MATCH(691,$S$5:$S$1204,0),11))</f>
        <v/>
      </c>
      <c r="L695" s="8" t="str">
        <f t="array" ref="L695">IF(691&gt;$S$1204,"",INDEX($T$5:$AJ$1204,MATCH(691,$S$5:$S$1204,0),12))</f>
        <v/>
      </c>
      <c r="M695" s="8" t="str">
        <f t="array" ref="M695">IF(691&gt;$S$1204,"",INDEX($T$5:$AJ$1204,MATCH(691,$S$5:$S$1204,0),13))</f>
        <v/>
      </c>
      <c r="N695" s="8" t="str">
        <f t="array" ref="N695">IF(691&gt;$S$1204,"",INDEX($T$5:$AJ$1204,MATCH(691,$S$5:$S$1204,0),14))</f>
        <v/>
      </c>
      <c r="O695" s="15" t="str">
        <f t="array" ref="O695">IF(691&gt;$S$1204,"",INDEX($T$5:$AJ$1204,MATCH(691,$S$5:$S$1204,0),15))</f>
        <v/>
      </c>
      <c r="P695" s="8" t="str">
        <f t="array" ref="P695">IF(691&gt;$S$1204,"",INDEX($T$5:$AJ$1204,MATCH(691,$S$5:$S$1204,0),16))</f>
        <v/>
      </c>
      <c r="Q695" s="8" t="str">
        <f t="array" ref="Q695">IF(691&gt;$S$1204,"",INDEX($T$5:$AJ$1204,MATCH(691,$S$5:$S$1204,0),17))</f>
        <v/>
      </c>
      <c r="R695" s="17"/>
      <c r="S695" s="17">
        <f>S694+IF(M4_Sectores!A99="",0,1)</f>
        <v>0</v>
      </c>
      <c r="T695" s="17" t="str">
        <f>IF(M4_Sectores!A99="","",IF(M4_Sectores!A99="","",M4_Sectores!A99))</f>
        <v/>
      </c>
      <c r="U695" s="17" t="str">
        <f>IF(M4_Sectores!A99="","",IF(M4_Sectores!Q99="","",M4_Sectores!Q99))</f>
        <v/>
      </c>
      <c r="V695" s="17" t="str">
        <f>IF(M4_Sectores!A99="","",IF(M4_Sectores!D99="","",M4_Sectores!D99))</f>
        <v/>
      </c>
      <c r="W695" s="17" t="str">
        <f>IF(M4_Sectores!A99="","",IF(M4_Sectores!B99="","",M4_Sectores!B99))</f>
        <v/>
      </c>
      <c r="X695" s="17" t="str">
        <f>IF(M4_Sectores!A99="","",IF(M4_Sectores!C99="","",M4_Sectores!C99))</f>
        <v/>
      </c>
      <c r="Y695" s="17" t="str">
        <f>IF(M4_Sectores!A99="","",IF(M4_Sectores!E99="","",M4_Sectores!E99))</f>
        <v/>
      </c>
      <c r="Z695" s="17" t="str">
        <f>IF(M4_Sectores!A99="","",IF(M4_Sectores!F99="","",M4_Sectores!F99))</f>
        <v/>
      </c>
      <c r="AA695" s="17" t="str">
        <f>IF(M4_Sectores!A99="","","M4 Sectores")</f>
        <v/>
      </c>
      <c r="AB695" s="17" t="str">
        <f>IF(M4_Sectores!A99="","",IF(M4_Sectores!G99="","",M4_Sectores!G99))</f>
        <v/>
      </c>
      <c r="AC695" s="17" t="str">
        <f>IF(M4_Sectores!A99="","",IF(COUNTIFS(M4_Sectores!$A$9:A99,M4_Sectores!A99,M4_Sectores!$D$9:D99,M4_Sectores!D99,M4_Sectores!$H$9:H99,M4_Sectores!H99)=1,IF(M4_Sectores!L99="","",M4_Sectores!L99),""))</f>
        <v/>
      </c>
      <c r="AD695" s="17" t="str">
        <f>IF(M4_Sectores!A99="","","EE")</f>
        <v/>
      </c>
      <c r="AE695" s="17" t="str">
        <f>IF(M4_Sectores!A99="","",IF(M4_Sectores!N99="","",M4_Sectores!N99))</f>
        <v/>
      </c>
      <c r="AF695" s="17" t="str">
        <f>IF(M4_Sectores!A99="","",IF(M4_Sectores!O99="","",M4_Sectores!O99))</f>
        <v/>
      </c>
      <c r="AG695" s="17" t="str">
        <f>IF(M4_Sectores!A99="","",IF(M4_Sectores!P99="","",M4_Sectores!P99))</f>
        <v/>
      </c>
      <c r="AH695" s="17" t="str">
        <f>IF(M4_Sectores!A99="","",IF(M4_Sectores!H99="","",M4_Sectores!H99))</f>
        <v/>
      </c>
      <c r="AI695" s="17" t="str">
        <f>IF(M4_Sectores!A99="","","M4_Sectores!99")</f>
        <v/>
      </c>
      <c r="AJ695" s="17" t="str">
        <f>IF(M4_Sectores!A99="","",IF(M4_Sectores!L99="","Pendiente de momento o resultado",IF(COUNTIFS(M4_Sectores!$A$9:A99,M4_Sectores!A99,M4_Sectores!$D$9:D99,M4_Sectores!D99,M4_Sectores!$H$9:H99,M4_Sectores!H99)=1,"Total del momento","Sector incluido en total")))</f>
        <v/>
      </c>
    </row>
    <row r="696" spans="1:36" ht="55.5" customHeight="1">
      <c r="A696" s="6" t="str">
        <f t="array" ref="A696">IF(692&gt;$S$1204,"",INDEX($T$5:$AJ$1204,MATCH(692,$S$5:$S$1204,0),1))</f>
        <v/>
      </c>
      <c r="B696" s="8" t="str">
        <f t="array" ref="B696">IF(692&gt;$S$1204,"",INDEX($T$5:$AJ$1204,MATCH(692,$S$5:$S$1204,0),2))</f>
        <v/>
      </c>
      <c r="C696" s="10" t="str">
        <f t="array" ref="C696">IF(692&gt;$S$1204,"",INDEX($T$5:$AJ$1204,MATCH(692,$S$5:$S$1204,0),3))</f>
        <v/>
      </c>
      <c r="D696" s="8" t="str">
        <f t="array" ref="D696">IF(692&gt;$S$1204,"",INDEX($T$5:$AJ$1204,MATCH(692,$S$5:$S$1204,0),4))</f>
        <v/>
      </c>
      <c r="E696" s="8" t="str">
        <f t="array" ref="E696">IF(692&gt;$S$1204,"",INDEX($T$5:$AJ$1204,MATCH(692,$S$5:$S$1204,0),5))</f>
        <v/>
      </c>
      <c r="F696" s="8" t="str">
        <f t="array" ref="F696">IF(692&gt;$S$1204,"",INDEX($T$5:$AJ$1204,MATCH(692,$S$5:$S$1204,0),6))</f>
        <v/>
      </c>
      <c r="G696" s="8" t="str">
        <f t="array" ref="G696">IF(692&gt;$S$1204,"",INDEX($T$5:$AJ$1204,MATCH(692,$S$5:$S$1204,0),7))</f>
        <v/>
      </c>
      <c r="H696" s="8" t="str">
        <f t="array" ref="H696">IF(692&gt;$S$1204,"",INDEX($T$5:$AJ$1204,MATCH(692,$S$5:$S$1204,0),8))</f>
        <v/>
      </c>
      <c r="I696" s="8" t="str">
        <f t="array" ref="I696">IF(692&gt;$S$1204,"",INDEX($T$5:$AJ$1204,MATCH(692,$S$5:$S$1204,0),9))</f>
        <v/>
      </c>
      <c r="J696" s="14" t="str">
        <f t="array" ref="J696">IF(692&gt;$S$1204,"",INDEX($T$5:$AJ$1204,MATCH(692,$S$5:$S$1204,0),10))</f>
        <v/>
      </c>
      <c r="K696" s="8" t="str">
        <f t="array" ref="K696">IF(692&gt;$S$1204,"",INDEX($T$5:$AJ$1204,MATCH(692,$S$5:$S$1204,0),11))</f>
        <v/>
      </c>
      <c r="L696" s="8" t="str">
        <f t="array" ref="L696">IF(692&gt;$S$1204,"",INDEX($T$5:$AJ$1204,MATCH(692,$S$5:$S$1204,0),12))</f>
        <v/>
      </c>
      <c r="M696" s="8" t="str">
        <f t="array" ref="M696">IF(692&gt;$S$1204,"",INDEX($T$5:$AJ$1204,MATCH(692,$S$5:$S$1204,0),13))</f>
        <v/>
      </c>
      <c r="N696" s="8" t="str">
        <f t="array" ref="N696">IF(692&gt;$S$1204,"",INDEX($T$5:$AJ$1204,MATCH(692,$S$5:$S$1204,0),14))</f>
        <v/>
      </c>
      <c r="O696" s="15" t="str">
        <f t="array" ref="O696">IF(692&gt;$S$1204,"",INDEX($T$5:$AJ$1204,MATCH(692,$S$5:$S$1204,0),15))</f>
        <v/>
      </c>
      <c r="P696" s="8" t="str">
        <f t="array" ref="P696">IF(692&gt;$S$1204,"",INDEX($T$5:$AJ$1204,MATCH(692,$S$5:$S$1204,0),16))</f>
        <v/>
      </c>
      <c r="Q696" s="8" t="str">
        <f t="array" ref="Q696">IF(692&gt;$S$1204,"",INDEX($T$5:$AJ$1204,MATCH(692,$S$5:$S$1204,0),17))</f>
        <v/>
      </c>
      <c r="R696" s="17"/>
      <c r="S696" s="17">
        <f>S695+IF(M4_Sectores!A100="",0,1)</f>
        <v>0</v>
      </c>
      <c r="T696" s="17" t="str">
        <f>IF(M4_Sectores!A100="","",IF(M4_Sectores!A100="","",M4_Sectores!A100))</f>
        <v/>
      </c>
      <c r="U696" s="17" t="str">
        <f>IF(M4_Sectores!A100="","",IF(M4_Sectores!Q100="","",M4_Sectores!Q100))</f>
        <v/>
      </c>
      <c r="V696" s="17" t="str">
        <f>IF(M4_Sectores!A100="","",IF(M4_Sectores!D100="","",M4_Sectores!D100))</f>
        <v/>
      </c>
      <c r="W696" s="17" t="str">
        <f>IF(M4_Sectores!A100="","",IF(M4_Sectores!B100="","",M4_Sectores!B100))</f>
        <v/>
      </c>
      <c r="X696" s="17" t="str">
        <f>IF(M4_Sectores!A100="","",IF(M4_Sectores!C100="","",M4_Sectores!C100))</f>
        <v/>
      </c>
      <c r="Y696" s="17" t="str">
        <f>IF(M4_Sectores!A100="","",IF(M4_Sectores!E100="","",M4_Sectores!E100))</f>
        <v/>
      </c>
      <c r="Z696" s="17" t="str">
        <f>IF(M4_Sectores!A100="","",IF(M4_Sectores!F100="","",M4_Sectores!F100))</f>
        <v/>
      </c>
      <c r="AA696" s="17" t="str">
        <f>IF(M4_Sectores!A100="","","M4 Sectores")</f>
        <v/>
      </c>
      <c r="AB696" s="17" t="str">
        <f>IF(M4_Sectores!A100="","",IF(M4_Sectores!G100="","",M4_Sectores!G100))</f>
        <v/>
      </c>
      <c r="AC696" s="17" t="str">
        <f>IF(M4_Sectores!A100="","",IF(COUNTIFS(M4_Sectores!$A$9:A100,M4_Sectores!A100,M4_Sectores!$D$9:D100,M4_Sectores!D100,M4_Sectores!$H$9:H100,M4_Sectores!H100)=1,IF(M4_Sectores!L100="","",M4_Sectores!L100),""))</f>
        <v/>
      </c>
      <c r="AD696" s="17" t="str">
        <f>IF(M4_Sectores!A100="","","EE")</f>
        <v/>
      </c>
      <c r="AE696" s="17" t="str">
        <f>IF(M4_Sectores!A100="","",IF(M4_Sectores!N100="","",M4_Sectores!N100))</f>
        <v/>
      </c>
      <c r="AF696" s="17" t="str">
        <f>IF(M4_Sectores!A100="","",IF(M4_Sectores!O100="","",M4_Sectores!O100))</f>
        <v/>
      </c>
      <c r="AG696" s="17" t="str">
        <f>IF(M4_Sectores!A100="","",IF(M4_Sectores!P100="","",M4_Sectores!P100))</f>
        <v/>
      </c>
      <c r="AH696" s="17" t="str">
        <f>IF(M4_Sectores!A100="","",IF(M4_Sectores!H100="","",M4_Sectores!H100))</f>
        <v/>
      </c>
      <c r="AI696" s="17" t="str">
        <f>IF(M4_Sectores!A100="","","M4_Sectores!100")</f>
        <v/>
      </c>
      <c r="AJ696" s="17" t="str">
        <f>IF(M4_Sectores!A100="","",IF(M4_Sectores!L100="","Pendiente de momento o resultado",IF(COUNTIFS(M4_Sectores!$A$9:A100,M4_Sectores!A100,M4_Sectores!$D$9:D100,M4_Sectores!D100,M4_Sectores!$H$9:H100,M4_Sectores!H100)=1,"Total del momento","Sector incluido en total")))</f>
        <v/>
      </c>
    </row>
    <row r="697" spans="1:36" ht="55.5" customHeight="1">
      <c r="A697" s="6" t="str">
        <f t="array" ref="A697">IF(693&gt;$S$1204,"",INDEX($T$5:$AJ$1204,MATCH(693,$S$5:$S$1204,0),1))</f>
        <v/>
      </c>
      <c r="B697" s="8" t="str">
        <f t="array" ref="B697">IF(693&gt;$S$1204,"",INDEX($T$5:$AJ$1204,MATCH(693,$S$5:$S$1204,0),2))</f>
        <v/>
      </c>
      <c r="C697" s="10" t="str">
        <f t="array" ref="C697">IF(693&gt;$S$1204,"",INDEX($T$5:$AJ$1204,MATCH(693,$S$5:$S$1204,0),3))</f>
        <v/>
      </c>
      <c r="D697" s="8" t="str">
        <f t="array" ref="D697">IF(693&gt;$S$1204,"",INDEX($T$5:$AJ$1204,MATCH(693,$S$5:$S$1204,0),4))</f>
        <v/>
      </c>
      <c r="E697" s="8" t="str">
        <f t="array" ref="E697">IF(693&gt;$S$1204,"",INDEX($T$5:$AJ$1204,MATCH(693,$S$5:$S$1204,0),5))</f>
        <v/>
      </c>
      <c r="F697" s="8" t="str">
        <f t="array" ref="F697">IF(693&gt;$S$1204,"",INDEX($T$5:$AJ$1204,MATCH(693,$S$5:$S$1204,0),6))</f>
        <v/>
      </c>
      <c r="G697" s="8" t="str">
        <f t="array" ref="G697">IF(693&gt;$S$1204,"",INDEX($T$5:$AJ$1204,MATCH(693,$S$5:$S$1204,0),7))</f>
        <v/>
      </c>
      <c r="H697" s="8" t="str">
        <f t="array" ref="H697">IF(693&gt;$S$1204,"",INDEX($T$5:$AJ$1204,MATCH(693,$S$5:$S$1204,0),8))</f>
        <v/>
      </c>
      <c r="I697" s="8" t="str">
        <f t="array" ref="I697">IF(693&gt;$S$1204,"",INDEX($T$5:$AJ$1204,MATCH(693,$S$5:$S$1204,0),9))</f>
        <v/>
      </c>
      <c r="J697" s="14" t="str">
        <f t="array" ref="J697">IF(693&gt;$S$1204,"",INDEX($T$5:$AJ$1204,MATCH(693,$S$5:$S$1204,0),10))</f>
        <v/>
      </c>
      <c r="K697" s="8" t="str">
        <f t="array" ref="K697">IF(693&gt;$S$1204,"",INDEX($T$5:$AJ$1204,MATCH(693,$S$5:$S$1204,0),11))</f>
        <v/>
      </c>
      <c r="L697" s="8" t="str">
        <f t="array" ref="L697">IF(693&gt;$S$1204,"",INDEX($T$5:$AJ$1204,MATCH(693,$S$5:$S$1204,0),12))</f>
        <v/>
      </c>
      <c r="M697" s="8" t="str">
        <f t="array" ref="M697">IF(693&gt;$S$1204,"",INDEX($T$5:$AJ$1204,MATCH(693,$S$5:$S$1204,0),13))</f>
        <v/>
      </c>
      <c r="N697" s="8" t="str">
        <f t="array" ref="N697">IF(693&gt;$S$1204,"",INDEX($T$5:$AJ$1204,MATCH(693,$S$5:$S$1204,0),14))</f>
        <v/>
      </c>
      <c r="O697" s="15" t="str">
        <f t="array" ref="O697">IF(693&gt;$S$1204,"",INDEX($T$5:$AJ$1204,MATCH(693,$S$5:$S$1204,0),15))</f>
        <v/>
      </c>
      <c r="P697" s="8" t="str">
        <f t="array" ref="P697">IF(693&gt;$S$1204,"",INDEX($T$5:$AJ$1204,MATCH(693,$S$5:$S$1204,0),16))</f>
        <v/>
      </c>
      <c r="Q697" s="8" t="str">
        <f t="array" ref="Q697">IF(693&gt;$S$1204,"",INDEX($T$5:$AJ$1204,MATCH(693,$S$5:$S$1204,0),17))</f>
        <v/>
      </c>
      <c r="R697" s="17"/>
      <c r="S697" s="17">
        <f>S696+IF(M4_Sectores!A101="",0,1)</f>
        <v>0</v>
      </c>
      <c r="T697" s="17" t="str">
        <f>IF(M4_Sectores!A101="","",IF(M4_Sectores!A101="","",M4_Sectores!A101))</f>
        <v/>
      </c>
      <c r="U697" s="17" t="str">
        <f>IF(M4_Sectores!A101="","",IF(M4_Sectores!Q101="","",M4_Sectores!Q101))</f>
        <v/>
      </c>
      <c r="V697" s="17" t="str">
        <f>IF(M4_Sectores!A101="","",IF(M4_Sectores!D101="","",M4_Sectores!D101))</f>
        <v/>
      </c>
      <c r="W697" s="17" t="str">
        <f>IF(M4_Sectores!A101="","",IF(M4_Sectores!B101="","",M4_Sectores!B101))</f>
        <v/>
      </c>
      <c r="X697" s="17" t="str">
        <f>IF(M4_Sectores!A101="","",IF(M4_Sectores!C101="","",M4_Sectores!C101))</f>
        <v/>
      </c>
      <c r="Y697" s="17" t="str">
        <f>IF(M4_Sectores!A101="","",IF(M4_Sectores!E101="","",M4_Sectores!E101))</f>
        <v/>
      </c>
      <c r="Z697" s="17" t="str">
        <f>IF(M4_Sectores!A101="","",IF(M4_Sectores!F101="","",M4_Sectores!F101))</f>
        <v/>
      </c>
      <c r="AA697" s="17" t="str">
        <f>IF(M4_Sectores!A101="","","M4 Sectores")</f>
        <v/>
      </c>
      <c r="AB697" s="17" t="str">
        <f>IF(M4_Sectores!A101="","",IF(M4_Sectores!G101="","",M4_Sectores!G101))</f>
        <v/>
      </c>
      <c r="AC697" s="17" t="str">
        <f>IF(M4_Sectores!A101="","",IF(COUNTIFS(M4_Sectores!$A$9:A101,M4_Sectores!A101,M4_Sectores!$D$9:D101,M4_Sectores!D101,M4_Sectores!$H$9:H101,M4_Sectores!H101)=1,IF(M4_Sectores!L101="","",M4_Sectores!L101),""))</f>
        <v/>
      </c>
      <c r="AD697" s="17" t="str">
        <f>IF(M4_Sectores!A101="","","EE")</f>
        <v/>
      </c>
      <c r="AE697" s="17" t="str">
        <f>IF(M4_Sectores!A101="","",IF(M4_Sectores!N101="","",M4_Sectores!N101))</f>
        <v/>
      </c>
      <c r="AF697" s="17" t="str">
        <f>IF(M4_Sectores!A101="","",IF(M4_Sectores!O101="","",M4_Sectores!O101))</f>
        <v/>
      </c>
      <c r="AG697" s="17" t="str">
        <f>IF(M4_Sectores!A101="","",IF(M4_Sectores!P101="","",M4_Sectores!P101))</f>
        <v/>
      </c>
      <c r="AH697" s="17" t="str">
        <f>IF(M4_Sectores!A101="","",IF(M4_Sectores!H101="","",M4_Sectores!H101))</f>
        <v/>
      </c>
      <c r="AI697" s="17" t="str">
        <f>IF(M4_Sectores!A101="","","M4_Sectores!101")</f>
        <v/>
      </c>
      <c r="AJ697" s="17" t="str">
        <f>IF(M4_Sectores!A101="","",IF(M4_Sectores!L101="","Pendiente de momento o resultado",IF(COUNTIFS(M4_Sectores!$A$9:A101,M4_Sectores!A101,M4_Sectores!$D$9:D101,M4_Sectores!D101,M4_Sectores!$H$9:H101,M4_Sectores!H101)=1,"Total del momento","Sector incluido en total")))</f>
        <v/>
      </c>
    </row>
    <row r="698" spans="1:36" ht="55.5" customHeight="1">
      <c r="A698" s="6" t="str">
        <f t="array" ref="A698">IF(694&gt;$S$1204,"",INDEX($T$5:$AJ$1204,MATCH(694,$S$5:$S$1204,0),1))</f>
        <v/>
      </c>
      <c r="B698" s="8" t="str">
        <f t="array" ref="B698">IF(694&gt;$S$1204,"",INDEX($T$5:$AJ$1204,MATCH(694,$S$5:$S$1204,0),2))</f>
        <v/>
      </c>
      <c r="C698" s="10" t="str">
        <f t="array" ref="C698">IF(694&gt;$S$1204,"",INDEX($T$5:$AJ$1204,MATCH(694,$S$5:$S$1204,0),3))</f>
        <v/>
      </c>
      <c r="D698" s="8" t="str">
        <f t="array" ref="D698">IF(694&gt;$S$1204,"",INDEX($T$5:$AJ$1204,MATCH(694,$S$5:$S$1204,0),4))</f>
        <v/>
      </c>
      <c r="E698" s="8" t="str">
        <f t="array" ref="E698">IF(694&gt;$S$1204,"",INDEX($T$5:$AJ$1204,MATCH(694,$S$5:$S$1204,0),5))</f>
        <v/>
      </c>
      <c r="F698" s="8" t="str">
        <f t="array" ref="F698">IF(694&gt;$S$1204,"",INDEX($T$5:$AJ$1204,MATCH(694,$S$5:$S$1204,0),6))</f>
        <v/>
      </c>
      <c r="G698" s="8" t="str">
        <f t="array" ref="G698">IF(694&gt;$S$1204,"",INDEX($T$5:$AJ$1204,MATCH(694,$S$5:$S$1204,0),7))</f>
        <v/>
      </c>
      <c r="H698" s="8" t="str">
        <f t="array" ref="H698">IF(694&gt;$S$1204,"",INDEX($T$5:$AJ$1204,MATCH(694,$S$5:$S$1204,0),8))</f>
        <v/>
      </c>
      <c r="I698" s="8" t="str">
        <f t="array" ref="I698">IF(694&gt;$S$1204,"",INDEX($T$5:$AJ$1204,MATCH(694,$S$5:$S$1204,0),9))</f>
        <v/>
      </c>
      <c r="J698" s="14" t="str">
        <f t="array" ref="J698">IF(694&gt;$S$1204,"",INDEX($T$5:$AJ$1204,MATCH(694,$S$5:$S$1204,0),10))</f>
        <v/>
      </c>
      <c r="K698" s="8" t="str">
        <f t="array" ref="K698">IF(694&gt;$S$1204,"",INDEX($T$5:$AJ$1204,MATCH(694,$S$5:$S$1204,0),11))</f>
        <v/>
      </c>
      <c r="L698" s="8" t="str">
        <f t="array" ref="L698">IF(694&gt;$S$1204,"",INDEX($T$5:$AJ$1204,MATCH(694,$S$5:$S$1204,0),12))</f>
        <v/>
      </c>
      <c r="M698" s="8" t="str">
        <f t="array" ref="M698">IF(694&gt;$S$1204,"",INDEX($T$5:$AJ$1204,MATCH(694,$S$5:$S$1204,0),13))</f>
        <v/>
      </c>
      <c r="N698" s="8" t="str">
        <f t="array" ref="N698">IF(694&gt;$S$1204,"",INDEX($T$5:$AJ$1204,MATCH(694,$S$5:$S$1204,0),14))</f>
        <v/>
      </c>
      <c r="O698" s="15" t="str">
        <f t="array" ref="O698">IF(694&gt;$S$1204,"",INDEX($T$5:$AJ$1204,MATCH(694,$S$5:$S$1204,0),15))</f>
        <v/>
      </c>
      <c r="P698" s="8" t="str">
        <f t="array" ref="P698">IF(694&gt;$S$1204,"",INDEX($T$5:$AJ$1204,MATCH(694,$S$5:$S$1204,0),16))</f>
        <v/>
      </c>
      <c r="Q698" s="8" t="str">
        <f t="array" ref="Q698">IF(694&gt;$S$1204,"",INDEX($T$5:$AJ$1204,MATCH(694,$S$5:$S$1204,0),17))</f>
        <v/>
      </c>
      <c r="R698" s="17"/>
      <c r="S698" s="17">
        <f>S697+IF(M4_Sectores!A102="",0,1)</f>
        <v>0</v>
      </c>
      <c r="T698" s="17" t="str">
        <f>IF(M4_Sectores!A102="","",IF(M4_Sectores!A102="","",M4_Sectores!A102))</f>
        <v/>
      </c>
      <c r="U698" s="17" t="str">
        <f>IF(M4_Sectores!A102="","",IF(M4_Sectores!Q102="","",M4_Sectores!Q102))</f>
        <v/>
      </c>
      <c r="V698" s="17" t="str">
        <f>IF(M4_Sectores!A102="","",IF(M4_Sectores!D102="","",M4_Sectores!D102))</f>
        <v/>
      </c>
      <c r="W698" s="17" t="str">
        <f>IF(M4_Sectores!A102="","",IF(M4_Sectores!B102="","",M4_Sectores!B102))</f>
        <v/>
      </c>
      <c r="X698" s="17" t="str">
        <f>IF(M4_Sectores!A102="","",IF(M4_Sectores!C102="","",M4_Sectores!C102))</f>
        <v/>
      </c>
      <c r="Y698" s="17" t="str">
        <f>IF(M4_Sectores!A102="","",IF(M4_Sectores!E102="","",M4_Sectores!E102))</f>
        <v/>
      </c>
      <c r="Z698" s="17" t="str">
        <f>IF(M4_Sectores!A102="","",IF(M4_Sectores!F102="","",M4_Sectores!F102))</f>
        <v/>
      </c>
      <c r="AA698" s="17" t="str">
        <f>IF(M4_Sectores!A102="","","M4 Sectores")</f>
        <v/>
      </c>
      <c r="AB698" s="17" t="str">
        <f>IF(M4_Sectores!A102="","",IF(M4_Sectores!G102="","",M4_Sectores!G102))</f>
        <v/>
      </c>
      <c r="AC698" s="17" t="str">
        <f>IF(M4_Sectores!A102="","",IF(COUNTIFS(M4_Sectores!$A$9:A102,M4_Sectores!A102,M4_Sectores!$D$9:D102,M4_Sectores!D102,M4_Sectores!$H$9:H102,M4_Sectores!H102)=1,IF(M4_Sectores!L102="","",M4_Sectores!L102),""))</f>
        <v/>
      </c>
      <c r="AD698" s="17" t="str">
        <f>IF(M4_Sectores!A102="","","EE")</f>
        <v/>
      </c>
      <c r="AE698" s="17" t="str">
        <f>IF(M4_Sectores!A102="","",IF(M4_Sectores!N102="","",M4_Sectores!N102))</f>
        <v/>
      </c>
      <c r="AF698" s="17" t="str">
        <f>IF(M4_Sectores!A102="","",IF(M4_Sectores!O102="","",M4_Sectores!O102))</f>
        <v/>
      </c>
      <c r="AG698" s="17" t="str">
        <f>IF(M4_Sectores!A102="","",IF(M4_Sectores!P102="","",M4_Sectores!P102))</f>
        <v/>
      </c>
      <c r="AH698" s="17" t="str">
        <f>IF(M4_Sectores!A102="","",IF(M4_Sectores!H102="","",M4_Sectores!H102))</f>
        <v/>
      </c>
      <c r="AI698" s="17" t="str">
        <f>IF(M4_Sectores!A102="","","M4_Sectores!102")</f>
        <v/>
      </c>
      <c r="AJ698" s="17" t="str">
        <f>IF(M4_Sectores!A102="","",IF(M4_Sectores!L102="","Pendiente de momento o resultado",IF(COUNTIFS(M4_Sectores!$A$9:A102,M4_Sectores!A102,M4_Sectores!$D$9:D102,M4_Sectores!D102,M4_Sectores!$H$9:H102,M4_Sectores!H102)=1,"Total del momento","Sector incluido en total")))</f>
        <v/>
      </c>
    </row>
    <row r="699" spans="1:36" ht="55.5" customHeight="1">
      <c r="A699" s="6" t="str">
        <f t="array" ref="A699">IF(695&gt;$S$1204,"",INDEX($T$5:$AJ$1204,MATCH(695,$S$5:$S$1204,0),1))</f>
        <v/>
      </c>
      <c r="B699" s="8" t="str">
        <f t="array" ref="B699">IF(695&gt;$S$1204,"",INDEX($T$5:$AJ$1204,MATCH(695,$S$5:$S$1204,0),2))</f>
        <v/>
      </c>
      <c r="C699" s="10" t="str">
        <f t="array" ref="C699">IF(695&gt;$S$1204,"",INDEX($T$5:$AJ$1204,MATCH(695,$S$5:$S$1204,0),3))</f>
        <v/>
      </c>
      <c r="D699" s="8" t="str">
        <f t="array" ref="D699">IF(695&gt;$S$1204,"",INDEX($T$5:$AJ$1204,MATCH(695,$S$5:$S$1204,0),4))</f>
        <v/>
      </c>
      <c r="E699" s="8" t="str">
        <f t="array" ref="E699">IF(695&gt;$S$1204,"",INDEX($T$5:$AJ$1204,MATCH(695,$S$5:$S$1204,0),5))</f>
        <v/>
      </c>
      <c r="F699" s="8" t="str">
        <f t="array" ref="F699">IF(695&gt;$S$1204,"",INDEX($T$5:$AJ$1204,MATCH(695,$S$5:$S$1204,0),6))</f>
        <v/>
      </c>
      <c r="G699" s="8" t="str">
        <f t="array" ref="G699">IF(695&gt;$S$1204,"",INDEX($T$5:$AJ$1204,MATCH(695,$S$5:$S$1204,0),7))</f>
        <v/>
      </c>
      <c r="H699" s="8" t="str">
        <f t="array" ref="H699">IF(695&gt;$S$1204,"",INDEX($T$5:$AJ$1204,MATCH(695,$S$5:$S$1204,0),8))</f>
        <v/>
      </c>
      <c r="I699" s="8" t="str">
        <f t="array" ref="I699">IF(695&gt;$S$1204,"",INDEX($T$5:$AJ$1204,MATCH(695,$S$5:$S$1204,0),9))</f>
        <v/>
      </c>
      <c r="J699" s="14" t="str">
        <f t="array" ref="J699">IF(695&gt;$S$1204,"",INDEX($T$5:$AJ$1204,MATCH(695,$S$5:$S$1204,0),10))</f>
        <v/>
      </c>
      <c r="K699" s="8" t="str">
        <f t="array" ref="K699">IF(695&gt;$S$1204,"",INDEX($T$5:$AJ$1204,MATCH(695,$S$5:$S$1204,0),11))</f>
        <v/>
      </c>
      <c r="L699" s="8" t="str">
        <f t="array" ref="L699">IF(695&gt;$S$1204,"",INDEX($T$5:$AJ$1204,MATCH(695,$S$5:$S$1204,0),12))</f>
        <v/>
      </c>
      <c r="M699" s="8" t="str">
        <f t="array" ref="M699">IF(695&gt;$S$1204,"",INDEX($T$5:$AJ$1204,MATCH(695,$S$5:$S$1204,0),13))</f>
        <v/>
      </c>
      <c r="N699" s="8" t="str">
        <f t="array" ref="N699">IF(695&gt;$S$1204,"",INDEX($T$5:$AJ$1204,MATCH(695,$S$5:$S$1204,0),14))</f>
        <v/>
      </c>
      <c r="O699" s="15" t="str">
        <f t="array" ref="O699">IF(695&gt;$S$1204,"",INDEX($T$5:$AJ$1204,MATCH(695,$S$5:$S$1204,0),15))</f>
        <v/>
      </c>
      <c r="P699" s="8" t="str">
        <f t="array" ref="P699">IF(695&gt;$S$1204,"",INDEX($T$5:$AJ$1204,MATCH(695,$S$5:$S$1204,0),16))</f>
        <v/>
      </c>
      <c r="Q699" s="8" t="str">
        <f t="array" ref="Q699">IF(695&gt;$S$1204,"",INDEX($T$5:$AJ$1204,MATCH(695,$S$5:$S$1204,0),17))</f>
        <v/>
      </c>
      <c r="R699" s="17"/>
      <c r="S699" s="17">
        <f>S698+IF(M4_Sectores!A103="",0,1)</f>
        <v>0</v>
      </c>
      <c r="T699" s="17" t="str">
        <f>IF(M4_Sectores!A103="","",IF(M4_Sectores!A103="","",M4_Sectores!A103))</f>
        <v/>
      </c>
      <c r="U699" s="17" t="str">
        <f>IF(M4_Sectores!A103="","",IF(M4_Sectores!Q103="","",M4_Sectores!Q103))</f>
        <v/>
      </c>
      <c r="V699" s="17" t="str">
        <f>IF(M4_Sectores!A103="","",IF(M4_Sectores!D103="","",M4_Sectores!D103))</f>
        <v/>
      </c>
      <c r="W699" s="17" t="str">
        <f>IF(M4_Sectores!A103="","",IF(M4_Sectores!B103="","",M4_Sectores!B103))</f>
        <v/>
      </c>
      <c r="X699" s="17" t="str">
        <f>IF(M4_Sectores!A103="","",IF(M4_Sectores!C103="","",M4_Sectores!C103))</f>
        <v/>
      </c>
      <c r="Y699" s="17" t="str">
        <f>IF(M4_Sectores!A103="","",IF(M4_Sectores!E103="","",M4_Sectores!E103))</f>
        <v/>
      </c>
      <c r="Z699" s="17" t="str">
        <f>IF(M4_Sectores!A103="","",IF(M4_Sectores!F103="","",M4_Sectores!F103))</f>
        <v/>
      </c>
      <c r="AA699" s="17" t="str">
        <f>IF(M4_Sectores!A103="","","M4 Sectores")</f>
        <v/>
      </c>
      <c r="AB699" s="17" t="str">
        <f>IF(M4_Sectores!A103="","",IF(M4_Sectores!G103="","",M4_Sectores!G103))</f>
        <v/>
      </c>
      <c r="AC699" s="17" t="str">
        <f>IF(M4_Sectores!A103="","",IF(COUNTIFS(M4_Sectores!$A$9:A103,M4_Sectores!A103,M4_Sectores!$D$9:D103,M4_Sectores!D103,M4_Sectores!$H$9:H103,M4_Sectores!H103)=1,IF(M4_Sectores!L103="","",M4_Sectores!L103),""))</f>
        <v/>
      </c>
      <c r="AD699" s="17" t="str">
        <f>IF(M4_Sectores!A103="","","EE")</f>
        <v/>
      </c>
      <c r="AE699" s="17" t="str">
        <f>IF(M4_Sectores!A103="","",IF(M4_Sectores!N103="","",M4_Sectores!N103))</f>
        <v/>
      </c>
      <c r="AF699" s="17" t="str">
        <f>IF(M4_Sectores!A103="","",IF(M4_Sectores!O103="","",M4_Sectores!O103))</f>
        <v/>
      </c>
      <c r="AG699" s="17" t="str">
        <f>IF(M4_Sectores!A103="","",IF(M4_Sectores!P103="","",M4_Sectores!P103))</f>
        <v/>
      </c>
      <c r="AH699" s="17" t="str">
        <f>IF(M4_Sectores!A103="","",IF(M4_Sectores!H103="","",M4_Sectores!H103))</f>
        <v/>
      </c>
      <c r="AI699" s="17" t="str">
        <f>IF(M4_Sectores!A103="","","M4_Sectores!103")</f>
        <v/>
      </c>
      <c r="AJ699" s="17" t="str">
        <f>IF(M4_Sectores!A103="","",IF(M4_Sectores!L103="","Pendiente de momento o resultado",IF(COUNTIFS(M4_Sectores!$A$9:A103,M4_Sectores!A103,M4_Sectores!$D$9:D103,M4_Sectores!D103,M4_Sectores!$H$9:H103,M4_Sectores!H103)=1,"Total del momento","Sector incluido en total")))</f>
        <v/>
      </c>
    </row>
    <row r="700" spans="1:36" ht="55.5" customHeight="1">
      <c r="A700" s="6" t="str">
        <f t="array" ref="A700">IF(696&gt;$S$1204,"",INDEX($T$5:$AJ$1204,MATCH(696,$S$5:$S$1204,0),1))</f>
        <v/>
      </c>
      <c r="B700" s="8" t="str">
        <f t="array" ref="B700">IF(696&gt;$S$1204,"",INDEX($T$5:$AJ$1204,MATCH(696,$S$5:$S$1204,0),2))</f>
        <v/>
      </c>
      <c r="C700" s="10" t="str">
        <f t="array" ref="C700">IF(696&gt;$S$1204,"",INDEX($T$5:$AJ$1204,MATCH(696,$S$5:$S$1204,0),3))</f>
        <v/>
      </c>
      <c r="D700" s="8" t="str">
        <f t="array" ref="D700">IF(696&gt;$S$1204,"",INDEX($T$5:$AJ$1204,MATCH(696,$S$5:$S$1204,0),4))</f>
        <v/>
      </c>
      <c r="E700" s="8" t="str">
        <f t="array" ref="E700">IF(696&gt;$S$1204,"",INDEX($T$5:$AJ$1204,MATCH(696,$S$5:$S$1204,0),5))</f>
        <v/>
      </c>
      <c r="F700" s="8" t="str">
        <f t="array" ref="F700">IF(696&gt;$S$1204,"",INDEX($T$5:$AJ$1204,MATCH(696,$S$5:$S$1204,0),6))</f>
        <v/>
      </c>
      <c r="G700" s="8" t="str">
        <f t="array" ref="G700">IF(696&gt;$S$1204,"",INDEX($T$5:$AJ$1204,MATCH(696,$S$5:$S$1204,0),7))</f>
        <v/>
      </c>
      <c r="H700" s="8" t="str">
        <f t="array" ref="H700">IF(696&gt;$S$1204,"",INDEX($T$5:$AJ$1204,MATCH(696,$S$5:$S$1204,0),8))</f>
        <v/>
      </c>
      <c r="I700" s="8" t="str">
        <f t="array" ref="I700">IF(696&gt;$S$1204,"",INDEX($T$5:$AJ$1204,MATCH(696,$S$5:$S$1204,0),9))</f>
        <v/>
      </c>
      <c r="J700" s="14" t="str">
        <f t="array" ref="J700">IF(696&gt;$S$1204,"",INDEX($T$5:$AJ$1204,MATCH(696,$S$5:$S$1204,0),10))</f>
        <v/>
      </c>
      <c r="K700" s="8" t="str">
        <f t="array" ref="K700">IF(696&gt;$S$1204,"",INDEX($T$5:$AJ$1204,MATCH(696,$S$5:$S$1204,0),11))</f>
        <v/>
      </c>
      <c r="L700" s="8" t="str">
        <f t="array" ref="L700">IF(696&gt;$S$1204,"",INDEX($T$5:$AJ$1204,MATCH(696,$S$5:$S$1204,0),12))</f>
        <v/>
      </c>
      <c r="M700" s="8" t="str">
        <f t="array" ref="M700">IF(696&gt;$S$1204,"",INDEX($T$5:$AJ$1204,MATCH(696,$S$5:$S$1204,0),13))</f>
        <v/>
      </c>
      <c r="N700" s="8" t="str">
        <f t="array" ref="N700">IF(696&gt;$S$1204,"",INDEX($T$5:$AJ$1204,MATCH(696,$S$5:$S$1204,0),14))</f>
        <v/>
      </c>
      <c r="O700" s="15" t="str">
        <f t="array" ref="O700">IF(696&gt;$S$1204,"",INDEX($T$5:$AJ$1204,MATCH(696,$S$5:$S$1204,0),15))</f>
        <v/>
      </c>
      <c r="P700" s="8" t="str">
        <f t="array" ref="P700">IF(696&gt;$S$1204,"",INDEX($T$5:$AJ$1204,MATCH(696,$S$5:$S$1204,0),16))</f>
        <v/>
      </c>
      <c r="Q700" s="8" t="str">
        <f t="array" ref="Q700">IF(696&gt;$S$1204,"",INDEX($T$5:$AJ$1204,MATCH(696,$S$5:$S$1204,0),17))</f>
        <v/>
      </c>
      <c r="R700" s="17"/>
      <c r="S700" s="17">
        <f>S699+IF(M4_Sectores!A104="",0,1)</f>
        <v>0</v>
      </c>
      <c r="T700" s="17" t="str">
        <f>IF(M4_Sectores!A104="","",IF(M4_Sectores!A104="","",M4_Sectores!A104))</f>
        <v/>
      </c>
      <c r="U700" s="17" t="str">
        <f>IF(M4_Sectores!A104="","",IF(M4_Sectores!Q104="","",M4_Sectores!Q104))</f>
        <v/>
      </c>
      <c r="V700" s="17" t="str">
        <f>IF(M4_Sectores!A104="","",IF(M4_Sectores!D104="","",M4_Sectores!D104))</f>
        <v/>
      </c>
      <c r="W700" s="17" t="str">
        <f>IF(M4_Sectores!A104="","",IF(M4_Sectores!B104="","",M4_Sectores!B104))</f>
        <v/>
      </c>
      <c r="X700" s="17" t="str">
        <f>IF(M4_Sectores!A104="","",IF(M4_Sectores!C104="","",M4_Sectores!C104))</f>
        <v/>
      </c>
      <c r="Y700" s="17" t="str">
        <f>IF(M4_Sectores!A104="","",IF(M4_Sectores!E104="","",M4_Sectores!E104))</f>
        <v/>
      </c>
      <c r="Z700" s="17" t="str">
        <f>IF(M4_Sectores!A104="","",IF(M4_Sectores!F104="","",M4_Sectores!F104))</f>
        <v/>
      </c>
      <c r="AA700" s="17" t="str">
        <f>IF(M4_Sectores!A104="","","M4 Sectores")</f>
        <v/>
      </c>
      <c r="AB700" s="17" t="str">
        <f>IF(M4_Sectores!A104="","",IF(M4_Sectores!G104="","",M4_Sectores!G104))</f>
        <v/>
      </c>
      <c r="AC700" s="17" t="str">
        <f>IF(M4_Sectores!A104="","",IF(COUNTIFS(M4_Sectores!$A$9:A104,M4_Sectores!A104,M4_Sectores!$D$9:D104,M4_Sectores!D104,M4_Sectores!$H$9:H104,M4_Sectores!H104)=1,IF(M4_Sectores!L104="","",M4_Sectores!L104),""))</f>
        <v/>
      </c>
      <c r="AD700" s="17" t="str">
        <f>IF(M4_Sectores!A104="","","EE")</f>
        <v/>
      </c>
      <c r="AE700" s="17" t="str">
        <f>IF(M4_Sectores!A104="","",IF(M4_Sectores!N104="","",M4_Sectores!N104))</f>
        <v/>
      </c>
      <c r="AF700" s="17" t="str">
        <f>IF(M4_Sectores!A104="","",IF(M4_Sectores!O104="","",M4_Sectores!O104))</f>
        <v/>
      </c>
      <c r="AG700" s="17" t="str">
        <f>IF(M4_Sectores!A104="","",IF(M4_Sectores!P104="","",M4_Sectores!P104))</f>
        <v/>
      </c>
      <c r="AH700" s="17" t="str">
        <f>IF(M4_Sectores!A104="","",IF(M4_Sectores!H104="","",M4_Sectores!H104))</f>
        <v/>
      </c>
      <c r="AI700" s="17" t="str">
        <f>IF(M4_Sectores!A104="","","M4_Sectores!104")</f>
        <v/>
      </c>
      <c r="AJ700" s="17" t="str">
        <f>IF(M4_Sectores!A104="","",IF(M4_Sectores!L104="","Pendiente de momento o resultado",IF(COUNTIFS(M4_Sectores!$A$9:A104,M4_Sectores!A104,M4_Sectores!$D$9:D104,M4_Sectores!D104,M4_Sectores!$H$9:H104,M4_Sectores!H104)=1,"Total del momento","Sector incluido en total")))</f>
        <v/>
      </c>
    </row>
    <row r="701" spans="1:36" ht="55.5" customHeight="1">
      <c r="A701" s="6" t="str">
        <f t="array" ref="A701">IF(697&gt;$S$1204,"",INDEX($T$5:$AJ$1204,MATCH(697,$S$5:$S$1204,0),1))</f>
        <v/>
      </c>
      <c r="B701" s="8" t="str">
        <f t="array" ref="B701">IF(697&gt;$S$1204,"",INDEX($T$5:$AJ$1204,MATCH(697,$S$5:$S$1204,0),2))</f>
        <v/>
      </c>
      <c r="C701" s="10" t="str">
        <f t="array" ref="C701">IF(697&gt;$S$1204,"",INDEX($T$5:$AJ$1204,MATCH(697,$S$5:$S$1204,0),3))</f>
        <v/>
      </c>
      <c r="D701" s="8" t="str">
        <f t="array" ref="D701">IF(697&gt;$S$1204,"",INDEX($T$5:$AJ$1204,MATCH(697,$S$5:$S$1204,0),4))</f>
        <v/>
      </c>
      <c r="E701" s="8" t="str">
        <f t="array" ref="E701">IF(697&gt;$S$1204,"",INDEX($T$5:$AJ$1204,MATCH(697,$S$5:$S$1204,0),5))</f>
        <v/>
      </c>
      <c r="F701" s="8" t="str">
        <f t="array" ref="F701">IF(697&gt;$S$1204,"",INDEX($T$5:$AJ$1204,MATCH(697,$S$5:$S$1204,0),6))</f>
        <v/>
      </c>
      <c r="G701" s="8" t="str">
        <f t="array" ref="G701">IF(697&gt;$S$1204,"",INDEX($T$5:$AJ$1204,MATCH(697,$S$5:$S$1204,0),7))</f>
        <v/>
      </c>
      <c r="H701" s="8" t="str">
        <f t="array" ref="H701">IF(697&gt;$S$1204,"",INDEX($T$5:$AJ$1204,MATCH(697,$S$5:$S$1204,0),8))</f>
        <v/>
      </c>
      <c r="I701" s="8" t="str">
        <f t="array" ref="I701">IF(697&gt;$S$1204,"",INDEX($T$5:$AJ$1204,MATCH(697,$S$5:$S$1204,0),9))</f>
        <v/>
      </c>
      <c r="J701" s="14" t="str">
        <f t="array" ref="J701">IF(697&gt;$S$1204,"",INDEX($T$5:$AJ$1204,MATCH(697,$S$5:$S$1204,0),10))</f>
        <v/>
      </c>
      <c r="K701" s="8" t="str">
        <f t="array" ref="K701">IF(697&gt;$S$1204,"",INDEX($T$5:$AJ$1204,MATCH(697,$S$5:$S$1204,0),11))</f>
        <v/>
      </c>
      <c r="L701" s="8" t="str">
        <f t="array" ref="L701">IF(697&gt;$S$1204,"",INDEX($T$5:$AJ$1204,MATCH(697,$S$5:$S$1204,0),12))</f>
        <v/>
      </c>
      <c r="M701" s="8" t="str">
        <f t="array" ref="M701">IF(697&gt;$S$1204,"",INDEX($T$5:$AJ$1204,MATCH(697,$S$5:$S$1204,0),13))</f>
        <v/>
      </c>
      <c r="N701" s="8" t="str">
        <f t="array" ref="N701">IF(697&gt;$S$1204,"",INDEX($T$5:$AJ$1204,MATCH(697,$S$5:$S$1204,0),14))</f>
        <v/>
      </c>
      <c r="O701" s="15" t="str">
        <f t="array" ref="O701">IF(697&gt;$S$1204,"",INDEX($T$5:$AJ$1204,MATCH(697,$S$5:$S$1204,0),15))</f>
        <v/>
      </c>
      <c r="P701" s="8" t="str">
        <f t="array" ref="P701">IF(697&gt;$S$1204,"",INDEX($T$5:$AJ$1204,MATCH(697,$S$5:$S$1204,0),16))</f>
        <v/>
      </c>
      <c r="Q701" s="8" t="str">
        <f t="array" ref="Q701">IF(697&gt;$S$1204,"",INDEX($T$5:$AJ$1204,MATCH(697,$S$5:$S$1204,0),17))</f>
        <v/>
      </c>
      <c r="R701" s="17"/>
      <c r="S701" s="17">
        <f>S700+IF(M4_Sectores!A105="",0,1)</f>
        <v>0</v>
      </c>
      <c r="T701" s="17" t="str">
        <f>IF(M4_Sectores!A105="","",IF(M4_Sectores!A105="","",M4_Sectores!A105))</f>
        <v/>
      </c>
      <c r="U701" s="17" t="str">
        <f>IF(M4_Sectores!A105="","",IF(M4_Sectores!Q105="","",M4_Sectores!Q105))</f>
        <v/>
      </c>
      <c r="V701" s="17" t="str">
        <f>IF(M4_Sectores!A105="","",IF(M4_Sectores!D105="","",M4_Sectores!D105))</f>
        <v/>
      </c>
      <c r="W701" s="17" t="str">
        <f>IF(M4_Sectores!A105="","",IF(M4_Sectores!B105="","",M4_Sectores!B105))</f>
        <v/>
      </c>
      <c r="X701" s="17" t="str">
        <f>IF(M4_Sectores!A105="","",IF(M4_Sectores!C105="","",M4_Sectores!C105))</f>
        <v/>
      </c>
      <c r="Y701" s="17" t="str">
        <f>IF(M4_Sectores!A105="","",IF(M4_Sectores!E105="","",M4_Sectores!E105))</f>
        <v/>
      </c>
      <c r="Z701" s="17" t="str">
        <f>IF(M4_Sectores!A105="","",IF(M4_Sectores!F105="","",M4_Sectores!F105))</f>
        <v/>
      </c>
      <c r="AA701" s="17" t="str">
        <f>IF(M4_Sectores!A105="","","M4 Sectores")</f>
        <v/>
      </c>
      <c r="AB701" s="17" t="str">
        <f>IF(M4_Sectores!A105="","",IF(M4_Sectores!G105="","",M4_Sectores!G105))</f>
        <v/>
      </c>
      <c r="AC701" s="17" t="str">
        <f>IF(M4_Sectores!A105="","",IF(COUNTIFS(M4_Sectores!$A$9:A105,M4_Sectores!A105,M4_Sectores!$D$9:D105,M4_Sectores!D105,M4_Sectores!$H$9:H105,M4_Sectores!H105)=1,IF(M4_Sectores!L105="","",M4_Sectores!L105),""))</f>
        <v/>
      </c>
      <c r="AD701" s="17" t="str">
        <f>IF(M4_Sectores!A105="","","EE")</f>
        <v/>
      </c>
      <c r="AE701" s="17" t="str">
        <f>IF(M4_Sectores!A105="","",IF(M4_Sectores!N105="","",M4_Sectores!N105))</f>
        <v/>
      </c>
      <c r="AF701" s="17" t="str">
        <f>IF(M4_Sectores!A105="","",IF(M4_Sectores!O105="","",M4_Sectores!O105))</f>
        <v/>
      </c>
      <c r="AG701" s="17" t="str">
        <f>IF(M4_Sectores!A105="","",IF(M4_Sectores!P105="","",M4_Sectores!P105))</f>
        <v/>
      </c>
      <c r="AH701" s="17" t="str">
        <f>IF(M4_Sectores!A105="","",IF(M4_Sectores!H105="","",M4_Sectores!H105))</f>
        <v/>
      </c>
      <c r="AI701" s="17" t="str">
        <f>IF(M4_Sectores!A105="","","M4_Sectores!105")</f>
        <v/>
      </c>
      <c r="AJ701" s="17" t="str">
        <f>IF(M4_Sectores!A105="","",IF(M4_Sectores!L105="","Pendiente de momento o resultado",IF(COUNTIFS(M4_Sectores!$A$9:A105,M4_Sectores!A105,M4_Sectores!$D$9:D105,M4_Sectores!D105,M4_Sectores!$H$9:H105,M4_Sectores!H105)=1,"Total del momento","Sector incluido en total")))</f>
        <v/>
      </c>
    </row>
    <row r="702" spans="1:36" ht="55.5" customHeight="1">
      <c r="A702" s="6" t="str">
        <f t="array" ref="A702">IF(698&gt;$S$1204,"",INDEX($T$5:$AJ$1204,MATCH(698,$S$5:$S$1204,0),1))</f>
        <v/>
      </c>
      <c r="B702" s="8" t="str">
        <f t="array" ref="B702">IF(698&gt;$S$1204,"",INDEX($T$5:$AJ$1204,MATCH(698,$S$5:$S$1204,0),2))</f>
        <v/>
      </c>
      <c r="C702" s="10" t="str">
        <f t="array" ref="C702">IF(698&gt;$S$1204,"",INDEX($T$5:$AJ$1204,MATCH(698,$S$5:$S$1204,0),3))</f>
        <v/>
      </c>
      <c r="D702" s="8" t="str">
        <f t="array" ref="D702">IF(698&gt;$S$1204,"",INDEX($T$5:$AJ$1204,MATCH(698,$S$5:$S$1204,0),4))</f>
        <v/>
      </c>
      <c r="E702" s="8" t="str">
        <f t="array" ref="E702">IF(698&gt;$S$1204,"",INDEX($T$5:$AJ$1204,MATCH(698,$S$5:$S$1204,0),5))</f>
        <v/>
      </c>
      <c r="F702" s="8" t="str">
        <f t="array" ref="F702">IF(698&gt;$S$1204,"",INDEX($T$5:$AJ$1204,MATCH(698,$S$5:$S$1204,0),6))</f>
        <v/>
      </c>
      <c r="G702" s="8" t="str">
        <f t="array" ref="G702">IF(698&gt;$S$1204,"",INDEX($T$5:$AJ$1204,MATCH(698,$S$5:$S$1204,0),7))</f>
        <v/>
      </c>
      <c r="H702" s="8" t="str">
        <f t="array" ref="H702">IF(698&gt;$S$1204,"",INDEX($T$5:$AJ$1204,MATCH(698,$S$5:$S$1204,0),8))</f>
        <v/>
      </c>
      <c r="I702" s="8" t="str">
        <f t="array" ref="I702">IF(698&gt;$S$1204,"",INDEX($T$5:$AJ$1204,MATCH(698,$S$5:$S$1204,0),9))</f>
        <v/>
      </c>
      <c r="J702" s="14" t="str">
        <f t="array" ref="J702">IF(698&gt;$S$1204,"",INDEX($T$5:$AJ$1204,MATCH(698,$S$5:$S$1204,0),10))</f>
        <v/>
      </c>
      <c r="K702" s="8" t="str">
        <f t="array" ref="K702">IF(698&gt;$S$1204,"",INDEX($T$5:$AJ$1204,MATCH(698,$S$5:$S$1204,0),11))</f>
        <v/>
      </c>
      <c r="L702" s="8" t="str">
        <f t="array" ref="L702">IF(698&gt;$S$1204,"",INDEX($T$5:$AJ$1204,MATCH(698,$S$5:$S$1204,0),12))</f>
        <v/>
      </c>
      <c r="M702" s="8" t="str">
        <f t="array" ref="M702">IF(698&gt;$S$1204,"",INDEX($T$5:$AJ$1204,MATCH(698,$S$5:$S$1204,0),13))</f>
        <v/>
      </c>
      <c r="N702" s="8" t="str">
        <f t="array" ref="N702">IF(698&gt;$S$1204,"",INDEX($T$5:$AJ$1204,MATCH(698,$S$5:$S$1204,0),14))</f>
        <v/>
      </c>
      <c r="O702" s="15" t="str">
        <f t="array" ref="O702">IF(698&gt;$S$1204,"",INDEX($T$5:$AJ$1204,MATCH(698,$S$5:$S$1204,0),15))</f>
        <v/>
      </c>
      <c r="P702" s="8" t="str">
        <f t="array" ref="P702">IF(698&gt;$S$1204,"",INDEX($T$5:$AJ$1204,MATCH(698,$S$5:$S$1204,0),16))</f>
        <v/>
      </c>
      <c r="Q702" s="8" t="str">
        <f t="array" ref="Q702">IF(698&gt;$S$1204,"",INDEX($T$5:$AJ$1204,MATCH(698,$S$5:$S$1204,0),17))</f>
        <v/>
      </c>
      <c r="R702" s="17"/>
      <c r="S702" s="17">
        <f>S701+IF(M4_Sectores!A106="",0,1)</f>
        <v>0</v>
      </c>
      <c r="T702" s="17" t="str">
        <f>IF(M4_Sectores!A106="","",IF(M4_Sectores!A106="","",M4_Sectores!A106))</f>
        <v/>
      </c>
      <c r="U702" s="17" t="str">
        <f>IF(M4_Sectores!A106="","",IF(M4_Sectores!Q106="","",M4_Sectores!Q106))</f>
        <v/>
      </c>
      <c r="V702" s="17" t="str">
        <f>IF(M4_Sectores!A106="","",IF(M4_Sectores!D106="","",M4_Sectores!D106))</f>
        <v/>
      </c>
      <c r="W702" s="17" t="str">
        <f>IF(M4_Sectores!A106="","",IF(M4_Sectores!B106="","",M4_Sectores!B106))</f>
        <v/>
      </c>
      <c r="X702" s="17" t="str">
        <f>IF(M4_Sectores!A106="","",IF(M4_Sectores!C106="","",M4_Sectores!C106))</f>
        <v/>
      </c>
      <c r="Y702" s="17" t="str">
        <f>IF(M4_Sectores!A106="","",IF(M4_Sectores!E106="","",M4_Sectores!E106))</f>
        <v/>
      </c>
      <c r="Z702" s="17" t="str">
        <f>IF(M4_Sectores!A106="","",IF(M4_Sectores!F106="","",M4_Sectores!F106))</f>
        <v/>
      </c>
      <c r="AA702" s="17" t="str">
        <f>IF(M4_Sectores!A106="","","M4 Sectores")</f>
        <v/>
      </c>
      <c r="AB702" s="17" t="str">
        <f>IF(M4_Sectores!A106="","",IF(M4_Sectores!G106="","",M4_Sectores!G106))</f>
        <v/>
      </c>
      <c r="AC702" s="17" t="str">
        <f>IF(M4_Sectores!A106="","",IF(COUNTIFS(M4_Sectores!$A$9:A106,M4_Sectores!A106,M4_Sectores!$D$9:D106,M4_Sectores!D106,M4_Sectores!$H$9:H106,M4_Sectores!H106)=1,IF(M4_Sectores!L106="","",M4_Sectores!L106),""))</f>
        <v/>
      </c>
      <c r="AD702" s="17" t="str">
        <f>IF(M4_Sectores!A106="","","EE")</f>
        <v/>
      </c>
      <c r="AE702" s="17" t="str">
        <f>IF(M4_Sectores!A106="","",IF(M4_Sectores!N106="","",M4_Sectores!N106))</f>
        <v/>
      </c>
      <c r="AF702" s="17" t="str">
        <f>IF(M4_Sectores!A106="","",IF(M4_Sectores!O106="","",M4_Sectores!O106))</f>
        <v/>
      </c>
      <c r="AG702" s="17" t="str">
        <f>IF(M4_Sectores!A106="","",IF(M4_Sectores!P106="","",M4_Sectores!P106))</f>
        <v/>
      </c>
      <c r="AH702" s="17" t="str">
        <f>IF(M4_Sectores!A106="","",IF(M4_Sectores!H106="","",M4_Sectores!H106))</f>
        <v/>
      </c>
      <c r="AI702" s="17" t="str">
        <f>IF(M4_Sectores!A106="","","M4_Sectores!106")</f>
        <v/>
      </c>
      <c r="AJ702" s="17" t="str">
        <f>IF(M4_Sectores!A106="","",IF(M4_Sectores!L106="","Pendiente de momento o resultado",IF(COUNTIFS(M4_Sectores!$A$9:A106,M4_Sectores!A106,M4_Sectores!$D$9:D106,M4_Sectores!D106,M4_Sectores!$H$9:H106,M4_Sectores!H106)=1,"Total del momento","Sector incluido en total")))</f>
        <v/>
      </c>
    </row>
    <row r="703" spans="1:36" ht="55.5" customHeight="1">
      <c r="A703" s="6" t="str">
        <f t="array" ref="A703">IF(699&gt;$S$1204,"",INDEX($T$5:$AJ$1204,MATCH(699,$S$5:$S$1204,0),1))</f>
        <v/>
      </c>
      <c r="B703" s="8" t="str">
        <f t="array" ref="B703">IF(699&gt;$S$1204,"",INDEX($T$5:$AJ$1204,MATCH(699,$S$5:$S$1204,0),2))</f>
        <v/>
      </c>
      <c r="C703" s="10" t="str">
        <f t="array" ref="C703">IF(699&gt;$S$1204,"",INDEX($T$5:$AJ$1204,MATCH(699,$S$5:$S$1204,0),3))</f>
        <v/>
      </c>
      <c r="D703" s="8" t="str">
        <f t="array" ref="D703">IF(699&gt;$S$1204,"",INDEX($T$5:$AJ$1204,MATCH(699,$S$5:$S$1204,0),4))</f>
        <v/>
      </c>
      <c r="E703" s="8" t="str">
        <f t="array" ref="E703">IF(699&gt;$S$1204,"",INDEX($T$5:$AJ$1204,MATCH(699,$S$5:$S$1204,0),5))</f>
        <v/>
      </c>
      <c r="F703" s="8" t="str">
        <f t="array" ref="F703">IF(699&gt;$S$1204,"",INDEX($T$5:$AJ$1204,MATCH(699,$S$5:$S$1204,0),6))</f>
        <v/>
      </c>
      <c r="G703" s="8" t="str">
        <f t="array" ref="G703">IF(699&gt;$S$1204,"",INDEX($T$5:$AJ$1204,MATCH(699,$S$5:$S$1204,0),7))</f>
        <v/>
      </c>
      <c r="H703" s="8" t="str">
        <f t="array" ref="H703">IF(699&gt;$S$1204,"",INDEX($T$5:$AJ$1204,MATCH(699,$S$5:$S$1204,0),8))</f>
        <v/>
      </c>
      <c r="I703" s="8" t="str">
        <f t="array" ref="I703">IF(699&gt;$S$1204,"",INDEX($T$5:$AJ$1204,MATCH(699,$S$5:$S$1204,0),9))</f>
        <v/>
      </c>
      <c r="J703" s="14" t="str">
        <f t="array" ref="J703">IF(699&gt;$S$1204,"",INDEX($T$5:$AJ$1204,MATCH(699,$S$5:$S$1204,0),10))</f>
        <v/>
      </c>
      <c r="K703" s="8" t="str">
        <f t="array" ref="K703">IF(699&gt;$S$1204,"",INDEX($T$5:$AJ$1204,MATCH(699,$S$5:$S$1204,0),11))</f>
        <v/>
      </c>
      <c r="L703" s="8" t="str">
        <f t="array" ref="L703">IF(699&gt;$S$1204,"",INDEX($T$5:$AJ$1204,MATCH(699,$S$5:$S$1204,0),12))</f>
        <v/>
      </c>
      <c r="M703" s="8" t="str">
        <f t="array" ref="M703">IF(699&gt;$S$1204,"",INDEX($T$5:$AJ$1204,MATCH(699,$S$5:$S$1204,0),13))</f>
        <v/>
      </c>
      <c r="N703" s="8" t="str">
        <f t="array" ref="N703">IF(699&gt;$S$1204,"",INDEX($T$5:$AJ$1204,MATCH(699,$S$5:$S$1204,0),14))</f>
        <v/>
      </c>
      <c r="O703" s="15" t="str">
        <f t="array" ref="O703">IF(699&gt;$S$1204,"",INDEX($T$5:$AJ$1204,MATCH(699,$S$5:$S$1204,0),15))</f>
        <v/>
      </c>
      <c r="P703" s="8" t="str">
        <f t="array" ref="P703">IF(699&gt;$S$1204,"",INDEX($T$5:$AJ$1204,MATCH(699,$S$5:$S$1204,0),16))</f>
        <v/>
      </c>
      <c r="Q703" s="8" t="str">
        <f t="array" ref="Q703">IF(699&gt;$S$1204,"",INDEX($T$5:$AJ$1204,MATCH(699,$S$5:$S$1204,0),17))</f>
        <v/>
      </c>
      <c r="R703" s="17"/>
      <c r="S703" s="17">
        <f>S702+IF(M4_Sectores!A107="",0,1)</f>
        <v>0</v>
      </c>
      <c r="T703" s="17" t="str">
        <f>IF(M4_Sectores!A107="","",IF(M4_Sectores!A107="","",M4_Sectores!A107))</f>
        <v/>
      </c>
      <c r="U703" s="17" t="str">
        <f>IF(M4_Sectores!A107="","",IF(M4_Sectores!Q107="","",M4_Sectores!Q107))</f>
        <v/>
      </c>
      <c r="V703" s="17" t="str">
        <f>IF(M4_Sectores!A107="","",IF(M4_Sectores!D107="","",M4_Sectores!D107))</f>
        <v/>
      </c>
      <c r="W703" s="17" t="str">
        <f>IF(M4_Sectores!A107="","",IF(M4_Sectores!B107="","",M4_Sectores!B107))</f>
        <v/>
      </c>
      <c r="X703" s="17" t="str">
        <f>IF(M4_Sectores!A107="","",IF(M4_Sectores!C107="","",M4_Sectores!C107))</f>
        <v/>
      </c>
      <c r="Y703" s="17" t="str">
        <f>IF(M4_Sectores!A107="","",IF(M4_Sectores!E107="","",M4_Sectores!E107))</f>
        <v/>
      </c>
      <c r="Z703" s="17" t="str">
        <f>IF(M4_Sectores!A107="","",IF(M4_Sectores!F107="","",M4_Sectores!F107))</f>
        <v/>
      </c>
      <c r="AA703" s="17" t="str">
        <f>IF(M4_Sectores!A107="","","M4 Sectores")</f>
        <v/>
      </c>
      <c r="AB703" s="17" t="str">
        <f>IF(M4_Sectores!A107="","",IF(M4_Sectores!G107="","",M4_Sectores!G107))</f>
        <v/>
      </c>
      <c r="AC703" s="17" t="str">
        <f>IF(M4_Sectores!A107="","",IF(COUNTIFS(M4_Sectores!$A$9:A107,M4_Sectores!A107,M4_Sectores!$D$9:D107,M4_Sectores!D107,M4_Sectores!$H$9:H107,M4_Sectores!H107)=1,IF(M4_Sectores!L107="","",M4_Sectores!L107),""))</f>
        <v/>
      </c>
      <c r="AD703" s="17" t="str">
        <f>IF(M4_Sectores!A107="","","EE")</f>
        <v/>
      </c>
      <c r="AE703" s="17" t="str">
        <f>IF(M4_Sectores!A107="","",IF(M4_Sectores!N107="","",M4_Sectores!N107))</f>
        <v/>
      </c>
      <c r="AF703" s="17" t="str">
        <f>IF(M4_Sectores!A107="","",IF(M4_Sectores!O107="","",M4_Sectores!O107))</f>
        <v/>
      </c>
      <c r="AG703" s="17" t="str">
        <f>IF(M4_Sectores!A107="","",IF(M4_Sectores!P107="","",M4_Sectores!P107))</f>
        <v/>
      </c>
      <c r="AH703" s="17" t="str">
        <f>IF(M4_Sectores!A107="","",IF(M4_Sectores!H107="","",M4_Sectores!H107))</f>
        <v/>
      </c>
      <c r="AI703" s="17" t="str">
        <f>IF(M4_Sectores!A107="","","M4_Sectores!107")</f>
        <v/>
      </c>
      <c r="AJ703" s="17" t="str">
        <f>IF(M4_Sectores!A107="","",IF(M4_Sectores!L107="","Pendiente de momento o resultado",IF(COUNTIFS(M4_Sectores!$A$9:A107,M4_Sectores!A107,M4_Sectores!$D$9:D107,M4_Sectores!D107,M4_Sectores!$H$9:H107,M4_Sectores!H107)=1,"Total del momento","Sector incluido en total")))</f>
        <v/>
      </c>
    </row>
    <row r="704" spans="1:36" ht="55.5" customHeight="1">
      <c r="A704" s="6" t="str">
        <f t="array" ref="A704">IF(700&gt;$S$1204,"",INDEX($T$5:$AJ$1204,MATCH(700,$S$5:$S$1204,0),1))</f>
        <v/>
      </c>
      <c r="B704" s="8" t="str">
        <f t="array" ref="B704">IF(700&gt;$S$1204,"",INDEX($T$5:$AJ$1204,MATCH(700,$S$5:$S$1204,0),2))</f>
        <v/>
      </c>
      <c r="C704" s="10" t="str">
        <f t="array" ref="C704">IF(700&gt;$S$1204,"",INDEX($T$5:$AJ$1204,MATCH(700,$S$5:$S$1204,0),3))</f>
        <v/>
      </c>
      <c r="D704" s="8" t="str">
        <f t="array" ref="D704">IF(700&gt;$S$1204,"",INDEX($T$5:$AJ$1204,MATCH(700,$S$5:$S$1204,0),4))</f>
        <v/>
      </c>
      <c r="E704" s="8" t="str">
        <f t="array" ref="E704">IF(700&gt;$S$1204,"",INDEX($T$5:$AJ$1204,MATCH(700,$S$5:$S$1204,0),5))</f>
        <v/>
      </c>
      <c r="F704" s="8" t="str">
        <f t="array" ref="F704">IF(700&gt;$S$1204,"",INDEX($T$5:$AJ$1204,MATCH(700,$S$5:$S$1204,0),6))</f>
        <v/>
      </c>
      <c r="G704" s="8" t="str">
        <f t="array" ref="G704">IF(700&gt;$S$1204,"",INDEX($T$5:$AJ$1204,MATCH(700,$S$5:$S$1204,0),7))</f>
        <v/>
      </c>
      <c r="H704" s="8" t="str">
        <f t="array" ref="H704">IF(700&gt;$S$1204,"",INDEX($T$5:$AJ$1204,MATCH(700,$S$5:$S$1204,0),8))</f>
        <v/>
      </c>
      <c r="I704" s="8" t="str">
        <f t="array" ref="I704">IF(700&gt;$S$1204,"",INDEX($T$5:$AJ$1204,MATCH(700,$S$5:$S$1204,0),9))</f>
        <v/>
      </c>
      <c r="J704" s="14" t="str">
        <f t="array" ref="J704">IF(700&gt;$S$1204,"",INDEX($T$5:$AJ$1204,MATCH(700,$S$5:$S$1204,0),10))</f>
        <v/>
      </c>
      <c r="K704" s="8" t="str">
        <f t="array" ref="K704">IF(700&gt;$S$1204,"",INDEX($T$5:$AJ$1204,MATCH(700,$S$5:$S$1204,0),11))</f>
        <v/>
      </c>
      <c r="L704" s="8" t="str">
        <f t="array" ref="L704">IF(700&gt;$S$1204,"",INDEX($T$5:$AJ$1204,MATCH(700,$S$5:$S$1204,0),12))</f>
        <v/>
      </c>
      <c r="M704" s="8" t="str">
        <f t="array" ref="M704">IF(700&gt;$S$1204,"",INDEX($T$5:$AJ$1204,MATCH(700,$S$5:$S$1204,0),13))</f>
        <v/>
      </c>
      <c r="N704" s="8" t="str">
        <f t="array" ref="N704">IF(700&gt;$S$1204,"",INDEX($T$5:$AJ$1204,MATCH(700,$S$5:$S$1204,0),14))</f>
        <v/>
      </c>
      <c r="O704" s="15" t="str">
        <f t="array" ref="O704">IF(700&gt;$S$1204,"",INDEX($T$5:$AJ$1204,MATCH(700,$S$5:$S$1204,0),15))</f>
        <v/>
      </c>
      <c r="P704" s="8" t="str">
        <f t="array" ref="P704">IF(700&gt;$S$1204,"",INDEX($T$5:$AJ$1204,MATCH(700,$S$5:$S$1204,0),16))</f>
        <v/>
      </c>
      <c r="Q704" s="8" t="str">
        <f t="array" ref="Q704">IF(700&gt;$S$1204,"",INDEX($T$5:$AJ$1204,MATCH(700,$S$5:$S$1204,0),17))</f>
        <v/>
      </c>
      <c r="R704" s="17"/>
      <c r="S704" s="17">
        <f>S703+IF(M4_Sectores!A108="",0,1)</f>
        <v>0</v>
      </c>
      <c r="T704" s="17" t="str">
        <f>IF(M4_Sectores!A108="","",IF(M4_Sectores!A108="","",M4_Sectores!A108))</f>
        <v/>
      </c>
      <c r="U704" s="17" t="str">
        <f>IF(M4_Sectores!A108="","",IF(M4_Sectores!Q108="","",M4_Sectores!Q108))</f>
        <v/>
      </c>
      <c r="V704" s="17" t="str">
        <f>IF(M4_Sectores!A108="","",IF(M4_Sectores!D108="","",M4_Sectores!D108))</f>
        <v/>
      </c>
      <c r="W704" s="17" t="str">
        <f>IF(M4_Sectores!A108="","",IF(M4_Sectores!B108="","",M4_Sectores!B108))</f>
        <v/>
      </c>
      <c r="X704" s="17" t="str">
        <f>IF(M4_Sectores!A108="","",IF(M4_Sectores!C108="","",M4_Sectores!C108))</f>
        <v/>
      </c>
      <c r="Y704" s="17" t="str">
        <f>IF(M4_Sectores!A108="","",IF(M4_Sectores!E108="","",M4_Sectores!E108))</f>
        <v/>
      </c>
      <c r="Z704" s="17" t="str">
        <f>IF(M4_Sectores!A108="","",IF(M4_Sectores!F108="","",M4_Sectores!F108))</f>
        <v/>
      </c>
      <c r="AA704" s="17" t="str">
        <f>IF(M4_Sectores!A108="","","M4 Sectores")</f>
        <v/>
      </c>
      <c r="AB704" s="17" t="str">
        <f>IF(M4_Sectores!A108="","",IF(M4_Sectores!G108="","",M4_Sectores!G108))</f>
        <v/>
      </c>
      <c r="AC704" s="17" t="str">
        <f>IF(M4_Sectores!A108="","",IF(COUNTIFS(M4_Sectores!$A$9:A108,M4_Sectores!A108,M4_Sectores!$D$9:D108,M4_Sectores!D108,M4_Sectores!$H$9:H108,M4_Sectores!H108)=1,IF(M4_Sectores!L108="","",M4_Sectores!L108),""))</f>
        <v/>
      </c>
      <c r="AD704" s="17" t="str">
        <f>IF(M4_Sectores!A108="","","EE")</f>
        <v/>
      </c>
      <c r="AE704" s="17" t="str">
        <f>IF(M4_Sectores!A108="","",IF(M4_Sectores!N108="","",M4_Sectores!N108))</f>
        <v/>
      </c>
      <c r="AF704" s="17" t="str">
        <f>IF(M4_Sectores!A108="","",IF(M4_Sectores!O108="","",M4_Sectores!O108))</f>
        <v/>
      </c>
      <c r="AG704" s="17" t="str">
        <f>IF(M4_Sectores!A108="","",IF(M4_Sectores!P108="","",M4_Sectores!P108))</f>
        <v/>
      </c>
      <c r="AH704" s="17" t="str">
        <f>IF(M4_Sectores!A108="","",IF(M4_Sectores!H108="","",M4_Sectores!H108))</f>
        <v/>
      </c>
      <c r="AI704" s="17" t="str">
        <f>IF(M4_Sectores!A108="","","M4_Sectores!108")</f>
        <v/>
      </c>
      <c r="AJ704" s="17" t="str">
        <f>IF(M4_Sectores!A108="","",IF(M4_Sectores!L108="","Pendiente de momento o resultado",IF(COUNTIFS(M4_Sectores!$A$9:A108,M4_Sectores!A108,M4_Sectores!$D$9:D108,M4_Sectores!D108,M4_Sectores!$H$9:H108,M4_Sectores!H108)=1,"Total del momento","Sector incluido en total")))</f>
        <v/>
      </c>
    </row>
    <row r="705" spans="1:36" ht="55.5" customHeight="1">
      <c r="A705" s="6" t="str">
        <f t="array" ref="A705">IF(701&gt;$S$1204,"",INDEX($T$5:$AJ$1204,MATCH(701,$S$5:$S$1204,0),1))</f>
        <v/>
      </c>
      <c r="B705" s="8" t="str">
        <f t="array" ref="B705">IF(701&gt;$S$1204,"",INDEX($T$5:$AJ$1204,MATCH(701,$S$5:$S$1204,0),2))</f>
        <v/>
      </c>
      <c r="C705" s="10" t="str">
        <f t="array" ref="C705">IF(701&gt;$S$1204,"",INDEX($T$5:$AJ$1204,MATCH(701,$S$5:$S$1204,0),3))</f>
        <v/>
      </c>
      <c r="D705" s="8" t="str">
        <f t="array" ref="D705">IF(701&gt;$S$1204,"",INDEX($T$5:$AJ$1204,MATCH(701,$S$5:$S$1204,0),4))</f>
        <v/>
      </c>
      <c r="E705" s="8" t="str">
        <f t="array" ref="E705">IF(701&gt;$S$1204,"",INDEX($T$5:$AJ$1204,MATCH(701,$S$5:$S$1204,0),5))</f>
        <v/>
      </c>
      <c r="F705" s="8" t="str">
        <f t="array" ref="F705">IF(701&gt;$S$1204,"",INDEX($T$5:$AJ$1204,MATCH(701,$S$5:$S$1204,0),6))</f>
        <v/>
      </c>
      <c r="G705" s="8" t="str">
        <f t="array" ref="G705">IF(701&gt;$S$1204,"",INDEX($T$5:$AJ$1204,MATCH(701,$S$5:$S$1204,0),7))</f>
        <v/>
      </c>
      <c r="H705" s="8" t="str">
        <f t="array" ref="H705">IF(701&gt;$S$1204,"",INDEX($T$5:$AJ$1204,MATCH(701,$S$5:$S$1204,0),8))</f>
        <v/>
      </c>
      <c r="I705" s="8" t="str">
        <f t="array" ref="I705">IF(701&gt;$S$1204,"",INDEX($T$5:$AJ$1204,MATCH(701,$S$5:$S$1204,0),9))</f>
        <v/>
      </c>
      <c r="J705" s="14" t="str">
        <f t="array" ref="J705">IF(701&gt;$S$1204,"",INDEX($T$5:$AJ$1204,MATCH(701,$S$5:$S$1204,0),10))</f>
        <v/>
      </c>
      <c r="K705" s="8" t="str">
        <f t="array" ref="K705">IF(701&gt;$S$1204,"",INDEX($T$5:$AJ$1204,MATCH(701,$S$5:$S$1204,0),11))</f>
        <v/>
      </c>
      <c r="L705" s="8" t="str">
        <f t="array" ref="L705">IF(701&gt;$S$1204,"",INDEX($T$5:$AJ$1204,MATCH(701,$S$5:$S$1204,0),12))</f>
        <v/>
      </c>
      <c r="M705" s="8" t="str">
        <f t="array" ref="M705">IF(701&gt;$S$1204,"",INDEX($T$5:$AJ$1204,MATCH(701,$S$5:$S$1204,0),13))</f>
        <v/>
      </c>
      <c r="N705" s="8" t="str">
        <f t="array" ref="N705">IF(701&gt;$S$1204,"",INDEX($T$5:$AJ$1204,MATCH(701,$S$5:$S$1204,0),14))</f>
        <v/>
      </c>
      <c r="O705" s="15" t="str">
        <f t="array" ref="O705">IF(701&gt;$S$1204,"",INDEX($T$5:$AJ$1204,MATCH(701,$S$5:$S$1204,0),15))</f>
        <v/>
      </c>
      <c r="P705" s="8" t="str">
        <f t="array" ref="P705">IF(701&gt;$S$1204,"",INDEX($T$5:$AJ$1204,MATCH(701,$S$5:$S$1204,0),16))</f>
        <v/>
      </c>
      <c r="Q705" s="8" t="str">
        <f t="array" ref="Q705">IF(701&gt;$S$1204,"",INDEX($T$5:$AJ$1204,MATCH(701,$S$5:$S$1204,0),17))</f>
        <v/>
      </c>
      <c r="R705" s="17"/>
      <c r="S705" s="17">
        <f>S704+IF(M4_Sectores!A109="",0,1)</f>
        <v>0</v>
      </c>
      <c r="T705" s="17" t="str">
        <f>IF(M4_Sectores!A109="","",IF(M4_Sectores!A109="","",M4_Sectores!A109))</f>
        <v/>
      </c>
      <c r="U705" s="17" t="str">
        <f>IF(M4_Sectores!A109="","",IF(M4_Sectores!Q109="","",M4_Sectores!Q109))</f>
        <v/>
      </c>
      <c r="V705" s="17" t="str">
        <f>IF(M4_Sectores!A109="","",IF(M4_Sectores!D109="","",M4_Sectores!D109))</f>
        <v/>
      </c>
      <c r="W705" s="17" t="str">
        <f>IF(M4_Sectores!A109="","",IF(M4_Sectores!B109="","",M4_Sectores!B109))</f>
        <v/>
      </c>
      <c r="X705" s="17" t="str">
        <f>IF(M4_Sectores!A109="","",IF(M4_Sectores!C109="","",M4_Sectores!C109))</f>
        <v/>
      </c>
      <c r="Y705" s="17" t="str">
        <f>IF(M4_Sectores!A109="","",IF(M4_Sectores!E109="","",M4_Sectores!E109))</f>
        <v/>
      </c>
      <c r="Z705" s="17" t="str">
        <f>IF(M4_Sectores!A109="","",IF(M4_Sectores!F109="","",M4_Sectores!F109))</f>
        <v/>
      </c>
      <c r="AA705" s="17" t="str">
        <f>IF(M4_Sectores!A109="","","M4 Sectores")</f>
        <v/>
      </c>
      <c r="AB705" s="17" t="str">
        <f>IF(M4_Sectores!A109="","",IF(M4_Sectores!G109="","",M4_Sectores!G109))</f>
        <v/>
      </c>
      <c r="AC705" s="17" t="str">
        <f>IF(M4_Sectores!A109="","",IF(COUNTIFS(M4_Sectores!$A$9:A109,M4_Sectores!A109,M4_Sectores!$D$9:D109,M4_Sectores!D109,M4_Sectores!$H$9:H109,M4_Sectores!H109)=1,IF(M4_Sectores!L109="","",M4_Sectores!L109),""))</f>
        <v/>
      </c>
      <c r="AD705" s="17" t="str">
        <f>IF(M4_Sectores!A109="","","EE")</f>
        <v/>
      </c>
      <c r="AE705" s="17" t="str">
        <f>IF(M4_Sectores!A109="","",IF(M4_Sectores!N109="","",M4_Sectores!N109))</f>
        <v/>
      </c>
      <c r="AF705" s="17" t="str">
        <f>IF(M4_Sectores!A109="","",IF(M4_Sectores!O109="","",M4_Sectores!O109))</f>
        <v/>
      </c>
      <c r="AG705" s="17" t="str">
        <f>IF(M4_Sectores!A109="","",IF(M4_Sectores!P109="","",M4_Sectores!P109))</f>
        <v/>
      </c>
      <c r="AH705" s="17" t="str">
        <f>IF(M4_Sectores!A109="","",IF(M4_Sectores!H109="","",M4_Sectores!H109))</f>
        <v/>
      </c>
      <c r="AI705" s="17" t="str">
        <f>IF(M4_Sectores!A109="","","M4_Sectores!109")</f>
        <v/>
      </c>
      <c r="AJ705" s="17" t="str">
        <f>IF(M4_Sectores!A109="","",IF(M4_Sectores!L109="","Pendiente de momento o resultado",IF(COUNTIFS(M4_Sectores!$A$9:A109,M4_Sectores!A109,M4_Sectores!$D$9:D109,M4_Sectores!D109,M4_Sectores!$H$9:H109,M4_Sectores!H109)=1,"Total del momento","Sector incluido en total")))</f>
        <v/>
      </c>
    </row>
    <row r="706" spans="1:36" ht="55.5" customHeight="1">
      <c r="A706" s="6" t="str">
        <f t="array" ref="A706">IF(702&gt;$S$1204,"",INDEX($T$5:$AJ$1204,MATCH(702,$S$5:$S$1204,0),1))</f>
        <v/>
      </c>
      <c r="B706" s="8" t="str">
        <f t="array" ref="B706">IF(702&gt;$S$1204,"",INDEX($T$5:$AJ$1204,MATCH(702,$S$5:$S$1204,0),2))</f>
        <v/>
      </c>
      <c r="C706" s="10" t="str">
        <f t="array" ref="C706">IF(702&gt;$S$1204,"",INDEX($T$5:$AJ$1204,MATCH(702,$S$5:$S$1204,0),3))</f>
        <v/>
      </c>
      <c r="D706" s="8" t="str">
        <f t="array" ref="D706">IF(702&gt;$S$1204,"",INDEX($T$5:$AJ$1204,MATCH(702,$S$5:$S$1204,0),4))</f>
        <v/>
      </c>
      <c r="E706" s="8" t="str">
        <f t="array" ref="E706">IF(702&gt;$S$1204,"",INDEX($T$5:$AJ$1204,MATCH(702,$S$5:$S$1204,0),5))</f>
        <v/>
      </c>
      <c r="F706" s="8" t="str">
        <f t="array" ref="F706">IF(702&gt;$S$1204,"",INDEX($T$5:$AJ$1204,MATCH(702,$S$5:$S$1204,0),6))</f>
        <v/>
      </c>
      <c r="G706" s="8" t="str">
        <f t="array" ref="G706">IF(702&gt;$S$1204,"",INDEX($T$5:$AJ$1204,MATCH(702,$S$5:$S$1204,0),7))</f>
        <v/>
      </c>
      <c r="H706" s="8" t="str">
        <f t="array" ref="H706">IF(702&gt;$S$1204,"",INDEX($T$5:$AJ$1204,MATCH(702,$S$5:$S$1204,0),8))</f>
        <v/>
      </c>
      <c r="I706" s="8" t="str">
        <f t="array" ref="I706">IF(702&gt;$S$1204,"",INDEX($T$5:$AJ$1204,MATCH(702,$S$5:$S$1204,0),9))</f>
        <v/>
      </c>
      <c r="J706" s="14" t="str">
        <f t="array" ref="J706">IF(702&gt;$S$1204,"",INDEX($T$5:$AJ$1204,MATCH(702,$S$5:$S$1204,0),10))</f>
        <v/>
      </c>
      <c r="K706" s="8" t="str">
        <f t="array" ref="K706">IF(702&gt;$S$1204,"",INDEX($T$5:$AJ$1204,MATCH(702,$S$5:$S$1204,0),11))</f>
        <v/>
      </c>
      <c r="L706" s="8" t="str">
        <f t="array" ref="L706">IF(702&gt;$S$1204,"",INDEX($T$5:$AJ$1204,MATCH(702,$S$5:$S$1204,0),12))</f>
        <v/>
      </c>
      <c r="M706" s="8" t="str">
        <f t="array" ref="M706">IF(702&gt;$S$1204,"",INDEX($T$5:$AJ$1204,MATCH(702,$S$5:$S$1204,0),13))</f>
        <v/>
      </c>
      <c r="N706" s="8" t="str">
        <f t="array" ref="N706">IF(702&gt;$S$1204,"",INDEX($T$5:$AJ$1204,MATCH(702,$S$5:$S$1204,0),14))</f>
        <v/>
      </c>
      <c r="O706" s="15" t="str">
        <f t="array" ref="O706">IF(702&gt;$S$1204,"",INDEX($T$5:$AJ$1204,MATCH(702,$S$5:$S$1204,0),15))</f>
        <v/>
      </c>
      <c r="P706" s="8" t="str">
        <f t="array" ref="P706">IF(702&gt;$S$1204,"",INDEX($T$5:$AJ$1204,MATCH(702,$S$5:$S$1204,0),16))</f>
        <v/>
      </c>
      <c r="Q706" s="8" t="str">
        <f t="array" ref="Q706">IF(702&gt;$S$1204,"",INDEX($T$5:$AJ$1204,MATCH(702,$S$5:$S$1204,0),17))</f>
        <v/>
      </c>
      <c r="R706" s="17"/>
      <c r="S706" s="17">
        <f>S705+IF(M4_Sectores!A110="",0,1)</f>
        <v>0</v>
      </c>
      <c r="T706" s="17" t="str">
        <f>IF(M4_Sectores!A110="","",IF(M4_Sectores!A110="","",M4_Sectores!A110))</f>
        <v/>
      </c>
      <c r="U706" s="17" t="str">
        <f>IF(M4_Sectores!A110="","",IF(M4_Sectores!Q110="","",M4_Sectores!Q110))</f>
        <v/>
      </c>
      <c r="V706" s="17" t="str">
        <f>IF(M4_Sectores!A110="","",IF(M4_Sectores!D110="","",M4_Sectores!D110))</f>
        <v/>
      </c>
      <c r="W706" s="17" t="str">
        <f>IF(M4_Sectores!A110="","",IF(M4_Sectores!B110="","",M4_Sectores!B110))</f>
        <v/>
      </c>
      <c r="X706" s="17" t="str">
        <f>IF(M4_Sectores!A110="","",IF(M4_Sectores!C110="","",M4_Sectores!C110))</f>
        <v/>
      </c>
      <c r="Y706" s="17" t="str">
        <f>IF(M4_Sectores!A110="","",IF(M4_Sectores!E110="","",M4_Sectores!E110))</f>
        <v/>
      </c>
      <c r="Z706" s="17" t="str">
        <f>IF(M4_Sectores!A110="","",IF(M4_Sectores!F110="","",M4_Sectores!F110))</f>
        <v/>
      </c>
      <c r="AA706" s="17" t="str">
        <f>IF(M4_Sectores!A110="","","M4 Sectores")</f>
        <v/>
      </c>
      <c r="AB706" s="17" t="str">
        <f>IF(M4_Sectores!A110="","",IF(M4_Sectores!G110="","",M4_Sectores!G110))</f>
        <v/>
      </c>
      <c r="AC706" s="17" t="str">
        <f>IF(M4_Sectores!A110="","",IF(COUNTIFS(M4_Sectores!$A$9:A110,M4_Sectores!A110,M4_Sectores!$D$9:D110,M4_Sectores!D110,M4_Sectores!$H$9:H110,M4_Sectores!H110)=1,IF(M4_Sectores!L110="","",M4_Sectores!L110),""))</f>
        <v/>
      </c>
      <c r="AD706" s="17" t="str">
        <f>IF(M4_Sectores!A110="","","EE")</f>
        <v/>
      </c>
      <c r="AE706" s="17" t="str">
        <f>IF(M4_Sectores!A110="","",IF(M4_Sectores!N110="","",M4_Sectores!N110))</f>
        <v/>
      </c>
      <c r="AF706" s="17" t="str">
        <f>IF(M4_Sectores!A110="","",IF(M4_Sectores!O110="","",M4_Sectores!O110))</f>
        <v/>
      </c>
      <c r="AG706" s="17" t="str">
        <f>IF(M4_Sectores!A110="","",IF(M4_Sectores!P110="","",M4_Sectores!P110))</f>
        <v/>
      </c>
      <c r="AH706" s="17" t="str">
        <f>IF(M4_Sectores!A110="","",IF(M4_Sectores!H110="","",M4_Sectores!H110))</f>
        <v/>
      </c>
      <c r="AI706" s="17" t="str">
        <f>IF(M4_Sectores!A110="","","M4_Sectores!110")</f>
        <v/>
      </c>
      <c r="AJ706" s="17" t="str">
        <f>IF(M4_Sectores!A110="","",IF(M4_Sectores!L110="","Pendiente de momento o resultado",IF(COUNTIFS(M4_Sectores!$A$9:A110,M4_Sectores!A110,M4_Sectores!$D$9:D110,M4_Sectores!D110,M4_Sectores!$H$9:H110,M4_Sectores!H110)=1,"Total del momento","Sector incluido en total")))</f>
        <v/>
      </c>
    </row>
    <row r="707" spans="1:36" ht="55.5" customHeight="1">
      <c r="A707" s="6" t="str">
        <f t="array" ref="A707">IF(703&gt;$S$1204,"",INDEX($T$5:$AJ$1204,MATCH(703,$S$5:$S$1204,0),1))</f>
        <v/>
      </c>
      <c r="B707" s="8" t="str">
        <f t="array" ref="B707">IF(703&gt;$S$1204,"",INDEX($T$5:$AJ$1204,MATCH(703,$S$5:$S$1204,0),2))</f>
        <v/>
      </c>
      <c r="C707" s="10" t="str">
        <f t="array" ref="C707">IF(703&gt;$S$1204,"",INDEX($T$5:$AJ$1204,MATCH(703,$S$5:$S$1204,0),3))</f>
        <v/>
      </c>
      <c r="D707" s="8" t="str">
        <f t="array" ref="D707">IF(703&gt;$S$1204,"",INDEX($T$5:$AJ$1204,MATCH(703,$S$5:$S$1204,0),4))</f>
        <v/>
      </c>
      <c r="E707" s="8" t="str">
        <f t="array" ref="E707">IF(703&gt;$S$1204,"",INDEX($T$5:$AJ$1204,MATCH(703,$S$5:$S$1204,0),5))</f>
        <v/>
      </c>
      <c r="F707" s="8" t="str">
        <f t="array" ref="F707">IF(703&gt;$S$1204,"",INDEX($T$5:$AJ$1204,MATCH(703,$S$5:$S$1204,0),6))</f>
        <v/>
      </c>
      <c r="G707" s="8" t="str">
        <f t="array" ref="G707">IF(703&gt;$S$1204,"",INDEX($T$5:$AJ$1204,MATCH(703,$S$5:$S$1204,0),7))</f>
        <v/>
      </c>
      <c r="H707" s="8" t="str">
        <f t="array" ref="H707">IF(703&gt;$S$1204,"",INDEX($T$5:$AJ$1204,MATCH(703,$S$5:$S$1204,0),8))</f>
        <v/>
      </c>
      <c r="I707" s="8" t="str">
        <f t="array" ref="I707">IF(703&gt;$S$1204,"",INDEX($T$5:$AJ$1204,MATCH(703,$S$5:$S$1204,0),9))</f>
        <v/>
      </c>
      <c r="J707" s="14" t="str">
        <f t="array" ref="J707">IF(703&gt;$S$1204,"",INDEX($T$5:$AJ$1204,MATCH(703,$S$5:$S$1204,0),10))</f>
        <v/>
      </c>
      <c r="K707" s="8" t="str">
        <f t="array" ref="K707">IF(703&gt;$S$1204,"",INDEX($T$5:$AJ$1204,MATCH(703,$S$5:$S$1204,0),11))</f>
        <v/>
      </c>
      <c r="L707" s="8" t="str">
        <f t="array" ref="L707">IF(703&gt;$S$1204,"",INDEX($T$5:$AJ$1204,MATCH(703,$S$5:$S$1204,0),12))</f>
        <v/>
      </c>
      <c r="M707" s="8" t="str">
        <f t="array" ref="M707">IF(703&gt;$S$1204,"",INDEX($T$5:$AJ$1204,MATCH(703,$S$5:$S$1204,0),13))</f>
        <v/>
      </c>
      <c r="N707" s="8" t="str">
        <f t="array" ref="N707">IF(703&gt;$S$1204,"",INDEX($T$5:$AJ$1204,MATCH(703,$S$5:$S$1204,0),14))</f>
        <v/>
      </c>
      <c r="O707" s="15" t="str">
        <f t="array" ref="O707">IF(703&gt;$S$1204,"",INDEX($T$5:$AJ$1204,MATCH(703,$S$5:$S$1204,0),15))</f>
        <v/>
      </c>
      <c r="P707" s="8" t="str">
        <f t="array" ref="P707">IF(703&gt;$S$1204,"",INDEX($T$5:$AJ$1204,MATCH(703,$S$5:$S$1204,0),16))</f>
        <v/>
      </c>
      <c r="Q707" s="8" t="str">
        <f t="array" ref="Q707">IF(703&gt;$S$1204,"",INDEX($T$5:$AJ$1204,MATCH(703,$S$5:$S$1204,0),17))</f>
        <v/>
      </c>
      <c r="R707" s="17"/>
      <c r="S707" s="17">
        <f>S706+IF(M4_Sectores!A111="",0,1)</f>
        <v>0</v>
      </c>
      <c r="T707" s="17" t="str">
        <f>IF(M4_Sectores!A111="","",IF(M4_Sectores!A111="","",M4_Sectores!A111))</f>
        <v/>
      </c>
      <c r="U707" s="17" t="str">
        <f>IF(M4_Sectores!A111="","",IF(M4_Sectores!Q111="","",M4_Sectores!Q111))</f>
        <v/>
      </c>
      <c r="V707" s="17" t="str">
        <f>IF(M4_Sectores!A111="","",IF(M4_Sectores!D111="","",M4_Sectores!D111))</f>
        <v/>
      </c>
      <c r="W707" s="17" t="str">
        <f>IF(M4_Sectores!A111="","",IF(M4_Sectores!B111="","",M4_Sectores!B111))</f>
        <v/>
      </c>
      <c r="X707" s="17" t="str">
        <f>IF(M4_Sectores!A111="","",IF(M4_Sectores!C111="","",M4_Sectores!C111))</f>
        <v/>
      </c>
      <c r="Y707" s="17" t="str">
        <f>IF(M4_Sectores!A111="","",IF(M4_Sectores!E111="","",M4_Sectores!E111))</f>
        <v/>
      </c>
      <c r="Z707" s="17" t="str">
        <f>IF(M4_Sectores!A111="","",IF(M4_Sectores!F111="","",M4_Sectores!F111))</f>
        <v/>
      </c>
      <c r="AA707" s="17" t="str">
        <f>IF(M4_Sectores!A111="","","M4 Sectores")</f>
        <v/>
      </c>
      <c r="AB707" s="17" t="str">
        <f>IF(M4_Sectores!A111="","",IF(M4_Sectores!G111="","",M4_Sectores!G111))</f>
        <v/>
      </c>
      <c r="AC707" s="17" t="str">
        <f>IF(M4_Sectores!A111="","",IF(COUNTIFS(M4_Sectores!$A$9:A111,M4_Sectores!A111,M4_Sectores!$D$9:D111,M4_Sectores!D111,M4_Sectores!$H$9:H111,M4_Sectores!H111)=1,IF(M4_Sectores!L111="","",M4_Sectores!L111),""))</f>
        <v/>
      </c>
      <c r="AD707" s="17" t="str">
        <f>IF(M4_Sectores!A111="","","EE")</f>
        <v/>
      </c>
      <c r="AE707" s="17" t="str">
        <f>IF(M4_Sectores!A111="","",IF(M4_Sectores!N111="","",M4_Sectores!N111))</f>
        <v/>
      </c>
      <c r="AF707" s="17" t="str">
        <f>IF(M4_Sectores!A111="","",IF(M4_Sectores!O111="","",M4_Sectores!O111))</f>
        <v/>
      </c>
      <c r="AG707" s="17" t="str">
        <f>IF(M4_Sectores!A111="","",IF(M4_Sectores!P111="","",M4_Sectores!P111))</f>
        <v/>
      </c>
      <c r="AH707" s="17" t="str">
        <f>IF(M4_Sectores!A111="","",IF(M4_Sectores!H111="","",M4_Sectores!H111))</f>
        <v/>
      </c>
      <c r="AI707" s="17" t="str">
        <f>IF(M4_Sectores!A111="","","M4_Sectores!111")</f>
        <v/>
      </c>
      <c r="AJ707" s="17" t="str">
        <f>IF(M4_Sectores!A111="","",IF(M4_Sectores!L111="","Pendiente de momento o resultado",IF(COUNTIFS(M4_Sectores!$A$9:A111,M4_Sectores!A111,M4_Sectores!$D$9:D111,M4_Sectores!D111,M4_Sectores!$H$9:H111,M4_Sectores!H111)=1,"Total del momento","Sector incluido en total")))</f>
        <v/>
      </c>
    </row>
    <row r="708" spans="1:36" ht="55.5" customHeight="1">
      <c r="A708" s="6" t="str">
        <f t="array" ref="A708">IF(704&gt;$S$1204,"",INDEX($T$5:$AJ$1204,MATCH(704,$S$5:$S$1204,0),1))</f>
        <v/>
      </c>
      <c r="B708" s="8" t="str">
        <f t="array" ref="B708">IF(704&gt;$S$1204,"",INDEX($T$5:$AJ$1204,MATCH(704,$S$5:$S$1204,0),2))</f>
        <v/>
      </c>
      <c r="C708" s="10" t="str">
        <f t="array" ref="C708">IF(704&gt;$S$1204,"",INDEX($T$5:$AJ$1204,MATCH(704,$S$5:$S$1204,0),3))</f>
        <v/>
      </c>
      <c r="D708" s="8" t="str">
        <f t="array" ref="D708">IF(704&gt;$S$1204,"",INDEX($T$5:$AJ$1204,MATCH(704,$S$5:$S$1204,0),4))</f>
        <v/>
      </c>
      <c r="E708" s="8" t="str">
        <f t="array" ref="E708">IF(704&gt;$S$1204,"",INDEX($T$5:$AJ$1204,MATCH(704,$S$5:$S$1204,0),5))</f>
        <v/>
      </c>
      <c r="F708" s="8" t="str">
        <f t="array" ref="F708">IF(704&gt;$S$1204,"",INDEX($T$5:$AJ$1204,MATCH(704,$S$5:$S$1204,0),6))</f>
        <v/>
      </c>
      <c r="G708" s="8" t="str">
        <f t="array" ref="G708">IF(704&gt;$S$1204,"",INDEX($T$5:$AJ$1204,MATCH(704,$S$5:$S$1204,0),7))</f>
        <v/>
      </c>
      <c r="H708" s="8" t="str">
        <f t="array" ref="H708">IF(704&gt;$S$1204,"",INDEX($T$5:$AJ$1204,MATCH(704,$S$5:$S$1204,0),8))</f>
        <v/>
      </c>
      <c r="I708" s="8" t="str">
        <f t="array" ref="I708">IF(704&gt;$S$1204,"",INDEX($T$5:$AJ$1204,MATCH(704,$S$5:$S$1204,0),9))</f>
        <v/>
      </c>
      <c r="J708" s="14" t="str">
        <f t="array" ref="J708">IF(704&gt;$S$1204,"",INDEX($T$5:$AJ$1204,MATCH(704,$S$5:$S$1204,0),10))</f>
        <v/>
      </c>
      <c r="K708" s="8" t="str">
        <f t="array" ref="K708">IF(704&gt;$S$1204,"",INDEX($T$5:$AJ$1204,MATCH(704,$S$5:$S$1204,0),11))</f>
        <v/>
      </c>
      <c r="L708" s="8" t="str">
        <f t="array" ref="L708">IF(704&gt;$S$1204,"",INDEX($T$5:$AJ$1204,MATCH(704,$S$5:$S$1204,0),12))</f>
        <v/>
      </c>
      <c r="M708" s="8" t="str">
        <f t="array" ref="M708">IF(704&gt;$S$1204,"",INDEX($T$5:$AJ$1204,MATCH(704,$S$5:$S$1204,0),13))</f>
        <v/>
      </c>
      <c r="N708" s="8" t="str">
        <f t="array" ref="N708">IF(704&gt;$S$1204,"",INDEX($T$5:$AJ$1204,MATCH(704,$S$5:$S$1204,0),14))</f>
        <v/>
      </c>
      <c r="O708" s="15" t="str">
        <f t="array" ref="O708">IF(704&gt;$S$1204,"",INDEX($T$5:$AJ$1204,MATCH(704,$S$5:$S$1204,0),15))</f>
        <v/>
      </c>
      <c r="P708" s="8" t="str">
        <f t="array" ref="P708">IF(704&gt;$S$1204,"",INDEX($T$5:$AJ$1204,MATCH(704,$S$5:$S$1204,0),16))</f>
        <v/>
      </c>
      <c r="Q708" s="8" t="str">
        <f t="array" ref="Q708">IF(704&gt;$S$1204,"",INDEX($T$5:$AJ$1204,MATCH(704,$S$5:$S$1204,0),17))</f>
        <v/>
      </c>
      <c r="R708" s="17"/>
      <c r="S708" s="17">
        <f>S707+IF(M4_Sectores!A112="",0,1)</f>
        <v>0</v>
      </c>
      <c r="T708" s="17" t="str">
        <f>IF(M4_Sectores!A112="","",IF(M4_Sectores!A112="","",M4_Sectores!A112))</f>
        <v/>
      </c>
      <c r="U708" s="17" t="str">
        <f>IF(M4_Sectores!A112="","",IF(M4_Sectores!Q112="","",M4_Sectores!Q112))</f>
        <v/>
      </c>
      <c r="V708" s="17" t="str">
        <f>IF(M4_Sectores!A112="","",IF(M4_Sectores!D112="","",M4_Sectores!D112))</f>
        <v/>
      </c>
      <c r="W708" s="17" t="str">
        <f>IF(M4_Sectores!A112="","",IF(M4_Sectores!B112="","",M4_Sectores!B112))</f>
        <v/>
      </c>
      <c r="X708" s="17" t="str">
        <f>IF(M4_Sectores!A112="","",IF(M4_Sectores!C112="","",M4_Sectores!C112))</f>
        <v/>
      </c>
      <c r="Y708" s="17" t="str">
        <f>IF(M4_Sectores!A112="","",IF(M4_Sectores!E112="","",M4_Sectores!E112))</f>
        <v/>
      </c>
      <c r="Z708" s="17" t="str">
        <f>IF(M4_Sectores!A112="","",IF(M4_Sectores!F112="","",M4_Sectores!F112))</f>
        <v/>
      </c>
      <c r="AA708" s="17" t="str">
        <f>IF(M4_Sectores!A112="","","M4 Sectores")</f>
        <v/>
      </c>
      <c r="AB708" s="17" t="str">
        <f>IF(M4_Sectores!A112="","",IF(M4_Sectores!G112="","",M4_Sectores!G112))</f>
        <v/>
      </c>
      <c r="AC708" s="17" t="str">
        <f>IF(M4_Sectores!A112="","",IF(COUNTIFS(M4_Sectores!$A$9:A112,M4_Sectores!A112,M4_Sectores!$D$9:D112,M4_Sectores!D112,M4_Sectores!$H$9:H112,M4_Sectores!H112)=1,IF(M4_Sectores!L112="","",M4_Sectores!L112),""))</f>
        <v/>
      </c>
      <c r="AD708" s="17" t="str">
        <f>IF(M4_Sectores!A112="","","EE")</f>
        <v/>
      </c>
      <c r="AE708" s="17" t="str">
        <f>IF(M4_Sectores!A112="","",IF(M4_Sectores!N112="","",M4_Sectores!N112))</f>
        <v/>
      </c>
      <c r="AF708" s="17" t="str">
        <f>IF(M4_Sectores!A112="","",IF(M4_Sectores!O112="","",M4_Sectores!O112))</f>
        <v/>
      </c>
      <c r="AG708" s="17" t="str">
        <f>IF(M4_Sectores!A112="","",IF(M4_Sectores!P112="","",M4_Sectores!P112))</f>
        <v/>
      </c>
      <c r="AH708" s="17" t="str">
        <f>IF(M4_Sectores!A112="","",IF(M4_Sectores!H112="","",M4_Sectores!H112))</f>
        <v/>
      </c>
      <c r="AI708" s="17" t="str">
        <f>IF(M4_Sectores!A112="","","M4_Sectores!112")</f>
        <v/>
      </c>
      <c r="AJ708" s="17" t="str">
        <f>IF(M4_Sectores!A112="","",IF(M4_Sectores!L112="","Pendiente de momento o resultado",IF(COUNTIFS(M4_Sectores!$A$9:A112,M4_Sectores!A112,M4_Sectores!$D$9:D112,M4_Sectores!D112,M4_Sectores!$H$9:H112,M4_Sectores!H112)=1,"Total del momento","Sector incluido en total")))</f>
        <v/>
      </c>
    </row>
    <row r="709" spans="1:36" ht="55.5" customHeight="1">
      <c r="A709" s="6" t="str">
        <f t="array" ref="A709">IF(705&gt;$S$1204,"",INDEX($T$5:$AJ$1204,MATCH(705,$S$5:$S$1204,0),1))</f>
        <v/>
      </c>
      <c r="B709" s="8" t="str">
        <f t="array" ref="B709">IF(705&gt;$S$1204,"",INDEX($T$5:$AJ$1204,MATCH(705,$S$5:$S$1204,0),2))</f>
        <v/>
      </c>
      <c r="C709" s="10" t="str">
        <f t="array" ref="C709">IF(705&gt;$S$1204,"",INDEX($T$5:$AJ$1204,MATCH(705,$S$5:$S$1204,0),3))</f>
        <v/>
      </c>
      <c r="D709" s="8" t="str">
        <f t="array" ref="D709">IF(705&gt;$S$1204,"",INDEX($T$5:$AJ$1204,MATCH(705,$S$5:$S$1204,0),4))</f>
        <v/>
      </c>
      <c r="E709" s="8" t="str">
        <f t="array" ref="E709">IF(705&gt;$S$1204,"",INDEX($T$5:$AJ$1204,MATCH(705,$S$5:$S$1204,0),5))</f>
        <v/>
      </c>
      <c r="F709" s="8" t="str">
        <f t="array" ref="F709">IF(705&gt;$S$1204,"",INDEX($T$5:$AJ$1204,MATCH(705,$S$5:$S$1204,0),6))</f>
        <v/>
      </c>
      <c r="G709" s="8" t="str">
        <f t="array" ref="G709">IF(705&gt;$S$1204,"",INDEX($T$5:$AJ$1204,MATCH(705,$S$5:$S$1204,0),7))</f>
        <v/>
      </c>
      <c r="H709" s="8" t="str">
        <f t="array" ref="H709">IF(705&gt;$S$1204,"",INDEX($T$5:$AJ$1204,MATCH(705,$S$5:$S$1204,0),8))</f>
        <v/>
      </c>
      <c r="I709" s="8" t="str">
        <f t="array" ref="I709">IF(705&gt;$S$1204,"",INDEX($T$5:$AJ$1204,MATCH(705,$S$5:$S$1204,0),9))</f>
        <v/>
      </c>
      <c r="J709" s="14" t="str">
        <f t="array" ref="J709">IF(705&gt;$S$1204,"",INDEX($T$5:$AJ$1204,MATCH(705,$S$5:$S$1204,0),10))</f>
        <v/>
      </c>
      <c r="K709" s="8" t="str">
        <f t="array" ref="K709">IF(705&gt;$S$1204,"",INDEX($T$5:$AJ$1204,MATCH(705,$S$5:$S$1204,0),11))</f>
        <v/>
      </c>
      <c r="L709" s="8" t="str">
        <f t="array" ref="L709">IF(705&gt;$S$1204,"",INDEX($T$5:$AJ$1204,MATCH(705,$S$5:$S$1204,0),12))</f>
        <v/>
      </c>
      <c r="M709" s="8" t="str">
        <f t="array" ref="M709">IF(705&gt;$S$1204,"",INDEX($T$5:$AJ$1204,MATCH(705,$S$5:$S$1204,0),13))</f>
        <v/>
      </c>
      <c r="N709" s="8" t="str">
        <f t="array" ref="N709">IF(705&gt;$S$1204,"",INDEX($T$5:$AJ$1204,MATCH(705,$S$5:$S$1204,0),14))</f>
        <v/>
      </c>
      <c r="O709" s="15" t="str">
        <f t="array" ref="O709">IF(705&gt;$S$1204,"",INDEX($T$5:$AJ$1204,MATCH(705,$S$5:$S$1204,0),15))</f>
        <v/>
      </c>
      <c r="P709" s="8" t="str">
        <f t="array" ref="P709">IF(705&gt;$S$1204,"",INDEX($T$5:$AJ$1204,MATCH(705,$S$5:$S$1204,0),16))</f>
        <v/>
      </c>
      <c r="Q709" s="8" t="str">
        <f t="array" ref="Q709">IF(705&gt;$S$1204,"",INDEX($T$5:$AJ$1204,MATCH(705,$S$5:$S$1204,0),17))</f>
        <v/>
      </c>
      <c r="R709" s="17"/>
      <c r="S709" s="17">
        <f>S708+IF(M4_Sectores!A113="",0,1)</f>
        <v>0</v>
      </c>
      <c r="T709" s="17" t="str">
        <f>IF(M4_Sectores!A113="","",IF(M4_Sectores!A113="","",M4_Sectores!A113))</f>
        <v/>
      </c>
      <c r="U709" s="17" t="str">
        <f>IF(M4_Sectores!A113="","",IF(M4_Sectores!Q113="","",M4_Sectores!Q113))</f>
        <v/>
      </c>
      <c r="V709" s="17" t="str">
        <f>IF(M4_Sectores!A113="","",IF(M4_Sectores!D113="","",M4_Sectores!D113))</f>
        <v/>
      </c>
      <c r="W709" s="17" t="str">
        <f>IF(M4_Sectores!A113="","",IF(M4_Sectores!B113="","",M4_Sectores!B113))</f>
        <v/>
      </c>
      <c r="X709" s="17" t="str">
        <f>IF(M4_Sectores!A113="","",IF(M4_Sectores!C113="","",M4_Sectores!C113))</f>
        <v/>
      </c>
      <c r="Y709" s="17" t="str">
        <f>IF(M4_Sectores!A113="","",IF(M4_Sectores!E113="","",M4_Sectores!E113))</f>
        <v/>
      </c>
      <c r="Z709" s="17" t="str">
        <f>IF(M4_Sectores!A113="","",IF(M4_Sectores!F113="","",M4_Sectores!F113))</f>
        <v/>
      </c>
      <c r="AA709" s="17" t="str">
        <f>IF(M4_Sectores!A113="","","M4 Sectores")</f>
        <v/>
      </c>
      <c r="AB709" s="17" t="str">
        <f>IF(M4_Sectores!A113="","",IF(M4_Sectores!G113="","",M4_Sectores!G113))</f>
        <v/>
      </c>
      <c r="AC709" s="17" t="str">
        <f>IF(M4_Sectores!A113="","",IF(COUNTIFS(M4_Sectores!$A$9:A113,M4_Sectores!A113,M4_Sectores!$D$9:D113,M4_Sectores!D113,M4_Sectores!$H$9:H113,M4_Sectores!H113)=1,IF(M4_Sectores!L113="","",M4_Sectores!L113),""))</f>
        <v/>
      </c>
      <c r="AD709" s="17" t="str">
        <f>IF(M4_Sectores!A113="","","EE")</f>
        <v/>
      </c>
      <c r="AE709" s="17" t="str">
        <f>IF(M4_Sectores!A113="","",IF(M4_Sectores!N113="","",M4_Sectores!N113))</f>
        <v/>
      </c>
      <c r="AF709" s="17" t="str">
        <f>IF(M4_Sectores!A113="","",IF(M4_Sectores!O113="","",M4_Sectores!O113))</f>
        <v/>
      </c>
      <c r="AG709" s="17" t="str">
        <f>IF(M4_Sectores!A113="","",IF(M4_Sectores!P113="","",M4_Sectores!P113))</f>
        <v/>
      </c>
      <c r="AH709" s="17" t="str">
        <f>IF(M4_Sectores!A113="","",IF(M4_Sectores!H113="","",M4_Sectores!H113))</f>
        <v/>
      </c>
      <c r="AI709" s="17" t="str">
        <f>IF(M4_Sectores!A113="","","M4_Sectores!113")</f>
        <v/>
      </c>
      <c r="AJ709" s="17" t="str">
        <f>IF(M4_Sectores!A113="","",IF(M4_Sectores!L113="","Pendiente de momento o resultado",IF(COUNTIFS(M4_Sectores!$A$9:A113,M4_Sectores!A113,M4_Sectores!$D$9:D113,M4_Sectores!D113,M4_Sectores!$H$9:H113,M4_Sectores!H113)=1,"Total del momento","Sector incluido en total")))</f>
        <v/>
      </c>
    </row>
    <row r="710" spans="1:36" ht="55.5" customHeight="1">
      <c r="A710" s="6" t="str">
        <f t="array" ref="A710">IF(706&gt;$S$1204,"",INDEX($T$5:$AJ$1204,MATCH(706,$S$5:$S$1204,0),1))</f>
        <v/>
      </c>
      <c r="B710" s="8" t="str">
        <f t="array" ref="B710">IF(706&gt;$S$1204,"",INDEX($T$5:$AJ$1204,MATCH(706,$S$5:$S$1204,0),2))</f>
        <v/>
      </c>
      <c r="C710" s="10" t="str">
        <f t="array" ref="C710">IF(706&gt;$S$1204,"",INDEX($T$5:$AJ$1204,MATCH(706,$S$5:$S$1204,0),3))</f>
        <v/>
      </c>
      <c r="D710" s="8" t="str">
        <f t="array" ref="D710">IF(706&gt;$S$1204,"",INDEX($T$5:$AJ$1204,MATCH(706,$S$5:$S$1204,0),4))</f>
        <v/>
      </c>
      <c r="E710" s="8" t="str">
        <f t="array" ref="E710">IF(706&gt;$S$1204,"",INDEX($T$5:$AJ$1204,MATCH(706,$S$5:$S$1204,0),5))</f>
        <v/>
      </c>
      <c r="F710" s="8" t="str">
        <f t="array" ref="F710">IF(706&gt;$S$1204,"",INDEX($T$5:$AJ$1204,MATCH(706,$S$5:$S$1204,0),6))</f>
        <v/>
      </c>
      <c r="G710" s="8" t="str">
        <f t="array" ref="G710">IF(706&gt;$S$1204,"",INDEX($T$5:$AJ$1204,MATCH(706,$S$5:$S$1204,0),7))</f>
        <v/>
      </c>
      <c r="H710" s="8" t="str">
        <f t="array" ref="H710">IF(706&gt;$S$1204,"",INDEX($T$5:$AJ$1204,MATCH(706,$S$5:$S$1204,0),8))</f>
        <v/>
      </c>
      <c r="I710" s="8" t="str">
        <f t="array" ref="I710">IF(706&gt;$S$1204,"",INDEX($T$5:$AJ$1204,MATCH(706,$S$5:$S$1204,0),9))</f>
        <v/>
      </c>
      <c r="J710" s="14" t="str">
        <f t="array" ref="J710">IF(706&gt;$S$1204,"",INDEX($T$5:$AJ$1204,MATCH(706,$S$5:$S$1204,0),10))</f>
        <v/>
      </c>
      <c r="K710" s="8" t="str">
        <f t="array" ref="K710">IF(706&gt;$S$1204,"",INDEX($T$5:$AJ$1204,MATCH(706,$S$5:$S$1204,0),11))</f>
        <v/>
      </c>
      <c r="L710" s="8" t="str">
        <f t="array" ref="L710">IF(706&gt;$S$1204,"",INDEX($T$5:$AJ$1204,MATCH(706,$S$5:$S$1204,0),12))</f>
        <v/>
      </c>
      <c r="M710" s="8" t="str">
        <f t="array" ref="M710">IF(706&gt;$S$1204,"",INDEX($T$5:$AJ$1204,MATCH(706,$S$5:$S$1204,0),13))</f>
        <v/>
      </c>
      <c r="N710" s="8" t="str">
        <f t="array" ref="N710">IF(706&gt;$S$1204,"",INDEX($T$5:$AJ$1204,MATCH(706,$S$5:$S$1204,0),14))</f>
        <v/>
      </c>
      <c r="O710" s="15" t="str">
        <f t="array" ref="O710">IF(706&gt;$S$1204,"",INDEX($T$5:$AJ$1204,MATCH(706,$S$5:$S$1204,0),15))</f>
        <v/>
      </c>
      <c r="P710" s="8" t="str">
        <f t="array" ref="P710">IF(706&gt;$S$1204,"",INDEX($T$5:$AJ$1204,MATCH(706,$S$5:$S$1204,0),16))</f>
        <v/>
      </c>
      <c r="Q710" s="8" t="str">
        <f t="array" ref="Q710">IF(706&gt;$S$1204,"",INDEX($T$5:$AJ$1204,MATCH(706,$S$5:$S$1204,0),17))</f>
        <v/>
      </c>
      <c r="R710" s="17"/>
      <c r="S710" s="17">
        <f>S709+IF(M4_Sectores!A114="",0,1)</f>
        <v>0</v>
      </c>
      <c r="T710" s="17" t="str">
        <f>IF(M4_Sectores!A114="","",IF(M4_Sectores!A114="","",M4_Sectores!A114))</f>
        <v/>
      </c>
      <c r="U710" s="17" t="str">
        <f>IF(M4_Sectores!A114="","",IF(M4_Sectores!Q114="","",M4_Sectores!Q114))</f>
        <v/>
      </c>
      <c r="V710" s="17" t="str">
        <f>IF(M4_Sectores!A114="","",IF(M4_Sectores!D114="","",M4_Sectores!D114))</f>
        <v/>
      </c>
      <c r="W710" s="17" t="str">
        <f>IF(M4_Sectores!A114="","",IF(M4_Sectores!B114="","",M4_Sectores!B114))</f>
        <v/>
      </c>
      <c r="X710" s="17" t="str">
        <f>IF(M4_Sectores!A114="","",IF(M4_Sectores!C114="","",M4_Sectores!C114))</f>
        <v/>
      </c>
      <c r="Y710" s="17" t="str">
        <f>IF(M4_Sectores!A114="","",IF(M4_Sectores!E114="","",M4_Sectores!E114))</f>
        <v/>
      </c>
      <c r="Z710" s="17" t="str">
        <f>IF(M4_Sectores!A114="","",IF(M4_Sectores!F114="","",M4_Sectores!F114))</f>
        <v/>
      </c>
      <c r="AA710" s="17" t="str">
        <f>IF(M4_Sectores!A114="","","M4 Sectores")</f>
        <v/>
      </c>
      <c r="AB710" s="17" t="str">
        <f>IF(M4_Sectores!A114="","",IF(M4_Sectores!G114="","",M4_Sectores!G114))</f>
        <v/>
      </c>
      <c r="AC710" s="17" t="str">
        <f>IF(M4_Sectores!A114="","",IF(COUNTIFS(M4_Sectores!$A$9:A114,M4_Sectores!A114,M4_Sectores!$D$9:D114,M4_Sectores!D114,M4_Sectores!$H$9:H114,M4_Sectores!H114)=1,IF(M4_Sectores!L114="","",M4_Sectores!L114),""))</f>
        <v/>
      </c>
      <c r="AD710" s="17" t="str">
        <f>IF(M4_Sectores!A114="","","EE")</f>
        <v/>
      </c>
      <c r="AE710" s="17" t="str">
        <f>IF(M4_Sectores!A114="","",IF(M4_Sectores!N114="","",M4_Sectores!N114))</f>
        <v/>
      </c>
      <c r="AF710" s="17" t="str">
        <f>IF(M4_Sectores!A114="","",IF(M4_Sectores!O114="","",M4_Sectores!O114))</f>
        <v/>
      </c>
      <c r="AG710" s="17" t="str">
        <f>IF(M4_Sectores!A114="","",IF(M4_Sectores!P114="","",M4_Sectores!P114))</f>
        <v/>
      </c>
      <c r="AH710" s="17" t="str">
        <f>IF(M4_Sectores!A114="","",IF(M4_Sectores!H114="","",M4_Sectores!H114))</f>
        <v/>
      </c>
      <c r="AI710" s="17" t="str">
        <f>IF(M4_Sectores!A114="","","M4_Sectores!114")</f>
        <v/>
      </c>
      <c r="AJ710" s="17" t="str">
        <f>IF(M4_Sectores!A114="","",IF(M4_Sectores!L114="","Pendiente de momento o resultado",IF(COUNTIFS(M4_Sectores!$A$9:A114,M4_Sectores!A114,M4_Sectores!$D$9:D114,M4_Sectores!D114,M4_Sectores!$H$9:H114,M4_Sectores!H114)=1,"Total del momento","Sector incluido en total")))</f>
        <v/>
      </c>
    </row>
    <row r="711" spans="1:36" ht="55.5" customHeight="1">
      <c r="A711" s="6" t="str">
        <f t="array" ref="A711">IF(707&gt;$S$1204,"",INDEX($T$5:$AJ$1204,MATCH(707,$S$5:$S$1204,0),1))</f>
        <v/>
      </c>
      <c r="B711" s="8" t="str">
        <f t="array" ref="B711">IF(707&gt;$S$1204,"",INDEX($T$5:$AJ$1204,MATCH(707,$S$5:$S$1204,0),2))</f>
        <v/>
      </c>
      <c r="C711" s="10" t="str">
        <f t="array" ref="C711">IF(707&gt;$S$1204,"",INDEX($T$5:$AJ$1204,MATCH(707,$S$5:$S$1204,0),3))</f>
        <v/>
      </c>
      <c r="D711" s="8" t="str">
        <f t="array" ref="D711">IF(707&gt;$S$1204,"",INDEX($T$5:$AJ$1204,MATCH(707,$S$5:$S$1204,0),4))</f>
        <v/>
      </c>
      <c r="E711" s="8" t="str">
        <f t="array" ref="E711">IF(707&gt;$S$1204,"",INDEX($T$5:$AJ$1204,MATCH(707,$S$5:$S$1204,0),5))</f>
        <v/>
      </c>
      <c r="F711" s="8" t="str">
        <f t="array" ref="F711">IF(707&gt;$S$1204,"",INDEX($T$5:$AJ$1204,MATCH(707,$S$5:$S$1204,0),6))</f>
        <v/>
      </c>
      <c r="G711" s="8" t="str">
        <f t="array" ref="G711">IF(707&gt;$S$1204,"",INDEX($T$5:$AJ$1204,MATCH(707,$S$5:$S$1204,0),7))</f>
        <v/>
      </c>
      <c r="H711" s="8" t="str">
        <f t="array" ref="H711">IF(707&gt;$S$1204,"",INDEX($T$5:$AJ$1204,MATCH(707,$S$5:$S$1204,0),8))</f>
        <v/>
      </c>
      <c r="I711" s="8" t="str">
        <f t="array" ref="I711">IF(707&gt;$S$1204,"",INDEX($T$5:$AJ$1204,MATCH(707,$S$5:$S$1204,0),9))</f>
        <v/>
      </c>
      <c r="J711" s="14" t="str">
        <f t="array" ref="J711">IF(707&gt;$S$1204,"",INDEX($T$5:$AJ$1204,MATCH(707,$S$5:$S$1204,0),10))</f>
        <v/>
      </c>
      <c r="K711" s="8" t="str">
        <f t="array" ref="K711">IF(707&gt;$S$1204,"",INDEX($T$5:$AJ$1204,MATCH(707,$S$5:$S$1204,0),11))</f>
        <v/>
      </c>
      <c r="L711" s="8" t="str">
        <f t="array" ref="L711">IF(707&gt;$S$1204,"",INDEX($T$5:$AJ$1204,MATCH(707,$S$5:$S$1204,0),12))</f>
        <v/>
      </c>
      <c r="M711" s="8" t="str">
        <f t="array" ref="M711">IF(707&gt;$S$1204,"",INDEX($T$5:$AJ$1204,MATCH(707,$S$5:$S$1204,0),13))</f>
        <v/>
      </c>
      <c r="N711" s="8" t="str">
        <f t="array" ref="N711">IF(707&gt;$S$1204,"",INDEX($T$5:$AJ$1204,MATCH(707,$S$5:$S$1204,0),14))</f>
        <v/>
      </c>
      <c r="O711" s="15" t="str">
        <f t="array" ref="O711">IF(707&gt;$S$1204,"",INDEX($T$5:$AJ$1204,MATCH(707,$S$5:$S$1204,0),15))</f>
        <v/>
      </c>
      <c r="P711" s="8" t="str">
        <f t="array" ref="P711">IF(707&gt;$S$1204,"",INDEX($T$5:$AJ$1204,MATCH(707,$S$5:$S$1204,0),16))</f>
        <v/>
      </c>
      <c r="Q711" s="8" t="str">
        <f t="array" ref="Q711">IF(707&gt;$S$1204,"",INDEX($T$5:$AJ$1204,MATCH(707,$S$5:$S$1204,0),17))</f>
        <v/>
      </c>
      <c r="R711" s="17"/>
      <c r="S711" s="17">
        <f>S710+IF(M4_Sectores!A115="",0,1)</f>
        <v>0</v>
      </c>
      <c r="T711" s="17" t="str">
        <f>IF(M4_Sectores!A115="","",IF(M4_Sectores!A115="","",M4_Sectores!A115))</f>
        <v/>
      </c>
      <c r="U711" s="17" t="str">
        <f>IF(M4_Sectores!A115="","",IF(M4_Sectores!Q115="","",M4_Sectores!Q115))</f>
        <v/>
      </c>
      <c r="V711" s="17" t="str">
        <f>IF(M4_Sectores!A115="","",IF(M4_Sectores!D115="","",M4_Sectores!D115))</f>
        <v/>
      </c>
      <c r="W711" s="17" t="str">
        <f>IF(M4_Sectores!A115="","",IF(M4_Sectores!B115="","",M4_Sectores!B115))</f>
        <v/>
      </c>
      <c r="X711" s="17" t="str">
        <f>IF(M4_Sectores!A115="","",IF(M4_Sectores!C115="","",M4_Sectores!C115))</f>
        <v/>
      </c>
      <c r="Y711" s="17" t="str">
        <f>IF(M4_Sectores!A115="","",IF(M4_Sectores!E115="","",M4_Sectores!E115))</f>
        <v/>
      </c>
      <c r="Z711" s="17" t="str">
        <f>IF(M4_Sectores!A115="","",IF(M4_Sectores!F115="","",M4_Sectores!F115))</f>
        <v/>
      </c>
      <c r="AA711" s="17" t="str">
        <f>IF(M4_Sectores!A115="","","M4 Sectores")</f>
        <v/>
      </c>
      <c r="AB711" s="17" t="str">
        <f>IF(M4_Sectores!A115="","",IF(M4_Sectores!G115="","",M4_Sectores!G115))</f>
        <v/>
      </c>
      <c r="AC711" s="17" t="str">
        <f>IF(M4_Sectores!A115="","",IF(COUNTIFS(M4_Sectores!$A$9:A115,M4_Sectores!A115,M4_Sectores!$D$9:D115,M4_Sectores!D115,M4_Sectores!$H$9:H115,M4_Sectores!H115)=1,IF(M4_Sectores!L115="","",M4_Sectores!L115),""))</f>
        <v/>
      </c>
      <c r="AD711" s="17" t="str">
        <f>IF(M4_Sectores!A115="","","EE")</f>
        <v/>
      </c>
      <c r="AE711" s="17" t="str">
        <f>IF(M4_Sectores!A115="","",IF(M4_Sectores!N115="","",M4_Sectores!N115))</f>
        <v/>
      </c>
      <c r="AF711" s="17" t="str">
        <f>IF(M4_Sectores!A115="","",IF(M4_Sectores!O115="","",M4_Sectores!O115))</f>
        <v/>
      </c>
      <c r="AG711" s="17" t="str">
        <f>IF(M4_Sectores!A115="","",IF(M4_Sectores!P115="","",M4_Sectores!P115))</f>
        <v/>
      </c>
      <c r="AH711" s="17" t="str">
        <f>IF(M4_Sectores!A115="","",IF(M4_Sectores!H115="","",M4_Sectores!H115))</f>
        <v/>
      </c>
      <c r="AI711" s="17" t="str">
        <f>IF(M4_Sectores!A115="","","M4_Sectores!115")</f>
        <v/>
      </c>
      <c r="AJ711" s="17" t="str">
        <f>IF(M4_Sectores!A115="","",IF(M4_Sectores!L115="","Pendiente de momento o resultado",IF(COUNTIFS(M4_Sectores!$A$9:A115,M4_Sectores!A115,M4_Sectores!$D$9:D115,M4_Sectores!D115,M4_Sectores!$H$9:H115,M4_Sectores!H115)=1,"Total del momento","Sector incluido en total")))</f>
        <v/>
      </c>
    </row>
    <row r="712" spans="1:36" ht="55.5" customHeight="1">
      <c r="A712" s="6" t="str">
        <f t="array" ref="A712">IF(708&gt;$S$1204,"",INDEX($T$5:$AJ$1204,MATCH(708,$S$5:$S$1204,0),1))</f>
        <v/>
      </c>
      <c r="B712" s="8" t="str">
        <f t="array" ref="B712">IF(708&gt;$S$1204,"",INDEX($T$5:$AJ$1204,MATCH(708,$S$5:$S$1204,0),2))</f>
        <v/>
      </c>
      <c r="C712" s="10" t="str">
        <f t="array" ref="C712">IF(708&gt;$S$1204,"",INDEX($T$5:$AJ$1204,MATCH(708,$S$5:$S$1204,0),3))</f>
        <v/>
      </c>
      <c r="D712" s="8" t="str">
        <f t="array" ref="D712">IF(708&gt;$S$1204,"",INDEX($T$5:$AJ$1204,MATCH(708,$S$5:$S$1204,0),4))</f>
        <v/>
      </c>
      <c r="E712" s="8" t="str">
        <f t="array" ref="E712">IF(708&gt;$S$1204,"",INDEX($T$5:$AJ$1204,MATCH(708,$S$5:$S$1204,0),5))</f>
        <v/>
      </c>
      <c r="F712" s="8" t="str">
        <f t="array" ref="F712">IF(708&gt;$S$1204,"",INDEX($T$5:$AJ$1204,MATCH(708,$S$5:$S$1204,0),6))</f>
        <v/>
      </c>
      <c r="G712" s="8" t="str">
        <f t="array" ref="G712">IF(708&gt;$S$1204,"",INDEX($T$5:$AJ$1204,MATCH(708,$S$5:$S$1204,0),7))</f>
        <v/>
      </c>
      <c r="H712" s="8" t="str">
        <f t="array" ref="H712">IF(708&gt;$S$1204,"",INDEX($T$5:$AJ$1204,MATCH(708,$S$5:$S$1204,0),8))</f>
        <v/>
      </c>
      <c r="I712" s="8" t="str">
        <f t="array" ref="I712">IF(708&gt;$S$1204,"",INDEX($T$5:$AJ$1204,MATCH(708,$S$5:$S$1204,0),9))</f>
        <v/>
      </c>
      <c r="J712" s="14" t="str">
        <f t="array" ref="J712">IF(708&gt;$S$1204,"",INDEX($T$5:$AJ$1204,MATCH(708,$S$5:$S$1204,0),10))</f>
        <v/>
      </c>
      <c r="K712" s="8" t="str">
        <f t="array" ref="K712">IF(708&gt;$S$1204,"",INDEX($T$5:$AJ$1204,MATCH(708,$S$5:$S$1204,0),11))</f>
        <v/>
      </c>
      <c r="L712" s="8" t="str">
        <f t="array" ref="L712">IF(708&gt;$S$1204,"",INDEX($T$5:$AJ$1204,MATCH(708,$S$5:$S$1204,0),12))</f>
        <v/>
      </c>
      <c r="M712" s="8" t="str">
        <f t="array" ref="M712">IF(708&gt;$S$1204,"",INDEX($T$5:$AJ$1204,MATCH(708,$S$5:$S$1204,0),13))</f>
        <v/>
      </c>
      <c r="N712" s="8" t="str">
        <f t="array" ref="N712">IF(708&gt;$S$1204,"",INDEX($T$5:$AJ$1204,MATCH(708,$S$5:$S$1204,0),14))</f>
        <v/>
      </c>
      <c r="O712" s="15" t="str">
        <f t="array" ref="O712">IF(708&gt;$S$1204,"",INDEX($T$5:$AJ$1204,MATCH(708,$S$5:$S$1204,0),15))</f>
        <v/>
      </c>
      <c r="P712" s="8" t="str">
        <f t="array" ref="P712">IF(708&gt;$S$1204,"",INDEX($T$5:$AJ$1204,MATCH(708,$S$5:$S$1204,0),16))</f>
        <v/>
      </c>
      <c r="Q712" s="8" t="str">
        <f t="array" ref="Q712">IF(708&gt;$S$1204,"",INDEX($T$5:$AJ$1204,MATCH(708,$S$5:$S$1204,0),17))</f>
        <v/>
      </c>
      <c r="R712" s="17"/>
      <c r="S712" s="17">
        <f>S711+IF(M4_Sectores!A116="",0,1)</f>
        <v>0</v>
      </c>
      <c r="T712" s="17" t="str">
        <f>IF(M4_Sectores!A116="","",IF(M4_Sectores!A116="","",M4_Sectores!A116))</f>
        <v/>
      </c>
      <c r="U712" s="17" t="str">
        <f>IF(M4_Sectores!A116="","",IF(M4_Sectores!Q116="","",M4_Sectores!Q116))</f>
        <v/>
      </c>
      <c r="V712" s="17" t="str">
        <f>IF(M4_Sectores!A116="","",IF(M4_Sectores!D116="","",M4_Sectores!D116))</f>
        <v/>
      </c>
      <c r="W712" s="17" t="str">
        <f>IF(M4_Sectores!A116="","",IF(M4_Sectores!B116="","",M4_Sectores!B116))</f>
        <v/>
      </c>
      <c r="X712" s="17" t="str">
        <f>IF(M4_Sectores!A116="","",IF(M4_Sectores!C116="","",M4_Sectores!C116))</f>
        <v/>
      </c>
      <c r="Y712" s="17" t="str">
        <f>IF(M4_Sectores!A116="","",IF(M4_Sectores!E116="","",M4_Sectores!E116))</f>
        <v/>
      </c>
      <c r="Z712" s="17" t="str">
        <f>IF(M4_Sectores!A116="","",IF(M4_Sectores!F116="","",M4_Sectores!F116))</f>
        <v/>
      </c>
      <c r="AA712" s="17" t="str">
        <f>IF(M4_Sectores!A116="","","M4 Sectores")</f>
        <v/>
      </c>
      <c r="AB712" s="17" t="str">
        <f>IF(M4_Sectores!A116="","",IF(M4_Sectores!G116="","",M4_Sectores!G116))</f>
        <v/>
      </c>
      <c r="AC712" s="17" t="str">
        <f>IF(M4_Sectores!A116="","",IF(COUNTIFS(M4_Sectores!$A$9:A116,M4_Sectores!A116,M4_Sectores!$D$9:D116,M4_Sectores!D116,M4_Sectores!$H$9:H116,M4_Sectores!H116)=1,IF(M4_Sectores!L116="","",M4_Sectores!L116),""))</f>
        <v/>
      </c>
      <c r="AD712" s="17" t="str">
        <f>IF(M4_Sectores!A116="","","EE")</f>
        <v/>
      </c>
      <c r="AE712" s="17" t="str">
        <f>IF(M4_Sectores!A116="","",IF(M4_Sectores!N116="","",M4_Sectores!N116))</f>
        <v/>
      </c>
      <c r="AF712" s="17" t="str">
        <f>IF(M4_Sectores!A116="","",IF(M4_Sectores!O116="","",M4_Sectores!O116))</f>
        <v/>
      </c>
      <c r="AG712" s="17" t="str">
        <f>IF(M4_Sectores!A116="","",IF(M4_Sectores!P116="","",M4_Sectores!P116))</f>
        <v/>
      </c>
      <c r="AH712" s="17" t="str">
        <f>IF(M4_Sectores!A116="","",IF(M4_Sectores!H116="","",M4_Sectores!H116))</f>
        <v/>
      </c>
      <c r="AI712" s="17" t="str">
        <f>IF(M4_Sectores!A116="","","M4_Sectores!116")</f>
        <v/>
      </c>
      <c r="AJ712" s="17" t="str">
        <f>IF(M4_Sectores!A116="","",IF(M4_Sectores!L116="","Pendiente de momento o resultado",IF(COUNTIFS(M4_Sectores!$A$9:A116,M4_Sectores!A116,M4_Sectores!$D$9:D116,M4_Sectores!D116,M4_Sectores!$H$9:H116,M4_Sectores!H116)=1,"Total del momento","Sector incluido en total")))</f>
        <v/>
      </c>
    </row>
    <row r="713" spans="1:36" ht="55.5" customHeight="1">
      <c r="A713" s="6" t="str">
        <f t="array" ref="A713">IF(709&gt;$S$1204,"",INDEX($T$5:$AJ$1204,MATCH(709,$S$5:$S$1204,0),1))</f>
        <v/>
      </c>
      <c r="B713" s="8" t="str">
        <f t="array" ref="B713">IF(709&gt;$S$1204,"",INDEX($T$5:$AJ$1204,MATCH(709,$S$5:$S$1204,0),2))</f>
        <v/>
      </c>
      <c r="C713" s="10" t="str">
        <f t="array" ref="C713">IF(709&gt;$S$1204,"",INDEX($T$5:$AJ$1204,MATCH(709,$S$5:$S$1204,0),3))</f>
        <v/>
      </c>
      <c r="D713" s="8" t="str">
        <f t="array" ref="D713">IF(709&gt;$S$1204,"",INDEX($T$5:$AJ$1204,MATCH(709,$S$5:$S$1204,0),4))</f>
        <v/>
      </c>
      <c r="E713" s="8" t="str">
        <f t="array" ref="E713">IF(709&gt;$S$1204,"",INDEX($T$5:$AJ$1204,MATCH(709,$S$5:$S$1204,0),5))</f>
        <v/>
      </c>
      <c r="F713" s="8" t="str">
        <f t="array" ref="F713">IF(709&gt;$S$1204,"",INDEX($T$5:$AJ$1204,MATCH(709,$S$5:$S$1204,0),6))</f>
        <v/>
      </c>
      <c r="G713" s="8" t="str">
        <f t="array" ref="G713">IF(709&gt;$S$1204,"",INDEX($T$5:$AJ$1204,MATCH(709,$S$5:$S$1204,0),7))</f>
        <v/>
      </c>
      <c r="H713" s="8" t="str">
        <f t="array" ref="H713">IF(709&gt;$S$1204,"",INDEX($T$5:$AJ$1204,MATCH(709,$S$5:$S$1204,0),8))</f>
        <v/>
      </c>
      <c r="I713" s="8" t="str">
        <f t="array" ref="I713">IF(709&gt;$S$1204,"",INDEX($T$5:$AJ$1204,MATCH(709,$S$5:$S$1204,0),9))</f>
        <v/>
      </c>
      <c r="J713" s="14" t="str">
        <f t="array" ref="J713">IF(709&gt;$S$1204,"",INDEX($T$5:$AJ$1204,MATCH(709,$S$5:$S$1204,0),10))</f>
        <v/>
      </c>
      <c r="K713" s="8" t="str">
        <f t="array" ref="K713">IF(709&gt;$S$1204,"",INDEX($T$5:$AJ$1204,MATCH(709,$S$5:$S$1204,0),11))</f>
        <v/>
      </c>
      <c r="L713" s="8" t="str">
        <f t="array" ref="L713">IF(709&gt;$S$1204,"",INDEX($T$5:$AJ$1204,MATCH(709,$S$5:$S$1204,0),12))</f>
        <v/>
      </c>
      <c r="M713" s="8" t="str">
        <f t="array" ref="M713">IF(709&gt;$S$1204,"",INDEX($T$5:$AJ$1204,MATCH(709,$S$5:$S$1204,0),13))</f>
        <v/>
      </c>
      <c r="N713" s="8" t="str">
        <f t="array" ref="N713">IF(709&gt;$S$1204,"",INDEX($T$5:$AJ$1204,MATCH(709,$S$5:$S$1204,0),14))</f>
        <v/>
      </c>
      <c r="O713" s="15" t="str">
        <f t="array" ref="O713">IF(709&gt;$S$1204,"",INDEX($T$5:$AJ$1204,MATCH(709,$S$5:$S$1204,0),15))</f>
        <v/>
      </c>
      <c r="P713" s="8" t="str">
        <f t="array" ref="P713">IF(709&gt;$S$1204,"",INDEX($T$5:$AJ$1204,MATCH(709,$S$5:$S$1204,0),16))</f>
        <v/>
      </c>
      <c r="Q713" s="8" t="str">
        <f t="array" ref="Q713">IF(709&gt;$S$1204,"",INDEX($T$5:$AJ$1204,MATCH(709,$S$5:$S$1204,0),17))</f>
        <v/>
      </c>
      <c r="R713" s="17"/>
      <c r="S713" s="17">
        <f>S712+IF(M4_Sectores!A117="",0,1)</f>
        <v>0</v>
      </c>
      <c r="T713" s="17" t="str">
        <f>IF(M4_Sectores!A117="","",IF(M4_Sectores!A117="","",M4_Sectores!A117))</f>
        <v/>
      </c>
      <c r="U713" s="17" t="str">
        <f>IF(M4_Sectores!A117="","",IF(M4_Sectores!Q117="","",M4_Sectores!Q117))</f>
        <v/>
      </c>
      <c r="V713" s="17" t="str">
        <f>IF(M4_Sectores!A117="","",IF(M4_Sectores!D117="","",M4_Sectores!D117))</f>
        <v/>
      </c>
      <c r="W713" s="17" t="str">
        <f>IF(M4_Sectores!A117="","",IF(M4_Sectores!B117="","",M4_Sectores!B117))</f>
        <v/>
      </c>
      <c r="X713" s="17" t="str">
        <f>IF(M4_Sectores!A117="","",IF(M4_Sectores!C117="","",M4_Sectores!C117))</f>
        <v/>
      </c>
      <c r="Y713" s="17" t="str">
        <f>IF(M4_Sectores!A117="","",IF(M4_Sectores!E117="","",M4_Sectores!E117))</f>
        <v/>
      </c>
      <c r="Z713" s="17" t="str">
        <f>IF(M4_Sectores!A117="","",IF(M4_Sectores!F117="","",M4_Sectores!F117))</f>
        <v/>
      </c>
      <c r="AA713" s="17" t="str">
        <f>IF(M4_Sectores!A117="","","M4 Sectores")</f>
        <v/>
      </c>
      <c r="AB713" s="17" t="str">
        <f>IF(M4_Sectores!A117="","",IF(M4_Sectores!G117="","",M4_Sectores!G117))</f>
        <v/>
      </c>
      <c r="AC713" s="17" t="str">
        <f>IF(M4_Sectores!A117="","",IF(COUNTIFS(M4_Sectores!$A$9:A117,M4_Sectores!A117,M4_Sectores!$D$9:D117,M4_Sectores!D117,M4_Sectores!$H$9:H117,M4_Sectores!H117)=1,IF(M4_Sectores!L117="","",M4_Sectores!L117),""))</f>
        <v/>
      </c>
      <c r="AD713" s="17" t="str">
        <f>IF(M4_Sectores!A117="","","EE")</f>
        <v/>
      </c>
      <c r="AE713" s="17" t="str">
        <f>IF(M4_Sectores!A117="","",IF(M4_Sectores!N117="","",M4_Sectores!N117))</f>
        <v/>
      </c>
      <c r="AF713" s="17" t="str">
        <f>IF(M4_Sectores!A117="","",IF(M4_Sectores!O117="","",M4_Sectores!O117))</f>
        <v/>
      </c>
      <c r="AG713" s="17" t="str">
        <f>IF(M4_Sectores!A117="","",IF(M4_Sectores!P117="","",M4_Sectores!P117))</f>
        <v/>
      </c>
      <c r="AH713" s="17" t="str">
        <f>IF(M4_Sectores!A117="","",IF(M4_Sectores!H117="","",M4_Sectores!H117))</f>
        <v/>
      </c>
      <c r="AI713" s="17" t="str">
        <f>IF(M4_Sectores!A117="","","M4_Sectores!117")</f>
        <v/>
      </c>
      <c r="AJ713" s="17" t="str">
        <f>IF(M4_Sectores!A117="","",IF(M4_Sectores!L117="","Pendiente de momento o resultado",IF(COUNTIFS(M4_Sectores!$A$9:A117,M4_Sectores!A117,M4_Sectores!$D$9:D117,M4_Sectores!D117,M4_Sectores!$H$9:H117,M4_Sectores!H117)=1,"Total del momento","Sector incluido en total")))</f>
        <v/>
      </c>
    </row>
    <row r="714" spans="1:36" ht="55.5" customHeight="1">
      <c r="A714" s="6" t="str">
        <f t="array" ref="A714">IF(710&gt;$S$1204,"",INDEX($T$5:$AJ$1204,MATCH(710,$S$5:$S$1204,0),1))</f>
        <v/>
      </c>
      <c r="B714" s="8" t="str">
        <f t="array" ref="B714">IF(710&gt;$S$1204,"",INDEX($T$5:$AJ$1204,MATCH(710,$S$5:$S$1204,0),2))</f>
        <v/>
      </c>
      <c r="C714" s="10" t="str">
        <f t="array" ref="C714">IF(710&gt;$S$1204,"",INDEX($T$5:$AJ$1204,MATCH(710,$S$5:$S$1204,0),3))</f>
        <v/>
      </c>
      <c r="D714" s="8" t="str">
        <f t="array" ref="D714">IF(710&gt;$S$1204,"",INDEX($T$5:$AJ$1204,MATCH(710,$S$5:$S$1204,0),4))</f>
        <v/>
      </c>
      <c r="E714" s="8" t="str">
        <f t="array" ref="E714">IF(710&gt;$S$1204,"",INDEX($T$5:$AJ$1204,MATCH(710,$S$5:$S$1204,0),5))</f>
        <v/>
      </c>
      <c r="F714" s="8" t="str">
        <f t="array" ref="F714">IF(710&gt;$S$1204,"",INDEX($T$5:$AJ$1204,MATCH(710,$S$5:$S$1204,0),6))</f>
        <v/>
      </c>
      <c r="G714" s="8" t="str">
        <f t="array" ref="G714">IF(710&gt;$S$1204,"",INDEX($T$5:$AJ$1204,MATCH(710,$S$5:$S$1204,0),7))</f>
        <v/>
      </c>
      <c r="H714" s="8" t="str">
        <f t="array" ref="H714">IF(710&gt;$S$1204,"",INDEX($T$5:$AJ$1204,MATCH(710,$S$5:$S$1204,0),8))</f>
        <v/>
      </c>
      <c r="I714" s="8" t="str">
        <f t="array" ref="I714">IF(710&gt;$S$1204,"",INDEX($T$5:$AJ$1204,MATCH(710,$S$5:$S$1204,0),9))</f>
        <v/>
      </c>
      <c r="J714" s="14" t="str">
        <f t="array" ref="J714">IF(710&gt;$S$1204,"",INDEX($T$5:$AJ$1204,MATCH(710,$S$5:$S$1204,0),10))</f>
        <v/>
      </c>
      <c r="K714" s="8" t="str">
        <f t="array" ref="K714">IF(710&gt;$S$1204,"",INDEX($T$5:$AJ$1204,MATCH(710,$S$5:$S$1204,0),11))</f>
        <v/>
      </c>
      <c r="L714" s="8" t="str">
        <f t="array" ref="L714">IF(710&gt;$S$1204,"",INDEX($T$5:$AJ$1204,MATCH(710,$S$5:$S$1204,0),12))</f>
        <v/>
      </c>
      <c r="M714" s="8" t="str">
        <f t="array" ref="M714">IF(710&gt;$S$1204,"",INDEX($T$5:$AJ$1204,MATCH(710,$S$5:$S$1204,0),13))</f>
        <v/>
      </c>
      <c r="N714" s="8" t="str">
        <f t="array" ref="N714">IF(710&gt;$S$1204,"",INDEX($T$5:$AJ$1204,MATCH(710,$S$5:$S$1204,0),14))</f>
        <v/>
      </c>
      <c r="O714" s="15" t="str">
        <f t="array" ref="O714">IF(710&gt;$S$1204,"",INDEX($T$5:$AJ$1204,MATCH(710,$S$5:$S$1204,0),15))</f>
        <v/>
      </c>
      <c r="P714" s="8" t="str">
        <f t="array" ref="P714">IF(710&gt;$S$1204,"",INDEX($T$5:$AJ$1204,MATCH(710,$S$5:$S$1204,0),16))</f>
        <v/>
      </c>
      <c r="Q714" s="8" t="str">
        <f t="array" ref="Q714">IF(710&gt;$S$1204,"",INDEX($T$5:$AJ$1204,MATCH(710,$S$5:$S$1204,0),17))</f>
        <v/>
      </c>
      <c r="R714" s="17"/>
      <c r="S714" s="17">
        <f>S713+IF(M4_Sectores!A118="",0,1)</f>
        <v>0</v>
      </c>
      <c r="T714" s="17" t="str">
        <f>IF(M4_Sectores!A118="","",IF(M4_Sectores!A118="","",M4_Sectores!A118))</f>
        <v/>
      </c>
      <c r="U714" s="17" t="str">
        <f>IF(M4_Sectores!A118="","",IF(M4_Sectores!Q118="","",M4_Sectores!Q118))</f>
        <v/>
      </c>
      <c r="V714" s="17" t="str">
        <f>IF(M4_Sectores!A118="","",IF(M4_Sectores!D118="","",M4_Sectores!D118))</f>
        <v/>
      </c>
      <c r="W714" s="17" t="str">
        <f>IF(M4_Sectores!A118="","",IF(M4_Sectores!B118="","",M4_Sectores!B118))</f>
        <v/>
      </c>
      <c r="X714" s="17" t="str">
        <f>IF(M4_Sectores!A118="","",IF(M4_Sectores!C118="","",M4_Sectores!C118))</f>
        <v/>
      </c>
      <c r="Y714" s="17" t="str">
        <f>IF(M4_Sectores!A118="","",IF(M4_Sectores!E118="","",M4_Sectores!E118))</f>
        <v/>
      </c>
      <c r="Z714" s="17" t="str">
        <f>IF(M4_Sectores!A118="","",IF(M4_Sectores!F118="","",M4_Sectores!F118))</f>
        <v/>
      </c>
      <c r="AA714" s="17" t="str">
        <f>IF(M4_Sectores!A118="","","M4 Sectores")</f>
        <v/>
      </c>
      <c r="AB714" s="17" t="str">
        <f>IF(M4_Sectores!A118="","",IF(M4_Sectores!G118="","",M4_Sectores!G118))</f>
        <v/>
      </c>
      <c r="AC714" s="17" t="str">
        <f>IF(M4_Sectores!A118="","",IF(COUNTIFS(M4_Sectores!$A$9:A118,M4_Sectores!A118,M4_Sectores!$D$9:D118,M4_Sectores!D118,M4_Sectores!$H$9:H118,M4_Sectores!H118)=1,IF(M4_Sectores!L118="","",M4_Sectores!L118),""))</f>
        <v/>
      </c>
      <c r="AD714" s="17" t="str">
        <f>IF(M4_Sectores!A118="","","EE")</f>
        <v/>
      </c>
      <c r="AE714" s="17" t="str">
        <f>IF(M4_Sectores!A118="","",IF(M4_Sectores!N118="","",M4_Sectores!N118))</f>
        <v/>
      </c>
      <c r="AF714" s="17" t="str">
        <f>IF(M4_Sectores!A118="","",IF(M4_Sectores!O118="","",M4_Sectores!O118))</f>
        <v/>
      </c>
      <c r="AG714" s="17" t="str">
        <f>IF(M4_Sectores!A118="","",IF(M4_Sectores!P118="","",M4_Sectores!P118))</f>
        <v/>
      </c>
      <c r="AH714" s="17" t="str">
        <f>IF(M4_Sectores!A118="","",IF(M4_Sectores!H118="","",M4_Sectores!H118))</f>
        <v/>
      </c>
      <c r="AI714" s="17" t="str">
        <f>IF(M4_Sectores!A118="","","M4_Sectores!118")</f>
        <v/>
      </c>
      <c r="AJ714" s="17" t="str">
        <f>IF(M4_Sectores!A118="","",IF(M4_Sectores!L118="","Pendiente de momento o resultado",IF(COUNTIFS(M4_Sectores!$A$9:A118,M4_Sectores!A118,M4_Sectores!$D$9:D118,M4_Sectores!D118,M4_Sectores!$H$9:H118,M4_Sectores!H118)=1,"Total del momento","Sector incluido en total")))</f>
        <v/>
      </c>
    </row>
    <row r="715" spans="1:36" ht="55.5" customHeight="1">
      <c r="A715" s="6" t="str">
        <f t="array" ref="A715">IF(711&gt;$S$1204,"",INDEX($T$5:$AJ$1204,MATCH(711,$S$5:$S$1204,0),1))</f>
        <v/>
      </c>
      <c r="B715" s="8" t="str">
        <f t="array" ref="B715">IF(711&gt;$S$1204,"",INDEX($T$5:$AJ$1204,MATCH(711,$S$5:$S$1204,0),2))</f>
        <v/>
      </c>
      <c r="C715" s="10" t="str">
        <f t="array" ref="C715">IF(711&gt;$S$1204,"",INDEX($T$5:$AJ$1204,MATCH(711,$S$5:$S$1204,0),3))</f>
        <v/>
      </c>
      <c r="D715" s="8" t="str">
        <f t="array" ref="D715">IF(711&gt;$S$1204,"",INDEX($T$5:$AJ$1204,MATCH(711,$S$5:$S$1204,0),4))</f>
        <v/>
      </c>
      <c r="E715" s="8" t="str">
        <f t="array" ref="E715">IF(711&gt;$S$1204,"",INDEX($T$5:$AJ$1204,MATCH(711,$S$5:$S$1204,0),5))</f>
        <v/>
      </c>
      <c r="F715" s="8" t="str">
        <f t="array" ref="F715">IF(711&gt;$S$1204,"",INDEX($T$5:$AJ$1204,MATCH(711,$S$5:$S$1204,0),6))</f>
        <v/>
      </c>
      <c r="G715" s="8" t="str">
        <f t="array" ref="G715">IF(711&gt;$S$1204,"",INDEX($T$5:$AJ$1204,MATCH(711,$S$5:$S$1204,0),7))</f>
        <v/>
      </c>
      <c r="H715" s="8" t="str">
        <f t="array" ref="H715">IF(711&gt;$S$1204,"",INDEX($T$5:$AJ$1204,MATCH(711,$S$5:$S$1204,0),8))</f>
        <v/>
      </c>
      <c r="I715" s="8" t="str">
        <f t="array" ref="I715">IF(711&gt;$S$1204,"",INDEX($T$5:$AJ$1204,MATCH(711,$S$5:$S$1204,0),9))</f>
        <v/>
      </c>
      <c r="J715" s="14" t="str">
        <f t="array" ref="J715">IF(711&gt;$S$1204,"",INDEX($T$5:$AJ$1204,MATCH(711,$S$5:$S$1204,0),10))</f>
        <v/>
      </c>
      <c r="K715" s="8" t="str">
        <f t="array" ref="K715">IF(711&gt;$S$1204,"",INDEX($T$5:$AJ$1204,MATCH(711,$S$5:$S$1204,0),11))</f>
        <v/>
      </c>
      <c r="L715" s="8" t="str">
        <f t="array" ref="L715">IF(711&gt;$S$1204,"",INDEX($T$5:$AJ$1204,MATCH(711,$S$5:$S$1204,0),12))</f>
        <v/>
      </c>
      <c r="M715" s="8" t="str">
        <f t="array" ref="M715">IF(711&gt;$S$1204,"",INDEX($T$5:$AJ$1204,MATCH(711,$S$5:$S$1204,0),13))</f>
        <v/>
      </c>
      <c r="N715" s="8" t="str">
        <f t="array" ref="N715">IF(711&gt;$S$1204,"",INDEX($T$5:$AJ$1204,MATCH(711,$S$5:$S$1204,0),14))</f>
        <v/>
      </c>
      <c r="O715" s="15" t="str">
        <f t="array" ref="O715">IF(711&gt;$S$1204,"",INDEX($T$5:$AJ$1204,MATCH(711,$S$5:$S$1204,0),15))</f>
        <v/>
      </c>
      <c r="P715" s="8" t="str">
        <f t="array" ref="P715">IF(711&gt;$S$1204,"",INDEX($T$5:$AJ$1204,MATCH(711,$S$5:$S$1204,0),16))</f>
        <v/>
      </c>
      <c r="Q715" s="8" t="str">
        <f t="array" ref="Q715">IF(711&gt;$S$1204,"",INDEX($T$5:$AJ$1204,MATCH(711,$S$5:$S$1204,0),17))</f>
        <v/>
      </c>
      <c r="R715" s="17"/>
      <c r="S715" s="17">
        <f>S714+IF(M4_Sectores!A119="",0,1)</f>
        <v>0</v>
      </c>
      <c r="T715" s="17" t="str">
        <f>IF(M4_Sectores!A119="","",IF(M4_Sectores!A119="","",M4_Sectores!A119))</f>
        <v/>
      </c>
      <c r="U715" s="17" t="str">
        <f>IF(M4_Sectores!A119="","",IF(M4_Sectores!Q119="","",M4_Sectores!Q119))</f>
        <v/>
      </c>
      <c r="V715" s="17" t="str">
        <f>IF(M4_Sectores!A119="","",IF(M4_Sectores!D119="","",M4_Sectores!D119))</f>
        <v/>
      </c>
      <c r="W715" s="17" t="str">
        <f>IF(M4_Sectores!A119="","",IF(M4_Sectores!B119="","",M4_Sectores!B119))</f>
        <v/>
      </c>
      <c r="X715" s="17" t="str">
        <f>IF(M4_Sectores!A119="","",IF(M4_Sectores!C119="","",M4_Sectores!C119))</f>
        <v/>
      </c>
      <c r="Y715" s="17" t="str">
        <f>IF(M4_Sectores!A119="","",IF(M4_Sectores!E119="","",M4_Sectores!E119))</f>
        <v/>
      </c>
      <c r="Z715" s="17" t="str">
        <f>IF(M4_Sectores!A119="","",IF(M4_Sectores!F119="","",M4_Sectores!F119))</f>
        <v/>
      </c>
      <c r="AA715" s="17" t="str">
        <f>IF(M4_Sectores!A119="","","M4 Sectores")</f>
        <v/>
      </c>
      <c r="AB715" s="17" t="str">
        <f>IF(M4_Sectores!A119="","",IF(M4_Sectores!G119="","",M4_Sectores!G119))</f>
        <v/>
      </c>
      <c r="AC715" s="17" t="str">
        <f>IF(M4_Sectores!A119="","",IF(COUNTIFS(M4_Sectores!$A$9:A119,M4_Sectores!A119,M4_Sectores!$D$9:D119,M4_Sectores!D119,M4_Sectores!$H$9:H119,M4_Sectores!H119)=1,IF(M4_Sectores!L119="","",M4_Sectores!L119),""))</f>
        <v/>
      </c>
      <c r="AD715" s="17" t="str">
        <f>IF(M4_Sectores!A119="","","EE")</f>
        <v/>
      </c>
      <c r="AE715" s="17" t="str">
        <f>IF(M4_Sectores!A119="","",IF(M4_Sectores!N119="","",M4_Sectores!N119))</f>
        <v/>
      </c>
      <c r="AF715" s="17" t="str">
        <f>IF(M4_Sectores!A119="","",IF(M4_Sectores!O119="","",M4_Sectores!O119))</f>
        <v/>
      </c>
      <c r="AG715" s="17" t="str">
        <f>IF(M4_Sectores!A119="","",IF(M4_Sectores!P119="","",M4_Sectores!P119))</f>
        <v/>
      </c>
      <c r="AH715" s="17" t="str">
        <f>IF(M4_Sectores!A119="","",IF(M4_Sectores!H119="","",M4_Sectores!H119))</f>
        <v/>
      </c>
      <c r="AI715" s="17" t="str">
        <f>IF(M4_Sectores!A119="","","M4_Sectores!119")</f>
        <v/>
      </c>
      <c r="AJ715" s="17" t="str">
        <f>IF(M4_Sectores!A119="","",IF(M4_Sectores!L119="","Pendiente de momento o resultado",IF(COUNTIFS(M4_Sectores!$A$9:A119,M4_Sectores!A119,M4_Sectores!$D$9:D119,M4_Sectores!D119,M4_Sectores!$H$9:H119,M4_Sectores!H119)=1,"Total del momento","Sector incluido en total")))</f>
        <v/>
      </c>
    </row>
    <row r="716" spans="1:36" ht="55.5" customHeight="1">
      <c r="A716" s="6" t="str">
        <f t="array" ref="A716">IF(712&gt;$S$1204,"",INDEX($T$5:$AJ$1204,MATCH(712,$S$5:$S$1204,0),1))</f>
        <v/>
      </c>
      <c r="B716" s="8" t="str">
        <f t="array" ref="B716">IF(712&gt;$S$1204,"",INDEX($T$5:$AJ$1204,MATCH(712,$S$5:$S$1204,0),2))</f>
        <v/>
      </c>
      <c r="C716" s="10" t="str">
        <f t="array" ref="C716">IF(712&gt;$S$1204,"",INDEX($T$5:$AJ$1204,MATCH(712,$S$5:$S$1204,0),3))</f>
        <v/>
      </c>
      <c r="D716" s="8" t="str">
        <f t="array" ref="D716">IF(712&gt;$S$1204,"",INDEX($T$5:$AJ$1204,MATCH(712,$S$5:$S$1204,0),4))</f>
        <v/>
      </c>
      <c r="E716" s="8" t="str">
        <f t="array" ref="E716">IF(712&gt;$S$1204,"",INDEX($T$5:$AJ$1204,MATCH(712,$S$5:$S$1204,0),5))</f>
        <v/>
      </c>
      <c r="F716" s="8" t="str">
        <f t="array" ref="F716">IF(712&gt;$S$1204,"",INDEX($T$5:$AJ$1204,MATCH(712,$S$5:$S$1204,0),6))</f>
        <v/>
      </c>
      <c r="G716" s="8" t="str">
        <f t="array" ref="G716">IF(712&gt;$S$1204,"",INDEX($T$5:$AJ$1204,MATCH(712,$S$5:$S$1204,0),7))</f>
        <v/>
      </c>
      <c r="H716" s="8" t="str">
        <f t="array" ref="H716">IF(712&gt;$S$1204,"",INDEX($T$5:$AJ$1204,MATCH(712,$S$5:$S$1204,0),8))</f>
        <v/>
      </c>
      <c r="I716" s="8" t="str">
        <f t="array" ref="I716">IF(712&gt;$S$1204,"",INDEX($T$5:$AJ$1204,MATCH(712,$S$5:$S$1204,0),9))</f>
        <v/>
      </c>
      <c r="J716" s="14" t="str">
        <f t="array" ref="J716">IF(712&gt;$S$1204,"",INDEX($T$5:$AJ$1204,MATCH(712,$S$5:$S$1204,0),10))</f>
        <v/>
      </c>
      <c r="K716" s="8" t="str">
        <f t="array" ref="K716">IF(712&gt;$S$1204,"",INDEX($T$5:$AJ$1204,MATCH(712,$S$5:$S$1204,0),11))</f>
        <v/>
      </c>
      <c r="L716" s="8" t="str">
        <f t="array" ref="L716">IF(712&gt;$S$1204,"",INDEX($T$5:$AJ$1204,MATCH(712,$S$5:$S$1204,0),12))</f>
        <v/>
      </c>
      <c r="M716" s="8" t="str">
        <f t="array" ref="M716">IF(712&gt;$S$1204,"",INDEX($T$5:$AJ$1204,MATCH(712,$S$5:$S$1204,0),13))</f>
        <v/>
      </c>
      <c r="N716" s="8" t="str">
        <f t="array" ref="N716">IF(712&gt;$S$1204,"",INDEX($T$5:$AJ$1204,MATCH(712,$S$5:$S$1204,0),14))</f>
        <v/>
      </c>
      <c r="O716" s="15" t="str">
        <f t="array" ref="O716">IF(712&gt;$S$1204,"",INDEX($T$5:$AJ$1204,MATCH(712,$S$5:$S$1204,0),15))</f>
        <v/>
      </c>
      <c r="P716" s="8" t="str">
        <f t="array" ref="P716">IF(712&gt;$S$1204,"",INDEX($T$5:$AJ$1204,MATCH(712,$S$5:$S$1204,0),16))</f>
        <v/>
      </c>
      <c r="Q716" s="8" t="str">
        <f t="array" ref="Q716">IF(712&gt;$S$1204,"",INDEX($T$5:$AJ$1204,MATCH(712,$S$5:$S$1204,0),17))</f>
        <v/>
      </c>
      <c r="R716" s="17"/>
      <c r="S716" s="17">
        <f>S715+IF(M4_Sectores!A120="",0,1)</f>
        <v>0</v>
      </c>
      <c r="T716" s="17" t="str">
        <f>IF(M4_Sectores!A120="","",IF(M4_Sectores!A120="","",M4_Sectores!A120))</f>
        <v/>
      </c>
      <c r="U716" s="17" t="str">
        <f>IF(M4_Sectores!A120="","",IF(M4_Sectores!Q120="","",M4_Sectores!Q120))</f>
        <v/>
      </c>
      <c r="V716" s="17" t="str">
        <f>IF(M4_Sectores!A120="","",IF(M4_Sectores!D120="","",M4_Sectores!D120))</f>
        <v/>
      </c>
      <c r="W716" s="17" t="str">
        <f>IF(M4_Sectores!A120="","",IF(M4_Sectores!B120="","",M4_Sectores!B120))</f>
        <v/>
      </c>
      <c r="X716" s="17" t="str">
        <f>IF(M4_Sectores!A120="","",IF(M4_Sectores!C120="","",M4_Sectores!C120))</f>
        <v/>
      </c>
      <c r="Y716" s="17" t="str">
        <f>IF(M4_Sectores!A120="","",IF(M4_Sectores!E120="","",M4_Sectores!E120))</f>
        <v/>
      </c>
      <c r="Z716" s="17" t="str">
        <f>IF(M4_Sectores!A120="","",IF(M4_Sectores!F120="","",M4_Sectores!F120))</f>
        <v/>
      </c>
      <c r="AA716" s="17" t="str">
        <f>IF(M4_Sectores!A120="","","M4 Sectores")</f>
        <v/>
      </c>
      <c r="AB716" s="17" t="str">
        <f>IF(M4_Sectores!A120="","",IF(M4_Sectores!G120="","",M4_Sectores!G120))</f>
        <v/>
      </c>
      <c r="AC716" s="17" t="str">
        <f>IF(M4_Sectores!A120="","",IF(COUNTIFS(M4_Sectores!$A$9:A120,M4_Sectores!A120,M4_Sectores!$D$9:D120,M4_Sectores!D120,M4_Sectores!$H$9:H120,M4_Sectores!H120)=1,IF(M4_Sectores!L120="","",M4_Sectores!L120),""))</f>
        <v/>
      </c>
      <c r="AD716" s="17" t="str">
        <f>IF(M4_Sectores!A120="","","EE")</f>
        <v/>
      </c>
      <c r="AE716" s="17" t="str">
        <f>IF(M4_Sectores!A120="","",IF(M4_Sectores!N120="","",M4_Sectores!N120))</f>
        <v/>
      </c>
      <c r="AF716" s="17" t="str">
        <f>IF(M4_Sectores!A120="","",IF(M4_Sectores!O120="","",M4_Sectores!O120))</f>
        <v/>
      </c>
      <c r="AG716" s="17" t="str">
        <f>IF(M4_Sectores!A120="","",IF(M4_Sectores!P120="","",M4_Sectores!P120))</f>
        <v/>
      </c>
      <c r="AH716" s="17" t="str">
        <f>IF(M4_Sectores!A120="","",IF(M4_Sectores!H120="","",M4_Sectores!H120))</f>
        <v/>
      </c>
      <c r="AI716" s="17" t="str">
        <f>IF(M4_Sectores!A120="","","M4_Sectores!120")</f>
        <v/>
      </c>
      <c r="AJ716" s="17" t="str">
        <f>IF(M4_Sectores!A120="","",IF(M4_Sectores!L120="","Pendiente de momento o resultado",IF(COUNTIFS(M4_Sectores!$A$9:A120,M4_Sectores!A120,M4_Sectores!$D$9:D120,M4_Sectores!D120,M4_Sectores!$H$9:H120,M4_Sectores!H120)=1,"Total del momento","Sector incluido en total")))</f>
        <v/>
      </c>
    </row>
    <row r="717" spans="1:36" ht="55.5" customHeight="1">
      <c r="A717" s="6" t="str">
        <f t="array" ref="A717">IF(713&gt;$S$1204,"",INDEX($T$5:$AJ$1204,MATCH(713,$S$5:$S$1204,0),1))</f>
        <v/>
      </c>
      <c r="B717" s="8" t="str">
        <f t="array" ref="B717">IF(713&gt;$S$1204,"",INDEX($T$5:$AJ$1204,MATCH(713,$S$5:$S$1204,0),2))</f>
        <v/>
      </c>
      <c r="C717" s="10" t="str">
        <f t="array" ref="C717">IF(713&gt;$S$1204,"",INDEX($T$5:$AJ$1204,MATCH(713,$S$5:$S$1204,0),3))</f>
        <v/>
      </c>
      <c r="D717" s="8" t="str">
        <f t="array" ref="D717">IF(713&gt;$S$1204,"",INDEX($T$5:$AJ$1204,MATCH(713,$S$5:$S$1204,0),4))</f>
        <v/>
      </c>
      <c r="E717" s="8" t="str">
        <f t="array" ref="E717">IF(713&gt;$S$1204,"",INDEX($T$5:$AJ$1204,MATCH(713,$S$5:$S$1204,0),5))</f>
        <v/>
      </c>
      <c r="F717" s="8" t="str">
        <f t="array" ref="F717">IF(713&gt;$S$1204,"",INDEX($T$5:$AJ$1204,MATCH(713,$S$5:$S$1204,0),6))</f>
        <v/>
      </c>
      <c r="G717" s="8" t="str">
        <f t="array" ref="G717">IF(713&gt;$S$1204,"",INDEX($T$5:$AJ$1204,MATCH(713,$S$5:$S$1204,0),7))</f>
        <v/>
      </c>
      <c r="H717" s="8" t="str">
        <f t="array" ref="H717">IF(713&gt;$S$1204,"",INDEX($T$5:$AJ$1204,MATCH(713,$S$5:$S$1204,0),8))</f>
        <v/>
      </c>
      <c r="I717" s="8" t="str">
        <f t="array" ref="I717">IF(713&gt;$S$1204,"",INDEX($T$5:$AJ$1204,MATCH(713,$S$5:$S$1204,0),9))</f>
        <v/>
      </c>
      <c r="J717" s="14" t="str">
        <f t="array" ref="J717">IF(713&gt;$S$1204,"",INDEX($T$5:$AJ$1204,MATCH(713,$S$5:$S$1204,0),10))</f>
        <v/>
      </c>
      <c r="K717" s="8" t="str">
        <f t="array" ref="K717">IF(713&gt;$S$1204,"",INDEX($T$5:$AJ$1204,MATCH(713,$S$5:$S$1204,0),11))</f>
        <v/>
      </c>
      <c r="L717" s="8" t="str">
        <f t="array" ref="L717">IF(713&gt;$S$1204,"",INDEX($T$5:$AJ$1204,MATCH(713,$S$5:$S$1204,0),12))</f>
        <v/>
      </c>
      <c r="M717" s="8" t="str">
        <f t="array" ref="M717">IF(713&gt;$S$1204,"",INDEX($T$5:$AJ$1204,MATCH(713,$S$5:$S$1204,0),13))</f>
        <v/>
      </c>
      <c r="N717" s="8" t="str">
        <f t="array" ref="N717">IF(713&gt;$S$1204,"",INDEX($T$5:$AJ$1204,MATCH(713,$S$5:$S$1204,0),14))</f>
        <v/>
      </c>
      <c r="O717" s="15" t="str">
        <f t="array" ref="O717">IF(713&gt;$S$1204,"",INDEX($T$5:$AJ$1204,MATCH(713,$S$5:$S$1204,0),15))</f>
        <v/>
      </c>
      <c r="P717" s="8" t="str">
        <f t="array" ref="P717">IF(713&gt;$S$1204,"",INDEX($T$5:$AJ$1204,MATCH(713,$S$5:$S$1204,0),16))</f>
        <v/>
      </c>
      <c r="Q717" s="8" t="str">
        <f t="array" ref="Q717">IF(713&gt;$S$1204,"",INDEX($T$5:$AJ$1204,MATCH(713,$S$5:$S$1204,0),17))</f>
        <v/>
      </c>
      <c r="R717" s="17"/>
      <c r="S717" s="17">
        <f>S716+IF(M4_Sectores!A121="",0,1)</f>
        <v>0</v>
      </c>
      <c r="T717" s="17" t="str">
        <f>IF(M4_Sectores!A121="","",IF(M4_Sectores!A121="","",M4_Sectores!A121))</f>
        <v/>
      </c>
      <c r="U717" s="17" t="str">
        <f>IF(M4_Sectores!A121="","",IF(M4_Sectores!Q121="","",M4_Sectores!Q121))</f>
        <v/>
      </c>
      <c r="V717" s="17" t="str">
        <f>IF(M4_Sectores!A121="","",IF(M4_Sectores!D121="","",M4_Sectores!D121))</f>
        <v/>
      </c>
      <c r="W717" s="17" t="str">
        <f>IF(M4_Sectores!A121="","",IF(M4_Sectores!B121="","",M4_Sectores!B121))</f>
        <v/>
      </c>
      <c r="X717" s="17" t="str">
        <f>IF(M4_Sectores!A121="","",IF(M4_Sectores!C121="","",M4_Sectores!C121))</f>
        <v/>
      </c>
      <c r="Y717" s="17" t="str">
        <f>IF(M4_Sectores!A121="","",IF(M4_Sectores!E121="","",M4_Sectores!E121))</f>
        <v/>
      </c>
      <c r="Z717" s="17" t="str">
        <f>IF(M4_Sectores!A121="","",IF(M4_Sectores!F121="","",M4_Sectores!F121))</f>
        <v/>
      </c>
      <c r="AA717" s="17" t="str">
        <f>IF(M4_Sectores!A121="","","M4 Sectores")</f>
        <v/>
      </c>
      <c r="AB717" s="17" t="str">
        <f>IF(M4_Sectores!A121="","",IF(M4_Sectores!G121="","",M4_Sectores!G121))</f>
        <v/>
      </c>
      <c r="AC717" s="17" t="str">
        <f>IF(M4_Sectores!A121="","",IF(COUNTIFS(M4_Sectores!$A$9:A121,M4_Sectores!A121,M4_Sectores!$D$9:D121,M4_Sectores!D121,M4_Sectores!$H$9:H121,M4_Sectores!H121)=1,IF(M4_Sectores!L121="","",M4_Sectores!L121),""))</f>
        <v/>
      </c>
      <c r="AD717" s="17" t="str">
        <f>IF(M4_Sectores!A121="","","EE")</f>
        <v/>
      </c>
      <c r="AE717" s="17" t="str">
        <f>IF(M4_Sectores!A121="","",IF(M4_Sectores!N121="","",M4_Sectores!N121))</f>
        <v/>
      </c>
      <c r="AF717" s="17" t="str">
        <f>IF(M4_Sectores!A121="","",IF(M4_Sectores!O121="","",M4_Sectores!O121))</f>
        <v/>
      </c>
      <c r="AG717" s="17" t="str">
        <f>IF(M4_Sectores!A121="","",IF(M4_Sectores!P121="","",M4_Sectores!P121))</f>
        <v/>
      </c>
      <c r="AH717" s="17" t="str">
        <f>IF(M4_Sectores!A121="","",IF(M4_Sectores!H121="","",M4_Sectores!H121))</f>
        <v/>
      </c>
      <c r="AI717" s="17" t="str">
        <f>IF(M4_Sectores!A121="","","M4_Sectores!121")</f>
        <v/>
      </c>
      <c r="AJ717" s="17" t="str">
        <f>IF(M4_Sectores!A121="","",IF(M4_Sectores!L121="","Pendiente de momento o resultado",IF(COUNTIFS(M4_Sectores!$A$9:A121,M4_Sectores!A121,M4_Sectores!$D$9:D121,M4_Sectores!D121,M4_Sectores!$H$9:H121,M4_Sectores!H121)=1,"Total del momento","Sector incluido en total")))</f>
        <v/>
      </c>
    </row>
    <row r="718" spans="1:36" ht="55.5" customHeight="1">
      <c r="A718" s="6" t="str">
        <f t="array" ref="A718">IF(714&gt;$S$1204,"",INDEX($T$5:$AJ$1204,MATCH(714,$S$5:$S$1204,0),1))</f>
        <v/>
      </c>
      <c r="B718" s="8" t="str">
        <f t="array" ref="B718">IF(714&gt;$S$1204,"",INDEX($T$5:$AJ$1204,MATCH(714,$S$5:$S$1204,0),2))</f>
        <v/>
      </c>
      <c r="C718" s="10" t="str">
        <f t="array" ref="C718">IF(714&gt;$S$1204,"",INDEX($T$5:$AJ$1204,MATCH(714,$S$5:$S$1204,0),3))</f>
        <v/>
      </c>
      <c r="D718" s="8" t="str">
        <f t="array" ref="D718">IF(714&gt;$S$1204,"",INDEX($T$5:$AJ$1204,MATCH(714,$S$5:$S$1204,0),4))</f>
        <v/>
      </c>
      <c r="E718" s="8" t="str">
        <f t="array" ref="E718">IF(714&gt;$S$1204,"",INDEX($T$5:$AJ$1204,MATCH(714,$S$5:$S$1204,0),5))</f>
        <v/>
      </c>
      <c r="F718" s="8" t="str">
        <f t="array" ref="F718">IF(714&gt;$S$1204,"",INDEX($T$5:$AJ$1204,MATCH(714,$S$5:$S$1204,0),6))</f>
        <v/>
      </c>
      <c r="G718" s="8" t="str">
        <f t="array" ref="G718">IF(714&gt;$S$1204,"",INDEX($T$5:$AJ$1204,MATCH(714,$S$5:$S$1204,0),7))</f>
        <v/>
      </c>
      <c r="H718" s="8" t="str">
        <f t="array" ref="H718">IF(714&gt;$S$1204,"",INDEX($T$5:$AJ$1204,MATCH(714,$S$5:$S$1204,0),8))</f>
        <v/>
      </c>
      <c r="I718" s="8" t="str">
        <f t="array" ref="I718">IF(714&gt;$S$1204,"",INDEX($T$5:$AJ$1204,MATCH(714,$S$5:$S$1204,0),9))</f>
        <v/>
      </c>
      <c r="J718" s="14" t="str">
        <f t="array" ref="J718">IF(714&gt;$S$1204,"",INDEX($T$5:$AJ$1204,MATCH(714,$S$5:$S$1204,0),10))</f>
        <v/>
      </c>
      <c r="K718" s="8" t="str">
        <f t="array" ref="K718">IF(714&gt;$S$1204,"",INDEX($T$5:$AJ$1204,MATCH(714,$S$5:$S$1204,0),11))</f>
        <v/>
      </c>
      <c r="L718" s="8" t="str">
        <f t="array" ref="L718">IF(714&gt;$S$1204,"",INDEX($T$5:$AJ$1204,MATCH(714,$S$5:$S$1204,0),12))</f>
        <v/>
      </c>
      <c r="M718" s="8" t="str">
        <f t="array" ref="M718">IF(714&gt;$S$1204,"",INDEX($T$5:$AJ$1204,MATCH(714,$S$5:$S$1204,0),13))</f>
        <v/>
      </c>
      <c r="N718" s="8" t="str">
        <f t="array" ref="N718">IF(714&gt;$S$1204,"",INDEX($T$5:$AJ$1204,MATCH(714,$S$5:$S$1204,0),14))</f>
        <v/>
      </c>
      <c r="O718" s="15" t="str">
        <f t="array" ref="O718">IF(714&gt;$S$1204,"",INDEX($T$5:$AJ$1204,MATCH(714,$S$5:$S$1204,0),15))</f>
        <v/>
      </c>
      <c r="P718" s="8" t="str">
        <f t="array" ref="P718">IF(714&gt;$S$1204,"",INDEX($T$5:$AJ$1204,MATCH(714,$S$5:$S$1204,0),16))</f>
        <v/>
      </c>
      <c r="Q718" s="8" t="str">
        <f t="array" ref="Q718">IF(714&gt;$S$1204,"",INDEX($T$5:$AJ$1204,MATCH(714,$S$5:$S$1204,0),17))</f>
        <v/>
      </c>
      <c r="R718" s="17"/>
      <c r="S718" s="17">
        <f>S717+IF(M4_Sectores!A122="",0,1)</f>
        <v>0</v>
      </c>
      <c r="T718" s="17" t="str">
        <f>IF(M4_Sectores!A122="","",IF(M4_Sectores!A122="","",M4_Sectores!A122))</f>
        <v/>
      </c>
      <c r="U718" s="17" t="str">
        <f>IF(M4_Sectores!A122="","",IF(M4_Sectores!Q122="","",M4_Sectores!Q122))</f>
        <v/>
      </c>
      <c r="V718" s="17" t="str">
        <f>IF(M4_Sectores!A122="","",IF(M4_Sectores!D122="","",M4_Sectores!D122))</f>
        <v/>
      </c>
      <c r="W718" s="17" t="str">
        <f>IF(M4_Sectores!A122="","",IF(M4_Sectores!B122="","",M4_Sectores!B122))</f>
        <v/>
      </c>
      <c r="X718" s="17" t="str">
        <f>IF(M4_Sectores!A122="","",IF(M4_Sectores!C122="","",M4_Sectores!C122))</f>
        <v/>
      </c>
      <c r="Y718" s="17" t="str">
        <f>IF(M4_Sectores!A122="","",IF(M4_Sectores!E122="","",M4_Sectores!E122))</f>
        <v/>
      </c>
      <c r="Z718" s="17" t="str">
        <f>IF(M4_Sectores!A122="","",IF(M4_Sectores!F122="","",M4_Sectores!F122))</f>
        <v/>
      </c>
      <c r="AA718" s="17" t="str">
        <f>IF(M4_Sectores!A122="","","M4 Sectores")</f>
        <v/>
      </c>
      <c r="AB718" s="17" t="str">
        <f>IF(M4_Sectores!A122="","",IF(M4_Sectores!G122="","",M4_Sectores!G122))</f>
        <v/>
      </c>
      <c r="AC718" s="17" t="str">
        <f>IF(M4_Sectores!A122="","",IF(COUNTIFS(M4_Sectores!$A$9:A122,M4_Sectores!A122,M4_Sectores!$D$9:D122,M4_Sectores!D122,M4_Sectores!$H$9:H122,M4_Sectores!H122)=1,IF(M4_Sectores!L122="","",M4_Sectores!L122),""))</f>
        <v/>
      </c>
      <c r="AD718" s="17" t="str">
        <f>IF(M4_Sectores!A122="","","EE")</f>
        <v/>
      </c>
      <c r="AE718" s="17" t="str">
        <f>IF(M4_Sectores!A122="","",IF(M4_Sectores!N122="","",M4_Sectores!N122))</f>
        <v/>
      </c>
      <c r="AF718" s="17" t="str">
        <f>IF(M4_Sectores!A122="","",IF(M4_Sectores!O122="","",M4_Sectores!O122))</f>
        <v/>
      </c>
      <c r="AG718" s="17" t="str">
        <f>IF(M4_Sectores!A122="","",IF(M4_Sectores!P122="","",M4_Sectores!P122))</f>
        <v/>
      </c>
      <c r="AH718" s="17" t="str">
        <f>IF(M4_Sectores!A122="","",IF(M4_Sectores!H122="","",M4_Sectores!H122))</f>
        <v/>
      </c>
      <c r="AI718" s="17" t="str">
        <f>IF(M4_Sectores!A122="","","M4_Sectores!122")</f>
        <v/>
      </c>
      <c r="AJ718" s="17" t="str">
        <f>IF(M4_Sectores!A122="","",IF(M4_Sectores!L122="","Pendiente de momento o resultado",IF(COUNTIFS(M4_Sectores!$A$9:A122,M4_Sectores!A122,M4_Sectores!$D$9:D122,M4_Sectores!D122,M4_Sectores!$H$9:H122,M4_Sectores!H122)=1,"Total del momento","Sector incluido en total")))</f>
        <v/>
      </c>
    </row>
    <row r="719" spans="1:36" ht="55.5" customHeight="1">
      <c r="A719" s="6" t="str">
        <f t="array" ref="A719">IF(715&gt;$S$1204,"",INDEX($T$5:$AJ$1204,MATCH(715,$S$5:$S$1204,0),1))</f>
        <v/>
      </c>
      <c r="B719" s="8" t="str">
        <f t="array" ref="B719">IF(715&gt;$S$1204,"",INDEX($T$5:$AJ$1204,MATCH(715,$S$5:$S$1204,0),2))</f>
        <v/>
      </c>
      <c r="C719" s="10" t="str">
        <f t="array" ref="C719">IF(715&gt;$S$1204,"",INDEX($T$5:$AJ$1204,MATCH(715,$S$5:$S$1204,0),3))</f>
        <v/>
      </c>
      <c r="D719" s="8" t="str">
        <f t="array" ref="D719">IF(715&gt;$S$1204,"",INDEX($T$5:$AJ$1204,MATCH(715,$S$5:$S$1204,0),4))</f>
        <v/>
      </c>
      <c r="E719" s="8" t="str">
        <f t="array" ref="E719">IF(715&gt;$S$1204,"",INDEX($T$5:$AJ$1204,MATCH(715,$S$5:$S$1204,0),5))</f>
        <v/>
      </c>
      <c r="F719" s="8" t="str">
        <f t="array" ref="F719">IF(715&gt;$S$1204,"",INDEX($T$5:$AJ$1204,MATCH(715,$S$5:$S$1204,0),6))</f>
        <v/>
      </c>
      <c r="G719" s="8" t="str">
        <f t="array" ref="G719">IF(715&gt;$S$1204,"",INDEX($T$5:$AJ$1204,MATCH(715,$S$5:$S$1204,0),7))</f>
        <v/>
      </c>
      <c r="H719" s="8" t="str">
        <f t="array" ref="H719">IF(715&gt;$S$1204,"",INDEX($T$5:$AJ$1204,MATCH(715,$S$5:$S$1204,0),8))</f>
        <v/>
      </c>
      <c r="I719" s="8" t="str">
        <f t="array" ref="I719">IF(715&gt;$S$1204,"",INDEX($T$5:$AJ$1204,MATCH(715,$S$5:$S$1204,0),9))</f>
        <v/>
      </c>
      <c r="J719" s="14" t="str">
        <f t="array" ref="J719">IF(715&gt;$S$1204,"",INDEX($T$5:$AJ$1204,MATCH(715,$S$5:$S$1204,0),10))</f>
        <v/>
      </c>
      <c r="K719" s="8" t="str">
        <f t="array" ref="K719">IF(715&gt;$S$1204,"",INDEX($T$5:$AJ$1204,MATCH(715,$S$5:$S$1204,0),11))</f>
        <v/>
      </c>
      <c r="L719" s="8" t="str">
        <f t="array" ref="L719">IF(715&gt;$S$1204,"",INDEX($T$5:$AJ$1204,MATCH(715,$S$5:$S$1204,0),12))</f>
        <v/>
      </c>
      <c r="M719" s="8" t="str">
        <f t="array" ref="M719">IF(715&gt;$S$1204,"",INDEX($T$5:$AJ$1204,MATCH(715,$S$5:$S$1204,0),13))</f>
        <v/>
      </c>
      <c r="N719" s="8" t="str">
        <f t="array" ref="N719">IF(715&gt;$S$1204,"",INDEX($T$5:$AJ$1204,MATCH(715,$S$5:$S$1204,0),14))</f>
        <v/>
      </c>
      <c r="O719" s="15" t="str">
        <f t="array" ref="O719">IF(715&gt;$S$1204,"",INDEX($T$5:$AJ$1204,MATCH(715,$S$5:$S$1204,0),15))</f>
        <v/>
      </c>
      <c r="P719" s="8" t="str">
        <f t="array" ref="P719">IF(715&gt;$S$1204,"",INDEX($T$5:$AJ$1204,MATCH(715,$S$5:$S$1204,0),16))</f>
        <v/>
      </c>
      <c r="Q719" s="8" t="str">
        <f t="array" ref="Q719">IF(715&gt;$S$1204,"",INDEX($T$5:$AJ$1204,MATCH(715,$S$5:$S$1204,0),17))</f>
        <v/>
      </c>
      <c r="R719" s="17"/>
      <c r="S719" s="17">
        <f>S718+IF(M4_Sectores!A123="",0,1)</f>
        <v>0</v>
      </c>
      <c r="T719" s="17" t="str">
        <f>IF(M4_Sectores!A123="","",IF(M4_Sectores!A123="","",M4_Sectores!A123))</f>
        <v/>
      </c>
      <c r="U719" s="17" t="str">
        <f>IF(M4_Sectores!A123="","",IF(M4_Sectores!Q123="","",M4_Sectores!Q123))</f>
        <v/>
      </c>
      <c r="V719" s="17" t="str">
        <f>IF(M4_Sectores!A123="","",IF(M4_Sectores!D123="","",M4_Sectores!D123))</f>
        <v/>
      </c>
      <c r="W719" s="17" t="str">
        <f>IF(M4_Sectores!A123="","",IF(M4_Sectores!B123="","",M4_Sectores!B123))</f>
        <v/>
      </c>
      <c r="X719" s="17" t="str">
        <f>IF(M4_Sectores!A123="","",IF(M4_Sectores!C123="","",M4_Sectores!C123))</f>
        <v/>
      </c>
      <c r="Y719" s="17" t="str">
        <f>IF(M4_Sectores!A123="","",IF(M4_Sectores!E123="","",M4_Sectores!E123))</f>
        <v/>
      </c>
      <c r="Z719" s="17" t="str">
        <f>IF(M4_Sectores!A123="","",IF(M4_Sectores!F123="","",M4_Sectores!F123))</f>
        <v/>
      </c>
      <c r="AA719" s="17" t="str">
        <f>IF(M4_Sectores!A123="","","M4 Sectores")</f>
        <v/>
      </c>
      <c r="AB719" s="17" t="str">
        <f>IF(M4_Sectores!A123="","",IF(M4_Sectores!G123="","",M4_Sectores!G123))</f>
        <v/>
      </c>
      <c r="AC719" s="17" t="str">
        <f>IF(M4_Sectores!A123="","",IF(COUNTIFS(M4_Sectores!$A$9:A123,M4_Sectores!A123,M4_Sectores!$D$9:D123,M4_Sectores!D123,M4_Sectores!$H$9:H123,M4_Sectores!H123)=1,IF(M4_Sectores!L123="","",M4_Sectores!L123),""))</f>
        <v/>
      </c>
      <c r="AD719" s="17" t="str">
        <f>IF(M4_Sectores!A123="","","EE")</f>
        <v/>
      </c>
      <c r="AE719" s="17" t="str">
        <f>IF(M4_Sectores!A123="","",IF(M4_Sectores!N123="","",M4_Sectores!N123))</f>
        <v/>
      </c>
      <c r="AF719" s="17" t="str">
        <f>IF(M4_Sectores!A123="","",IF(M4_Sectores!O123="","",M4_Sectores!O123))</f>
        <v/>
      </c>
      <c r="AG719" s="17" t="str">
        <f>IF(M4_Sectores!A123="","",IF(M4_Sectores!P123="","",M4_Sectores!P123))</f>
        <v/>
      </c>
      <c r="AH719" s="17" t="str">
        <f>IF(M4_Sectores!A123="","",IF(M4_Sectores!H123="","",M4_Sectores!H123))</f>
        <v/>
      </c>
      <c r="AI719" s="17" t="str">
        <f>IF(M4_Sectores!A123="","","M4_Sectores!123")</f>
        <v/>
      </c>
      <c r="AJ719" s="17" t="str">
        <f>IF(M4_Sectores!A123="","",IF(M4_Sectores!L123="","Pendiente de momento o resultado",IF(COUNTIFS(M4_Sectores!$A$9:A123,M4_Sectores!A123,M4_Sectores!$D$9:D123,M4_Sectores!D123,M4_Sectores!$H$9:H123,M4_Sectores!H123)=1,"Total del momento","Sector incluido en total")))</f>
        <v/>
      </c>
    </row>
    <row r="720" spans="1:36" ht="55.5" customHeight="1">
      <c r="A720" s="6" t="str">
        <f t="array" ref="A720">IF(716&gt;$S$1204,"",INDEX($T$5:$AJ$1204,MATCH(716,$S$5:$S$1204,0),1))</f>
        <v/>
      </c>
      <c r="B720" s="8" t="str">
        <f t="array" ref="B720">IF(716&gt;$S$1204,"",INDEX($T$5:$AJ$1204,MATCH(716,$S$5:$S$1204,0),2))</f>
        <v/>
      </c>
      <c r="C720" s="10" t="str">
        <f t="array" ref="C720">IF(716&gt;$S$1204,"",INDEX($T$5:$AJ$1204,MATCH(716,$S$5:$S$1204,0),3))</f>
        <v/>
      </c>
      <c r="D720" s="8" t="str">
        <f t="array" ref="D720">IF(716&gt;$S$1204,"",INDEX($T$5:$AJ$1204,MATCH(716,$S$5:$S$1204,0),4))</f>
        <v/>
      </c>
      <c r="E720" s="8" t="str">
        <f t="array" ref="E720">IF(716&gt;$S$1204,"",INDEX($T$5:$AJ$1204,MATCH(716,$S$5:$S$1204,0),5))</f>
        <v/>
      </c>
      <c r="F720" s="8" t="str">
        <f t="array" ref="F720">IF(716&gt;$S$1204,"",INDEX($T$5:$AJ$1204,MATCH(716,$S$5:$S$1204,0),6))</f>
        <v/>
      </c>
      <c r="G720" s="8" t="str">
        <f t="array" ref="G720">IF(716&gt;$S$1204,"",INDEX($T$5:$AJ$1204,MATCH(716,$S$5:$S$1204,0),7))</f>
        <v/>
      </c>
      <c r="H720" s="8" t="str">
        <f t="array" ref="H720">IF(716&gt;$S$1204,"",INDEX($T$5:$AJ$1204,MATCH(716,$S$5:$S$1204,0),8))</f>
        <v/>
      </c>
      <c r="I720" s="8" t="str">
        <f t="array" ref="I720">IF(716&gt;$S$1204,"",INDEX($T$5:$AJ$1204,MATCH(716,$S$5:$S$1204,0),9))</f>
        <v/>
      </c>
      <c r="J720" s="14" t="str">
        <f t="array" ref="J720">IF(716&gt;$S$1204,"",INDEX($T$5:$AJ$1204,MATCH(716,$S$5:$S$1204,0),10))</f>
        <v/>
      </c>
      <c r="K720" s="8" t="str">
        <f t="array" ref="K720">IF(716&gt;$S$1204,"",INDEX($T$5:$AJ$1204,MATCH(716,$S$5:$S$1204,0),11))</f>
        <v/>
      </c>
      <c r="L720" s="8" t="str">
        <f t="array" ref="L720">IF(716&gt;$S$1204,"",INDEX($T$5:$AJ$1204,MATCH(716,$S$5:$S$1204,0),12))</f>
        <v/>
      </c>
      <c r="M720" s="8" t="str">
        <f t="array" ref="M720">IF(716&gt;$S$1204,"",INDEX($T$5:$AJ$1204,MATCH(716,$S$5:$S$1204,0),13))</f>
        <v/>
      </c>
      <c r="N720" s="8" t="str">
        <f t="array" ref="N720">IF(716&gt;$S$1204,"",INDEX($T$5:$AJ$1204,MATCH(716,$S$5:$S$1204,0),14))</f>
        <v/>
      </c>
      <c r="O720" s="15" t="str">
        <f t="array" ref="O720">IF(716&gt;$S$1204,"",INDEX($T$5:$AJ$1204,MATCH(716,$S$5:$S$1204,0),15))</f>
        <v/>
      </c>
      <c r="P720" s="8" t="str">
        <f t="array" ref="P720">IF(716&gt;$S$1204,"",INDEX($T$5:$AJ$1204,MATCH(716,$S$5:$S$1204,0),16))</f>
        <v/>
      </c>
      <c r="Q720" s="8" t="str">
        <f t="array" ref="Q720">IF(716&gt;$S$1204,"",INDEX($T$5:$AJ$1204,MATCH(716,$S$5:$S$1204,0),17))</f>
        <v/>
      </c>
      <c r="R720" s="17"/>
      <c r="S720" s="17">
        <f>S719+IF(M4_Sectores!A124="",0,1)</f>
        <v>0</v>
      </c>
      <c r="T720" s="17" t="str">
        <f>IF(M4_Sectores!A124="","",IF(M4_Sectores!A124="","",M4_Sectores!A124))</f>
        <v/>
      </c>
      <c r="U720" s="17" t="str">
        <f>IF(M4_Sectores!A124="","",IF(M4_Sectores!Q124="","",M4_Sectores!Q124))</f>
        <v/>
      </c>
      <c r="V720" s="17" t="str">
        <f>IF(M4_Sectores!A124="","",IF(M4_Sectores!D124="","",M4_Sectores!D124))</f>
        <v/>
      </c>
      <c r="W720" s="17" t="str">
        <f>IF(M4_Sectores!A124="","",IF(M4_Sectores!B124="","",M4_Sectores!B124))</f>
        <v/>
      </c>
      <c r="X720" s="17" t="str">
        <f>IF(M4_Sectores!A124="","",IF(M4_Sectores!C124="","",M4_Sectores!C124))</f>
        <v/>
      </c>
      <c r="Y720" s="17" t="str">
        <f>IF(M4_Sectores!A124="","",IF(M4_Sectores!E124="","",M4_Sectores!E124))</f>
        <v/>
      </c>
      <c r="Z720" s="17" t="str">
        <f>IF(M4_Sectores!A124="","",IF(M4_Sectores!F124="","",M4_Sectores!F124))</f>
        <v/>
      </c>
      <c r="AA720" s="17" t="str">
        <f>IF(M4_Sectores!A124="","","M4 Sectores")</f>
        <v/>
      </c>
      <c r="AB720" s="17" t="str">
        <f>IF(M4_Sectores!A124="","",IF(M4_Sectores!G124="","",M4_Sectores!G124))</f>
        <v/>
      </c>
      <c r="AC720" s="17" t="str">
        <f>IF(M4_Sectores!A124="","",IF(COUNTIFS(M4_Sectores!$A$9:A124,M4_Sectores!A124,M4_Sectores!$D$9:D124,M4_Sectores!D124,M4_Sectores!$H$9:H124,M4_Sectores!H124)=1,IF(M4_Sectores!L124="","",M4_Sectores!L124),""))</f>
        <v/>
      </c>
      <c r="AD720" s="17" t="str">
        <f>IF(M4_Sectores!A124="","","EE")</f>
        <v/>
      </c>
      <c r="AE720" s="17" t="str">
        <f>IF(M4_Sectores!A124="","",IF(M4_Sectores!N124="","",M4_Sectores!N124))</f>
        <v/>
      </c>
      <c r="AF720" s="17" t="str">
        <f>IF(M4_Sectores!A124="","",IF(M4_Sectores!O124="","",M4_Sectores!O124))</f>
        <v/>
      </c>
      <c r="AG720" s="17" t="str">
        <f>IF(M4_Sectores!A124="","",IF(M4_Sectores!P124="","",M4_Sectores!P124))</f>
        <v/>
      </c>
      <c r="AH720" s="17" t="str">
        <f>IF(M4_Sectores!A124="","",IF(M4_Sectores!H124="","",M4_Sectores!H124))</f>
        <v/>
      </c>
      <c r="AI720" s="17" t="str">
        <f>IF(M4_Sectores!A124="","","M4_Sectores!124")</f>
        <v/>
      </c>
      <c r="AJ720" s="17" t="str">
        <f>IF(M4_Sectores!A124="","",IF(M4_Sectores!L124="","Pendiente de momento o resultado",IF(COUNTIFS(M4_Sectores!$A$9:A124,M4_Sectores!A124,M4_Sectores!$D$9:D124,M4_Sectores!D124,M4_Sectores!$H$9:H124,M4_Sectores!H124)=1,"Total del momento","Sector incluido en total")))</f>
        <v/>
      </c>
    </row>
    <row r="721" spans="1:36" ht="55.5" customHeight="1">
      <c r="A721" s="6" t="str">
        <f t="array" ref="A721">IF(717&gt;$S$1204,"",INDEX($T$5:$AJ$1204,MATCH(717,$S$5:$S$1204,0),1))</f>
        <v/>
      </c>
      <c r="B721" s="8" t="str">
        <f t="array" ref="B721">IF(717&gt;$S$1204,"",INDEX($T$5:$AJ$1204,MATCH(717,$S$5:$S$1204,0),2))</f>
        <v/>
      </c>
      <c r="C721" s="10" t="str">
        <f t="array" ref="C721">IF(717&gt;$S$1204,"",INDEX($T$5:$AJ$1204,MATCH(717,$S$5:$S$1204,0),3))</f>
        <v/>
      </c>
      <c r="D721" s="8" t="str">
        <f t="array" ref="D721">IF(717&gt;$S$1204,"",INDEX($T$5:$AJ$1204,MATCH(717,$S$5:$S$1204,0),4))</f>
        <v/>
      </c>
      <c r="E721" s="8" t="str">
        <f t="array" ref="E721">IF(717&gt;$S$1204,"",INDEX($T$5:$AJ$1204,MATCH(717,$S$5:$S$1204,0),5))</f>
        <v/>
      </c>
      <c r="F721" s="8" t="str">
        <f t="array" ref="F721">IF(717&gt;$S$1204,"",INDEX($T$5:$AJ$1204,MATCH(717,$S$5:$S$1204,0),6))</f>
        <v/>
      </c>
      <c r="G721" s="8" t="str">
        <f t="array" ref="G721">IF(717&gt;$S$1204,"",INDEX($T$5:$AJ$1204,MATCH(717,$S$5:$S$1204,0),7))</f>
        <v/>
      </c>
      <c r="H721" s="8" t="str">
        <f t="array" ref="H721">IF(717&gt;$S$1204,"",INDEX($T$5:$AJ$1204,MATCH(717,$S$5:$S$1204,0),8))</f>
        <v/>
      </c>
      <c r="I721" s="8" t="str">
        <f t="array" ref="I721">IF(717&gt;$S$1204,"",INDEX($T$5:$AJ$1204,MATCH(717,$S$5:$S$1204,0),9))</f>
        <v/>
      </c>
      <c r="J721" s="14" t="str">
        <f t="array" ref="J721">IF(717&gt;$S$1204,"",INDEX($T$5:$AJ$1204,MATCH(717,$S$5:$S$1204,0),10))</f>
        <v/>
      </c>
      <c r="K721" s="8" t="str">
        <f t="array" ref="K721">IF(717&gt;$S$1204,"",INDEX($T$5:$AJ$1204,MATCH(717,$S$5:$S$1204,0),11))</f>
        <v/>
      </c>
      <c r="L721" s="8" t="str">
        <f t="array" ref="L721">IF(717&gt;$S$1204,"",INDEX($T$5:$AJ$1204,MATCH(717,$S$5:$S$1204,0),12))</f>
        <v/>
      </c>
      <c r="M721" s="8" t="str">
        <f t="array" ref="M721">IF(717&gt;$S$1204,"",INDEX($T$5:$AJ$1204,MATCH(717,$S$5:$S$1204,0),13))</f>
        <v/>
      </c>
      <c r="N721" s="8" t="str">
        <f t="array" ref="N721">IF(717&gt;$S$1204,"",INDEX($T$5:$AJ$1204,MATCH(717,$S$5:$S$1204,0),14))</f>
        <v/>
      </c>
      <c r="O721" s="15" t="str">
        <f t="array" ref="O721">IF(717&gt;$S$1204,"",INDEX($T$5:$AJ$1204,MATCH(717,$S$5:$S$1204,0),15))</f>
        <v/>
      </c>
      <c r="P721" s="8" t="str">
        <f t="array" ref="P721">IF(717&gt;$S$1204,"",INDEX($T$5:$AJ$1204,MATCH(717,$S$5:$S$1204,0),16))</f>
        <v/>
      </c>
      <c r="Q721" s="8" t="str">
        <f t="array" ref="Q721">IF(717&gt;$S$1204,"",INDEX($T$5:$AJ$1204,MATCH(717,$S$5:$S$1204,0),17))</f>
        <v/>
      </c>
      <c r="R721" s="17"/>
      <c r="S721" s="17">
        <f>S720+IF(M4_Sectores!A125="",0,1)</f>
        <v>0</v>
      </c>
      <c r="T721" s="17" t="str">
        <f>IF(M4_Sectores!A125="","",IF(M4_Sectores!A125="","",M4_Sectores!A125))</f>
        <v/>
      </c>
      <c r="U721" s="17" t="str">
        <f>IF(M4_Sectores!A125="","",IF(M4_Sectores!Q125="","",M4_Sectores!Q125))</f>
        <v/>
      </c>
      <c r="V721" s="17" t="str">
        <f>IF(M4_Sectores!A125="","",IF(M4_Sectores!D125="","",M4_Sectores!D125))</f>
        <v/>
      </c>
      <c r="W721" s="17" t="str">
        <f>IF(M4_Sectores!A125="","",IF(M4_Sectores!B125="","",M4_Sectores!B125))</f>
        <v/>
      </c>
      <c r="X721" s="17" t="str">
        <f>IF(M4_Sectores!A125="","",IF(M4_Sectores!C125="","",M4_Sectores!C125))</f>
        <v/>
      </c>
      <c r="Y721" s="17" t="str">
        <f>IF(M4_Sectores!A125="","",IF(M4_Sectores!E125="","",M4_Sectores!E125))</f>
        <v/>
      </c>
      <c r="Z721" s="17" t="str">
        <f>IF(M4_Sectores!A125="","",IF(M4_Sectores!F125="","",M4_Sectores!F125))</f>
        <v/>
      </c>
      <c r="AA721" s="17" t="str">
        <f>IF(M4_Sectores!A125="","","M4 Sectores")</f>
        <v/>
      </c>
      <c r="AB721" s="17" t="str">
        <f>IF(M4_Sectores!A125="","",IF(M4_Sectores!G125="","",M4_Sectores!G125))</f>
        <v/>
      </c>
      <c r="AC721" s="17" t="str">
        <f>IF(M4_Sectores!A125="","",IF(COUNTIFS(M4_Sectores!$A$9:A125,M4_Sectores!A125,M4_Sectores!$D$9:D125,M4_Sectores!D125,M4_Sectores!$H$9:H125,M4_Sectores!H125)=1,IF(M4_Sectores!L125="","",M4_Sectores!L125),""))</f>
        <v/>
      </c>
      <c r="AD721" s="17" t="str">
        <f>IF(M4_Sectores!A125="","","EE")</f>
        <v/>
      </c>
      <c r="AE721" s="17" t="str">
        <f>IF(M4_Sectores!A125="","",IF(M4_Sectores!N125="","",M4_Sectores!N125))</f>
        <v/>
      </c>
      <c r="AF721" s="17" t="str">
        <f>IF(M4_Sectores!A125="","",IF(M4_Sectores!O125="","",M4_Sectores!O125))</f>
        <v/>
      </c>
      <c r="AG721" s="17" t="str">
        <f>IF(M4_Sectores!A125="","",IF(M4_Sectores!P125="","",M4_Sectores!P125))</f>
        <v/>
      </c>
      <c r="AH721" s="17" t="str">
        <f>IF(M4_Sectores!A125="","",IF(M4_Sectores!H125="","",M4_Sectores!H125))</f>
        <v/>
      </c>
      <c r="AI721" s="17" t="str">
        <f>IF(M4_Sectores!A125="","","M4_Sectores!125")</f>
        <v/>
      </c>
      <c r="AJ721" s="17" t="str">
        <f>IF(M4_Sectores!A125="","",IF(M4_Sectores!L125="","Pendiente de momento o resultado",IF(COUNTIFS(M4_Sectores!$A$9:A125,M4_Sectores!A125,M4_Sectores!$D$9:D125,M4_Sectores!D125,M4_Sectores!$H$9:H125,M4_Sectores!H125)=1,"Total del momento","Sector incluido en total")))</f>
        <v/>
      </c>
    </row>
    <row r="722" spans="1:36" ht="55.5" customHeight="1">
      <c r="A722" s="6" t="str">
        <f t="array" ref="A722">IF(718&gt;$S$1204,"",INDEX($T$5:$AJ$1204,MATCH(718,$S$5:$S$1204,0),1))</f>
        <v/>
      </c>
      <c r="B722" s="8" t="str">
        <f t="array" ref="B722">IF(718&gt;$S$1204,"",INDEX($T$5:$AJ$1204,MATCH(718,$S$5:$S$1204,0),2))</f>
        <v/>
      </c>
      <c r="C722" s="10" t="str">
        <f t="array" ref="C722">IF(718&gt;$S$1204,"",INDEX($T$5:$AJ$1204,MATCH(718,$S$5:$S$1204,0),3))</f>
        <v/>
      </c>
      <c r="D722" s="8" t="str">
        <f t="array" ref="D722">IF(718&gt;$S$1204,"",INDEX($T$5:$AJ$1204,MATCH(718,$S$5:$S$1204,0),4))</f>
        <v/>
      </c>
      <c r="E722" s="8" t="str">
        <f t="array" ref="E722">IF(718&gt;$S$1204,"",INDEX($T$5:$AJ$1204,MATCH(718,$S$5:$S$1204,0),5))</f>
        <v/>
      </c>
      <c r="F722" s="8" t="str">
        <f t="array" ref="F722">IF(718&gt;$S$1204,"",INDEX($T$5:$AJ$1204,MATCH(718,$S$5:$S$1204,0),6))</f>
        <v/>
      </c>
      <c r="G722" s="8" t="str">
        <f t="array" ref="G722">IF(718&gt;$S$1204,"",INDEX($T$5:$AJ$1204,MATCH(718,$S$5:$S$1204,0),7))</f>
        <v/>
      </c>
      <c r="H722" s="8" t="str">
        <f t="array" ref="H722">IF(718&gt;$S$1204,"",INDEX($T$5:$AJ$1204,MATCH(718,$S$5:$S$1204,0),8))</f>
        <v/>
      </c>
      <c r="I722" s="8" t="str">
        <f t="array" ref="I722">IF(718&gt;$S$1204,"",INDEX($T$5:$AJ$1204,MATCH(718,$S$5:$S$1204,0),9))</f>
        <v/>
      </c>
      <c r="J722" s="14" t="str">
        <f t="array" ref="J722">IF(718&gt;$S$1204,"",INDEX($T$5:$AJ$1204,MATCH(718,$S$5:$S$1204,0),10))</f>
        <v/>
      </c>
      <c r="K722" s="8" t="str">
        <f t="array" ref="K722">IF(718&gt;$S$1204,"",INDEX($T$5:$AJ$1204,MATCH(718,$S$5:$S$1204,0),11))</f>
        <v/>
      </c>
      <c r="L722" s="8" t="str">
        <f t="array" ref="L722">IF(718&gt;$S$1204,"",INDEX($T$5:$AJ$1204,MATCH(718,$S$5:$S$1204,0),12))</f>
        <v/>
      </c>
      <c r="M722" s="8" t="str">
        <f t="array" ref="M722">IF(718&gt;$S$1204,"",INDEX($T$5:$AJ$1204,MATCH(718,$S$5:$S$1204,0),13))</f>
        <v/>
      </c>
      <c r="N722" s="8" t="str">
        <f t="array" ref="N722">IF(718&gt;$S$1204,"",INDEX($T$5:$AJ$1204,MATCH(718,$S$5:$S$1204,0),14))</f>
        <v/>
      </c>
      <c r="O722" s="15" t="str">
        <f t="array" ref="O722">IF(718&gt;$S$1204,"",INDEX($T$5:$AJ$1204,MATCH(718,$S$5:$S$1204,0),15))</f>
        <v/>
      </c>
      <c r="P722" s="8" t="str">
        <f t="array" ref="P722">IF(718&gt;$S$1204,"",INDEX($T$5:$AJ$1204,MATCH(718,$S$5:$S$1204,0),16))</f>
        <v/>
      </c>
      <c r="Q722" s="8" t="str">
        <f t="array" ref="Q722">IF(718&gt;$S$1204,"",INDEX($T$5:$AJ$1204,MATCH(718,$S$5:$S$1204,0),17))</f>
        <v/>
      </c>
      <c r="R722" s="17"/>
      <c r="S722" s="17">
        <f>S721+IF(M4_Sectores!A126="",0,1)</f>
        <v>0</v>
      </c>
      <c r="T722" s="17" t="str">
        <f>IF(M4_Sectores!A126="","",IF(M4_Sectores!A126="","",M4_Sectores!A126))</f>
        <v/>
      </c>
      <c r="U722" s="17" t="str">
        <f>IF(M4_Sectores!A126="","",IF(M4_Sectores!Q126="","",M4_Sectores!Q126))</f>
        <v/>
      </c>
      <c r="V722" s="17" t="str">
        <f>IF(M4_Sectores!A126="","",IF(M4_Sectores!D126="","",M4_Sectores!D126))</f>
        <v/>
      </c>
      <c r="W722" s="17" t="str">
        <f>IF(M4_Sectores!A126="","",IF(M4_Sectores!B126="","",M4_Sectores!B126))</f>
        <v/>
      </c>
      <c r="X722" s="17" t="str">
        <f>IF(M4_Sectores!A126="","",IF(M4_Sectores!C126="","",M4_Sectores!C126))</f>
        <v/>
      </c>
      <c r="Y722" s="17" t="str">
        <f>IF(M4_Sectores!A126="","",IF(M4_Sectores!E126="","",M4_Sectores!E126))</f>
        <v/>
      </c>
      <c r="Z722" s="17" t="str">
        <f>IF(M4_Sectores!A126="","",IF(M4_Sectores!F126="","",M4_Sectores!F126))</f>
        <v/>
      </c>
      <c r="AA722" s="17" t="str">
        <f>IF(M4_Sectores!A126="","","M4 Sectores")</f>
        <v/>
      </c>
      <c r="AB722" s="17" t="str">
        <f>IF(M4_Sectores!A126="","",IF(M4_Sectores!G126="","",M4_Sectores!G126))</f>
        <v/>
      </c>
      <c r="AC722" s="17" t="str">
        <f>IF(M4_Sectores!A126="","",IF(COUNTIFS(M4_Sectores!$A$9:A126,M4_Sectores!A126,M4_Sectores!$D$9:D126,M4_Sectores!D126,M4_Sectores!$H$9:H126,M4_Sectores!H126)=1,IF(M4_Sectores!L126="","",M4_Sectores!L126),""))</f>
        <v/>
      </c>
      <c r="AD722" s="17" t="str">
        <f>IF(M4_Sectores!A126="","","EE")</f>
        <v/>
      </c>
      <c r="AE722" s="17" t="str">
        <f>IF(M4_Sectores!A126="","",IF(M4_Sectores!N126="","",M4_Sectores!N126))</f>
        <v/>
      </c>
      <c r="AF722" s="17" t="str">
        <f>IF(M4_Sectores!A126="","",IF(M4_Sectores!O126="","",M4_Sectores!O126))</f>
        <v/>
      </c>
      <c r="AG722" s="17" t="str">
        <f>IF(M4_Sectores!A126="","",IF(M4_Sectores!P126="","",M4_Sectores!P126))</f>
        <v/>
      </c>
      <c r="AH722" s="17" t="str">
        <f>IF(M4_Sectores!A126="","",IF(M4_Sectores!H126="","",M4_Sectores!H126))</f>
        <v/>
      </c>
      <c r="AI722" s="17" t="str">
        <f>IF(M4_Sectores!A126="","","M4_Sectores!126")</f>
        <v/>
      </c>
      <c r="AJ722" s="17" t="str">
        <f>IF(M4_Sectores!A126="","",IF(M4_Sectores!L126="","Pendiente de momento o resultado",IF(COUNTIFS(M4_Sectores!$A$9:A126,M4_Sectores!A126,M4_Sectores!$D$9:D126,M4_Sectores!D126,M4_Sectores!$H$9:H126,M4_Sectores!H126)=1,"Total del momento","Sector incluido en total")))</f>
        <v/>
      </c>
    </row>
    <row r="723" spans="1:36" ht="55.5" customHeight="1">
      <c r="A723" s="6" t="str">
        <f t="array" ref="A723">IF(719&gt;$S$1204,"",INDEX($T$5:$AJ$1204,MATCH(719,$S$5:$S$1204,0),1))</f>
        <v/>
      </c>
      <c r="B723" s="8" t="str">
        <f t="array" ref="B723">IF(719&gt;$S$1204,"",INDEX($T$5:$AJ$1204,MATCH(719,$S$5:$S$1204,0),2))</f>
        <v/>
      </c>
      <c r="C723" s="10" t="str">
        <f t="array" ref="C723">IF(719&gt;$S$1204,"",INDEX($T$5:$AJ$1204,MATCH(719,$S$5:$S$1204,0),3))</f>
        <v/>
      </c>
      <c r="D723" s="8" t="str">
        <f t="array" ref="D723">IF(719&gt;$S$1204,"",INDEX($T$5:$AJ$1204,MATCH(719,$S$5:$S$1204,0),4))</f>
        <v/>
      </c>
      <c r="E723" s="8" t="str">
        <f t="array" ref="E723">IF(719&gt;$S$1204,"",INDEX($T$5:$AJ$1204,MATCH(719,$S$5:$S$1204,0),5))</f>
        <v/>
      </c>
      <c r="F723" s="8" t="str">
        <f t="array" ref="F723">IF(719&gt;$S$1204,"",INDEX($T$5:$AJ$1204,MATCH(719,$S$5:$S$1204,0),6))</f>
        <v/>
      </c>
      <c r="G723" s="8" t="str">
        <f t="array" ref="G723">IF(719&gt;$S$1204,"",INDEX($T$5:$AJ$1204,MATCH(719,$S$5:$S$1204,0),7))</f>
        <v/>
      </c>
      <c r="H723" s="8" t="str">
        <f t="array" ref="H723">IF(719&gt;$S$1204,"",INDEX($T$5:$AJ$1204,MATCH(719,$S$5:$S$1204,0),8))</f>
        <v/>
      </c>
      <c r="I723" s="8" t="str">
        <f t="array" ref="I723">IF(719&gt;$S$1204,"",INDEX($T$5:$AJ$1204,MATCH(719,$S$5:$S$1204,0),9))</f>
        <v/>
      </c>
      <c r="J723" s="14" t="str">
        <f t="array" ref="J723">IF(719&gt;$S$1204,"",INDEX($T$5:$AJ$1204,MATCH(719,$S$5:$S$1204,0),10))</f>
        <v/>
      </c>
      <c r="K723" s="8" t="str">
        <f t="array" ref="K723">IF(719&gt;$S$1204,"",INDEX($T$5:$AJ$1204,MATCH(719,$S$5:$S$1204,0),11))</f>
        <v/>
      </c>
      <c r="L723" s="8" t="str">
        <f t="array" ref="L723">IF(719&gt;$S$1204,"",INDEX($T$5:$AJ$1204,MATCH(719,$S$5:$S$1204,0),12))</f>
        <v/>
      </c>
      <c r="M723" s="8" t="str">
        <f t="array" ref="M723">IF(719&gt;$S$1204,"",INDEX($T$5:$AJ$1204,MATCH(719,$S$5:$S$1204,0),13))</f>
        <v/>
      </c>
      <c r="N723" s="8" t="str">
        <f t="array" ref="N723">IF(719&gt;$S$1204,"",INDEX($T$5:$AJ$1204,MATCH(719,$S$5:$S$1204,0),14))</f>
        <v/>
      </c>
      <c r="O723" s="15" t="str">
        <f t="array" ref="O723">IF(719&gt;$S$1204,"",INDEX($T$5:$AJ$1204,MATCH(719,$S$5:$S$1204,0),15))</f>
        <v/>
      </c>
      <c r="P723" s="8" t="str">
        <f t="array" ref="P723">IF(719&gt;$S$1204,"",INDEX($T$5:$AJ$1204,MATCH(719,$S$5:$S$1204,0),16))</f>
        <v/>
      </c>
      <c r="Q723" s="8" t="str">
        <f t="array" ref="Q723">IF(719&gt;$S$1204,"",INDEX($T$5:$AJ$1204,MATCH(719,$S$5:$S$1204,0),17))</f>
        <v/>
      </c>
      <c r="R723" s="17"/>
      <c r="S723" s="17">
        <f>S722+IF(M4_Sectores!A127="",0,1)</f>
        <v>0</v>
      </c>
      <c r="T723" s="17" t="str">
        <f>IF(M4_Sectores!A127="","",IF(M4_Sectores!A127="","",M4_Sectores!A127))</f>
        <v/>
      </c>
      <c r="U723" s="17" t="str">
        <f>IF(M4_Sectores!A127="","",IF(M4_Sectores!Q127="","",M4_Sectores!Q127))</f>
        <v/>
      </c>
      <c r="V723" s="17" t="str">
        <f>IF(M4_Sectores!A127="","",IF(M4_Sectores!D127="","",M4_Sectores!D127))</f>
        <v/>
      </c>
      <c r="W723" s="17" t="str">
        <f>IF(M4_Sectores!A127="","",IF(M4_Sectores!B127="","",M4_Sectores!B127))</f>
        <v/>
      </c>
      <c r="X723" s="17" t="str">
        <f>IF(M4_Sectores!A127="","",IF(M4_Sectores!C127="","",M4_Sectores!C127))</f>
        <v/>
      </c>
      <c r="Y723" s="17" t="str">
        <f>IF(M4_Sectores!A127="","",IF(M4_Sectores!E127="","",M4_Sectores!E127))</f>
        <v/>
      </c>
      <c r="Z723" s="17" t="str">
        <f>IF(M4_Sectores!A127="","",IF(M4_Sectores!F127="","",M4_Sectores!F127))</f>
        <v/>
      </c>
      <c r="AA723" s="17" t="str">
        <f>IF(M4_Sectores!A127="","","M4 Sectores")</f>
        <v/>
      </c>
      <c r="AB723" s="17" t="str">
        <f>IF(M4_Sectores!A127="","",IF(M4_Sectores!G127="","",M4_Sectores!G127))</f>
        <v/>
      </c>
      <c r="AC723" s="17" t="str">
        <f>IF(M4_Sectores!A127="","",IF(COUNTIFS(M4_Sectores!$A$9:A127,M4_Sectores!A127,M4_Sectores!$D$9:D127,M4_Sectores!D127,M4_Sectores!$H$9:H127,M4_Sectores!H127)=1,IF(M4_Sectores!L127="","",M4_Sectores!L127),""))</f>
        <v/>
      </c>
      <c r="AD723" s="17" t="str">
        <f>IF(M4_Sectores!A127="","","EE")</f>
        <v/>
      </c>
      <c r="AE723" s="17" t="str">
        <f>IF(M4_Sectores!A127="","",IF(M4_Sectores!N127="","",M4_Sectores!N127))</f>
        <v/>
      </c>
      <c r="AF723" s="17" t="str">
        <f>IF(M4_Sectores!A127="","",IF(M4_Sectores!O127="","",M4_Sectores!O127))</f>
        <v/>
      </c>
      <c r="AG723" s="17" t="str">
        <f>IF(M4_Sectores!A127="","",IF(M4_Sectores!P127="","",M4_Sectores!P127))</f>
        <v/>
      </c>
      <c r="AH723" s="17" t="str">
        <f>IF(M4_Sectores!A127="","",IF(M4_Sectores!H127="","",M4_Sectores!H127))</f>
        <v/>
      </c>
      <c r="AI723" s="17" t="str">
        <f>IF(M4_Sectores!A127="","","M4_Sectores!127")</f>
        <v/>
      </c>
      <c r="AJ723" s="17" t="str">
        <f>IF(M4_Sectores!A127="","",IF(M4_Sectores!L127="","Pendiente de momento o resultado",IF(COUNTIFS(M4_Sectores!$A$9:A127,M4_Sectores!A127,M4_Sectores!$D$9:D127,M4_Sectores!D127,M4_Sectores!$H$9:H127,M4_Sectores!H127)=1,"Total del momento","Sector incluido en total")))</f>
        <v/>
      </c>
    </row>
    <row r="724" spans="1:36" ht="55.5" customHeight="1">
      <c r="A724" s="6" t="str">
        <f t="array" ref="A724">IF(720&gt;$S$1204,"",INDEX($T$5:$AJ$1204,MATCH(720,$S$5:$S$1204,0),1))</f>
        <v/>
      </c>
      <c r="B724" s="8" t="str">
        <f t="array" ref="B724">IF(720&gt;$S$1204,"",INDEX($T$5:$AJ$1204,MATCH(720,$S$5:$S$1204,0),2))</f>
        <v/>
      </c>
      <c r="C724" s="10" t="str">
        <f t="array" ref="C724">IF(720&gt;$S$1204,"",INDEX($T$5:$AJ$1204,MATCH(720,$S$5:$S$1204,0),3))</f>
        <v/>
      </c>
      <c r="D724" s="8" t="str">
        <f t="array" ref="D724">IF(720&gt;$S$1204,"",INDEX($T$5:$AJ$1204,MATCH(720,$S$5:$S$1204,0),4))</f>
        <v/>
      </c>
      <c r="E724" s="8" t="str">
        <f t="array" ref="E724">IF(720&gt;$S$1204,"",INDEX($T$5:$AJ$1204,MATCH(720,$S$5:$S$1204,0),5))</f>
        <v/>
      </c>
      <c r="F724" s="8" t="str">
        <f t="array" ref="F724">IF(720&gt;$S$1204,"",INDEX($T$5:$AJ$1204,MATCH(720,$S$5:$S$1204,0),6))</f>
        <v/>
      </c>
      <c r="G724" s="8" t="str">
        <f t="array" ref="G724">IF(720&gt;$S$1204,"",INDEX($T$5:$AJ$1204,MATCH(720,$S$5:$S$1204,0),7))</f>
        <v/>
      </c>
      <c r="H724" s="8" t="str">
        <f t="array" ref="H724">IF(720&gt;$S$1204,"",INDEX($T$5:$AJ$1204,MATCH(720,$S$5:$S$1204,0),8))</f>
        <v/>
      </c>
      <c r="I724" s="8" t="str">
        <f t="array" ref="I724">IF(720&gt;$S$1204,"",INDEX($T$5:$AJ$1204,MATCH(720,$S$5:$S$1204,0),9))</f>
        <v/>
      </c>
      <c r="J724" s="14" t="str">
        <f t="array" ref="J724">IF(720&gt;$S$1204,"",INDEX($T$5:$AJ$1204,MATCH(720,$S$5:$S$1204,0),10))</f>
        <v/>
      </c>
      <c r="K724" s="8" t="str">
        <f t="array" ref="K724">IF(720&gt;$S$1204,"",INDEX($T$5:$AJ$1204,MATCH(720,$S$5:$S$1204,0),11))</f>
        <v/>
      </c>
      <c r="L724" s="8" t="str">
        <f t="array" ref="L724">IF(720&gt;$S$1204,"",INDEX($T$5:$AJ$1204,MATCH(720,$S$5:$S$1204,0),12))</f>
        <v/>
      </c>
      <c r="M724" s="8" t="str">
        <f t="array" ref="M724">IF(720&gt;$S$1204,"",INDEX($T$5:$AJ$1204,MATCH(720,$S$5:$S$1204,0),13))</f>
        <v/>
      </c>
      <c r="N724" s="8" t="str">
        <f t="array" ref="N724">IF(720&gt;$S$1204,"",INDEX($T$5:$AJ$1204,MATCH(720,$S$5:$S$1204,0),14))</f>
        <v/>
      </c>
      <c r="O724" s="15" t="str">
        <f t="array" ref="O724">IF(720&gt;$S$1204,"",INDEX($T$5:$AJ$1204,MATCH(720,$S$5:$S$1204,0),15))</f>
        <v/>
      </c>
      <c r="P724" s="8" t="str">
        <f t="array" ref="P724">IF(720&gt;$S$1204,"",INDEX($T$5:$AJ$1204,MATCH(720,$S$5:$S$1204,0),16))</f>
        <v/>
      </c>
      <c r="Q724" s="8" t="str">
        <f t="array" ref="Q724">IF(720&gt;$S$1204,"",INDEX($T$5:$AJ$1204,MATCH(720,$S$5:$S$1204,0),17))</f>
        <v/>
      </c>
      <c r="R724" s="17"/>
      <c r="S724" s="17">
        <f>S723+IF(M4_Sectores!A128="",0,1)</f>
        <v>0</v>
      </c>
      <c r="T724" s="17" t="str">
        <f>IF(M4_Sectores!A128="","",IF(M4_Sectores!A128="","",M4_Sectores!A128))</f>
        <v/>
      </c>
      <c r="U724" s="17" t="str">
        <f>IF(M4_Sectores!A128="","",IF(M4_Sectores!Q128="","",M4_Sectores!Q128))</f>
        <v/>
      </c>
      <c r="V724" s="17" t="str">
        <f>IF(M4_Sectores!A128="","",IF(M4_Sectores!D128="","",M4_Sectores!D128))</f>
        <v/>
      </c>
      <c r="W724" s="17" t="str">
        <f>IF(M4_Sectores!A128="","",IF(M4_Sectores!B128="","",M4_Sectores!B128))</f>
        <v/>
      </c>
      <c r="X724" s="17" t="str">
        <f>IF(M4_Sectores!A128="","",IF(M4_Sectores!C128="","",M4_Sectores!C128))</f>
        <v/>
      </c>
      <c r="Y724" s="17" t="str">
        <f>IF(M4_Sectores!A128="","",IF(M4_Sectores!E128="","",M4_Sectores!E128))</f>
        <v/>
      </c>
      <c r="Z724" s="17" t="str">
        <f>IF(M4_Sectores!A128="","",IF(M4_Sectores!F128="","",M4_Sectores!F128))</f>
        <v/>
      </c>
      <c r="AA724" s="17" t="str">
        <f>IF(M4_Sectores!A128="","","M4 Sectores")</f>
        <v/>
      </c>
      <c r="AB724" s="17" t="str">
        <f>IF(M4_Sectores!A128="","",IF(M4_Sectores!G128="","",M4_Sectores!G128))</f>
        <v/>
      </c>
      <c r="AC724" s="17" t="str">
        <f>IF(M4_Sectores!A128="","",IF(COUNTIFS(M4_Sectores!$A$9:A128,M4_Sectores!A128,M4_Sectores!$D$9:D128,M4_Sectores!D128,M4_Sectores!$H$9:H128,M4_Sectores!H128)=1,IF(M4_Sectores!L128="","",M4_Sectores!L128),""))</f>
        <v/>
      </c>
      <c r="AD724" s="17" t="str">
        <f>IF(M4_Sectores!A128="","","EE")</f>
        <v/>
      </c>
      <c r="AE724" s="17" t="str">
        <f>IF(M4_Sectores!A128="","",IF(M4_Sectores!N128="","",M4_Sectores!N128))</f>
        <v/>
      </c>
      <c r="AF724" s="17" t="str">
        <f>IF(M4_Sectores!A128="","",IF(M4_Sectores!O128="","",M4_Sectores!O128))</f>
        <v/>
      </c>
      <c r="AG724" s="17" t="str">
        <f>IF(M4_Sectores!A128="","",IF(M4_Sectores!P128="","",M4_Sectores!P128))</f>
        <v/>
      </c>
      <c r="AH724" s="17" t="str">
        <f>IF(M4_Sectores!A128="","",IF(M4_Sectores!H128="","",M4_Sectores!H128))</f>
        <v/>
      </c>
      <c r="AI724" s="17" t="str">
        <f>IF(M4_Sectores!A128="","","M4_Sectores!128")</f>
        <v/>
      </c>
      <c r="AJ724" s="17" t="str">
        <f>IF(M4_Sectores!A128="","",IF(M4_Sectores!L128="","Pendiente de momento o resultado",IF(COUNTIFS(M4_Sectores!$A$9:A128,M4_Sectores!A128,M4_Sectores!$D$9:D128,M4_Sectores!D128,M4_Sectores!$H$9:H128,M4_Sectores!H128)=1,"Total del momento","Sector incluido en total")))</f>
        <v/>
      </c>
    </row>
    <row r="725" spans="1:36" ht="55.5" customHeight="1">
      <c r="A725" s="6" t="str">
        <f t="array" ref="A725">IF(721&gt;$S$1204,"",INDEX($T$5:$AJ$1204,MATCH(721,$S$5:$S$1204,0),1))</f>
        <v/>
      </c>
      <c r="B725" s="8" t="str">
        <f t="array" ref="B725">IF(721&gt;$S$1204,"",INDEX($T$5:$AJ$1204,MATCH(721,$S$5:$S$1204,0),2))</f>
        <v/>
      </c>
      <c r="C725" s="10" t="str">
        <f t="array" ref="C725">IF(721&gt;$S$1204,"",INDEX($T$5:$AJ$1204,MATCH(721,$S$5:$S$1204,0),3))</f>
        <v/>
      </c>
      <c r="D725" s="8" t="str">
        <f t="array" ref="D725">IF(721&gt;$S$1204,"",INDEX($T$5:$AJ$1204,MATCH(721,$S$5:$S$1204,0),4))</f>
        <v/>
      </c>
      <c r="E725" s="8" t="str">
        <f t="array" ref="E725">IF(721&gt;$S$1204,"",INDEX($T$5:$AJ$1204,MATCH(721,$S$5:$S$1204,0),5))</f>
        <v/>
      </c>
      <c r="F725" s="8" t="str">
        <f t="array" ref="F725">IF(721&gt;$S$1204,"",INDEX($T$5:$AJ$1204,MATCH(721,$S$5:$S$1204,0),6))</f>
        <v/>
      </c>
      <c r="G725" s="8" t="str">
        <f t="array" ref="G725">IF(721&gt;$S$1204,"",INDEX($T$5:$AJ$1204,MATCH(721,$S$5:$S$1204,0),7))</f>
        <v/>
      </c>
      <c r="H725" s="8" t="str">
        <f t="array" ref="H725">IF(721&gt;$S$1204,"",INDEX($T$5:$AJ$1204,MATCH(721,$S$5:$S$1204,0),8))</f>
        <v/>
      </c>
      <c r="I725" s="8" t="str">
        <f t="array" ref="I725">IF(721&gt;$S$1204,"",INDEX($T$5:$AJ$1204,MATCH(721,$S$5:$S$1204,0),9))</f>
        <v/>
      </c>
      <c r="J725" s="14" t="str">
        <f t="array" ref="J725">IF(721&gt;$S$1204,"",INDEX($T$5:$AJ$1204,MATCH(721,$S$5:$S$1204,0),10))</f>
        <v/>
      </c>
      <c r="K725" s="8" t="str">
        <f t="array" ref="K725">IF(721&gt;$S$1204,"",INDEX($T$5:$AJ$1204,MATCH(721,$S$5:$S$1204,0),11))</f>
        <v/>
      </c>
      <c r="L725" s="8" t="str">
        <f t="array" ref="L725">IF(721&gt;$S$1204,"",INDEX($T$5:$AJ$1204,MATCH(721,$S$5:$S$1204,0),12))</f>
        <v/>
      </c>
      <c r="M725" s="8" t="str">
        <f t="array" ref="M725">IF(721&gt;$S$1204,"",INDEX($T$5:$AJ$1204,MATCH(721,$S$5:$S$1204,0),13))</f>
        <v/>
      </c>
      <c r="N725" s="8" t="str">
        <f t="array" ref="N725">IF(721&gt;$S$1204,"",INDEX($T$5:$AJ$1204,MATCH(721,$S$5:$S$1204,0),14))</f>
        <v/>
      </c>
      <c r="O725" s="15" t="str">
        <f t="array" ref="O725">IF(721&gt;$S$1204,"",INDEX($T$5:$AJ$1204,MATCH(721,$S$5:$S$1204,0),15))</f>
        <v/>
      </c>
      <c r="P725" s="8" t="str">
        <f t="array" ref="P725">IF(721&gt;$S$1204,"",INDEX($T$5:$AJ$1204,MATCH(721,$S$5:$S$1204,0),16))</f>
        <v/>
      </c>
      <c r="Q725" s="8" t="str">
        <f t="array" ref="Q725">IF(721&gt;$S$1204,"",INDEX($T$5:$AJ$1204,MATCH(721,$S$5:$S$1204,0),17))</f>
        <v/>
      </c>
      <c r="R725" s="17"/>
      <c r="S725" s="17">
        <f>S724+IF(M4_Sectores!A129="",0,1)</f>
        <v>0</v>
      </c>
      <c r="T725" s="17" t="str">
        <f>IF(M4_Sectores!A129="","",IF(M4_Sectores!A129="","",M4_Sectores!A129))</f>
        <v/>
      </c>
      <c r="U725" s="17" t="str">
        <f>IF(M4_Sectores!A129="","",IF(M4_Sectores!Q129="","",M4_Sectores!Q129))</f>
        <v/>
      </c>
      <c r="V725" s="17" t="str">
        <f>IF(M4_Sectores!A129="","",IF(M4_Sectores!D129="","",M4_Sectores!D129))</f>
        <v/>
      </c>
      <c r="W725" s="17" t="str">
        <f>IF(M4_Sectores!A129="","",IF(M4_Sectores!B129="","",M4_Sectores!B129))</f>
        <v/>
      </c>
      <c r="X725" s="17" t="str">
        <f>IF(M4_Sectores!A129="","",IF(M4_Sectores!C129="","",M4_Sectores!C129))</f>
        <v/>
      </c>
      <c r="Y725" s="17" t="str">
        <f>IF(M4_Sectores!A129="","",IF(M4_Sectores!E129="","",M4_Sectores!E129))</f>
        <v/>
      </c>
      <c r="Z725" s="17" t="str">
        <f>IF(M4_Sectores!A129="","",IF(M4_Sectores!F129="","",M4_Sectores!F129))</f>
        <v/>
      </c>
      <c r="AA725" s="17" t="str">
        <f>IF(M4_Sectores!A129="","","M4 Sectores")</f>
        <v/>
      </c>
      <c r="AB725" s="17" t="str">
        <f>IF(M4_Sectores!A129="","",IF(M4_Sectores!G129="","",M4_Sectores!G129))</f>
        <v/>
      </c>
      <c r="AC725" s="17" t="str">
        <f>IF(M4_Sectores!A129="","",IF(COUNTIFS(M4_Sectores!$A$9:A129,M4_Sectores!A129,M4_Sectores!$D$9:D129,M4_Sectores!D129,M4_Sectores!$H$9:H129,M4_Sectores!H129)=1,IF(M4_Sectores!L129="","",M4_Sectores!L129),""))</f>
        <v/>
      </c>
      <c r="AD725" s="17" t="str">
        <f>IF(M4_Sectores!A129="","","EE")</f>
        <v/>
      </c>
      <c r="AE725" s="17" t="str">
        <f>IF(M4_Sectores!A129="","",IF(M4_Sectores!N129="","",M4_Sectores!N129))</f>
        <v/>
      </c>
      <c r="AF725" s="17" t="str">
        <f>IF(M4_Sectores!A129="","",IF(M4_Sectores!O129="","",M4_Sectores!O129))</f>
        <v/>
      </c>
      <c r="AG725" s="17" t="str">
        <f>IF(M4_Sectores!A129="","",IF(M4_Sectores!P129="","",M4_Sectores!P129))</f>
        <v/>
      </c>
      <c r="AH725" s="17" t="str">
        <f>IF(M4_Sectores!A129="","",IF(M4_Sectores!H129="","",M4_Sectores!H129))</f>
        <v/>
      </c>
      <c r="AI725" s="17" t="str">
        <f>IF(M4_Sectores!A129="","","M4_Sectores!129")</f>
        <v/>
      </c>
      <c r="AJ725" s="17" t="str">
        <f>IF(M4_Sectores!A129="","",IF(M4_Sectores!L129="","Pendiente de momento o resultado",IF(COUNTIFS(M4_Sectores!$A$9:A129,M4_Sectores!A129,M4_Sectores!$D$9:D129,M4_Sectores!D129,M4_Sectores!$H$9:H129,M4_Sectores!H129)=1,"Total del momento","Sector incluido en total")))</f>
        <v/>
      </c>
    </row>
    <row r="726" spans="1:36" ht="55.5" customHeight="1">
      <c r="A726" s="6" t="str">
        <f t="array" ref="A726">IF(722&gt;$S$1204,"",INDEX($T$5:$AJ$1204,MATCH(722,$S$5:$S$1204,0),1))</f>
        <v/>
      </c>
      <c r="B726" s="8" t="str">
        <f t="array" ref="B726">IF(722&gt;$S$1204,"",INDEX($T$5:$AJ$1204,MATCH(722,$S$5:$S$1204,0),2))</f>
        <v/>
      </c>
      <c r="C726" s="10" t="str">
        <f t="array" ref="C726">IF(722&gt;$S$1204,"",INDEX($T$5:$AJ$1204,MATCH(722,$S$5:$S$1204,0),3))</f>
        <v/>
      </c>
      <c r="D726" s="8" t="str">
        <f t="array" ref="D726">IF(722&gt;$S$1204,"",INDEX($T$5:$AJ$1204,MATCH(722,$S$5:$S$1204,0),4))</f>
        <v/>
      </c>
      <c r="E726" s="8" t="str">
        <f t="array" ref="E726">IF(722&gt;$S$1204,"",INDEX($T$5:$AJ$1204,MATCH(722,$S$5:$S$1204,0),5))</f>
        <v/>
      </c>
      <c r="F726" s="8" t="str">
        <f t="array" ref="F726">IF(722&gt;$S$1204,"",INDEX($T$5:$AJ$1204,MATCH(722,$S$5:$S$1204,0),6))</f>
        <v/>
      </c>
      <c r="G726" s="8" t="str">
        <f t="array" ref="G726">IF(722&gt;$S$1204,"",INDEX($T$5:$AJ$1204,MATCH(722,$S$5:$S$1204,0),7))</f>
        <v/>
      </c>
      <c r="H726" s="8" t="str">
        <f t="array" ref="H726">IF(722&gt;$S$1204,"",INDEX($T$5:$AJ$1204,MATCH(722,$S$5:$S$1204,0),8))</f>
        <v/>
      </c>
      <c r="I726" s="8" t="str">
        <f t="array" ref="I726">IF(722&gt;$S$1204,"",INDEX($T$5:$AJ$1204,MATCH(722,$S$5:$S$1204,0),9))</f>
        <v/>
      </c>
      <c r="J726" s="14" t="str">
        <f t="array" ref="J726">IF(722&gt;$S$1204,"",INDEX($T$5:$AJ$1204,MATCH(722,$S$5:$S$1204,0),10))</f>
        <v/>
      </c>
      <c r="K726" s="8" t="str">
        <f t="array" ref="K726">IF(722&gt;$S$1204,"",INDEX($T$5:$AJ$1204,MATCH(722,$S$5:$S$1204,0),11))</f>
        <v/>
      </c>
      <c r="L726" s="8" t="str">
        <f t="array" ref="L726">IF(722&gt;$S$1204,"",INDEX($T$5:$AJ$1204,MATCH(722,$S$5:$S$1204,0),12))</f>
        <v/>
      </c>
      <c r="M726" s="8" t="str">
        <f t="array" ref="M726">IF(722&gt;$S$1204,"",INDEX($T$5:$AJ$1204,MATCH(722,$S$5:$S$1204,0),13))</f>
        <v/>
      </c>
      <c r="N726" s="8" t="str">
        <f t="array" ref="N726">IF(722&gt;$S$1204,"",INDEX($T$5:$AJ$1204,MATCH(722,$S$5:$S$1204,0),14))</f>
        <v/>
      </c>
      <c r="O726" s="15" t="str">
        <f t="array" ref="O726">IF(722&gt;$S$1204,"",INDEX($T$5:$AJ$1204,MATCH(722,$S$5:$S$1204,0),15))</f>
        <v/>
      </c>
      <c r="P726" s="8" t="str">
        <f t="array" ref="P726">IF(722&gt;$S$1204,"",INDEX($T$5:$AJ$1204,MATCH(722,$S$5:$S$1204,0),16))</f>
        <v/>
      </c>
      <c r="Q726" s="8" t="str">
        <f t="array" ref="Q726">IF(722&gt;$S$1204,"",INDEX($T$5:$AJ$1204,MATCH(722,$S$5:$S$1204,0),17))</f>
        <v/>
      </c>
      <c r="R726" s="17"/>
      <c r="S726" s="17">
        <f>S725+IF(M4_Sectores!A130="",0,1)</f>
        <v>0</v>
      </c>
      <c r="T726" s="17" t="str">
        <f>IF(M4_Sectores!A130="","",IF(M4_Sectores!A130="","",M4_Sectores!A130))</f>
        <v/>
      </c>
      <c r="U726" s="17" t="str">
        <f>IF(M4_Sectores!A130="","",IF(M4_Sectores!Q130="","",M4_Sectores!Q130))</f>
        <v/>
      </c>
      <c r="V726" s="17" t="str">
        <f>IF(M4_Sectores!A130="","",IF(M4_Sectores!D130="","",M4_Sectores!D130))</f>
        <v/>
      </c>
      <c r="W726" s="17" t="str">
        <f>IF(M4_Sectores!A130="","",IF(M4_Sectores!B130="","",M4_Sectores!B130))</f>
        <v/>
      </c>
      <c r="X726" s="17" t="str">
        <f>IF(M4_Sectores!A130="","",IF(M4_Sectores!C130="","",M4_Sectores!C130))</f>
        <v/>
      </c>
      <c r="Y726" s="17" t="str">
        <f>IF(M4_Sectores!A130="","",IF(M4_Sectores!E130="","",M4_Sectores!E130))</f>
        <v/>
      </c>
      <c r="Z726" s="17" t="str">
        <f>IF(M4_Sectores!A130="","",IF(M4_Sectores!F130="","",M4_Sectores!F130))</f>
        <v/>
      </c>
      <c r="AA726" s="17" t="str">
        <f>IF(M4_Sectores!A130="","","M4 Sectores")</f>
        <v/>
      </c>
      <c r="AB726" s="17" t="str">
        <f>IF(M4_Sectores!A130="","",IF(M4_Sectores!G130="","",M4_Sectores!G130))</f>
        <v/>
      </c>
      <c r="AC726" s="17" t="str">
        <f>IF(M4_Sectores!A130="","",IF(COUNTIFS(M4_Sectores!$A$9:A130,M4_Sectores!A130,M4_Sectores!$D$9:D130,M4_Sectores!D130,M4_Sectores!$H$9:H130,M4_Sectores!H130)=1,IF(M4_Sectores!L130="","",M4_Sectores!L130),""))</f>
        <v/>
      </c>
      <c r="AD726" s="17" t="str">
        <f>IF(M4_Sectores!A130="","","EE")</f>
        <v/>
      </c>
      <c r="AE726" s="17" t="str">
        <f>IF(M4_Sectores!A130="","",IF(M4_Sectores!N130="","",M4_Sectores!N130))</f>
        <v/>
      </c>
      <c r="AF726" s="17" t="str">
        <f>IF(M4_Sectores!A130="","",IF(M4_Sectores!O130="","",M4_Sectores!O130))</f>
        <v/>
      </c>
      <c r="AG726" s="17" t="str">
        <f>IF(M4_Sectores!A130="","",IF(M4_Sectores!P130="","",M4_Sectores!P130))</f>
        <v/>
      </c>
      <c r="AH726" s="17" t="str">
        <f>IF(M4_Sectores!A130="","",IF(M4_Sectores!H130="","",M4_Sectores!H130))</f>
        <v/>
      </c>
      <c r="AI726" s="17" t="str">
        <f>IF(M4_Sectores!A130="","","M4_Sectores!130")</f>
        <v/>
      </c>
      <c r="AJ726" s="17" t="str">
        <f>IF(M4_Sectores!A130="","",IF(M4_Sectores!L130="","Pendiente de momento o resultado",IF(COUNTIFS(M4_Sectores!$A$9:A130,M4_Sectores!A130,M4_Sectores!$D$9:D130,M4_Sectores!D130,M4_Sectores!$H$9:H130,M4_Sectores!H130)=1,"Total del momento","Sector incluido en total")))</f>
        <v/>
      </c>
    </row>
    <row r="727" spans="1:36" ht="55.5" customHeight="1">
      <c r="A727" s="6" t="str">
        <f t="array" ref="A727">IF(723&gt;$S$1204,"",INDEX($T$5:$AJ$1204,MATCH(723,$S$5:$S$1204,0),1))</f>
        <v/>
      </c>
      <c r="B727" s="8" t="str">
        <f t="array" ref="B727">IF(723&gt;$S$1204,"",INDEX($T$5:$AJ$1204,MATCH(723,$S$5:$S$1204,0),2))</f>
        <v/>
      </c>
      <c r="C727" s="10" t="str">
        <f t="array" ref="C727">IF(723&gt;$S$1204,"",INDEX($T$5:$AJ$1204,MATCH(723,$S$5:$S$1204,0),3))</f>
        <v/>
      </c>
      <c r="D727" s="8" t="str">
        <f t="array" ref="D727">IF(723&gt;$S$1204,"",INDEX($T$5:$AJ$1204,MATCH(723,$S$5:$S$1204,0),4))</f>
        <v/>
      </c>
      <c r="E727" s="8" t="str">
        <f t="array" ref="E727">IF(723&gt;$S$1204,"",INDEX($T$5:$AJ$1204,MATCH(723,$S$5:$S$1204,0),5))</f>
        <v/>
      </c>
      <c r="F727" s="8" t="str">
        <f t="array" ref="F727">IF(723&gt;$S$1204,"",INDEX($T$5:$AJ$1204,MATCH(723,$S$5:$S$1204,0),6))</f>
        <v/>
      </c>
      <c r="G727" s="8" t="str">
        <f t="array" ref="G727">IF(723&gt;$S$1204,"",INDEX($T$5:$AJ$1204,MATCH(723,$S$5:$S$1204,0),7))</f>
        <v/>
      </c>
      <c r="H727" s="8" t="str">
        <f t="array" ref="H727">IF(723&gt;$S$1204,"",INDEX($T$5:$AJ$1204,MATCH(723,$S$5:$S$1204,0),8))</f>
        <v/>
      </c>
      <c r="I727" s="8" t="str">
        <f t="array" ref="I727">IF(723&gt;$S$1204,"",INDEX($T$5:$AJ$1204,MATCH(723,$S$5:$S$1204,0),9))</f>
        <v/>
      </c>
      <c r="J727" s="14" t="str">
        <f t="array" ref="J727">IF(723&gt;$S$1204,"",INDEX($T$5:$AJ$1204,MATCH(723,$S$5:$S$1204,0),10))</f>
        <v/>
      </c>
      <c r="K727" s="8" t="str">
        <f t="array" ref="K727">IF(723&gt;$S$1204,"",INDEX($T$5:$AJ$1204,MATCH(723,$S$5:$S$1204,0),11))</f>
        <v/>
      </c>
      <c r="L727" s="8" t="str">
        <f t="array" ref="L727">IF(723&gt;$S$1204,"",INDEX($T$5:$AJ$1204,MATCH(723,$S$5:$S$1204,0),12))</f>
        <v/>
      </c>
      <c r="M727" s="8" t="str">
        <f t="array" ref="M727">IF(723&gt;$S$1204,"",INDEX($T$5:$AJ$1204,MATCH(723,$S$5:$S$1204,0),13))</f>
        <v/>
      </c>
      <c r="N727" s="8" t="str">
        <f t="array" ref="N727">IF(723&gt;$S$1204,"",INDEX($T$5:$AJ$1204,MATCH(723,$S$5:$S$1204,0),14))</f>
        <v/>
      </c>
      <c r="O727" s="15" t="str">
        <f t="array" ref="O727">IF(723&gt;$S$1204,"",INDEX($T$5:$AJ$1204,MATCH(723,$S$5:$S$1204,0),15))</f>
        <v/>
      </c>
      <c r="P727" s="8" t="str">
        <f t="array" ref="P727">IF(723&gt;$S$1204,"",INDEX($T$5:$AJ$1204,MATCH(723,$S$5:$S$1204,0),16))</f>
        <v/>
      </c>
      <c r="Q727" s="8" t="str">
        <f t="array" ref="Q727">IF(723&gt;$S$1204,"",INDEX($T$5:$AJ$1204,MATCH(723,$S$5:$S$1204,0),17))</f>
        <v/>
      </c>
      <c r="R727" s="17"/>
      <c r="S727" s="17">
        <f>S726+IF(M4_Sectores!A131="",0,1)</f>
        <v>0</v>
      </c>
      <c r="T727" s="17" t="str">
        <f>IF(M4_Sectores!A131="","",IF(M4_Sectores!A131="","",M4_Sectores!A131))</f>
        <v/>
      </c>
      <c r="U727" s="17" t="str">
        <f>IF(M4_Sectores!A131="","",IF(M4_Sectores!Q131="","",M4_Sectores!Q131))</f>
        <v/>
      </c>
      <c r="V727" s="17" t="str">
        <f>IF(M4_Sectores!A131="","",IF(M4_Sectores!D131="","",M4_Sectores!D131))</f>
        <v/>
      </c>
      <c r="W727" s="17" t="str">
        <f>IF(M4_Sectores!A131="","",IF(M4_Sectores!B131="","",M4_Sectores!B131))</f>
        <v/>
      </c>
      <c r="X727" s="17" t="str">
        <f>IF(M4_Sectores!A131="","",IF(M4_Sectores!C131="","",M4_Sectores!C131))</f>
        <v/>
      </c>
      <c r="Y727" s="17" t="str">
        <f>IF(M4_Sectores!A131="","",IF(M4_Sectores!E131="","",M4_Sectores!E131))</f>
        <v/>
      </c>
      <c r="Z727" s="17" t="str">
        <f>IF(M4_Sectores!A131="","",IF(M4_Sectores!F131="","",M4_Sectores!F131))</f>
        <v/>
      </c>
      <c r="AA727" s="17" t="str">
        <f>IF(M4_Sectores!A131="","","M4 Sectores")</f>
        <v/>
      </c>
      <c r="AB727" s="17" t="str">
        <f>IF(M4_Sectores!A131="","",IF(M4_Sectores!G131="","",M4_Sectores!G131))</f>
        <v/>
      </c>
      <c r="AC727" s="17" t="str">
        <f>IF(M4_Sectores!A131="","",IF(COUNTIFS(M4_Sectores!$A$9:A131,M4_Sectores!A131,M4_Sectores!$D$9:D131,M4_Sectores!D131,M4_Sectores!$H$9:H131,M4_Sectores!H131)=1,IF(M4_Sectores!L131="","",M4_Sectores!L131),""))</f>
        <v/>
      </c>
      <c r="AD727" s="17" t="str">
        <f>IF(M4_Sectores!A131="","","EE")</f>
        <v/>
      </c>
      <c r="AE727" s="17" t="str">
        <f>IF(M4_Sectores!A131="","",IF(M4_Sectores!N131="","",M4_Sectores!N131))</f>
        <v/>
      </c>
      <c r="AF727" s="17" t="str">
        <f>IF(M4_Sectores!A131="","",IF(M4_Sectores!O131="","",M4_Sectores!O131))</f>
        <v/>
      </c>
      <c r="AG727" s="17" t="str">
        <f>IF(M4_Sectores!A131="","",IF(M4_Sectores!P131="","",M4_Sectores!P131))</f>
        <v/>
      </c>
      <c r="AH727" s="17" t="str">
        <f>IF(M4_Sectores!A131="","",IF(M4_Sectores!H131="","",M4_Sectores!H131))</f>
        <v/>
      </c>
      <c r="AI727" s="17" t="str">
        <f>IF(M4_Sectores!A131="","","M4_Sectores!131")</f>
        <v/>
      </c>
      <c r="AJ727" s="17" t="str">
        <f>IF(M4_Sectores!A131="","",IF(M4_Sectores!L131="","Pendiente de momento o resultado",IF(COUNTIFS(M4_Sectores!$A$9:A131,M4_Sectores!A131,M4_Sectores!$D$9:D131,M4_Sectores!D131,M4_Sectores!$H$9:H131,M4_Sectores!H131)=1,"Total del momento","Sector incluido en total")))</f>
        <v/>
      </c>
    </row>
    <row r="728" spans="1:36" ht="55.5" customHeight="1">
      <c r="A728" s="6" t="str">
        <f t="array" ref="A728">IF(724&gt;$S$1204,"",INDEX($T$5:$AJ$1204,MATCH(724,$S$5:$S$1204,0),1))</f>
        <v/>
      </c>
      <c r="B728" s="8" t="str">
        <f t="array" ref="B728">IF(724&gt;$S$1204,"",INDEX($T$5:$AJ$1204,MATCH(724,$S$5:$S$1204,0),2))</f>
        <v/>
      </c>
      <c r="C728" s="10" t="str">
        <f t="array" ref="C728">IF(724&gt;$S$1204,"",INDEX($T$5:$AJ$1204,MATCH(724,$S$5:$S$1204,0),3))</f>
        <v/>
      </c>
      <c r="D728" s="8" t="str">
        <f t="array" ref="D728">IF(724&gt;$S$1204,"",INDEX($T$5:$AJ$1204,MATCH(724,$S$5:$S$1204,0),4))</f>
        <v/>
      </c>
      <c r="E728" s="8" t="str">
        <f t="array" ref="E728">IF(724&gt;$S$1204,"",INDEX($T$5:$AJ$1204,MATCH(724,$S$5:$S$1204,0),5))</f>
        <v/>
      </c>
      <c r="F728" s="8" t="str">
        <f t="array" ref="F728">IF(724&gt;$S$1204,"",INDEX($T$5:$AJ$1204,MATCH(724,$S$5:$S$1204,0),6))</f>
        <v/>
      </c>
      <c r="G728" s="8" t="str">
        <f t="array" ref="G728">IF(724&gt;$S$1204,"",INDEX($T$5:$AJ$1204,MATCH(724,$S$5:$S$1204,0),7))</f>
        <v/>
      </c>
      <c r="H728" s="8" t="str">
        <f t="array" ref="H728">IF(724&gt;$S$1204,"",INDEX($T$5:$AJ$1204,MATCH(724,$S$5:$S$1204,0),8))</f>
        <v/>
      </c>
      <c r="I728" s="8" t="str">
        <f t="array" ref="I728">IF(724&gt;$S$1204,"",INDEX($T$5:$AJ$1204,MATCH(724,$S$5:$S$1204,0),9))</f>
        <v/>
      </c>
      <c r="J728" s="14" t="str">
        <f t="array" ref="J728">IF(724&gt;$S$1204,"",INDEX($T$5:$AJ$1204,MATCH(724,$S$5:$S$1204,0),10))</f>
        <v/>
      </c>
      <c r="K728" s="8" t="str">
        <f t="array" ref="K728">IF(724&gt;$S$1204,"",INDEX($T$5:$AJ$1204,MATCH(724,$S$5:$S$1204,0),11))</f>
        <v/>
      </c>
      <c r="L728" s="8" t="str">
        <f t="array" ref="L728">IF(724&gt;$S$1204,"",INDEX($T$5:$AJ$1204,MATCH(724,$S$5:$S$1204,0),12))</f>
        <v/>
      </c>
      <c r="M728" s="8" t="str">
        <f t="array" ref="M728">IF(724&gt;$S$1204,"",INDEX($T$5:$AJ$1204,MATCH(724,$S$5:$S$1204,0),13))</f>
        <v/>
      </c>
      <c r="N728" s="8" t="str">
        <f t="array" ref="N728">IF(724&gt;$S$1204,"",INDEX($T$5:$AJ$1204,MATCH(724,$S$5:$S$1204,0),14))</f>
        <v/>
      </c>
      <c r="O728" s="15" t="str">
        <f t="array" ref="O728">IF(724&gt;$S$1204,"",INDEX($T$5:$AJ$1204,MATCH(724,$S$5:$S$1204,0),15))</f>
        <v/>
      </c>
      <c r="P728" s="8" t="str">
        <f t="array" ref="P728">IF(724&gt;$S$1204,"",INDEX($T$5:$AJ$1204,MATCH(724,$S$5:$S$1204,0),16))</f>
        <v/>
      </c>
      <c r="Q728" s="8" t="str">
        <f t="array" ref="Q728">IF(724&gt;$S$1204,"",INDEX($T$5:$AJ$1204,MATCH(724,$S$5:$S$1204,0),17))</f>
        <v/>
      </c>
      <c r="R728" s="17"/>
      <c r="S728" s="17">
        <f>S727+IF(M4_Sectores!A132="",0,1)</f>
        <v>0</v>
      </c>
      <c r="T728" s="17" t="str">
        <f>IF(M4_Sectores!A132="","",IF(M4_Sectores!A132="","",M4_Sectores!A132))</f>
        <v/>
      </c>
      <c r="U728" s="17" t="str">
        <f>IF(M4_Sectores!A132="","",IF(M4_Sectores!Q132="","",M4_Sectores!Q132))</f>
        <v/>
      </c>
      <c r="V728" s="17" t="str">
        <f>IF(M4_Sectores!A132="","",IF(M4_Sectores!D132="","",M4_Sectores!D132))</f>
        <v/>
      </c>
      <c r="W728" s="17" t="str">
        <f>IF(M4_Sectores!A132="","",IF(M4_Sectores!B132="","",M4_Sectores!B132))</f>
        <v/>
      </c>
      <c r="X728" s="17" t="str">
        <f>IF(M4_Sectores!A132="","",IF(M4_Sectores!C132="","",M4_Sectores!C132))</f>
        <v/>
      </c>
      <c r="Y728" s="17" t="str">
        <f>IF(M4_Sectores!A132="","",IF(M4_Sectores!E132="","",M4_Sectores!E132))</f>
        <v/>
      </c>
      <c r="Z728" s="17" t="str">
        <f>IF(M4_Sectores!A132="","",IF(M4_Sectores!F132="","",M4_Sectores!F132))</f>
        <v/>
      </c>
      <c r="AA728" s="17" t="str">
        <f>IF(M4_Sectores!A132="","","M4 Sectores")</f>
        <v/>
      </c>
      <c r="AB728" s="17" t="str">
        <f>IF(M4_Sectores!A132="","",IF(M4_Sectores!G132="","",M4_Sectores!G132))</f>
        <v/>
      </c>
      <c r="AC728" s="17" t="str">
        <f>IF(M4_Sectores!A132="","",IF(COUNTIFS(M4_Sectores!$A$9:A132,M4_Sectores!A132,M4_Sectores!$D$9:D132,M4_Sectores!D132,M4_Sectores!$H$9:H132,M4_Sectores!H132)=1,IF(M4_Sectores!L132="","",M4_Sectores!L132),""))</f>
        <v/>
      </c>
      <c r="AD728" s="17" t="str">
        <f>IF(M4_Sectores!A132="","","EE")</f>
        <v/>
      </c>
      <c r="AE728" s="17" t="str">
        <f>IF(M4_Sectores!A132="","",IF(M4_Sectores!N132="","",M4_Sectores!N132))</f>
        <v/>
      </c>
      <c r="AF728" s="17" t="str">
        <f>IF(M4_Sectores!A132="","",IF(M4_Sectores!O132="","",M4_Sectores!O132))</f>
        <v/>
      </c>
      <c r="AG728" s="17" t="str">
        <f>IF(M4_Sectores!A132="","",IF(M4_Sectores!P132="","",M4_Sectores!P132))</f>
        <v/>
      </c>
      <c r="AH728" s="17" t="str">
        <f>IF(M4_Sectores!A132="","",IF(M4_Sectores!H132="","",M4_Sectores!H132))</f>
        <v/>
      </c>
      <c r="AI728" s="17" t="str">
        <f>IF(M4_Sectores!A132="","","M4_Sectores!132")</f>
        <v/>
      </c>
      <c r="AJ728" s="17" t="str">
        <f>IF(M4_Sectores!A132="","",IF(M4_Sectores!L132="","Pendiente de momento o resultado",IF(COUNTIFS(M4_Sectores!$A$9:A132,M4_Sectores!A132,M4_Sectores!$D$9:D132,M4_Sectores!D132,M4_Sectores!$H$9:H132,M4_Sectores!H132)=1,"Total del momento","Sector incluido en total")))</f>
        <v/>
      </c>
    </row>
    <row r="729" spans="1:36" ht="55.5" customHeight="1">
      <c r="A729" s="6" t="str">
        <f t="array" ref="A729">IF(725&gt;$S$1204,"",INDEX($T$5:$AJ$1204,MATCH(725,$S$5:$S$1204,0),1))</f>
        <v/>
      </c>
      <c r="B729" s="8" t="str">
        <f t="array" ref="B729">IF(725&gt;$S$1204,"",INDEX($T$5:$AJ$1204,MATCH(725,$S$5:$S$1204,0),2))</f>
        <v/>
      </c>
      <c r="C729" s="10" t="str">
        <f t="array" ref="C729">IF(725&gt;$S$1204,"",INDEX($T$5:$AJ$1204,MATCH(725,$S$5:$S$1204,0),3))</f>
        <v/>
      </c>
      <c r="D729" s="8" t="str">
        <f t="array" ref="D729">IF(725&gt;$S$1204,"",INDEX($T$5:$AJ$1204,MATCH(725,$S$5:$S$1204,0),4))</f>
        <v/>
      </c>
      <c r="E729" s="8" t="str">
        <f t="array" ref="E729">IF(725&gt;$S$1204,"",INDEX($T$5:$AJ$1204,MATCH(725,$S$5:$S$1204,0),5))</f>
        <v/>
      </c>
      <c r="F729" s="8" t="str">
        <f t="array" ref="F729">IF(725&gt;$S$1204,"",INDEX($T$5:$AJ$1204,MATCH(725,$S$5:$S$1204,0),6))</f>
        <v/>
      </c>
      <c r="G729" s="8" t="str">
        <f t="array" ref="G729">IF(725&gt;$S$1204,"",INDEX($T$5:$AJ$1204,MATCH(725,$S$5:$S$1204,0),7))</f>
        <v/>
      </c>
      <c r="H729" s="8" t="str">
        <f t="array" ref="H729">IF(725&gt;$S$1204,"",INDEX($T$5:$AJ$1204,MATCH(725,$S$5:$S$1204,0),8))</f>
        <v/>
      </c>
      <c r="I729" s="8" t="str">
        <f t="array" ref="I729">IF(725&gt;$S$1204,"",INDEX($T$5:$AJ$1204,MATCH(725,$S$5:$S$1204,0),9))</f>
        <v/>
      </c>
      <c r="J729" s="14" t="str">
        <f t="array" ref="J729">IF(725&gt;$S$1204,"",INDEX($T$5:$AJ$1204,MATCH(725,$S$5:$S$1204,0),10))</f>
        <v/>
      </c>
      <c r="K729" s="8" t="str">
        <f t="array" ref="K729">IF(725&gt;$S$1204,"",INDEX($T$5:$AJ$1204,MATCH(725,$S$5:$S$1204,0),11))</f>
        <v/>
      </c>
      <c r="L729" s="8" t="str">
        <f t="array" ref="L729">IF(725&gt;$S$1204,"",INDEX($T$5:$AJ$1204,MATCH(725,$S$5:$S$1204,0),12))</f>
        <v/>
      </c>
      <c r="M729" s="8" t="str">
        <f t="array" ref="M729">IF(725&gt;$S$1204,"",INDEX($T$5:$AJ$1204,MATCH(725,$S$5:$S$1204,0),13))</f>
        <v/>
      </c>
      <c r="N729" s="8" t="str">
        <f t="array" ref="N729">IF(725&gt;$S$1204,"",INDEX($T$5:$AJ$1204,MATCH(725,$S$5:$S$1204,0),14))</f>
        <v/>
      </c>
      <c r="O729" s="15" t="str">
        <f t="array" ref="O729">IF(725&gt;$S$1204,"",INDEX($T$5:$AJ$1204,MATCH(725,$S$5:$S$1204,0),15))</f>
        <v/>
      </c>
      <c r="P729" s="8" t="str">
        <f t="array" ref="P729">IF(725&gt;$S$1204,"",INDEX($T$5:$AJ$1204,MATCH(725,$S$5:$S$1204,0),16))</f>
        <v/>
      </c>
      <c r="Q729" s="8" t="str">
        <f t="array" ref="Q729">IF(725&gt;$S$1204,"",INDEX($T$5:$AJ$1204,MATCH(725,$S$5:$S$1204,0),17))</f>
        <v/>
      </c>
      <c r="R729" s="17"/>
      <c r="S729" s="17">
        <f>S728+IF(M4_Sectores!A133="",0,1)</f>
        <v>0</v>
      </c>
      <c r="T729" s="17" t="str">
        <f>IF(M4_Sectores!A133="","",IF(M4_Sectores!A133="","",M4_Sectores!A133))</f>
        <v/>
      </c>
      <c r="U729" s="17" t="str">
        <f>IF(M4_Sectores!A133="","",IF(M4_Sectores!Q133="","",M4_Sectores!Q133))</f>
        <v/>
      </c>
      <c r="V729" s="17" t="str">
        <f>IF(M4_Sectores!A133="","",IF(M4_Sectores!D133="","",M4_Sectores!D133))</f>
        <v/>
      </c>
      <c r="W729" s="17" t="str">
        <f>IF(M4_Sectores!A133="","",IF(M4_Sectores!B133="","",M4_Sectores!B133))</f>
        <v/>
      </c>
      <c r="X729" s="17" t="str">
        <f>IF(M4_Sectores!A133="","",IF(M4_Sectores!C133="","",M4_Sectores!C133))</f>
        <v/>
      </c>
      <c r="Y729" s="17" t="str">
        <f>IF(M4_Sectores!A133="","",IF(M4_Sectores!E133="","",M4_Sectores!E133))</f>
        <v/>
      </c>
      <c r="Z729" s="17" t="str">
        <f>IF(M4_Sectores!A133="","",IF(M4_Sectores!F133="","",M4_Sectores!F133))</f>
        <v/>
      </c>
      <c r="AA729" s="17" t="str">
        <f>IF(M4_Sectores!A133="","","M4 Sectores")</f>
        <v/>
      </c>
      <c r="AB729" s="17" t="str">
        <f>IF(M4_Sectores!A133="","",IF(M4_Sectores!G133="","",M4_Sectores!G133))</f>
        <v/>
      </c>
      <c r="AC729" s="17" t="str">
        <f>IF(M4_Sectores!A133="","",IF(COUNTIFS(M4_Sectores!$A$9:A133,M4_Sectores!A133,M4_Sectores!$D$9:D133,M4_Sectores!D133,M4_Sectores!$H$9:H133,M4_Sectores!H133)=1,IF(M4_Sectores!L133="","",M4_Sectores!L133),""))</f>
        <v/>
      </c>
      <c r="AD729" s="17" t="str">
        <f>IF(M4_Sectores!A133="","","EE")</f>
        <v/>
      </c>
      <c r="AE729" s="17" t="str">
        <f>IF(M4_Sectores!A133="","",IF(M4_Sectores!N133="","",M4_Sectores!N133))</f>
        <v/>
      </c>
      <c r="AF729" s="17" t="str">
        <f>IF(M4_Sectores!A133="","",IF(M4_Sectores!O133="","",M4_Sectores!O133))</f>
        <v/>
      </c>
      <c r="AG729" s="17" t="str">
        <f>IF(M4_Sectores!A133="","",IF(M4_Sectores!P133="","",M4_Sectores!P133))</f>
        <v/>
      </c>
      <c r="AH729" s="17" t="str">
        <f>IF(M4_Sectores!A133="","",IF(M4_Sectores!H133="","",M4_Sectores!H133))</f>
        <v/>
      </c>
      <c r="AI729" s="17" t="str">
        <f>IF(M4_Sectores!A133="","","M4_Sectores!133")</f>
        <v/>
      </c>
      <c r="AJ729" s="17" t="str">
        <f>IF(M4_Sectores!A133="","",IF(M4_Sectores!L133="","Pendiente de momento o resultado",IF(COUNTIFS(M4_Sectores!$A$9:A133,M4_Sectores!A133,M4_Sectores!$D$9:D133,M4_Sectores!D133,M4_Sectores!$H$9:H133,M4_Sectores!H133)=1,"Total del momento","Sector incluido en total")))</f>
        <v/>
      </c>
    </row>
    <row r="730" spans="1:36" ht="55.5" customHeight="1">
      <c r="A730" s="6" t="str">
        <f t="array" ref="A730">IF(726&gt;$S$1204,"",INDEX($T$5:$AJ$1204,MATCH(726,$S$5:$S$1204,0),1))</f>
        <v/>
      </c>
      <c r="B730" s="8" t="str">
        <f t="array" ref="B730">IF(726&gt;$S$1204,"",INDEX($T$5:$AJ$1204,MATCH(726,$S$5:$S$1204,0),2))</f>
        <v/>
      </c>
      <c r="C730" s="10" t="str">
        <f t="array" ref="C730">IF(726&gt;$S$1204,"",INDEX($T$5:$AJ$1204,MATCH(726,$S$5:$S$1204,0),3))</f>
        <v/>
      </c>
      <c r="D730" s="8" t="str">
        <f t="array" ref="D730">IF(726&gt;$S$1204,"",INDEX($T$5:$AJ$1204,MATCH(726,$S$5:$S$1204,0),4))</f>
        <v/>
      </c>
      <c r="E730" s="8" t="str">
        <f t="array" ref="E730">IF(726&gt;$S$1204,"",INDEX($T$5:$AJ$1204,MATCH(726,$S$5:$S$1204,0),5))</f>
        <v/>
      </c>
      <c r="F730" s="8" t="str">
        <f t="array" ref="F730">IF(726&gt;$S$1204,"",INDEX($T$5:$AJ$1204,MATCH(726,$S$5:$S$1204,0),6))</f>
        <v/>
      </c>
      <c r="G730" s="8" t="str">
        <f t="array" ref="G730">IF(726&gt;$S$1204,"",INDEX($T$5:$AJ$1204,MATCH(726,$S$5:$S$1204,0),7))</f>
        <v/>
      </c>
      <c r="H730" s="8" t="str">
        <f t="array" ref="H730">IF(726&gt;$S$1204,"",INDEX($T$5:$AJ$1204,MATCH(726,$S$5:$S$1204,0),8))</f>
        <v/>
      </c>
      <c r="I730" s="8" t="str">
        <f t="array" ref="I730">IF(726&gt;$S$1204,"",INDEX($T$5:$AJ$1204,MATCH(726,$S$5:$S$1204,0),9))</f>
        <v/>
      </c>
      <c r="J730" s="14" t="str">
        <f t="array" ref="J730">IF(726&gt;$S$1204,"",INDEX($T$5:$AJ$1204,MATCH(726,$S$5:$S$1204,0),10))</f>
        <v/>
      </c>
      <c r="K730" s="8" t="str">
        <f t="array" ref="K730">IF(726&gt;$S$1204,"",INDEX($T$5:$AJ$1204,MATCH(726,$S$5:$S$1204,0),11))</f>
        <v/>
      </c>
      <c r="L730" s="8" t="str">
        <f t="array" ref="L730">IF(726&gt;$S$1204,"",INDEX($T$5:$AJ$1204,MATCH(726,$S$5:$S$1204,0),12))</f>
        <v/>
      </c>
      <c r="M730" s="8" t="str">
        <f t="array" ref="M730">IF(726&gt;$S$1204,"",INDEX($T$5:$AJ$1204,MATCH(726,$S$5:$S$1204,0),13))</f>
        <v/>
      </c>
      <c r="N730" s="8" t="str">
        <f t="array" ref="N730">IF(726&gt;$S$1204,"",INDEX($T$5:$AJ$1204,MATCH(726,$S$5:$S$1204,0),14))</f>
        <v/>
      </c>
      <c r="O730" s="15" t="str">
        <f t="array" ref="O730">IF(726&gt;$S$1204,"",INDEX($T$5:$AJ$1204,MATCH(726,$S$5:$S$1204,0),15))</f>
        <v/>
      </c>
      <c r="P730" s="8" t="str">
        <f t="array" ref="P730">IF(726&gt;$S$1204,"",INDEX($T$5:$AJ$1204,MATCH(726,$S$5:$S$1204,0),16))</f>
        <v/>
      </c>
      <c r="Q730" s="8" t="str">
        <f t="array" ref="Q730">IF(726&gt;$S$1204,"",INDEX($T$5:$AJ$1204,MATCH(726,$S$5:$S$1204,0),17))</f>
        <v/>
      </c>
      <c r="R730" s="17"/>
      <c r="S730" s="17">
        <f>S729+IF(M4_Sectores!A134="",0,1)</f>
        <v>0</v>
      </c>
      <c r="T730" s="17" t="str">
        <f>IF(M4_Sectores!A134="","",IF(M4_Sectores!A134="","",M4_Sectores!A134))</f>
        <v/>
      </c>
      <c r="U730" s="17" t="str">
        <f>IF(M4_Sectores!A134="","",IF(M4_Sectores!Q134="","",M4_Sectores!Q134))</f>
        <v/>
      </c>
      <c r="V730" s="17" t="str">
        <f>IF(M4_Sectores!A134="","",IF(M4_Sectores!D134="","",M4_Sectores!D134))</f>
        <v/>
      </c>
      <c r="W730" s="17" t="str">
        <f>IF(M4_Sectores!A134="","",IF(M4_Sectores!B134="","",M4_Sectores!B134))</f>
        <v/>
      </c>
      <c r="X730" s="17" t="str">
        <f>IF(M4_Sectores!A134="","",IF(M4_Sectores!C134="","",M4_Sectores!C134))</f>
        <v/>
      </c>
      <c r="Y730" s="17" t="str">
        <f>IF(M4_Sectores!A134="","",IF(M4_Sectores!E134="","",M4_Sectores!E134))</f>
        <v/>
      </c>
      <c r="Z730" s="17" t="str">
        <f>IF(M4_Sectores!A134="","",IF(M4_Sectores!F134="","",M4_Sectores!F134))</f>
        <v/>
      </c>
      <c r="AA730" s="17" t="str">
        <f>IF(M4_Sectores!A134="","","M4 Sectores")</f>
        <v/>
      </c>
      <c r="AB730" s="17" t="str">
        <f>IF(M4_Sectores!A134="","",IF(M4_Sectores!G134="","",M4_Sectores!G134))</f>
        <v/>
      </c>
      <c r="AC730" s="17" t="str">
        <f>IF(M4_Sectores!A134="","",IF(COUNTIFS(M4_Sectores!$A$9:A134,M4_Sectores!A134,M4_Sectores!$D$9:D134,M4_Sectores!D134,M4_Sectores!$H$9:H134,M4_Sectores!H134)=1,IF(M4_Sectores!L134="","",M4_Sectores!L134),""))</f>
        <v/>
      </c>
      <c r="AD730" s="17" t="str">
        <f>IF(M4_Sectores!A134="","","EE")</f>
        <v/>
      </c>
      <c r="AE730" s="17" t="str">
        <f>IF(M4_Sectores!A134="","",IF(M4_Sectores!N134="","",M4_Sectores!N134))</f>
        <v/>
      </c>
      <c r="AF730" s="17" t="str">
        <f>IF(M4_Sectores!A134="","",IF(M4_Sectores!O134="","",M4_Sectores!O134))</f>
        <v/>
      </c>
      <c r="AG730" s="17" t="str">
        <f>IF(M4_Sectores!A134="","",IF(M4_Sectores!P134="","",M4_Sectores!P134))</f>
        <v/>
      </c>
      <c r="AH730" s="17" t="str">
        <f>IF(M4_Sectores!A134="","",IF(M4_Sectores!H134="","",M4_Sectores!H134))</f>
        <v/>
      </c>
      <c r="AI730" s="17" t="str">
        <f>IF(M4_Sectores!A134="","","M4_Sectores!134")</f>
        <v/>
      </c>
      <c r="AJ730" s="17" t="str">
        <f>IF(M4_Sectores!A134="","",IF(M4_Sectores!L134="","Pendiente de momento o resultado",IF(COUNTIFS(M4_Sectores!$A$9:A134,M4_Sectores!A134,M4_Sectores!$D$9:D134,M4_Sectores!D134,M4_Sectores!$H$9:H134,M4_Sectores!H134)=1,"Total del momento","Sector incluido en total")))</f>
        <v/>
      </c>
    </row>
    <row r="731" spans="1:36" ht="55.5" customHeight="1">
      <c r="A731" s="6" t="str">
        <f t="array" ref="A731">IF(727&gt;$S$1204,"",INDEX($T$5:$AJ$1204,MATCH(727,$S$5:$S$1204,0),1))</f>
        <v/>
      </c>
      <c r="B731" s="8" t="str">
        <f t="array" ref="B731">IF(727&gt;$S$1204,"",INDEX($T$5:$AJ$1204,MATCH(727,$S$5:$S$1204,0),2))</f>
        <v/>
      </c>
      <c r="C731" s="10" t="str">
        <f t="array" ref="C731">IF(727&gt;$S$1204,"",INDEX($T$5:$AJ$1204,MATCH(727,$S$5:$S$1204,0),3))</f>
        <v/>
      </c>
      <c r="D731" s="8" t="str">
        <f t="array" ref="D731">IF(727&gt;$S$1204,"",INDEX($T$5:$AJ$1204,MATCH(727,$S$5:$S$1204,0),4))</f>
        <v/>
      </c>
      <c r="E731" s="8" t="str">
        <f t="array" ref="E731">IF(727&gt;$S$1204,"",INDEX($T$5:$AJ$1204,MATCH(727,$S$5:$S$1204,0),5))</f>
        <v/>
      </c>
      <c r="F731" s="8" t="str">
        <f t="array" ref="F731">IF(727&gt;$S$1204,"",INDEX($T$5:$AJ$1204,MATCH(727,$S$5:$S$1204,0),6))</f>
        <v/>
      </c>
      <c r="G731" s="8" t="str">
        <f t="array" ref="G731">IF(727&gt;$S$1204,"",INDEX($T$5:$AJ$1204,MATCH(727,$S$5:$S$1204,0),7))</f>
        <v/>
      </c>
      <c r="H731" s="8" t="str">
        <f t="array" ref="H731">IF(727&gt;$S$1204,"",INDEX($T$5:$AJ$1204,MATCH(727,$S$5:$S$1204,0),8))</f>
        <v/>
      </c>
      <c r="I731" s="8" t="str">
        <f t="array" ref="I731">IF(727&gt;$S$1204,"",INDEX($T$5:$AJ$1204,MATCH(727,$S$5:$S$1204,0),9))</f>
        <v/>
      </c>
      <c r="J731" s="14" t="str">
        <f t="array" ref="J731">IF(727&gt;$S$1204,"",INDEX($T$5:$AJ$1204,MATCH(727,$S$5:$S$1204,0),10))</f>
        <v/>
      </c>
      <c r="K731" s="8" t="str">
        <f t="array" ref="K731">IF(727&gt;$S$1204,"",INDEX($T$5:$AJ$1204,MATCH(727,$S$5:$S$1204,0),11))</f>
        <v/>
      </c>
      <c r="L731" s="8" t="str">
        <f t="array" ref="L731">IF(727&gt;$S$1204,"",INDEX($T$5:$AJ$1204,MATCH(727,$S$5:$S$1204,0),12))</f>
        <v/>
      </c>
      <c r="M731" s="8" t="str">
        <f t="array" ref="M731">IF(727&gt;$S$1204,"",INDEX($T$5:$AJ$1204,MATCH(727,$S$5:$S$1204,0),13))</f>
        <v/>
      </c>
      <c r="N731" s="8" t="str">
        <f t="array" ref="N731">IF(727&gt;$S$1204,"",INDEX($T$5:$AJ$1204,MATCH(727,$S$5:$S$1204,0),14))</f>
        <v/>
      </c>
      <c r="O731" s="15" t="str">
        <f t="array" ref="O731">IF(727&gt;$S$1204,"",INDEX($T$5:$AJ$1204,MATCH(727,$S$5:$S$1204,0),15))</f>
        <v/>
      </c>
      <c r="P731" s="8" t="str">
        <f t="array" ref="P731">IF(727&gt;$S$1204,"",INDEX($T$5:$AJ$1204,MATCH(727,$S$5:$S$1204,0),16))</f>
        <v/>
      </c>
      <c r="Q731" s="8" t="str">
        <f t="array" ref="Q731">IF(727&gt;$S$1204,"",INDEX($T$5:$AJ$1204,MATCH(727,$S$5:$S$1204,0),17))</f>
        <v/>
      </c>
      <c r="R731" s="17"/>
      <c r="S731" s="17">
        <f>S730+IF(M4_Sectores!A135="",0,1)</f>
        <v>0</v>
      </c>
      <c r="T731" s="17" t="str">
        <f>IF(M4_Sectores!A135="","",IF(M4_Sectores!A135="","",M4_Sectores!A135))</f>
        <v/>
      </c>
      <c r="U731" s="17" t="str">
        <f>IF(M4_Sectores!A135="","",IF(M4_Sectores!Q135="","",M4_Sectores!Q135))</f>
        <v/>
      </c>
      <c r="V731" s="17" t="str">
        <f>IF(M4_Sectores!A135="","",IF(M4_Sectores!D135="","",M4_Sectores!D135))</f>
        <v/>
      </c>
      <c r="W731" s="17" t="str">
        <f>IF(M4_Sectores!A135="","",IF(M4_Sectores!B135="","",M4_Sectores!B135))</f>
        <v/>
      </c>
      <c r="X731" s="17" t="str">
        <f>IF(M4_Sectores!A135="","",IF(M4_Sectores!C135="","",M4_Sectores!C135))</f>
        <v/>
      </c>
      <c r="Y731" s="17" t="str">
        <f>IF(M4_Sectores!A135="","",IF(M4_Sectores!E135="","",M4_Sectores!E135))</f>
        <v/>
      </c>
      <c r="Z731" s="17" t="str">
        <f>IF(M4_Sectores!A135="","",IF(M4_Sectores!F135="","",M4_Sectores!F135))</f>
        <v/>
      </c>
      <c r="AA731" s="17" t="str">
        <f>IF(M4_Sectores!A135="","","M4 Sectores")</f>
        <v/>
      </c>
      <c r="AB731" s="17" t="str">
        <f>IF(M4_Sectores!A135="","",IF(M4_Sectores!G135="","",M4_Sectores!G135))</f>
        <v/>
      </c>
      <c r="AC731" s="17" t="str">
        <f>IF(M4_Sectores!A135="","",IF(COUNTIFS(M4_Sectores!$A$9:A135,M4_Sectores!A135,M4_Sectores!$D$9:D135,M4_Sectores!D135,M4_Sectores!$H$9:H135,M4_Sectores!H135)=1,IF(M4_Sectores!L135="","",M4_Sectores!L135),""))</f>
        <v/>
      </c>
      <c r="AD731" s="17" t="str">
        <f>IF(M4_Sectores!A135="","","EE")</f>
        <v/>
      </c>
      <c r="AE731" s="17" t="str">
        <f>IF(M4_Sectores!A135="","",IF(M4_Sectores!N135="","",M4_Sectores!N135))</f>
        <v/>
      </c>
      <c r="AF731" s="17" t="str">
        <f>IF(M4_Sectores!A135="","",IF(M4_Sectores!O135="","",M4_Sectores!O135))</f>
        <v/>
      </c>
      <c r="AG731" s="17" t="str">
        <f>IF(M4_Sectores!A135="","",IF(M4_Sectores!P135="","",M4_Sectores!P135))</f>
        <v/>
      </c>
      <c r="AH731" s="17" t="str">
        <f>IF(M4_Sectores!A135="","",IF(M4_Sectores!H135="","",M4_Sectores!H135))</f>
        <v/>
      </c>
      <c r="AI731" s="17" t="str">
        <f>IF(M4_Sectores!A135="","","M4_Sectores!135")</f>
        <v/>
      </c>
      <c r="AJ731" s="17" t="str">
        <f>IF(M4_Sectores!A135="","",IF(M4_Sectores!L135="","Pendiente de momento o resultado",IF(COUNTIFS(M4_Sectores!$A$9:A135,M4_Sectores!A135,M4_Sectores!$D$9:D135,M4_Sectores!D135,M4_Sectores!$H$9:H135,M4_Sectores!H135)=1,"Total del momento","Sector incluido en total")))</f>
        <v/>
      </c>
    </row>
    <row r="732" spans="1:36" ht="55.5" customHeight="1">
      <c r="A732" s="6" t="str">
        <f t="array" ref="A732">IF(728&gt;$S$1204,"",INDEX($T$5:$AJ$1204,MATCH(728,$S$5:$S$1204,0),1))</f>
        <v/>
      </c>
      <c r="B732" s="8" t="str">
        <f t="array" ref="B732">IF(728&gt;$S$1204,"",INDEX($T$5:$AJ$1204,MATCH(728,$S$5:$S$1204,0),2))</f>
        <v/>
      </c>
      <c r="C732" s="10" t="str">
        <f t="array" ref="C732">IF(728&gt;$S$1204,"",INDEX($T$5:$AJ$1204,MATCH(728,$S$5:$S$1204,0),3))</f>
        <v/>
      </c>
      <c r="D732" s="8" t="str">
        <f t="array" ref="D732">IF(728&gt;$S$1204,"",INDEX($T$5:$AJ$1204,MATCH(728,$S$5:$S$1204,0),4))</f>
        <v/>
      </c>
      <c r="E732" s="8" t="str">
        <f t="array" ref="E732">IF(728&gt;$S$1204,"",INDEX($T$5:$AJ$1204,MATCH(728,$S$5:$S$1204,0),5))</f>
        <v/>
      </c>
      <c r="F732" s="8" t="str">
        <f t="array" ref="F732">IF(728&gt;$S$1204,"",INDEX($T$5:$AJ$1204,MATCH(728,$S$5:$S$1204,0),6))</f>
        <v/>
      </c>
      <c r="G732" s="8" t="str">
        <f t="array" ref="G732">IF(728&gt;$S$1204,"",INDEX($T$5:$AJ$1204,MATCH(728,$S$5:$S$1204,0),7))</f>
        <v/>
      </c>
      <c r="H732" s="8" t="str">
        <f t="array" ref="H732">IF(728&gt;$S$1204,"",INDEX($T$5:$AJ$1204,MATCH(728,$S$5:$S$1204,0),8))</f>
        <v/>
      </c>
      <c r="I732" s="8" t="str">
        <f t="array" ref="I732">IF(728&gt;$S$1204,"",INDEX($T$5:$AJ$1204,MATCH(728,$S$5:$S$1204,0),9))</f>
        <v/>
      </c>
      <c r="J732" s="14" t="str">
        <f t="array" ref="J732">IF(728&gt;$S$1204,"",INDEX($T$5:$AJ$1204,MATCH(728,$S$5:$S$1204,0),10))</f>
        <v/>
      </c>
      <c r="K732" s="8" t="str">
        <f t="array" ref="K732">IF(728&gt;$S$1204,"",INDEX($T$5:$AJ$1204,MATCH(728,$S$5:$S$1204,0),11))</f>
        <v/>
      </c>
      <c r="L732" s="8" t="str">
        <f t="array" ref="L732">IF(728&gt;$S$1204,"",INDEX($T$5:$AJ$1204,MATCH(728,$S$5:$S$1204,0),12))</f>
        <v/>
      </c>
      <c r="M732" s="8" t="str">
        <f t="array" ref="M732">IF(728&gt;$S$1204,"",INDEX($T$5:$AJ$1204,MATCH(728,$S$5:$S$1204,0),13))</f>
        <v/>
      </c>
      <c r="N732" s="8" t="str">
        <f t="array" ref="N732">IF(728&gt;$S$1204,"",INDEX($T$5:$AJ$1204,MATCH(728,$S$5:$S$1204,0),14))</f>
        <v/>
      </c>
      <c r="O732" s="15" t="str">
        <f t="array" ref="O732">IF(728&gt;$S$1204,"",INDEX($T$5:$AJ$1204,MATCH(728,$S$5:$S$1204,0),15))</f>
        <v/>
      </c>
      <c r="P732" s="8" t="str">
        <f t="array" ref="P732">IF(728&gt;$S$1204,"",INDEX($T$5:$AJ$1204,MATCH(728,$S$5:$S$1204,0),16))</f>
        <v/>
      </c>
      <c r="Q732" s="8" t="str">
        <f t="array" ref="Q732">IF(728&gt;$S$1204,"",INDEX($T$5:$AJ$1204,MATCH(728,$S$5:$S$1204,0),17))</f>
        <v/>
      </c>
      <c r="R732" s="17"/>
      <c r="S732" s="17">
        <f>S731+IF(M4_Sectores!A136="",0,1)</f>
        <v>0</v>
      </c>
      <c r="T732" s="17" t="str">
        <f>IF(M4_Sectores!A136="","",IF(M4_Sectores!A136="","",M4_Sectores!A136))</f>
        <v/>
      </c>
      <c r="U732" s="17" t="str">
        <f>IF(M4_Sectores!A136="","",IF(M4_Sectores!Q136="","",M4_Sectores!Q136))</f>
        <v/>
      </c>
      <c r="V732" s="17" t="str">
        <f>IF(M4_Sectores!A136="","",IF(M4_Sectores!D136="","",M4_Sectores!D136))</f>
        <v/>
      </c>
      <c r="W732" s="17" t="str">
        <f>IF(M4_Sectores!A136="","",IF(M4_Sectores!B136="","",M4_Sectores!B136))</f>
        <v/>
      </c>
      <c r="X732" s="17" t="str">
        <f>IF(M4_Sectores!A136="","",IF(M4_Sectores!C136="","",M4_Sectores!C136))</f>
        <v/>
      </c>
      <c r="Y732" s="17" t="str">
        <f>IF(M4_Sectores!A136="","",IF(M4_Sectores!E136="","",M4_Sectores!E136))</f>
        <v/>
      </c>
      <c r="Z732" s="17" t="str">
        <f>IF(M4_Sectores!A136="","",IF(M4_Sectores!F136="","",M4_Sectores!F136))</f>
        <v/>
      </c>
      <c r="AA732" s="17" t="str">
        <f>IF(M4_Sectores!A136="","","M4 Sectores")</f>
        <v/>
      </c>
      <c r="AB732" s="17" t="str">
        <f>IF(M4_Sectores!A136="","",IF(M4_Sectores!G136="","",M4_Sectores!G136))</f>
        <v/>
      </c>
      <c r="AC732" s="17" t="str">
        <f>IF(M4_Sectores!A136="","",IF(COUNTIFS(M4_Sectores!$A$9:A136,M4_Sectores!A136,M4_Sectores!$D$9:D136,M4_Sectores!D136,M4_Sectores!$H$9:H136,M4_Sectores!H136)=1,IF(M4_Sectores!L136="","",M4_Sectores!L136),""))</f>
        <v/>
      </c>
      <c r="AD732" s="17" t="str">
        <f>IF(M4_Sectores!A136="","","EE")</f>
        <v/>
      </c>
      <c r="AE732" s="17" t="str">
        <f>IF(M4_Sectores!A136="","",IF(M4_Sectores!N136="","",M4_Sectores!N136))</f>
        <v/>
      </c>
      <c r="AF732" s="17" t="str">
        <f>IF(M4_Sectores!A136="","",IF(M4_Sectores!O136="","",M4_Sectores!O136))</f>
        <v/>
      </c>
      <c r="AG732" s="17" t="str">
        <f>IF(M4_Sectores!A136="","",IF(M4_Sectores!P136="","",M4_Sectores!P136))</f>
        <v/>
      </c>
      <c r="AH732" s="17" t="str">
        <f>IF(M4_Sectores!A136="","",IF(M4_Sectores!H136="","",M4_Sectores!H136))</f>
        <v/>
      </c>
      <c r="AI732" s="17" t="str">
        <f>IF(M4_Sectores!A136="","","M4_Sectores!136")</f>
        <v/>
      </c>
      <c r="AJ732" s="17" t="str">
        <f>IF(M4_Sectores!A136="","",IF(M4_Sectores!L136="","Pendiente de momento o resultado",IF(COUNTIFS(M4_Sectores!$A$9:A136,M4_Sectores!A136,M4_Sectores!$D$9:D136,M4_Sectores!D136,M4_Sectores!$H$9:H136,M4_Sectores!H136)=1,"Total del momento","Sector incluido en total")))</f>
        <v/>
      </c>
    </row>
    <row r="733" spans="1:36" ht="55.5" customHeight="1">
      <c r="A733" s="6" t="str">
        <f t="array" ref="A733">IF(729&gt;$S$1204,"",INDEX($T$5:$AJ$1204,MATCH(729,$S$5:$S$1204,0),1))</f>
        <v/>
      </c>
      <c r="B733" s="8" t="str">
        <f t="array" ref="B733">IF(729&gt;$S$1204,"",INDEX($T$5:$AJ$1204,MATCH(729,$S$5:$S$1204,0),2))</f>
        <v/>
      </c>
      <c r="C733" s="10" t="str">
        <f t="array" ref="C733">IF(729&gt;$S$1204,"",INDEX($T$5:$AJ$1204,MATCH(729,$S$5:$S$1204,0),3))</f>
        <v/>
      </c>
      <c r="D733" s="8" t="str">
        <f t="array" ref="D733">IF(729&gt;$S$1204,"",INDEX($T$5:$AJ$1204,MATCH(729,$S$5:$S$1204,0),4))</f>
        <v/>
      </c>
      <c r="E733" s="8" t="str">
        <f t="array" ref="E733">IF(729&gt;$S$1204,"",INDEX($T$5:$AJ$1204,MATCH(729,$S$5:$S$1204,0),5))</f>
        <v/>
      </c>
      <c r="F733" s="8" t="str">
        <f t="array" ref="F733">IF(729&gt;$S$1204,"",INDEX($T$5:$AJ$1204,MATCH(729,$S$5:$S$1204,0),6))</f>
        <v/>
      </c>
      <c r="G733" s="8" t="str">
        <f t="array" ref="G733">IF(729&gt;$S$1204,"",INDEX($T$5:$AJ$1204,MATCH(729,$S$5:$S$1204,0),7))</f>
        <v/>
      </c>
      <c r="H733" s="8" t="str">
        <f t="array" ref="H733">IF(729&gt;$S$1204,"",INDEX($T$5:$AJ$1204,MATCH(729,$S$5:$S$1204,0),8))</f>
        <v/>
      </c>
      <c r="I733" s="8" t="str">
        <f t="array" ref="I733">IF(729&gt;$S$1204,"",INDEX($T$5:$AJ$1204,MATCH(729,$S$5:$S$1204,0),9))</f>
        <v/>
      </c>
      <c r="J733" s="14" t="str">
        <f t="array" ref="J733">IF(729&gt;$S$1204,"",INDEX($T$5:$AJ$1204,MATCH(729,$S$5:$S$1204,0),10))</f>
        <v/>
      </c>
      <c r="K733" s="8" t="str">
        <f t="array" ref="K733">IF(729&gt;$S$1204,"",INDEX($T$5:$AJ$1204,MATCH(729,$S$5:$S$1204,0),11))</f>
        <v/>
      </c>
      <c r="L733" s="8" t="str">
        <f t="array" ref="L733">IF(729&gt;$S$1204,"",INDEX($T$5:$AJ$1204,MATCH(729,$S$5:$S$1204,0),12))</f>
        <v/>
      </c>
      <c r="M733" s="8" t="str">
        <f t="array" ref="M733">IF(729&gt;$S$1204,"",INDEX($T$5:$AJ$1204,MATCH(729,$S$5:$S$1204,0),13))</f>
        <v/>
      </c>
      <c r="N733" s="8" t="str">
        <f t="array" ref="N733">IF(729&gt;$S$1204,"",INDEX($T$5:$AJ$1204,MATCH(729,$S$5:$S$1204,0),14))</f>
        <v/>
      </c>
      <c r="O733" s="15" t="str">
        <f t="array" ref="O733">IF(729&gt;$S$1204,"",INDEX($T$5:$AJ$1204,MATCH(729,$S$5:$S$1204,0),15))</f>
        <v/>
      </c>
      <c r="P733" s="8" t="str">
        <f t="array" ref="P733">IF(729&gt;$S$1204,"",INDEX($T$5:$AJ$1204,MATCH(729,$S$5:$S$1204,0),16))</f>
        <v/>
      </c>
      <c r="Q733" s="8" t="str">
        <f t="array" ref="Q733">IF(729&gt;$S$1204,"",INDEX($T$5:$AJ$1204,MATCH(729,$S$5:$S$1204,0),17))</f>
        <v/>
      </c>
      <c r="R733" s="17"/>
      <c r="S733" s="17">
        <f>S732+IF(M4_Sectores!A137="",0,1)</f>
        <v>0</v>
      </c>
      <c r="T733" s="17" t="str">
        <f>IF(M4_Sectores!A137="","",IF(M4_Sectores!A137="","",M4_Sectores!A137))</f>
        <v/>
      </c>
      <c r="U733" s="17" t="str">
        <f>IF(M4_Sectores!A137="","",IF(M4_Sectores!Q137="","",M4_Sectores!Q137))</f>
        <v/>
      </c>
      <c r="V733" s="17" t="str">
        <f>IF(M4_Sectores!A137="","",IF(M4_Sectores!D137="","",M4_Sectores!D137))</f>
        <v/>
      </c>
      <c r="W733" s="17" t="str">
        <f>IF(M4_Sectores!A137="","",IF(M4_Sectores!B137="","",M4_Sectores!B137))</f>
        <v/>
      </c>
      <c r="X733" s="17" t="str">
        <f>IF(M4_Sectores!A137="","",IF(M4_Sectores!C137="","",M4_Sectores!C137))</f>
        <v/>
      </c>
      <c r="Y733" s="17" t="str">
        <f>IF(M4_Sectores!A137="","",IF(M4_Sectores!E137="","",M4_Sectores!E137))</f>
        <v/>
      </c>
      <c r="Z733" s="17" t="str">
        <f>IF(M4_Sectores!A137="","",IF(M4_Sectores!F137="","",M4_Sectores!F137))</f>
        <v/>
      </c>
      <c r="AA733" s="17" t="str">
        <f>IF(M4_Sectores!A137="","","M4 Sectores")</f>
        <v/>
      </c>
      <c r="AB733" s="17" t="str">
        <f>IF(M4_Sectores!A137="","",IF(M4_Sectores!G137="","",M4_Sectores!G137))</f>
        <v/>
      </c>
      <c r="AC733" s="17" t="str">
        <f>IF(M4_Sectores!A137="","",IF(COUNTIFS(M4_Sectores!$A$9:A137,M4_Sectores!A137,M4_Sectores!$D$9:D137,M4_Sectores!D137,M4_Sectores!$H$9:H137,M4_Sectores!H137)=1,IF(M4_Sectores!L137="","",M4_Sectores!L137),""))</f>
        <v/>
      </c>
      <c r="AD733" s="17" t="str">
        <f>IF(M4_Sectores!A137="","","EE")</f>
        <v/>
      </c>
      <c r="AE733" s="17" t="str">
        <f>IF(M4_Sectores!A137="","",IF(M4_Sectores!N137="","",M4_Sectores!N137))</f>
        <v/>
      </c>
      <c r="AF733" s="17" t="str">
        <f>IF(M4_Sectores!A137="","",IF(M4_Sectores!O137="","",M4_Sectores!O137))</f>
        <v/>
      </c>
      <c r="AG733" s="17" t="str">
        <f>IF(M4_Sectores!A137="","",IF(M4_Sectores!P137="","",M4_Sectores!P137))</f>
        <v/>
      </c>
      <c r="AH733" s="17" t="str">
        <f>IF(M4_Sectores!A137="","",IF(M4_Sectores!H137="","",M4_Sectores!H137))</f>
        <v/>
      </c>
      <c r="AI733" s="17" t="str">
        <f>IF(M4_Sectores!A137="","","M4_Sectores!137")</f>
        <v/>
      </c>
      <c r="AJ733" s="17" t="str">
        <f>IF(M4_Sectores!A137="","",IF(M4_Sectores!L137="","Pendiente de momento o resultado",IF(COUNTIFS(M4_Sectores!$A$9:A137,M4_Sectores!A137,M4_Sectores!$D$9:D137,M4_Sectores!D137,M4_Sectores!$H$9:H137,M4_Sectores!H137)=1,"Total del momento","Sector incluido en total")))</f>
        <v/>
      </c>
    </row>
    <row r="734" spans="1:36" ht="55.5" customHeight="1">
      <c r="A734" s="6" t="str">
        <f t="array" ref="A734">IF(730&gt;$S$1204,"",INDEX($T$5:$AJ$1204,MATCH(730,$S$5:$S$1204,0),1))</f>
        <v/>
      </c>
      <c r="B734" s="8" t="str">
        <f t="array" ref="B734">IF(730&gt;$S$1204,"",INDEX($T$5:$AJ$1204,MATCH(730,$S$5:$S$1204,0),2))</f>
        <v/>
      </c>
      <c r="C734" s="10" t="str">
        <f t="array" ref="C734">IF(730&gt;$S$1204,"",INDEX($T$5:$AJ$1204,MATCH(730,$S$5:$S$1204,0),3))</f>
        <v/>
      </c>
      <c r="D734" s="8" t="str">
        <f t="array" ref="D734">IF(730&gt;$S$1204,"",INDEX($T$5:$AJ$1204,MATCH(730,$S$5:$S$1204,0),4))</f>
        <v/>
      </c>
      <c r="E734" s="8" t="str">
        <f t="array" ref="E734">IF(730&gt;$S$1204,"",INDEX($T$5:$AJ$1204,MATCH(730,$S$5:$S$1204,0),5))</f>
        <v/>
      </c>
      <c r="F734" s="8" t="str">
        <f t="array" ref="F734">IF(730&gt;$S$1204,"",INDEX($T$5:$AJ$1204,MATCH(730,$S$5:$S$1204,0),6))</f>
        <v/>
      </c>
      <c r="G734" s="8" t="str">
        <f t="array" ref="G734">IF(730&gt;$S$1204,"",INDEX($T$5:$AJ$1204,MATCH(730,$S$5:$S$1204,0),7))</f>
        <v/>
      </c>
      <c r="H734" s="8" t="str">
        <f t="array" ref="H734">IF(730&gt;$S$1204,"",INDEX($T$5:$AJ$1204,MATCH(730,$S$5:$S$1204,0),8))</f>
        <v/>
      </c>
      <c r="I734" s="8" t="str">
        <f t="array" ref="I734">IF(730&gt;$S$1204,"",INDEX($T$5:$AJ$1204,MATCH(730,$S$5:$S$1204,0),9))</f>
        <v/>
      </c>
      <c r="J734" s="14" t="str">
        <f t="array" ref="J734">IF(730&gt;$S$1204,"",INDEX($T$5:$AJ$1204,MATCH(730,$S$5:$S$1204,0),10))</f>
        <v/>
      </c>
      <c r="K734" s="8" t="str">
        <f t="array" ref="K734">IF(730&gt;$S$1204,"",INDEX($T$5:$AJ$1204,MATCH(730,$S$5:$S$1204,0),11))</f>
        <v/>
      </c>
      <c r="L734" s="8" t="str">
        <f t="array" ref="L734">IF(730&gt;$S$1204,"",INDEX($T$5:$AJ$1204,MATCH(730,$S$5:$S$1204,0),12))</f>
        <v/>
      </c>
      <c r="M734" s="8" t="str">
        <f t="array" ref="M734">IF(730&gt;$S$1204,"",INDEX($T$5:$AJ$1204,MATCH(730,$S$5:$S$1204,0),13))</f>
        <v/>
      </c>
      <c r="N734" s="8" t="str">
        <f t="array" ref="N734">IF(730&gt;$S$1204,"",INDEX($T$5:$AJ$1204,MATCH(730,$S$5:$S$1204,0),14))</f>
        <v/>
      </c>
      <c r="O734" s="15" t="str">
        <f t="array" ref="O734">IF(730&gt;$S$1204,"",INDEX($T$5:$AJ$1204,MATCH(730,$S$5:$S$1204,0),15))</f>
        <v/>
      </c>
      <c r="P734" s="8" t="str">
        <f t="array" ref="P734">IF(730&gt;$S$1204,"",INDEX($T$5:$AJ$1204,MATCH(730,$S$5:$S$1204,0),16))</f>
        <v/>
      </c>
      <c r="Q734" s="8" t="str">
        <f t="array" ref="Q734">IF(730&gt;$S$1204,"",INDEX($T$5:$AJ$1204,MATCH(730,$S$5:$S$1204,0),17))</f>
        <v/>
      </c>
      <c r="R734" s="17"/>
      <c r="S734" s="17">
        <f>S733+IF(M4_Sectores!A138="",0,1)</f>
        <v>0</v>
      </c>
      <c r="T734" s="17" t="str">
        <f>IF(M4_Sectores!A138="","",IF(M4_Sectores!A138="","",M4_Sectores!A138))</f>
        <v/>
      </c>
      <c r="U734" s="17" t="str">
        <f>IF(M4_Sectores!A138="","",IF(M4_Sectores!Q138="","",M4_Sectores!Q138))</f>
        <v/>
      </c>
      <c r="V734" s="17" t="str">
        <f>IF(M4_Sectores!A138="","",IF(M4_Sectores!D138="","",M4_Sectores!D138))</f>
        <v/>
      </c>
      <c r="W734" s="17" t="str">
        <f>IF(M4_Sectores!A138="","",IF(M4_Sectores!B138="","",M4_Sectores!B138))</f>
        <v/>
      </c>
      <c r="X734" s="17" t="str">
        <f>IF(M4_Sectores!A138="","",IF(M4_Sectores!C138="","",M4_Sectores!C138))</f>
        <v/>
      </c>
      <c r="Y734" s="17" t="str">
        <f>IF(M4_Sectores!A138="","",IF(M4_Sectores!E138="","",M4_Sectores!E138))</f>
        <v/>
      </c>
      <c r="Z734" s="17" t="str">
        <f>IF(M4_Sectores!A138="","",IF(M4_Sectores!F138="","",M4_Sectores!F138))</f>
        <v/>
      </c>
      <c r="AA734" s="17" t="str">
        <f>IF(M4_Sectores!A138="","","M4 Sectores")</f>
        <v/>
      </c>
      <c r="AB734" s="17" t="str">
        <f>IF(M4_Sectores!A138="","",IF(M4_Sectores!G138="","",M4_Sectores!G138))</f>
        <v/>
      </c>
      <c r="AC734" s="17" t="str">
        <f>IF(M4_Sectores!A138="","",IF(COUNTIFS(M4_Sectores!$A$9:A138,M4_Sectores!A138,M4_Sectores!$D$9:D138,M4_Sectores!D138,M4_Sectores!$H$9:H138,M4_Sectores!H138)=1,IF(M4_Sectores!L138="","",M4_Sectores!L138),""))</f>
        <v/>
      </c>
      <c r="AD734" s="17" t="str">
        <f>IF(M4_Sectores!A138="","","EE")</f>
        <v/>
      </c>
      <c r="AE734" s="17" t="str">
        <f>IF(M4_Sectores!A138="","",IF(M4_Sectores!N138="","",M4_Sectores!N138))</f>
        <v/>
      </c>
      <c r="AF734" s="17" t="str">
        <f>IF(M4_Sectores!A138="","",IF(M4_Sectores!O138="","",M4_Sectores!O138))</f>
        <v/>
      </c>
      <c r="AG734" s="17" t="str">
        <f>IF(M4_Sectores!A138="","",IF(M4_Sectores!P138="","",M4_Sectores!P138))</f>
        <v/>
      </c>
      <c r="AH734" s="17" t="str">
        <f>IF(M4_Sectores!A138="","",IF(M4_Sectores!H138="","",M4_Sectores!H138))</f>
        <v/>
      </c>
      <c r="AI734" s="17" t="str">
        <f>IF(M4_Sectores!A138="","","M4_Sectores!138")</f>
        <v/>
      </c>
      <c r="AJ734" s="17" t="str">
        <f>IF(M4_Sectores!A138="","",IF(M4_Sectores!L138="","Pendiente de momento o resultado",IF(COUNTIFS(M4_Sectores!$A$9:A138,M4_Sectores!A138,M4_Sectores!$D$9:D138,M4_Sectores!D138,M4_Sectores!$H$9:H138,M4_Sectores!H138)=1,"Total del momento","Sector incluido en total")))</f>
        <v/>
      </c>
    </row>
    <row r="735" spans="1:36" ht="55.5" customHeight="1">
      <c r="A735" s="6" t="str">
        <f t="array" ref="A735">IF(731&gt;$S$1204,"",INDEX($T$5:$AJ$1204,MATCH(731,$S$5:$S$1204,0),1))</f>
        <v/>
      </c>
      <c r="B735" s="8" t="str">
        <f t="array" ref="B735">IF(731&gt;$S$1204,"",INDEX($T$5:$AJ$1204,MATCH(731,$S$5:$S$1204,0),2))</f>
        <v/>
      </c>
      <c r="C735" s="10" t="str">
        <f t="array" ref="C735">IF(731&gt;$S$1204,"",INDEX($T$5:$AJ$1204,MATCH(731,$S$5:$S$1204,0),3))</f>
        <v/>
      </c>
      <c r="D735" s="8" t="str">
        <f t="array" ref="D735">IF(731&gt;$S$1204,"",INDEX($T$5:$AJ$1204,MATCH(731,$S$5:$S$1204,0),4))</f>
        <v/>
      </c>
      <c r="E735" s="8" t="str">
        <f t="array" ref="E735">IF(731&gt;$S$1204,"",INDEX($T$5:$AJ$1204,MATCH(731,$S$5:$S$1204,0),5))</f>
        <v/>
      </c>
      <c r="F735" s="8" t="str">
        <f t="array" ref="F735">IF(731&gt;$S$1204,"",INDEX($T$5:$AJ$1204,MATCH(731,$S$5:$S$1204,0),6))</f>
        <v/>
      </c>
      <c r="G735" s="8" t="str">
        <f t="array" ref="G735">IF(731&gt;$S$1204,"",INDEX($T$5:$AJ$1204,MATCH(731,$S$5:$S$1204,0),7))</f>
        <v/>
      </c>
      <c r="H735" s="8" t="str">
        <f t="array" ref="H735">IF(731&gt;$S$1204,"",INDEX($T$5:$AJ$1204,MATCH(731,$S$5:$S$1204,0),8))</f>
        <v/>
      </c>
      <c r="I735" s="8" t="str">
        <f t="array" ref="I735">IF(731&gt;$S$1204,"",INDEX($T$5:$AJ$1204,MATCH(731,$S$5:$S$1204,0),9))</f>
        <v/>
      </c>
      <c r="J735" s="14" t="str">
        <f t="array" ref="J735">IF(731&gt;$S$1204,"",INDEX($T$5:$AJ$1204,MATCH(731,$S$5:$S$1204,0),10))</f>
        <v/>
      </c>
      <c r="K735" s="8" t="str">
        <f t="array" ref="K735">IF(731&gt;$S$1204,"",INDEX($T$5:$AJ$1204,MATCH(731,$S$5:$S$1204,0),11))</f>
        <v/>
      </c>
      <c r="L735" s="8" t="str">
        <f t="array" ref="L735">IF(731&gt;$S$1204,"",INDEX($T$5:$AJ$1204,MATCH(731,$S$5:$S$1204,0),12))</f>
        <v/>
      </c>
      <c r="M735" s="8" t="str">
        <f t="array" ref="M735">IF(731&gt;$S$1204,"",INDEX($T$5:$AJ$1204,MATCH(731,$S$5:$S$1204,0),13))</f>
        <v/>
      </c>
      <c r="N735" s="8" t="str">
        <f t="array" ref="N735">IF(731&gt;$S$1204,"",INDEX($T$5:$AJ$1204,MATCH(731,$S$5:$S$1204,0),14))</f>
        <v/>
      </c>
      <c r="O735" s="15" t="str">
        <f t="array" ref="O735">IF(731&gt;$S$1204,"",INDEX($T$5:$AJ$1204,MATCH(731,$S$5:$S$1204,0),15))</f>
        <v/>
      </c>
      <c r="P735" s="8" t="str">
        <f t="array" ref="P735">IF(731&gt;$S$1204,"",INDEX($T$5:$AJ$1204,MATCH(731,$S$5:$S$1204,0),16))</f>
        <v/>
      </c>
      <c r="Q735" s="8" t="str">
        <f t="array" ref="Q735">IF(731&gt;$S$1204,"",INDEX($T$5:$AJ$1204,MATCH(731,$S$5:$S$1204,0),17))</f>
        <v/>
      </c>
      <c r="R735" s="17"/>
      <c r="S735" s="17">
        <f>S734+IF(M4_Sectores!A139="",0,1)</f>
        <v>0</v>
      </c>
      <c r="T735" s="17" t="str">
        <f>IF(M4_Sectores!A139="","",IF(M4_Sectores!A139="","",M4_Sectores!A139))</f>
        <v/>
      </c>
      <c r="U735" s="17" t="str">
        <f>IF(M4_Sectores!A139="","",IF(M4_Sectores!Q139="","",M4_Sectores!Q139))</f>
        <v/>
      </c>
      <c r="V735" s="17" t="str">
        <f>IF(M4_Sectores!A139="","",IF(M4_Sectores!D139="","",M4_Sectores!D139))</f>
        <v/>
      </c>
      <c r="W735" s="17" t="str">
        <f>IF(M4_Sectores!A139="","",IF(M4_Sectores!B139="","",M4_Sectores!B139))</f>
        <v/>
      </c>
      <c r="X735" s="17" t="str">
        <f>IF(M4_Sectores!A139="","",IF(M4_Sectores!C139="","",M4_Sectores!C139))</f>
        <v/>
      </c>
      <c r="Y735" s="17" t="str">
        <f>IF(M4_Sectores!A139="","",IF(M4_Sectores!E139="","",M4_Sectores!E139))</f>
        <v/>
      </c>
      <c r="Z735" s="17" t="str">
        <f>IF(M4_Sectores!A139="","",IF(M4_Sectores!F139="","",M4_Sectores!F139))</f>
        <v/>
      </c>
      <c r="AA735" s="17" t="str">
        <f>IF(M4_Sectores!A139="","","M4 Sectores")</f>
        <v/>
      </c>
      <c r="AB735" s="17" t="str">
        <f>IF(M4_Sectores!A139="","",IF(M4_Sectores!G139="","",M4_Sectores!G139))</f>
        <v/>
      </c>
      <c r="AC735" s="17" t="str">
        <f>IF(M4_Sectores!A139="","",IF(COUNTIFS(M4_Sectores!$A$9:A139,M4_Sectores!A139,M4_Sectores!$D$9:D139,M4_Sectores!D139,M4_Sectores!$H$9:H139,M4_Sectores!H139)=1,IF(M4_Sectores!L139="","",M4_Sectores!L139),""))</f>
        <v/>
      </c>
      <c r="AD735" s="17" t="str">
        <f>IF(M4_Sectores!A139="","","EE")</f>
        <v/>
      </c>
      <c r="AE735" s="17" t="str">
        <f>IF(M4_Sectores!A139="","",IF(M4_Sectores!N139="","",M4_Sectores!N139))</f>
        <v/>
      </c>
      <c r="AF735" s="17" t="str">
        <f>IF(M4_Sectores!A139="","",IF(M4_Sectores!O139="","",M4_Sectores!O139))</f>
        <v/>
      </c>
      <c r="AG735" s="17" t="str">
        <f>IF(M4_Sectores!A139="","",IF(M4_Sectores!P139="","",M4_Sectores!P139))</f>
        <v/>
      </c>
      <c r="AH735" s="17" t="str">
        <f>IF(M4_Sectores!A139="","",IF(M4_Sectores!H139="","",M4_Sectores!H139))</f>
        <v/>
      </c>
      <c r="AI735" s="17" t="str">
        <f>IF(M4_Sectores!A139="","","M4_Sectores!139")</f>
        <v/>
      </c>
      <c r="AJ735" s="17" t="str">
        <f>IF(M4_Sectores!A139="","",IF(M4_Sectores!L139="","Pendiente de momento o resultado",IF(COUNTIFS(M4_Sectores!$A$9:A139,M4_Sectores!A139,M4_Sectores!$D$9:D139,M4_Sectores!D139,M4_Sectores!$H$9:H139,M4_Sectores!H139)=1,"Total del momento","Sector incluido en total")))</f>
        <v/>
      </c>
    </row>
    <row r="736" spans="1:36" ht="55.5" customHeight="1">
      <c r="A736" s="6" t="str">
        <f t="array" ref="A736">IF(732&gt;$S$1204,"",INDEX($T$5:$AJ$1204,MATCH(732,$S$5:$S$1204,0),1))</f>
        <v/>
      </c>
      <c r="B736" s="8" t="str">
        <f t="array" ref="B736">IF(732&gt;$S$1204,"",INDEX($T$5:$AJ$1204,MATCH(732,$S$5:$S$1204,0),2))</f>
        <v/>
      </c>
      <c r="C736" s="10" t="str">
        <f t="array" ref="C736">IF(732&gt;$S$1204,"",INDEX($T$5:$AJ$1204,MATCH(732,$S$5:$S$1204,0),3))</f>
        <v/>
      </c>
      <c r="D736" s="8" t="str">
        <f t="array" ref="D736">IF(732&gt;$S$1204,"",INDEX($T$5:$AJ$1204,MATCH(732,$S$5:$S$1204,0),4))</f>
        <v/>
      </c>
      <c r="E736" s="8" t="str">
        <f t="array" ref="E736">IF(732&gt;$S$1204,"",INDEX($T$5:$AJ$1204,MATCH(732,$S$5:$S$1204,0),5))</f>
        <v/>
      </c>
      <c r="F736" s="8" t="str">
        <f t="array" ref="F736">IF(732&gt;$S$1204,"",INDEX($T$5:$AJ$1204,MATCH(732,$S$5:$S$1204,0),6))</f>
        <v/>
      </c>
      <c r="G736" s="8" t="str">
        <f t="array" ref="G736">IF(732&gt;$S$1204,"",INDEX($T$5:$AJ$1204,MATCH(732,$S$5:$S$1204,0),7))</f>
        <v/>
      </c>
      <c r="H736" s="8" t="str">
        <f t="array" ref="H736">IF(732&gt;$S$1204,"",INDEX($T$5:$AJ$1204,MATCH(732,$S$5:$S$1204,0),8))</f>
        <v/>
      </c>
      <c r="I736" s="8" t="str">
        <f t="array" ref="I736">IF(732&gt;$S$1204,"",INDEX($T$5:$AJ$1204,MATCH(732,$S$5:$S$1204,0),9))</f>
        <v/>
      </c>
      <c r="J736" s="14" t="str">
        <f t="array" ref="J736">IF(732&gt;$S$1204,"",INDEX($T$5:$AJ$1204,MATCH(732,$S$5:$S$1204,0),10))</f>
        <v/>
      </c>
      <c r="K736" s="8" t="str">
        <f t="array" ref="K736">IF(732&gt;$S$1204,"",INDEX($T$5:$AJ$1204,MATCH(732,$S$5:$S$1204,0),11))</f>
        <v/>
      </c>
      <c r="L736" s="8" t="str">
        <f t="array" ref="L736">IF(732&gt;$S$1204,"",INDEX($T$5:$AJ$1204,MATCH(732,$S$5:$S$1204,0),12))</f>
        <v/>
      </c>
      <c r="M736" s="8" t="str">
        <f t="array" ref="M736">IF(732&gt;$S$1204,"",INDEX($T$5:$AJ$1204,MATCH(732,$S$5:$S$1204,0),13))</f>
        <v/>
      </c>
      <c r="N736" s="8" t="str">
        <f t="array" ref="N736">IF(732&gt;$S$1204,"",INDEX($T$5:$AJ$1204,MATCH(732,$S$5:$S$1204,0),14))</f>
        <v/>
      </c>
      <c r="O736" s="15" t="str">
        <f t="array" ref="O736">IF(732&gt;$S$1204,"",INDEX($T$5:$AJ$1204,MATCH(732,$S$5:$S$1204,0),15))</f>
        <v/>
      </c>
      <c r="P736" s="8" t="str">
        <f t="array" ref="P736">IF(732&gt;$S$1204,"",INDEX($T$5:$AJ$1204,MATCH(732,$S$5:$S$1204,0),16))</f>
        <v/>
      </c>
      <c r="Q736" s="8" t="str">
        <f t="array" ref="Q736">IF(732&gt;$S$1204,"",INDEX($T$5:$AJ$1204,MATCH(732,$S$5:$S$1204,0),17))</f>
        <v/>
      </c>
      <c r="R736" s="17"/>
      <c r="S736" s="17">
        <f>S735+IF(M4_Sectores!A140="",0,1)</f>
        <v>0</v>
      </c>
      <c r="T736" s="17" t="str">
        <f>IF(M4_Sectores!A140="","",IF(M4_Sectores!A140="","",M4_Sectores!A140))</f>
        <v/>
      </c>
      <c r="U736" s="17" t="str">
        <f>IF(M4_Sectores!A140="","",IF(M4_Sectores!Q140="","",M4_Sectores!Q140))</f>
        <v/>
      </c>
      <c r="V736" s="17" t="str">
        <f>IF(M4_Sectores!A140="","",IF(M4_Sectores!D140="","",M4_Sectores!D140))</f>
        <v/>
      </c>
      <c r="W736" s="17" t="str">
        <f>IF(M4_Sectores!A140="","",IF(M4_Sectores!B140="","",M4_Sectores!B140))</f>
        <v/>
      </c>
      <c r="X736" s="17" t="str">
        <f>IF(M4_Sectores!A140="","",IF(M4_Sectores!C140="","",M4_Sectores!C140))</f>
        <v/>
      </c>
      <c r="Y736" s="17" t="str">
        <f>IF(M4_Sectores!A140="","",IF(M4_Sectores!E140="","",M4_Sectores!E140))</f>
        <v/>
      </c>
      <c r="Z736" s="17" t="str">
        <f>IF(M4_Sectores!A140="","",IF(M4_Sectores!F140="","",M4_Sectores!F140))</f>
        <v/>
      </c>
      <c r="AA736" s="17" t="str">
        <f>IF(M4_Sectores!A140="","","M4 Sectores")</f>
        <v/>
      </c>
      <c r="AB736" s="17" t="str">
        <f>IF(M4_Sectores!A140="","",IF(M4_Sectores!G140="","",M4_Sectores!G140))</f>
        <v/>
      </c>
      <c r="AC736" s="17" t="str">
        <f>IF(M4_Sectores!A140="","",IF(COUNTIFS(M4_Sectores!$A$9:A140,M4_Sectores!A140,M4_Sectores!$D$9:D140,M4_Sectores!D140,M4_Sectores!$H$9:H140,M4_Sectores!H140)=1,IF(M4_Sectores!L140="","",M4_Sectores!L140),""))</f>
        <v/>
      </c>
      <c r="AD736" s="17" t="str">
        <f>IF(M4_Sectores!A140="","","EE")</f>
        <v/>
      </c>
      <c r="AE736" s="17" t="str">
        <f>IF(M4_Sectores!A140="","",IF(M4_Sectores!N140="","",M4_Sectores!N140))</f>
        <v/>
      </c>
      <c r="AF736" s="17" t="str">
        <f>IF(M4_Sectores!A140="","",IF(M4_Sectores!O140="","",M4_Sectores!O140))</f>
        <v/>
      </c>
      <c r="AG736" s="17" t="str">
        <f>IF(M4_Sectores!A140="","",IF(M4_Sectores!P140="","",M4_Sectores!P140))</f>
        <v/>
      </c>
      <c r="AH736" s="17" t="str">
        <f>IF(M4_Sectores!A140="","",IF(M4_Sectores!H140="","",M4_Sectores!H140))</f>
        <v/>
      </c>
      <c r="AI736" s="17" t="str">
        <f>IF(M4_Sectores!A140="","","M4_Sectores!140")</f>
        <v/>
      </c>
      <c r="AJ736" s="17" t="str">
        <f>IF(M4_Sectores!A140="","",IF(M4_Sectores!L140="","Pendiente de momento o resultado",IF(COUNTIFS(M4_Sectores!$A$9:A140,M4_Sectores!A140,M4_Sectores!$D$9:D140,M4_Sectores!D140,M4_Sectores!$H$9:H140,M4_Sectores!H140)=1,"Total del momento","Sector incluido en total")))</f>
        <v/>
      </c>
    </row>
    <row r="737" spans="1:36" ht="55.5" customHeight="1">
      <c r="A737" s="6" t="str">
        <f t="array" ref="A737">IF(733&gt;$S$1204,"",INDEX($T$5:$AJ$1204,MATCH(733,$S$5:$S$1204,0),1))</f>
        <v/>
      </c>
      <c r="B737" s="8" t="str">
        <f t="array" ref="B737">IF(733&gt;$S$1204,"",INDEX($T$5:$AJ$1204,MATCH(733,$S$5:$S$1204,0),2))</f>
        <v/>
      </c>
      <c r="C737" s="10" t="str">
        <f t="array" ref="C737">IF(733&gt;$S$1204,"",INDEX($T$5:$AJ$1204,MATCH(733,$S$5:$S$1204,0),3))</f>
        <v/>
      </c>
      <c r="D737" s="8" t="str">
        <f t="array" ref="D737">IF(733&gt;$S$1204,"",INDEX($T$5:$AJ$1204,MATCH(733,$S$5:$S$1204,0),4))</f>
        <v/>
      </c>
      <c r="E737" s="8" t="str">
        <f t="array" ref="E737">IF(733&gt;$S$1204,"",INDEX($T$5:$AJ$1204,MATCH(733,$S$5:$S$1204,0),5))</f>
        <v/>
      </c>
      <c r="F737" s="8" t="str">
        <f t="array" ref="F737">IF(733&gt;$S$1204,"",INDEX($T$5:$AJ$1204,MATCH(733,$S$5:$S$1204,0),6))</f>
        <v/>
      </c>
      <c r="G737" s="8" t="str">
        <f t="array" ref="G737">IF(733&gt;$S$1204,"",INDEX($T$5:$AJ$1204,MATCH(733,$S$5:$S$1204,0),7))</f>
        <v/>
      </c>
      <c r="H737" s="8" t="str">
        <f t="array" ref="H737">IF(733&gt;$S$1204,"",INDEX($T$5:$AJ$1204,MATCH(733,$S$5:$S$1204,0),8))</f>
        <v/>
      </c>
      <c r="I737" s="8" t="str">
        <f t="array" ref="I737">IF(733&gt;$S$1204,"",INDEX($T$5:$AJ$1204,MATCH(733,$S$5:$S$1204,0),9))</f>
        <v/>
      </c>
      <c r="J737" s="14" t="str">
        <f t="array" ref="J737">IF(733&gt;$S$1204,"",INDEX($T$5:$AJ$1204,MATCH(733,$S$5:$S$1204,0),10))</f>
        <v/>
      </c>
      <c r="K737" s="8" t="str">
        <f t="array" ref="K737">IF(733&gt;$S$1204,"",INDEX($T$5:$AJ$1204,MATCH(733,$S$5:$S$1204,0),11))</f>
        <v/>
      </c>
      <c r="L737" s="8" t="str">
        <f t="array" ref="L737">IF(733&gt;$S$1204,"",INDEX($T$5:$AJ$1204,MATCH(733,$S$5:$S$1204,0),12))</f>
        <v/>
      </c>
      <c r="M737" s="8" t="str">
        <f t="array" ref="M737">IF(733&gt;$S$1204,"",INDEX($T$5:$AJ$1204,MATCH(733,$S$5:$S$1204,0),13))</f>
        <v/>
      </c>
      <c r="N737" s="8" t="str">
        <f t="array" ref="N737">IF(733&gt;$S$1204,"",INDEX($T$5:$AJ$1204,MATCH(733,$S$5:$S$1204,0),14))</f>
        <v/>
      </c>
      <c r="O737" s="15" t="str">
        <f t="array" ref="O737">IF(733&gt;$S$1204,"",INDEX($T$5:$AJ$1204,MATCH(733,$S$5:$S$1204,0),15))</f>
        <v/>
      </c>
      <c r="P737" s="8" t="str">
        <f t="array" ref="P737">IF(733&gt;$S$1204,"",INDEX($T$5:$AJ$1204,MATCH(733,$S$5:$S$1204,0),16))</f>
        <v/>
      </c>
      <c r="Q737" s="8" t="str">
        <f t="array" ref="Q737">IF(733&gt;$S$1204,"",INDEX($T$5:$AJ$1204,MATCH(733,$S$5:$S$1204,0),17))</f>
        <v/>
      </c>
      <c r="R737" s="17"/>
      <c r="S737" s="17">
        <f>S736+IF(M4_Sectores!A141="",0,1)</f>
        <v>0</v>
      </c>
      <c r="T737" s="17" t="str">
        <f>IF(M4_Sectores!A141="","",IF(M4_Sectores!A141="","",M4_Sectores!A141))</f>
        <v/>
      </c>
      <c r="U737" s="17" t="str">
        <f>IF(M4_Sectores!A141="","",IF(M4_Sectores!Q141="","",M4_Sectores!Q141))</f>
        <v/>
      </c>
      <c r="V737" s="17" t="str">
        <f>IF(M4_Sectores!A141="","",IF(M4_Sectores!D141="","",M4_Sectores!D141))</f>
        <v/>
      </c>
      <c r="W737" s="17" t="str">
        <f>IF(M4_Sectores!A141="","",IF(M4_Sectores!B141="","",M4_Sectores!B141))</f>
        <v/>
      </c>
      <c r="X737" s="17" t="str">
        <f>IF(M4_Sectores!A141="","",IF(M4_Sectores!C141="","",M4_Sectores!C141))</f>
        <v/>
      </c>
      <c r="Y737" s="17" t="str">
        <f>IF(M4_Sectores!A141="","",IF(M4_Sectores!E141="","",M4_Sectores!E141))</f>
        <v/>
      </c>
      <c r="Z737" s="17" t="str">
        <f>IF(M4_Sectores!A141="","",IF(M4_Sectores!F141="","",M4_Sectores!F141))</f>
        <v/>
      </c>
      <c r="AA737" s="17" t="str">
        <f>IF(M4_Sectores!A141="","","M4 Sectores")</f>
        <v/>
      </c>
      <c r="AB737" s="17" t="str">
        <f>IF(M4_Sectores!A141="","",IF(M4_Sectores!G141="","",M4_Sectores!G141))</f>
        <v/>
      </c>
      <c r="AC737" s="17" t="str">
        <f>IF(M4_Sectores!A141="","",IF(COUNTIFS(M4_Sectores!$A$9:A141,M4_Sectores!A141,M4_Sectores!$D$9:D141,M4_Sectores!D141,M4_Sectores!$H$9:H141,M4_Sectores!H141)=1,IF(M4_Sectores!L141="","",M4_Sectores!L141),""))</f>
        <v/>
      </c>
      <c r="AD737" s="17" t="str">
        <f>IF(M4_Sectores!A141="","","EE")</f>
        <v/>
      </c>
      <c r="AE737" s="17" t="str">
        <f>IF(M4_Sectores!A141="","",IF(M4_Sectores!N141="","",M4_Sectores!N141))</f>
        <v/>
      </c>
      <c r="AF737" s="17" t="str">
        <f>IF(M4_Sectores!A141="","",IF(M4_Sectores!O141="","",M4_Sectores!O141))</f>
        <v/>
      </c>
      <c r="AG737" s="17" t="str">
        <f>IF(M4_Sectores!A141="","",IF(M4_Sectores!P141="","",M4_Sectores!P141))</f>
        <v/>
      </c>
      <c r="AH737" s="17" t="str">
        <f>IF(M4_Sectores!A141="","",IF(M4_Sectores!H141="","",M4_Sectores!H141))</f>
        <v/>
      </c>
      <c r="AI737" s="17" t="str">
        <f>IF(M4_Sectores!A141="","","M4_Sectores!141")</f>
        <v/>
      </c>
      <c r="AJ737" s="17" t="str">
        <f>IF(M4_Sectores!A141="","",IF(M4_Sectores!L141="","Pendiente de momento o resultado",IF(COUNTIFS(M4_Sectores!$A$9:A141,M4_Sectores!A141,M4_Sectores!$D$9:D141,M4_Sectores!D141,M4_Sectores!$H$9:H141,M4_Sectores!H141)=1,"Total del momento","Sector incluido en total")))</f>
        <v/>
      </c>
    </row>
    <row r="738" spans="1:36" ht="55.5" customHeight="1">
      <c r="A738" s="6" t="str">
        <f t="array" ref="A738">IF(734&gt;$S$1204,"",INDEX($T$5:$AJ$1204,MATCH(734,$S$5:$S$1204,0),1))</f>
        <v/>
      </c>
      <c r="B738" s="8" t="str">
        <f t="array" ref="B738">IF(734&gt;$S$1204,"",INDEX($T$5:$AJ$1204,MATCH(734,$S$5:$S$1204,0),2))</f>
        <v/>
      </c>
      <c r="C738" s="10" t="str">
        <f t="array" ref="C738">IF(734&gt;$S$1204,"",INDEX($T$5:$AJ$1204,MATCH(734,$S$5:$S$1204,0),3))</f>
        <v/>
      </c>
      <c r="D738" s="8" t="str">
        <f t="array" ref="D738">IF(734&gt;$S$1204,"",INDEX($T$5:$AJ$1204,MATCH(734,$S$5:$S$1204,0),4))</f>
        <v/>
      </c>
      <c r="E738" s="8" t="str">
        <f t="array" ref="E738">IF(734&gt;$S$1204,"",INDEX($T$5:$AJ$1204,MATCH(734,$S$5:$S$1204,0),5))</f>
        <v/>
      </c>
      <c r="F738" s="8" t="str">
        <f t="array" ref="F738">IF(734&gt;$S$1204,"",INDEX($T$5:$AJ$1204,MATCH(734,$S$5:$S$1204,0),6))</f>
        <v/>
      </c>
      <c r="G738" s="8" t="str">
        <f t="array" ref="G738">IF(734&gt;$S$1204,"",INDEX($T$5:$AJ$1204,MATCH(734,$S$5:$S$1204,0),7))</f>
        <v/>
      </c>
      <c r="H738" s="8" t="str">
        <f t="array" ref="H738">IF(734&gt;$S$1204,"",INDEX($T$5:$AJ$1204,MATCH(734,$S$5:$S$1204,0),8))</f>
        <v/>
      </c>
      <c r="I738" s="8" t="str">
        <f t="array" ref="I738">IF(734&gt;$S$1204,"",INDEX($T$5:$AJ$1204,MATCH(734,$S$5:$S$1204,0),9))</f>
        <v/>
      </c>
      <c r="J738" s="14" t="str">
        <f t="array" ref="J738">IF(734&gt;$S$1204,"",INDEX($T$5:$AJ$1204,MATCH(734,$S$5:$S$1204,0),10))</f>
        <v/>
      </c>
      <c r="K738" s="8" t="str">
        <f t="array" ref="K738">IF(734&gt;$S$1204,"",INDEX($T$5:$AJ$1204,MATCH(734,$S$5:$S$1204,0),11))</f>
        <v/>
      </c>
      <c r="L738" s="8" t="str">
        <f t="array" ref="L738">IF(734&gt;$S$1204,"",INDEX($T$5:$AJ$1204,MATCH(734,$S$5:$S$1204,0),12))</f>
        <v/>
      </c>
      <c r="M738" s="8" t="str">
        <f t="array" ref="M738">IF(734&gt;$S$1204,"",INDEX($T$5:$AJ$1204,MATCH(734,$S$5:$S$1204,0),13))</f>
        <v/>
      </c>
      <c r="N738" s="8" t="str">
        <f t="array" ref="N738">IF(734&gt;$S$1204,"",INDEX($T$5:$AJ$1204,MATCH(734,$S$5:$S$1204,0),14))</f>
        <v/>
      </c>
      <c r="O738" s="15" t="str">
        <f t="array" ref="O738">IF(734&gt;$S$1204,"",INDEX($T$5:$AJ$1204,MATCH(734,$S$5:$S$1204,0),15))</f>
        <v/>
      </c>
      <c r="P738" s="8" t="str">
        <f t="array" ref="P738">IF(734&gt;$S$1204,"",INDEX($T$5:$AJ$1204,MATCH(734,$S$5:$S$1204,0),16))</f>
        <v/>
      </c>
      <c r="Q738" s="8" t="str">
        <f t="array" ref="Q738">IF(734&gt;$S$1204,"",INDEX($T$5:$AJ$1204,MATCH(734,$S$5:$S$1204,0),17))</f>
        <v/>
      </c>
      <c r="R738" s="17"/>
      <c r="S738" s="17">
        <f>S737+IF(M4_Sectores!A142="",0,1)</f>
        <v>0</v>
      </c>
      <c r="T738" s="17" t="str">
        <f>IF(M4_Sectores!A142="","",IF(M4_Sectores!A142="","",M4_Sectores!A142))</f>
        <v/>
      </c>
      <c r="U738" s="17" t="str">
        <f>IF(M4_Sectores!A142="","",IF(M4_Sectores!Q142="","",M4_Sectores!Q142))</f>
        <v/>
      </c>
      <c r="V738" s="17" t="str">
        <f>IF(M4_Sectores!A142="","",IF(M4_Sectores!D142="","",M4_Sectores!D142))</f>
        <v/>
      </c>
      <c r="W738" s="17" t="str">
        <f>IF(M4_Sectores!A142="","",IF(M4_Sectores!B142="","",M4_Sectores!B142))</f>
        <v/>
      </c>
      <c r="X738" s="17" t="str">
        <f>IF(M4_Sectores!A142="","",IF(M4_Sectores!C142="","",M4_Sectores!C142))</f>
        <v/>
      </c>
      <c r="Y738" s="17" t="str">
        <f>IF(M4_Sectores!A142="","",IF(M4_Sectores!E142="","",M4_Sectores!E142))</f>
        <v/>
      </c>
      <c r="Z738" s="17" t="str">
        <f>IF(M4_Sectores!A142="","",IF(M4_Sectores!F142="","",M4_Sectores!F142))</f>
        <v/>
      </c>
      <c r="AA738" s="17" t="str">
        <f>IF(M4_Sectores!A142="","","M4 Sectores")</f>
        <v/>
      </c>
      <c r="AB738" s="17" t="str">
        <f>IF(M4_Sectores!A142="","",IF(M4_Sectores!G142="","",M4_Sectores!G142))</f>
        <v/>
      </c>
      <c r="AC738" s="17" t="str">
        <f>IF(M4_Sectores!A142="","",IF(COUNTIFS(M4_Sectores!$A$9:A142,M4_Sectores!A142,M4_Sectores!$D$9:D142,M4_Sectores!D142,M4_Sectores!$H$9:H142,M4_Sectores!H142)=1,IF(M4_Sectores!L142="","",M4_Sectores!L142),""))</f>
        <v/>
      </c>
      <c r="AD738" s="17" t="str">
        <f>IF(M4_Sectores!A142="","","EE")</f>
        <v/>
      </c>
      <c r="AE738" s="17" t="str">
        <f>IF(M4_Sectores!A142="","",IF(M4_Sectores!N142="","",M4_Sectores!N142))</f>
        <v/>
      </c>
      <c r="AF738" s="17" t="str">
        <f>IF(M4_Sectores!A142="","",IF(M4_Sectores!O142="","",M4_Sectores!O142))</f>
        <v/>
      </c>
      <c r="AG738" s="17" t="str">
        <f>IF(M4_Sectores!A142="","",IF(M4_Sectores!P142="","",M4_Sectores!P142))</f>
        <v/>
      </c>
      <c r="AH738" s="17" t="str">
        <f>IF(M4_Sectores!A142="","",IF(M4_Sectores!H142="","",M4_Sectores!H142))</f>
        <v/>
      </c>
      <c r="AI738" s="17" t="str">
        <f>IF(M4_Sectores!A142="","","M4_Sectores!142")</f>
        <v/>
      </c>
      <c r="AJ738" s="17" t="str">
        <f>IF(M4_Sectores!A142="","",IF(M4_Sectores!L142="","Pendiente de momento o resultado",IF(COUNTIFS(M4_Sectores!$A$9:A142,M4_Sectores!A142,M4_Sectores!$D$9:D142,M4_Sectores!D142,M4_Sectores!$H$9:H142,M4_Sectores!H142)=1,"Total del momento","Sector incluido en total")))</f>
        <v/>
      </c>
    </row>
    <row r="739" spans="1:36" ht="55.5" customHeight="1">
      <c r="A739" s="6" t="str">
        <f t="array" ref="A739">IF(735&gt;$S$1204,"",INDEX($T$5:$AJ$1204,MATCH(735,$S$5:$S$1204,0),1))</f>
        <v/>
      </c>
      <c r="B739" s="8" t="str">
        <f t="array" ref="B739">IF(735&gt;$S$1204,"",INDEX($T$5:$AJ$1204,MATCH(735,$S$5:$S$1204,0),2))</f>
        <v/>
      </c>
      <c r="C739" s="10" t="str">
        <f t="array" ref="C739">IF(735&gt;$S$1204,"",INDEX($T$5:$AJ$1204,MATCH(735,$S$5:$S$1204,0),3))</f>
        <v/>
      </c>
      <c r="D739" s="8" t="str">
        <f t="array" ref="D739">IF(735&gt;$S$1204,"",INDEX($T$5:$AJ$1204,MATCH(735,$S$5:$S$1204,0),4))</f>
        <v/>
      </c>
      <c r="E739" s="8" t="str">
        <f t="array" ref="E739">IF(735&gt;$S$1204,"",INDEX($T$5:$AJ$1204,MATCH(735,$S$5:$S$1204,0),5))</f>
        <v/>
      </c>
      <c r="F739" s="8" t="str">
        <f t="array" ref="F739">IF(735&gt;$S$1204,"",INDEX($T$5:$AJ$1204,MATCH(735,$S$5:$S$1204,0),6))</f>
        <v/>
      </c>
      <c r="G739" s="8" t="str">
        <f t="array" ref="G739">IF(735&gt;$S$1204,"",INDEX($T$5:$AJ$1204,MATCH(735,$S$5:$S$1204,0),7))</f>
        <v/>
      </c>
      <c r="H739" s="8" t="str">
        <f t="array" ref="H739">IF(735&gt;$S$1204,"",INDEX($T$5:$AJ$1204,MATCH(735,$S$5:$S$1204,0),8))</f>
        <v/>
      </c>
      <c r="I739" s="8" t="str">
        <f t="array" ref="I739">IF(735&gt;$S$1204,"",INDEX($T$5:$AJ$1204,MATCH(735,$S$5:$S$1204,0),9))</f>
        <v/>
      </c>
      <c r="J739" s="14" t="str">
        <f t="array" ref="J739">IF(735&gt;$S$1204,"",INDEX($T$5:$AJ$1204,MATCH(735,$S$5:$S$1204,0),10))</f>
        <v/>
      </c>
      <c r="K739" s="8" t="str">
        <f t="array" ref="K739">IF(735&gt;$S$1204,"",INDEX($T$5:$AJ$1204,MATCH(735,$S$5:$S$1204,0),11))</f>
        <v/>
      </c>
      <c r="L739" s="8" t="str">
        <f t="array" ref="L739">IF(735&gt;$S$1204,"",INDEX($T$5:$AJ$1204,MATCH(735,$S$5:$S$1204,0),12))</f>
        <v/>
      </c>
      <c r="M739" s="8" t="str">
        <f t="array" ref="M739">IF(735&gt;$S$1204,"",INDEX($T$5:$AJ$1204,MATCH(735,$S$5:$S$1204,0),13))</f>
        <v/>
      </c>
      <c r="N739" s="8" t="str">
        <f t="array" ref="N739">IF(735&gt;$S$1204,"",INDEX($T$5:$AJ$1204,MATCH(735,$S$5:$S$1204,0),14))</f>
        <v/>
      </c>
      <c r="O739" s="15" t="str">
        <f t="array" ref="O739">IF(735&gt;$S$1204,"",INDEX($T$5:$AJ$1204,MATCH(735,$S$5:$S$1204,0),15))</f>
        <v/>
      </c>
      <c r="P739" s="8" t="str">
        <f t="array" ref="P739">IF(735&gt;$S$1204,"",INDEX($T$5:$AJ$1204,MATCH(735,$S$5:$S$1204,0),16))</f>
        <v/>
      </c>
      <c r="Q739" s="8" t="str">
        <f t="array" ref="Q739">IF(735&gt;$S$1204,"",INDEX($T$5:$AJ$1204,MATCH(735,$S$5:$S$1204,0),17))</f>
        <v/>
      </c>
      <c r="R739" s="17"/>
      <c r="S739" s="17">
        <f>S738+IF(M4_Sectores!A143="",0,1)</f>
        <v>0</v>
      </c>
      <c r="T739" s="17" t="str">
        <f>IF(M4_Sectores!A143="","",IF(M4_Sectores!A143="","",M4_Sectores!A143))</f>
        <v/>
      </c>
      <c r="U739" s="17" t="str">
        <f>IF(M4_Sectores!A143="","",IF(M4_Sectores!Q143="","",M4_Sectores!Q143))</f>
        <v/>
      </c>
      <c r="V739" s="17" t="str">
        <f>IF(M4_Sectores!A143="","",IF(M4_Sectores!D143="","",M4_Sectores!D143))</f>
        <v/>
      </c>
      <c r="W739" s="17" t="str">
        <f>IF(M4_Sectores!A143="","",IF(M4_Sectores!B143="","",M4_Sectores!B143))</f>
        <v/>
      </c>
      <c r="X739" s="17" t="str">
        <f>IF(M4_Sectores!A143="","",IF(M4_Sectores!C143="","",M4_Sectores!C143))</f>
        <v/>
      </c>
      <c r="Y739" s="17" t="str">
        <f>IF(M4_Sectores!A143="","",IF(M4_Sectores!E143="","",M4_Sectores!E143))</f>
        <v/>
      </c>
      <c r="Z739" s="17" t="str">
        <f>IF(M4_Sectores!A143="","",IF(M4_Sectores!F143="","",M4_Sectores!F143))</f>
        <v/>
      </c>
      <c r="AA739" s="17" t="str">
        <f>IF(M4_Sectores!A143="","","M4 Sectores")</f>
        <v/>
      </c>
      <c r="AB739" s="17" t="str">
        <f>IF(M4_Sectores!A143="","",IF(M4_Sectores!G143="","",M4_Sectores!G143))</f>
        <v/>
      </c>
      <c r="AC739" s="17" t="str">
        <f>IF(M4_Sectores!A143="","",IF(COUNTIFS(M4_Sectores!$A$9:A143,M4_Sectores!A143,M4_Sectores!$D$9:D143,M4_Sectores!D143,M4_Sectores!$H$9:H143,M4_Sectores!H143)=1,IF(M4_Sectores!L143="","",M4_Sectores!L143),""))</f>
        <v/>
      </c>
      <c r="AD739" s="17" t="str">
        <f>IF(M4_Sectores!A143="","","EE")</f>
        <v/>
      </c>
      <c r="AE739" s="17" t="str">
        <f>IF(M4_Sectores!A143="","",IF(M4_Sectores!N143="","",M4_Sectores!N143))</f>
        <v/>
      </c>
      <c r="AF739" s="17" t="str">
        <f>IF(M4_Sectores!A143="","",IF(M4_Sectores!O143="","",M4_Sectores!O143))</f>
        <v/>
      </c>
      <c r="AG739" s="17" t="str">
        <f>IF(M4_Sectores!A143="","",IF(M4_Sectores!P143="","",M4_Sectores!P143))</f>
        <v/>
      </c>
      <c r="AH739" s="17" t="str">
        <f>IF(M4_Sectores!A143="","",IF(M4_Sectores!H143="","",M4_Sectores!H143))</f>
        <v/>
      </c>
      <c r="AI739" s="17" t="str">
        <f>IF(M4_Sectores!A143="","","M4_Sectores!143")</f>
        <v/>
      </c>
      <c r="AJ739" s="17" t="str">
        <f>IF(M4_Sectores!A143="","",IF(M4_Sectores!L143="","Pendiente de momento o resultado",IF(COUNTIFS(M4_Sectores!$A$9:A143,M4_Sectores!A143,M4_Sectores!$D$9:D143,M4_Sectores!D143,M4_Sectores!$H$9:H143,M4_Sectores!H143)=1,"Total del momento","Sector incluido en total")))</f>
        <v/>
      </c>
    </row>
    <row r="740" spans="1:36" ht="55.5" customHeight="1">
      <c r="A740" s="6" t="str">
        <f t="array" ref="A740">IF(736&gt;$S$1204,"",INDEX($T$5:$AJ$1204,MATCH(736,$S$5:$S$1204,0),1))</f>
        <v/>
      </c>
      <c r="B740" s="8" t="str">
        <f t="array" ref="B740">IF(736&gt;$S$1204,"",INDEX($T$5:$AJ$1204,MATCH(736,$S$5:$S$1204,0),2))</f>
        <v/>
      </c>
      <c r="C740" s="10" t="str">
        <f t="array" ref="C740">IF(736&gt;$S$1204,"",INDEX($T$5:$AJ$1204,MATCH(736,$S$5:$S$1204,0),3))</f>
        <v/>
      </c>
      <c r="D740" s="8" t="str">
        <f t="array" ref="D740">IF(736&gt;$S$1204,"",INDEX($T$5:$AJ$1204,MATCH(736,$S$5:$S$1204,0),4))</f>
        <v/>
      </c>
      <c r="E740" s="8" t="str">
        <f t="array" ref="E740">IF(736&gt;$S$1204,"",INDEX($T$5:$AJ$1204,MATCH(736,$S$5:$S$1204,0),5))</f>
        <v/>
      </c>
      <c r="F740" s="8" t="str">
        <f t="array" ref="F740">IF(736&gt;$S$1204,"",INDEX($T$5:$AJ$1204,MATCH(736,$S$5:$S$1204,0),6))</f>
        <v/>
      </c>
      <c r="G740" s="8" t="str">
        <f t="array" ref="G740">IF(736&gt;$S$1204,"",INDEX($T$5:$AJ$1204,MATCH(736,$S$5:$S$1204,0),7))</f>
        <v/>
      </c>
      <c r="H740" s="8" t="str">
        <f t="array" ref="H740">IF(736&gt;$S$1204,"",INDEX($T$5:$AJ$1204,MATCH(736,$S$5:$S$1204,0),8))</f>
        <v/>
      </c>
      <c r="I740" s="8" t="str">
        <f t="array" ref="I740">IF(736&gt;$S$1204,"",INDEX($T$5:$AJ$1204,MATCH(736,$S$5:$S$1204,0),9))</f>
        <v/>
      </c>
      <c r="J740" s="14" t="str">
        <f t="array" ref="J740">IF(736&gt;$S$1204,"",INDEX($T$5:$AJ$1204,MATCH(736,$S$5:$S$1204,0),10))</f>
        <v/>
      </c>
      <c r="K740" s="8" t="str">
        <f t="array" ref="K740">IF(736&gt;$S$1204,"",INDEX($T$5:$AJ$1204,MATCH(736,$S$5:$S$1204,0),11))</f>
        <v/>
      </c>
      <c r="L740" s="8" t="str">
        <f t="array" ref="L740">IF(736&gt;$S$1204,"",INDEX($T$5:$AJ$1204,MATCH(736,$S$5:$S$1204,0),12))</f>
        <v/>
      </c>
      <c r="M740" s="8" t="str">
        <f t="array" ref="M740">IF(736&gt;$S$1204,"",INDEX($T$5:$AJ$1204,MATCH(736,$S$5:$S$1204,0),13))</f>
        <v/>
      </c>
      <c r="N740" s="8" t="str">
        <f t="array" ref="N740">IF(736&gt;$S$1204,"",INDEX($T$5:$AJ$1204,MATCH(736,$S$5:$S$1204,0),14))</f>
        <v/>
      </c>
      <c r="O740" s="15" t="str">
        <f t="array" ref="O740">IF(736&gt;$S$1204,"",INDEX($T$5:$AJ$1204,MATCH(736,$S$5:$S$1204,0),15))</f>
        <v/>
      </c>
      <c r="P740" s="8" t="str">
        <f t="array" ref="P740">IF(736&gt;$S$1204,"",INDEX($T$5:$AJ$1204,MATCH(736,$S$5:$S$1204,0),16))</f>
        <v/>
      </c>
      <c r="Q740" s="8" t="str">
        <f t="array" ref="Q740">IF(736&gt;$S$1204,"",INDEX($T$5:$AJ$1204,MATCH(736,$S$5:$S$1204,0),17))</f>
        <v/>
      </c>
      <c r="R740" s="17"/>
      <c r="S740" s="17">
        <f>S739+IF(M4_Sectores!A144="",0,1)</f>
        <v>0</v>
      </c>
      <c r="T740" s="17" t="str">
        <f>IF(M4_Sectores!A144="","",IF(M4_Sectores!A144="","",M4_Sectores!A144))</f>
        <v/>
      </c>
      <c r="U740" s="17" t="str">
        <f>IF(M4_Sectores!A144="","",IF(M4_Sectores!Q144="","",M4_Sectores!Q144))</f>
        <v/>
      </c>
      <c r="V740" s="17" t="str">
        <f>IF(M4_Sectores!A144="","",IF(M4_Sectores!D144="","",M4_Sectores!D144))</f>
        <v/>
      </c>
      <c r="W740" s="17" t="str">
        <f>IF(M4_Sectores!A144="","",IF(M4_Sectores!B144="","",M4_Sectores!B144))</f>
        <v/>
      </c>
      <c r="X740" s="17" t="str">
        <f>IF(M4_Sectores!A144="","",IF(M4_Sectores!C144="","",M4_Sectores!C144))</f>
        <v/>
      </c>
      <c r="Y740" s="17" t="str">
        <f>IF(M4_Sectores!A144="","",IF(M4_Sectores!E144="","",M4_Sectores!E144))</f>
        <v/>
      </c>
      <c r="Z740" s="17" t="str">
        <f>IF(M4_Sectores!A144="","",IF(M4_Sectores!F144="","",M4_Sectores!F144))</f>
        <v/>
      </c>
      <c r="AA740" s="17" t="str">
        <f>IF(M4_Sectores!A144="","","M4 Sectores")</f>
        <v/>
      </c>
      <c r="AB740" s="17" t="str">
        <f>IF(M4_Sectores!A144="","",IF(M4_Sectores!G144="","",M4_Sectores!G144))</f>
        <v/>
      </c>
      <c r="AC740" s="17" t="str">
        <f>IF(M4_Sectores!A144="","",IF(COUNTIFS(M4_Sectores!$A$9:A144,M4_Sectores!A144,M4_Sectores!$D$9:D144,M4_Sectores!D144,M4_Sectores!$H$9:H144,M4_Sectores!H144)=1,IF(M4_Sectores!L144="","",M4_Sectores!L144),""))</f>
        <v/>
      </c>
      <c r="AD740" s="17" t="str">
        <f>IF(M4_Sectores!A144="","","EE")</f>
        <v/>
      </c>
      <c r="AE740" s="17" t="str">
        <f>IF(M4_Sectores!A144="","",IF(M4_Sectores!N144="","",M4_Sectores!N144))</f>
        <v/>
      </c>
      <c r="AF740" s="17" t="str">
        <f>IF(M4_Sectores!A144="","",IF(M4_Sectores!O144="","",M4_Sectores!O144))</f>
        <v/>
      </c>
      <c r="AG740" s="17" t="str">
        <f>IF(M4_Sectores!A144="","",IF(M4_Sectores!P144="","",M4_Sectores!P144))</f>
        <v/>
      </c>
      <c r="AH740" s="17" t="str">
        <f>IF(M4_Sectores!A144="","",IF(M4_Sectores!H144="","",M4_Sectores!H144))</f>
        <v/>
      </c>
      <c r="AI740" s="17" t="str">
        <f>IF(M4_Sectores!A144="","","M4_Sectores!144")</f>
        <v/>
      </c>
      <c r="AJ740" s="17" t="str">
        <f>IF(M4_Sectores!A144="","",IF(M4_Sectores!L144="","Pendiente de momento o resultado",IF(COUNTIFS(M4_Sectores!$A$9:A144,M4_Sectores!A144,M4_Sectores!$D$9:D144,M4_Sectores!D144,M4_Sectores!$H$9:H144,M4_Sectores!H144)=1,"Total del momento","Sector incluido en total")))</f>
        <v/>
      </c>
    </row>
    <row r="741" spans="1:36" ht="55.5" customHeight="1">
      <c r="A741" s="6" t="str">
        <f t="array" ref="A741">IF(737&gt;$S$1204,"",INDEX($T$5:$AJ$1204,MATCH(737,$S$5:$S$1204,0),1))</f>
        <v/>
      </c>
      <c r="B741" s="8" t="str">
        <f t="array" ref="B741">IF(737&gt;$S$1204,"",INDEX($T$5:$AJ$1204,MATCH(737,$S$5:$S$1204,0),2))</f>
        <v/>
      </c>
      <c r="C741" s="10" t="str">
        <f t="array" ref="C741">IF(737&gt;$S$1204,"",INDEX($T$5:$AJ$1204,MATCH(737,$S$5:$S$1204,0),3))</f>
        <v/>
      </c>
      <c r="D741" s="8" t="str">
        <f t="array" ref="D741">IF(737&gt;$S$1204,"",INDEX($T$5:$AJ$1204,MATCH(737,$S$5:$S$1204,0),4))</f>
        <v/>
      </c>
      <c r="E741" s="8" t="str">
        <f t="array" ref="E741">IF(737&gt;$S$1204,"",INDEX($T$5:$AJ$1204,MATCH(737,$S$5:$S$1204,0),5))</f>
        <v/>
      </c>
      <c r="F741" s="8" t="str">
        <f t="array" ref="F741">IF(737&gt;$S$1204,"",INDEX($T$5:$AJ$1204,MATCH(737,$S$5:$S$1204,0),6))</f>
        <v/>
      </c>
      <c r="G741" s="8" t="str">
        <f t="array" ref="G741">IF(737&gt;$S$1204,"",INDEX($T$5:$AJ$1204,MATCH(737,$S$5:$S$1204,0),7))</f>
        <v/>
      </c>
      <c r="H741" s="8" t="str">
        <f t="array" ref="H741">IF(737&gt;$S$1204,"",INDEX($T$5:$AJ$1204,MATCH(737,$S$5:$S$1204,0),8))</f>
        <v/>
      </c>
      <c r="I741" s="8" t="str">
        <f t="array" ref="I741">IF(737&gt;$S$1204,"",INDEX($T$5:$AJ$1204,MATCH(737,$S$5:$S$1204,0),9))</f>
        <v/>
      </c>
      <c r="J741" s="14" t="str">
        <f t="array" ref="J741">IF(737&gt;$S$1204,"",INDEX($T$5:$AJ$1204,MATCH(737,$S$5:$S$1204,0),10))</f>
        <v/>
      </c>
      <c r="K741" s="8" t="str">
        <f t="array" ref="K741">IF(737&gt;$S$1204,"",INDEX($T$5:$AJ$1204,MATCH(737,$S$5:$S$1204,0),11))</f>
        <v/>
      </c>
      <c r="L741" s="8" t="str">
        <f t="array" ref="L741">IF(737&gt;$S$1204,"",INDEX($T$5:$AJ$1204,MATCH(737,$S$5:$S$1204,0),12))</f>
        <v/>
      </c>
      <c r="M741" s="8" t="str">
        <f t="array" ref="M741">IF(737&gt;$S$1204,"",INDEX($T$5:$AJ$1204,MATCH(737,$S$5:$S$1204,0),13))</f>
        <v/>
      </c>
      <c r="N741" s="8" t="str">
        <f t="array" ref="N741">IF(737&gt;$S$1204,"",INDEX($T$5:$AJ$1204,MATCH(737,$S$5:$S$1204,0),14))</f>
        <v/>
      </c>
      <c r="O741" s="15" t="str">
        <f t="array" ref="O741">IF(737&gt;$S$1204,"",INDEX($T$5:$AJ$1204,MATCH(737,$S$5:$S$1204,0),15))</f>
        <v/>
      </c>
      <c r="P741" s="8" t="str">
        <f t="array" ref="P741">IF(737&gt;$S$1204,"",INDEX($T$5:$AJ$1204,MATCH(737,$S$5:$S$1204,0),16))</f>
        <v/>
      </c>
      <c r="Q741" s="8" t="str">
        <f t="array" ref="Q741">IF(737&gt;$S$1204,"",INDEX($T$5:$AJ$1204,MATCH(737,$S$5:$S$1204,0),17))</f>
        <v/>
      </c>
      <c r="R741" s="17"/>
      <c r="S741" s="17">
        <f>S740+IF(M4_Sectores!A145="",0,1)</f>
        <v>0</v>
      </c>
      <c r="T741" s="17" t="str">
        <f>IF(M4_Sectores!A145="","",IF(M4_Sectores!A145="","",M4_Sectores!A145))</f>
        <v/>
      </c>
      <c r="U741" s="17" t="str">
        <f>IF(M4_Sectores!A145="","",IF(M4_Sectores!Q145="","",M4_Sectores!Q145))</f>
        <v/>
      </c>
      <c r="V741" s="17" t="str">
        <f>IF(M4_Sectores!A145="","",IF(M4_Sectores!D145="","",M4_Sectores!D145))</f>
        <v/>
      </c>
      <c r="W741" s="17" t="str">
        <f>IF(M4_Sectores!A145="","",IF(M4_Sectores!B145="","",M4_Sectores!B145))</f>
        <v/>
      </c>
      <c r="X741" s="17" t="str">
        <f>IF(M4_Sectores!A145="","",IF(M4_Sectores!C145="","",M4_Sectores!C145))</f>
        <v/>
      </c>
      <c r="Y741" s="17" t="str">
        <f>IF(M4_Sectores!A145="","",IF(M4_Sectores!E145="","",M4_Sectores!E145))</f>
        <v/>
      </c>
      <c r="Z741" s="17" t="str">
        <f>IF(M4_Sectores!A145="","",IF(M4_Sectores!F145="","",M4_Sectores!F145))</f>
        <v/>
      </c>
      <c r="AA741" s="17" t="str">
        <f>IF(M4_Sectores!A145="","","M4 Sectores")</f>
        <v/>
      </c>
      <c r="AB741" s="17" t="str">
        <f>IF(M4_Sectores!A145="","",IF(M4_Sectores!G145="","",M4_Sectores!G145))</f>
        <v/>
      </c>
      <c r="AC741" s="17" t="str">
        <f>IF(M4_Sectores!A145="","",IF(COUNTIFS(M4_Sectores!$A$9:A145,M4_Sectores!A145,M4_Sectores!$D$9:D145,M4_Sectores!D145,M4_Sectores!$H$9:H145,M4_Sectores!H145)=1,IF(M4_Sectores!L145="","",M4_Sectores!L145),""))</f>
        <v/>
      </c>
      <c r="AD741" s="17" t="str">
        <f>IF(M4_Sectores!A145="","","EE")</f>
        <v/>
      </c>
      <c r="AE741" s="17" t="str">
        <f>IF(M4_Sectores!A145="","",IF(M4_Sectores!N145="","",M4_Sectores!N145))</f>
        <v/>
      </c>
      <c r="AF741" s="17" t="str">
        <f>IF(M4_Sectores!A145="","",IF(M4_Sectores!O145="","",M4_Sectores!O145))</f>
        <v/>
      </c>
      <c r="AG741" s="17" t="str">
        <f>IF(M4_Sectores!A145="","",IF(M4_Sectores!P145="","",M4_Sectores!P145))</f>
        <v/>
      </c>
      <c r="AH741" s="17" t="str">
        <f>IF(M4_Sectores!A145="","",IF(M4_Sectores!H145="","",M4_Sectores!H145))</f>
        <v/>
      </c>
      <c r="AI741" s="17" t="str">
        <f>IF(M4_Sectores!A145="","","M4_Sectores!145")</f>
        <v/>
      </c>
      <c r="AJ741" s="17" t="str">
        <f>IF(M4_Sectores!A145="","",IF(M4_Sectores!L145="","Pendiente de momento o resultado",IF(COUNTIFS(M4_Sectores!$A$9:A145,M4_Sectores!A145,M4_Sectores!$D$9:D145,M4_Sectores!D145,M4_Sectores!$H$9:H145,M4_Sectores!H145)=1,"Total del momento","Sector incluido en total")))</f>
        <v/>
      </c>
    </row>
    <row r="742" spans="1:36" ht="55.5" customHeight="1">
      <c r="A742" s="6" t="str">
        <f t="array" ref="A742">IF(738&gt;$S$1204,"",INDEX($T$5:$AJ$1204,MATCH(738,$S$5:$S$1204,0),1))</f>
        <v/>
      </c>
      <c r="B742" s="8" t="str">
        <f t="array" ref="B742">IF(738&gt;$S$1204,"",INDEX($T$5:$AJ$1204,MATCH(738,$S$5:$S$1204,0),2))</f>
        <v/>
      </c>
      <c r="C742" s="10" t="str">
        <f t="array" ref="C742">IF(738&gt;$S$1204,"",INDEX($T$5:$AJ$1204,MATCH(738,$S$5:$S$1204,0),3))</f>
        <v/>
      </c>
      <c r="D742" s="8" t="str">
        <f t="array" ref="D742">IF(738&gt;$S$1204,"",INDEX($T$5:$AJ$1204,MATCH(738,$S$5:$S$1204,0),4))</f>
        <v/>
      </c>
      <c r="E742" s="8" t="str">
        <f t="array" ref="E742">IF(738&gt;$S$1204,"",INDEX($T$5:$AJ$1204,MATCH(738,$S$5:$S$1204,0),5))</f>
        <v/>
      </c>
      <c r="F742" s="8" t="str">
        <f t="array" ref="F742">IF(738&gt;$S$1204,"",INDEX($T$5:$AJ$1204,MATCH(738,$S$5:$S$1204,0),6))</f>
        <v/>
      </c>
      <c r="G742" s="8" t="str">
        <f t="array" ref="G742">IF(738&gt;$S$1204,"",INDEX($T$5:$AJ$1204,MATCH(738,$S$5:$S$1204,0),7))</f>
        <v/>
      </c>
      <c r="H742" s="8" t="str">
        <f t="array" ref="H742">IF(738&gt;$S$1204,"",INDEX($T$5:$AJ$1204,MATCH(738,$S$5:$S$1204,0),8))</f>
        <v/>
      </c>
      <c r="I742" s="8" t="str">
        <f t="array" ref="I742">IF(738&gt;$S$1204,"",INDEX($T$5:$AJ$1204,MATCH(738,$S$5:$S$1204,0),9))</f>
        <v/>
      </c>
      <c r="J742" s="14" t="str">
        <f t="array" ref="J742">IF(738&gt;$S$1204,"",INDEX($T$5:$AJ$1204,MATCH(738,$S$5:$S$1204,0),10))</f>
        <v/>
      </c>
      <c r="K742" s="8" t="str">
        <f t="array" ref="K742">IF(738&gt;$S$1204,"",INDEX($T$5:$AJ$1204,MATCH(738,$S$5:$S$1204,0),11))</f>
        <v/>
      </c>
      <c r="L742" s="8" t="str">
        <f t="array" ref="L742">IF(738&gt;$S$1204,"",INDEX($T$5:$AJ$1204,MATCH(738,$S$5:$S$1204,0),12))</f>
        <v/>
      </c>
      <c r="M742" s="8" t="str">
        <f t="array" ref="M742">IF(738&gt;$S$1204,"",INDEX($T$5:$AJ$1204,MATCH(738,$S$5:$S$1204,0),13))</f>
        <v/>
      </c>
      <c r="N742" s="8" t="str">
        <f t="array" ref="N742">IF(738&gt;$S$1204,"",INDEX($T$5:$AJ$1204,MATCH(738,$S$5:$S$1204,0),14))</f>
        <v/>
      </c>
      <c r="O742" s="15" t="str">
        <f t="array" ref="O742">IF(738&gt;$S$1204,"",INDEX($T$5:$AJ$1204,MATCH(738,$S$5:$S$1204,0),15))</f>
        <v/>
      </c>
      <c r="P742" s="8" t="str">
        <f t="array" ref="P742">IF(738&gt;$S$1204,"",INDEX($T$5:$AJ$1204,MATCH(738,$S$5:$S$1204,0),16))</f>
        <v/>
      </c>
      <c r="Q742" s="8" t="str">
        <f t="array" ref="Q742">IF(738&gt;$S$1204,"",INDEX($T$5:$AJ$1204,MATCH(738,$S$5:$S$1204,0),17))</f>
        <v/>
      </c>
      <c r="R742" s="17"/>
      <c r="S742" s="17">
        <f>S741+IF(M4_Sectores!A146="",0,1)</f>
        <v>0</v>
      </c>
      <c r="T742" s="17" t="str">
        <f>IF(M4_Sectores!A146="","",IF(M4_Sectores!A146="","",M4_Sectores!A146))</f>
        <v/>
      </c>
      <c r="U742" s="17" t="str">
        <f>IF(M4_Sectores!A146="","",IF(M4_Sectores!Q146="","",M4_Sectores!Q146))</f>
        <v/>
      </c>
      <c r="V742" s="17" t="str">
        <f>IF(M4_Sectores!A146="","",IF(M4_Sectores!D146="","",M4_Sectores!D146))</f>
        <v/>
      </c>
      <c r="W742" s="17" t="str">
        <f>IF(M4_Sectores!A146="","",IF(M4_Sectores!B146="","",M4_Sectores!B146))</f>
        <v/>
      </c>
      <c r="X742" s="17" t="str">
        <f>IF(M4_Sectores!A146="","",IF(M4_Sectores!C146="","",M4_Sectores!C146))</f>
        <v/>
      </c>
      <c r="Y742" s="17" t="str">
        <f>IF(M4_Sectores!A146="","",IF(M4_Sectores!E146="","",M4_Sectores!E146))</f>
        <v/>
      </c>
      <c r="Z742" s="17" t="str">
        <f>IF(M4_Sectores!A146="","",IF(M4_Sectores!F146="","",M4_Sectores!F146))</f>
        <v/>
      </c>
      <c r="AA742" s="17" t="str">
        <f>IF(M4_Sectores!A146="","","M4 Sectores")</f>
        <v/>
      </c>
      <c r="AB742" s="17" t="str">
        <f>IF(M4_Sectores!A146="","",IF(M4_Sectores!G146="","",M4_Sectores!G146))</f>
        <v/>
      </c>
      <c r="AC742" s="17" t="str">
        <f>IF(M4_Sectores!A146="","",IF(COUNTIFS(M4_Sectores!$A$9:A146,M4_Sectores!A146,M4_Sectores!$D$9:D146,M4_Sectores!D146,M4_Sectores!$H$9:H146,M4_Sectores!H146)=1,IF(M4_Sectores!L146="","",M4_Sectores!L146),""))</f>
        <v/>
      </c>
      <c r="AD742" s="17" t="str">
        <f>IF(M4_Sectores!A146="","","EE")</f>
        <v/>
      </c>
      <c r="AE742" s="17" t="str">
        <f>IF(M4_Sectores!A146="","",IF(M4_Sectores!N146="","",M4_Sectores!N146))</f>
        <v/>
      </c>
      <c r="AF742" s="17" t="str">
        <f>IF(M4_Sectores!A146="","",IF(M4_Sectores!O146="","",M4_Sectores!O146))</f>
        <v/>
      </c>
      <c r="AG742" s="17" t="str">
        <f>IF(M4_Sectores!A146="","",IF(M4_Sectores!P146="","",M4_Sectores!P146))</f>
        <v/>
      </c>
      <c r="AH742" s="17" t="str">
        <f>IF(M4_Sectores!A146="","",IF(M4_Sectores!H146="","",M4_Sectores!H146))</f>
        <v/>
      </c>
      <c r="AI742" s="17" t="str">
        <f>IF(M4_Sectores!A146="","","M4_Sectores!146")</f>
        <v/>
      </c>
      <c r="AJ742" s="17" t="str">
        <f>IF(M4_Sectores!A146="","",IF(M4_Sectores!L146="","Pendiente de momento o resultado",IF(COUNTIFS(M4_Sectores!$A$9:A146,M4_Sectores!A146,M4_Sectores!$D$9:D146,M4_Sectores!D146,M4_Sectores!$H$9:H146,M4_Sectores!H146)=1,"Total del momento","Sector incluido en total")))</f>
        <v/>
      </c>
    </row>
    <row r="743" spans="1:36" ht="55.5" customHeight="1">
      <c r="A743" s="6" t="str">
        <f t="array" ref="A743">IF(739&gt;$S$1204,"",INDEX($T$5:$AJ$1204,MATCH(739,$S$5:$S$1204,0),1))</f>
        <v/>
      </c>
      <c r="B743" s="8" t="str">
        <f t="array" ref="B743">IF(739&gt;$S$1204,"",INDEX($T$5:$AJ$1204,MATCH(739,$S$5:$S$1204,0),2))</f>
        <v/>
      </c>
      <c r="C743" s="10" t="str">
        <f t="array" ref="C743">IF(739&gt;$S$1204,"",INDEX($T$5:$AJ$1204,MATCH(739,$S$5:$S$1204,0),3))</f>
        <v/>
      </c>
      <c r="D743" s="8" t="str">
        <f t="array" ref="D743">IF(739&gt;$S$1204,"",INDEX($T$5:$AJ$1204,MATCH(739,$S$5:$S$1204,0),4))</f>
        <v/>
      </c>
      <c r="E743" s="8" t="str">
        <f t="array" ref="E743">IF(739&gt;$S$1204,"",INDEX($T$5:$AJ$1204,MATCH(739,$S$5:$S$1204,0),5))</f>
        <v/>
      </c>
      <c r="F743" s="8" t="str">
        <f t="array" ref="F743">IF(739&gt;$S$1204,"",INDEX($T$5:$AJ$1204,MATCH(739,$S$5:$S$1204,0),6))</f>
        <v/>
      </c>
      <c r="G743" s="8" t="str">
        <f t="array" ref="G743">IF(739&gt;$S$1204,"",INDEX($T$5:$AJ$1204,MATCH(739,$S$5:$S$1204,0),7))</f>
        <v/>
      </c>
      <c r="H743" s="8" t="str">
        <f t="array" ref="H743">IF(739&gt;$S$1204,"",INDEX($T$5:$AJ$1204,MATCH(739,$S$5:$S$1204,0),8))</f>
        <v/>
      </c>
      <c r="I743" s="8" t="str">
        <f t="array" ref="I743">IF(739&gt;$S$1204,"",INDEX($T$5:$AJ$1204,MATCH(739,$S$5:$S$1204,0),9))</f>
        <v/>
      </c>
      <c r="J743" s="14" t="str">
        <f t="array" ref="J743">IF(739&gt;$S$1204,"",INDEX($T$5:$AJ$1204,MATCH(739,$S$5:$S$1204,0),10))</f>
        <v/>
      </c>
      <c r="K743" s="8" t="str">
        <f t="array" ref="K743">IF(739&gt;$S$1204,"",INDEX($T$5:$AJ$1204,MATCH(739,$S$5:$S$1204,0),11))</f>
        <v/>
      </c>
      <c r="L743" s="8" t="str">
        <f t="array" ref="L743">IF(739&gt;$S$1204,"",INDEX($T$5:$AJ$1204,MATCH(739,$S$5:$S$1204,0),12))</f>
        <v/>
      </c>
      <c r="M743" s="8" t="str">
        <f t="array" ref="M743">IF(739&gt;$S$1204,"",INDEX($T$5:$AJ$1204,MATCH(739,$S$5:$S$1204,0),13))</f>
        <v/>
      </c>
      <c r="N743" s="8" t="str">
        <f t="array" ref="N743">IF(739&gt;$S$1204,"",INDEX($T$5:$AJ$1204,MATCH(739,$S$5:$S$1204,0),14))</f>
        <v/>
      </c>
      <c r="O743" s="15" t="str">
        <f t="array" ref="O743">IF(739&gt;$S$1204,"",INDEX($T$5:$AJ$1204,MATCH(739,$S$5:$S$1204,0),15))</f>
        <v/>
      </c>
      <c r="P743" s="8" t="str">
        <f t="array" ref="P743">IF(739&gt;$S$1204,"",INDEX($T$5:$AJ$1204,MATCH(739,$S$5:$S$1204,0),16))</f>
        <v/>
      </c>
      <c r="Q743" s="8" t="str">
        <f t="array" ref="Q743">IF(739&gt;$S$1204,"",INDEX($T$5:$AJ$1204,MATCH(739,$S$5:$S$1204,0),17))</f>
        <v/>
      </c>
      <c r="R743" s="17"/>
      <c r="S743" s="17">
        <f>S742+IF(M4_Sectores!A147="",0,1)</f>
        <v>0</v>
      </c>
      <c r="T743" s="17" t="str">
        <f>IF(M4_Sectores!A147="","",IF(M4_Sectores!A147="","",M4_Sectores!A147))</f>
        <v/>
      </c>
      <c r="U743" s="17" t="str">
        <f>IF(M4_Sectores!A147="","",IF(M4_Sectores!Q147="","",M4_Sectores!Q147))</f>
        <v/>
      </c>
      <c r="V743" s="17" t="str">
        <f>IF(M4_Sectores!A147="","",IF(M4_Sectores!D147="","",M4_Sectores!D147))</f>
        <v/>
      </c>
      <c r="W743" s="17" t="str">
        <f>IF(M4_Sectores!A147="","",IF(M4_Sectores!B147="","",M4_Sectores!B147))</f>
        <v/>
      </c>
      <c r="X743" s="17" t="str">
        <f>IF(M4_Sectores!A147="","",IF(M4_Sectores!C147="","",M4_Sectores!C147))</f>
        <v/>
      </c>
      <c r="Y743" s="17" t="str">
        <f>IF(M4_Sectores!A147="","",IF(M4_Sectores!E147="","",M4_Sectores!E147))</f>
        <v/>
      </c>
      <c r="Z743" s="17" t="str">
        <f>IF(M4_Sectores!A147="","",IF(M4_Sectores!F147="","",M4_Sectores!F147))</f>
        <v/>
      </c>
      <c r="AA743" s="17" t="str">
        <f>IF(M4_Sectores!A147="","","M4 Sectores")</f>
        <v/>
      </c>
      <c r="AB743" s="17" t="str">
        <f>IF(M4_Sectores!A147="","",IF(M4_Sectores!G147="","",M4_Sectores!G147))</f>
        <v/>
      </c>
      <c r="AC743" s="17" t="str">
        <f>IF(M4_Sectores!A147="","",IF(COUNTIFS(M4_Sectores!$A$9:A147,M4_Sectores!A147,M4_Sectores!$D$9:D147,M4_Sectores!D147,M4_Sectores!$H$9:H147,M4_Sectores!H147)=1,IF(M4_Sectores!L147="","",M4_Sectores!L147),""))</f>
        <v/>
      </c>
      <c r="AD743" s="17" t="str">
        <f>IF(M4_Sectores!A147="","","EE")</f>
        <v/>
      </c>
      <c r="AE743" s="17" t="str">
        <f>IF(M4_Sectores!A147="","",IF(M4_Sectores!N147="","",M4_Sectores!N147))</f>
        <v/>
      </c>
      <c r="AF743" s="17" t="str">
        <f>IF(M4_Sectores!A147="","",IF(M4_Sectores!O147="","",M4_Sectores!O147))</f>
        <v/>
      </c>
      <c r="AG743" s="17" t="str">
        <f>IF(M4_Sectores!A147="","",IF(M4_Sectores!P147="","",M4_Sectores!P147))</f>
        <v/>
      </c>
      <c r="AH743" s="17" t="str">
        <f>IF(M4_Sectores!A147="","",IF(M4_Sectores!H147="","",M4_Sectores!H147))</f>
        <v/>
      </c>
      <c r="AI743" s="17" t="str">
        <f>IF(M4_Sectores!A147="","","M4_Sectores!147")</f>
        <v/>
      </c>
      <c r="AJ743" s="17" t="str">
        <f>IF(M4_Sectores!A147="","",IF(M4_Sectores!L147="","Pendiente de momento o resultado",IF(COUNTIFS(M4_Sectores!$A$9:A147,M4_Sectores!A147,M4_Sectores!$D$9:D147,M4_Sectores!D147,M4_Sectores!$H$9:H147,M4_Sectores!H147)=1,"Total del momento","Sector incluido en total")))</f>
        <v/>
      </c>
    </row>
    <row r="744" spans="1:36" ht="55.5" customHeight="1">
      <c r="A744" s="6" t="str">
        <f t="array" ref="A744">IF(740&gt;$S$1204,"",INDEX($T$5:$AJ$1204,MATCH(740,$S$5:$S$1204,0),1))</f>
        <v/>
      </c>
      <c r="B744" s="8" t="str">
        <f t="array" ref="B744">IF(740&gt;$S$1204,"",INDEX($T$5:$AJ$1204,MATCH(740,$S$5:$S$1204,0),2))</f>
        <v/>
      </c>
      <c r="C744" s="10" t="str">
        <f t="array" ref="C744">IF(740&gt;$S$1204,"",INDEX($T$5:$AJ$1204,MATCH(740,$S$5:$S$1204,0),3))</f>
        <v/>
      </c>
      <c r="D744" s="8" t="str">
        <f t="array" ref="D744">IF(740&gt;$S$1204,"",INDEX($T$5:$AJ$1204,MATCH(740,$S$5:$S$1204,0),4))</f>
        <v/>
      </c>
      <c r="E744" s="8" t="str">
        <f t="array" ref="E744">IF(740&gt;$S$1204,"",INDEX($T$5:$AJ$1204,MATCH(740,$S$5:$S$1204,0),5))</f>
        <v/>
      </c>
      <c r="F744" s="8" t="str">
        <f t="array" ref="F744">IF(740&gt;$S$1204,"",INDEX($T$5:$AJ$1204,MATCH(740,$S$5:$S$1204,0),6))</f>
        <v/>
      </c>
      <c r="G744" s="8" t="str">
        <f t="array" ref="G744">IF(740&gt;$S$1204,"",INDEX($T$5:$AJ$1204,MATCH(740,$S$5:$S$1204,0),7))</f>
        <v/>
      </c>
      <c r="H744" s="8" t="str">
        <f t="array" ref="H744">IF(740&gt;$S$1204,"",INDEX($T$5:$AJ$1204,MATCH(740,$S$5:$S$1204,0),8))</f>
        <v/>
      </c>
      <c r="I744" s="8" t="str">
        <f t="array" ref="I744">IF(740&gt;$S$1204,"",INDEX($T$5:$AJ$1204,MATCH(740,$S$5:$S$1204,0),9))</f>
        <v/>
      </c>
      <c r="J744" s="14" t="str">
        <f t="array" ref="J744">IF(740&gt;$S$1204,"",INDEX($T$5:$AJ$1204,MATCH(740,$S$5:$S$1204,0),10))</f>
        <v/>
      </c>
      <c r="K744" s="8" t="str">
        <f t="array" ref="K744">IF(740&gt;$S$1204,"",INDEX($T$5:$AJ$1204,MATCH(740,$S$5:$S$1204,0),11))</f>
        <v/>
      </c>
      <c r="L744" s="8" t="str">
        <f t="array" ref="L744">IF(740&gt;$S$1204,"",INDEX($T$5:$AJ$1204,MATCH(740,$S$5:$S$1204,0),12))</f>
        <v/>
      </c>
      <c r="M744" s="8" t="str">
        <f t="array" ref="M744">IF(740&gt;$S$1204,"",INDEX($T$5:$AJ$1204,MATCH(740,$S$5:$S$1204,0),13))</f>
        <v/>
      </c>
      <c r="N744" s="8" t="str">
        <f t="array" ref="N744">IF(740&gt;$S$1204,"",INDEX($T$5:$AJ$1204,MATCH(740,$S$5:$S$1204,0),14))</f>
        <v/>
      </c>
      <c r="O744" s="15" t="str">
        <f t="array" ref="O744">IF(740&gt;$S$1204,"",INDEX($T$5:$AJ$1204,MATCH(740,$S$5:$S$1204,0),15))</f>
        <v/>
      </c>
      <c r="P744" s="8" t="str">
        <f t="array" ref="P744">IF(740&gt;$S$1204,"",INDEX($T$5:$AJ$1204,MATCH(740,$S$5:$S$1204,0),16))</f>
        <v/>
      </c>
      <c r="Q744" s="8" t="str">
        <f t="array" ref="Q744">IF(740&gt;$S$1204,"",INDEX($T$5:$AJ$1204,MATCH(740,$S$5:$S$1204,0),17))</f>
        <v/>
      </c>
      <c r="R744" s="17"/>
      <c r="S744" s="17">
        <f>S743+IF(M4_Sectores!A148="",0,1)</f>
        <v>0</v>
      </c>
      <c r="T744" s="17" t="str">
        <f>IF(M4_Sectores!A148="","",IF(M4_Sectores!A148="","",M4_Sectores!A148))</f>
        <v/>
      </c>
      <c r="U744" s="17" t="str">
        <f>IF(M4_Sectores!A148="","",IF(M4_Sectores!Q148="","",M4_Sectores!Q148))</f>
        <v/>
      </c>
      <c r="V744" s="17" t="str">
        <f>IF(M4_Sectores!A148="","",IF(M4_Sectores!D148="","",M4_Sectores!D148))</f>
        <v/>
      </c>
      <c r="W744" s="17" t="str">
        <f>IF(M4_Sectores!A148="","",IF(M4_Sectores!B148="","",M4_Sectores!B148))</f>
        <v/>
      </c>
      <c r="X744" s="17" t="str">
        <f>IF(M4_Sectores!A148="","",IF(M4_Sectores!C148="","",M4_Sectores!C148))</f>
        <v/>
      </c>
      <c r="Y744" s="17" t="str">
        <f>IF(M4_Sectores!A148="","",IF(M4_Sectores!E148="","",M4_Sectores!E148))</f>
        <v/>
      </c>
      <c r="Z744" s="17" t="str">
        <f>IF(M4_Sectores!A148="","",IF(M4_Sectores!F148="","",M4_Sectores!F148))</f>
        <v/>
      </c>
      <c r="AA744" s="17" t="str">
        <f>IF(M4_Sectores!A148="","","M4 Sectores")</f>
        <v/>
      </c>
      <c r="AB744" s="17" t="str">
        <f>IF(M4_Sectores!A148="","",IF(M4_Sectores!G148="","",M4_Sectores!G148))</f>
        <v/>
      </c>
      <c r="AC744" s="17" t="str">
        <f>IF(M4_Sectores!A148="","",IF(COUNTIFS(M4_Sectores!$A$9:A148,M4_Sectores!A148,M4_Sectores!$D$9:D148,M4_Sectores!D148,M4_Sectores!$H$9:H148,M4_Sectores!H148)=1,IF(M4_Sectores!L148="","",M4_Sectores!L148),""))</f>
        <v/>
      </c>
      <c r="AD744" s="17" t="str">
        <f>IF(M4_Sectores!A148="","","EE")</f>
        <v/>
      </c>
      <c r="AE744" s="17" t="str">
        <f>IF(M4_Sectores!A148="","",IF(M4_Sectores!N148="","",M4_Sectores!N148))</f>
        <v/>
      </c>
      <c r="AF744" s="17" t="str">
        <f>IF(M4_Sectores!A148="","",IF(M4_Sectores!O148="","",M4_Sectores!O148))</f>
        <v/>
      </c>
      <c r="AG744" s="17" t="str">
        <f>IF(M4_Sectores!A148="","",IF(M4_Sectores!P148="","",M4_Sectores!P148))</f>
        <v/>
      </c>
      <c r="AH744" s="17" t="str">
        <f>IF(M4_Sectores!A148="","",IF(M4_Sectores!H148="","",M4_Sectores!H148))</f>
        <v/>
      </c>
      <c r="AI744" s="17" t="str">
        <f>IF(M4_Sectores!A148="","","M4_Sectores!148")</f>
        <v/>
      </c>
      <c r="AJ744" s="17" t="str">
        <f>IF(M4_Sectores!A148="","",IF(M4_Sectores!L148="","Pendiente de momento o resultado",IF(COUNTIFS(M4_Sectores!$A$9:A148,M4_Sectores!A148,M4_Sectores!$D$9:D148,M4_Sectores!D148,M4_Sectores!$H$9:H148,M4_Sectores!H148)=1,"Total del momento","Sector incluido en total")))</f>
        <v/>
      </c>
    </row>
    <row r="745" spans="1:36" ht="55.5" customHeight="1">
      <c r="A745" s="6" t="str">
        <f t="array" ref="A745">IF(741&gt;$S$1204,"",INDEX($T$5:$AJ$1204,MATCH(741,$S$5:$S$1204,0),1))</f>
        <v/>
      </c>
      <c r="B745" s="8" t="str">
        <f t="array" ref="B745">IF(741&gt;$S$1204,"",INDEX($T$5:$AJ$1204,MATCH(741,$S$5:$S$1204,0),2))</f>
        <v/>
      </c>
      <c r="C745" s="10" t="str">
        <f t="array" ref="C745">IF(741&gt;$S$1204,"",INDEX($T$5:$AJ$1204,MATCH(741,$S$5:$S$1204,0),3))</f>
        <v/>
      </c>
      <c r="D745" s="8" t="str">
        <f t="array" ref="D745">IF(741&gt;$S$1204,"",INDEX($T$5:$AJ$1204,MATCH(741,$S$5:$S$1204,0),4))</f>
        <v/>
      </c>
      <c r="E745" s="8" t="str">
        <f t="array" ref="E745">IF(741&gt;$S$1204,"",INDEX($T$5:$AJ$1204,MATCH(741,$S$5:$S$1204,0),5))</f>
        <v/>
      </c>
      <c r="F745" s="8" t="str">
        <f t="array" ref="F745">IF(741&gt;$S$1204,"",INDEX($T$5:$AJ$1204,MATCH(741,$S$5:$S$1204,0),6))</f>
        <v/>
      </c>
      <c r="G745" s="8" t="str">
        <f t="array" ref="G745">IF(741&gt;$S$1204,"",INDEX($T$5:$AJ$1204,MATCH(741,$S$5:$S$1204,0),7))</f>
        <v/>
      </c>
      <c r="H745" s="8" t="str">
        <f t="array" ref="H745">IF(741&gt;$S$1204,"",INDEX($T$5:$AJ$1204,MATCH(741,$S$5:$S$1204,0),8))</f>
        <v/>
      </c>
      <c r="I745" s="8" t="str">
        <f t="array" ref="I745">IF(741&gt;$S$1204,"",INDEX($T$5:$AJ$1204,MATCH(741,$S$5:$S$1204,0),9))</f>
        <v/>
      </c>
      <c r="J745" s="14" t="str">
        <f t="array" ref="J745">IF(741&gt;$S$1204,"",INDEX($T$5:$AJ$1204,MATCH(741,$S$5:$S$1204,0),10))</f>
        <v/>
      </c>
      <c r="K745" s="8" t="str">
        <f t="array" ref="K745">IF(741&gt;$S$1204,"",INDEX($T$5:$AJ$1204,MATCH(741,$S$5:$S$1204,0),11))</f>
        <v/>
      </c>
      <c r="L745" s="8" t="str">
        <f t="array" ref="L745">IF(741&gt;$S$1204,"",INDEX($T$5:$AJ$1204,MATCH(741,$S$5:$S$1204,0),12))</f>
        <v/>
      </c>
      <c r="M745" s="8" t="str">
        <f t="array" ref="M745">IF(741&gt;$S$1204,"",INDEX($T$5:$AJ$1204,MATCH(741,$S$5:$S$1204,0),13))</f>
        <v/>
      </c>
      <c r="N745" s="8" t="str">
        <f t="array" ref="N745">IF(741&gt;$S$1204,"",INDEX($T$5:$AJ$1204,MATCH(741,$S$5:$S$1204,0),14))</f>
        <v/>
      </c>
      <c r="O745" s="15" t="str">
        <f t="array" ref="O745">IF(741&gt;$S$1204,"",INDEX($T$5:$AJ$1204,MATCH(741,$S$5:$S$1204,0),15))</f>
        <v/>
      </c>
      <c r="P745" s="8" t="str">
        <f t="array" ref="P745">IF(741&gt;$S$1204,"",INDEX($T$5:$AJ$1204,MATCH(741,$S$5:$S$1204,0),16))</f>
        <v/>
      </c>
      <c r="Q745" s="8" t="str">
        <f t="array" ref="Q745">IF(741&gt;$S$1204,"",INDEX($T$5:$AJ$1204,MATCH(741,$S$5:$S$1204,0),17))</f>
        <v/>
      </c>
      <c r="R745" s="17"/>
      <c r="S745" s="17">
        <f>S744+IF(M4_Sectores!A149="",0,1)</f>
        <v>0</v>
      </c>
      <c r="T745" s="17" t="str">
        <f>IF(M4_Sectores!A149="","",IF(M4_Sectores!A149="","",M4_Sectores!A149))</f>
        <v/>
      </c>
      <c r="U745" s="17" t="str">
        <f>IF(M4_Sectores!A149="","",IF(M4_Sectores!Q149="","",M4_Sectores!Q149))</f>
        <v/>
      </c>
      <c r="V745" s="17" t="str">
        <f>IF(M4_Sectores!A149="","",IF(M4_Sectores!D149="","",M4_Sectores!D149))</f>
        <v/>
      </c>
      <c r="W745" s="17" t="str">
        <f>IF(M4_Sectores!A149="","",IF(M4_Sectores!B149="","",M4_Sectores!B149))</f>
        <v/>
      </c>
      <c r="X745" s="17" t="str">
        <f>IF(M4_Sectores!A149="","",IF(M4_Sectores!C149="","",M4_Sectores!C149))</f>
        <v/>
      </c>
      <c r="Y745" s="17" t="str">
        <f>IF(M4_Sectores!A149="","",IF(M4_Sectores!E149="","",M4_Sectores!E149))</f>
        <v/>
      </c>
      <c r="Z745" s="17" t="str">
        <f>IF(M4_Sectores!A149="","",IF(M4_Sectores!F149="","",M4_Sectores!F149))</f>
        <v/>
      </c>
      <c r="AA745" s="17" t="str">
        <f>IF(M4_Sectores!A149="","","M4 Sectores")</f>
        <v/>
      </c>
      <c r="AB745" s="17" t="str">
        <f>IF(M4_Sectores!A149="","",IF(M4_Sectores!G149="","",M4_Sectores!G149))</f>
        <v/>
      </c>
      <c r="AC745" s="17" t="str">
        <f>IF(M4_Sectores!A149="","",IF(COUNTIFS(M4_Sectores!$A$9:A149,M4_Sectores!A149,M4_Sectores!$D$9:D149,M4_Sectores!D149,M4_Sectores!$H$9:H149,M4_Sectores!H149)=1,IF(M4_Sectores!L149="","",M4_Sectores!L149),""))</f>
        <v/>
      </c>
      <c r="AD745" s="17" t="str">
        <f>IF(M4_Sectores!A149="","","EE")</f>
        <v/>
      </c>
      <c r="AE745" s="17" t="str">
        <f>IF(M4_Sectores!A149="","",IF(M4_Sectores!N149="","",M4_Sectores!N149))</f>
        <v/>
      </c>
      <c r="AF745" s="17" t="str">
        <f>IF(M4_Sectores!A149="","",IF(M4_Sectores!O149="","",M4_Sectores!O149))</f>
        <v/>
      </c>
      <c r="AG745" s="17" t="str">
        <f>IF(M4_Sectores!A149="","",IF(M4_Sectores!P149="","",M4_Sectores!P149))</f>
        <v/>
      </c>
      <c r="AH745" s="17" t="str">
        <f>IF(M4_Sectores!A149="","",IF(M4_Sectores!H149="","",M4_Sectores!H149))</f>
        <v/>
      </c>
      <c r="AI745" s="17" t="str">
        <f>IF(M4_Sectores!A149="","","M4_Sectores!149")</f>
        <v/>
      </c>
      <c r="AJ745" s="17" t="str">
        <f>IF(M4_Sectores!A149="","",IF(M4_Sectores!L149="","Pendiente de momento o resultado",IF(COUNTIFS(M4_Sectores!$A$9:A149,M4_Sectores!A149,M4_Sectores!$D$9:D149,M4_Sectores!D149,M4_Sectores!$H$9:H149,M4_Sectores!H149)=1,"Total del momento","Sector incluido en total")))</f>
        <v/>
      </c>
    </row>
    <row r="746" spans="1:36" ht="55.5" customHeight="1">
      <c r="A746" s="6" t="str">
        <f t="array" ref="A746">IF(742&gt;$S$1204,"",INDEX($T$5:$AJ$1204,MATCH(742,$S$5:$S$1204,0),1))</f>
        <v/>
      </c>
      <c r="B746" s="8" t="str">
        <f t="array" ref="B746">IF(742&gt;$S$1204,"",INDEX($T$5:$AJ$1204,MATCH(742,$S$5:$S$1204,0),2))</f>
        <v/>
      </c>
      <c r="C746" s="10" t="str">
        <f t="array" ref="C746">IF(742&gt;$S$1204,"",INDEX($T$5:$AJ$1204,MATCH(742,$S$5:$S$1204,0),3))</f>
        <v/>
      </c>
      <c r="D746" s="8" t="str">
        <f t="array" ref="D746">IF(742&gt;$S$1204,"",INDEX($T$5:$AJ$1204,MATCH(742,$S$5:$S$1204,0),4))</f>
        <v/>
      </c>
      <c r="E746" s="8" t="str">
        <f t="array" ref="E746">IF(742&gt;$S$1204,"",INDEX($T$5:$AJ$1204,MATCH(742,$S$5:$S$1204,0),5))</f>
        <v/>
      </c>
      <c r="F746" s="8" t="str">
        <f t="array" ref="F746">IF(742&gt;$S$1204,"",INDEX($T$5:$AJ$1204,MATCH(742,$S$5:$S$1204,0),6))</f>
        <v/>
      </c>
      <c r="G746" s="8" t="str">
        <f t="array" ref="G746">IF(742&gt;$S$1204,"",INDEX($T$5:$AJ$1204,MATCH(742,$S$5:$S$1204,0),7))</f>
        <v/>
      </c>
      <c r="H746" s="8" t="str">
        <f t="array" ref="H746">IF(742&gt;$S$1204,"",INDEX($T$5:$AJ$1204,MATCH(742,$S$5:$S$1204,0),8))</f>
        <v/>
      </c>
      <c r="I746" s="8" t="str">
        <f t="array" ref="I746">IF(742&gt;$S$1204,"",INDEX($T$5:$AJ$1204,MATCH(742,$S$5:$S$1204,0),9))</f>
        <v/>
      </c>
      <c r="J746" s="14" t="str">
        <f t="array" ref="J746">IF(742&gt;$S$1204,"",INDEX($T$5:$AJ$1204,MATCH(742,$S$5:$S$1204,0),10))</f>
        <v/>
      </c>
      <c r="K746" s="8" t="str">
        <f t="array" ref="K746">IF(742&gt;$S$1204,"",INDEX($T$5:$AJ$1204,MATCH(742,$S$5:$S$1204,0),11))</f>
        <v/>
      </c>
      <c r="L746" s="8" t="str">
        <f t="array" ref="L746">IF(742&gt;$S$1204,"",INDEX($T$5:$AJ$1204,MATCH(742,$S$5:$S$1204,0),12))</f>
        <v/>
      </c>
      <c r="M746" s="8" t="str">
        <f t="array" ref="M746">IF(742&gt;$S$1204,"",INDEX($T$5:$AJ$1204,MATCH(742,$S$5:$S$1204,0),13))</f>
        <v/>
      </c>
      <c r="N746" s="8" t="str">
        <f t="array" ref="N746">IF(742&gt;$S$1204,"",INDEX($T$5:$AJ$1204,MATCH(742,$S$5:$S$1204,0),14))</f>
        <v/>
      </c>
      <c r="O746" s="15" t="str">
        <f t="array" ref="O746">IF(742&gt;$S$1204,"",INDEX($T$5:$AJ$1204,MATCH(742,$S$5:$S$1204,0),15))</f>
        <v/>
      </c>
      <c r="P746" s="8" t="str">
        <f t="array" ref="P746">IF(742&gt;$S$1204,"",INDEX($T$5:$AJ$1204,MATCH(742,$S$5:$S$1204,0),16))</f>
        <v/>
      </c>
      <c r="Q746" s="8" t="str">
        <f t="array" ref="Q746">IF(742&gt;$S$1204,"",INDEX($T$5:$AJ$1204,MATCH(742,$S$5:$S$1204,0),17))</f>
        <v/>
      </c>
      <c r="R746" s="17"/>
      <c r="S746" s="17">
        <f>S745+IF(M4_Sectores!A150="",0,1)</f>
        <v>0</v>
      </c>
      <c r="T746" s="17" t="str">
        <f>IF(M4_Sectores!A150="","",IF(M4_Sectores!A150="","",M4_Sectores!A150))</f>
        <v/>
      </c>
      <c r="U746" s="17" t="str">
        <f>IF(M4_Sectores!A150="","",IF(M4_Sectores!Q150="","",M4_Sectores!Q150))</f>
        <v/>
      </c>
      <c r="V746" s="17" t="str">
        <f>IF(M4_Sectores!A150="","",IF(M4_Sectores!D150="","",M4_Sectores!D150))</f>
        <v/>
      </c>
      <c r="W746" s="17" t="str">
        <f>IF(M4_Sectores!A150="","",IF(M4_Sectores!B150="","",M4_Sectores!B150))</f>
        <v/>
      </c>
      <c r="X746" s="17" t="str">
        <f>IF(M4_Sectores!A150="","",IF(M4_Sectores!C150="","",M4_Sectores!C150))</f>
        <v/>
      </c>
      <c r="Y746" s="17" t="str">
        <f>IF(M4_Sectores!A150="","",IF(M4_Sectores!E150="","",M4_Sectores!E150))</f>
        <v/>
      </c>
      <c r="Z746" s="17" t="str">
        <f>IF(M4_Sectores!A150="","",IF(M4_Sectores!F150="","",M4_Sectores!F150))</f>
        <v/>
      </c>
      <c r="AA746" s="17" t="str">
        <f>IF(M4_Sectores!A150="","","M4 Sectores")</f>
        <v/>
      </c>
      <c r="AB746" s="17" t="str">
        <f>IF(M4_Sectores!A150="","",IF(M4_Sectores!G150="","",M4_Sectores!G150))</f>
        <v/>
      </c>
      <c r="AC746" s="17" t="str">
        <f>IF(M4_Sectores!A150="","",IF(COUNTIFS(M4_Sectores!$A$9:A150,M4_Sectores!A150,M4_Sectores!$D$9:D150,M4_Sectores!D150,M4_Sectores!$H$9:H150,M4_Sectores!H150)=1,IF(M4_Sectores!L150="","",M4_Sectores!L150),""))</f>
        <v/>
      </c>
      <c r="AD746" s="17" t="str">
        <f>IF(M4_Sectores!A150="","","EE")</f>
        <v/>
      </c>
      <c r="AE746" s="17" t="str">
        <f>IF(M4_Sectores!A150="","",IF(M4_Sectores!N150="","",M4_Sectores!N150))</f>
        <v/>
      </c>
      <c r="AF746" s="17" t="str">
        <f>IF(M4_Sectores!A150="","",IF(M4_Sectores!O150="","",M4_Sectores!O150))</f>
        <v/>
      </c>
      <c r="AG746" s="17" t="str">
        <f>IF(M4_Sectores!A150="","",IF(M4_Sectores!P150="","",M4_Sectores!P150))</f>
        <v/>
      </c>
      <c r="AH746" s="17" t="str">
        <f>IF(M4_Sectores!A150="","",IF(M4_Sectores!H150="","",M4_Sectores!H150))</f>
        <v/>
      </c>
      <c r="AI746" s="17" t="str">
        <f>IF(M4_Sectores!A150="","","M4_Sectores!150")</f>
        <v/>
      </c>
      <c r="AJ746" s="17" t="str">
        <f>IF(M4_Sectores!A150="","",IF(M4_Sectores!L150="","Pendiente de momento o resultado",IF(COUNTIFS(M4_Sectores!$A$9:A150,M4_Sectores!A150,M4_Sectores!$D$9:D150,M4_Sectores!D150,M4_Sectores!$H$9:H150,M4_Sectores!H150)=1,"Total del momento","Sector incluido en total")))</f>
        <v/>
      </c>
    </row>
    <row r="747" spans="1:36" ht="55.5" customHeight="1">
      <c r="A747" s="6" t="str">
        <f t="array" ref="A747">IF(743&gt;$S$1204,"",INDEX($T$5:$AJ$1204,MATCH(743,$S$5:$S$1204,0),1))</f>
        <v/>
      </c>
      <c r="B747" s="8" t="str">
        <f t="array" ref="B747">IF(743&gt;$S$1204,"",INDEX($T$5:$AJ$1204,MATCH(743,$S$5:$S$1204,0),2))</f>
        <v/>
      </c>
      <c r="C747" s="10" t="str">
        <f t="array" ref="C747">IF(743&gt;$S$1204,"",INDEX($T$5:$AJ$1204,MATCH(743,$S$5:$S$1204,0),3))</f>
        <v/>
      </c>
      <c r="D747" s="8" t="str">
        <f t="array" ref="D747">IF(743&gt;$S$1204,"",INDEX($T$5:$AJ$1204,MATCH(743,$S$5:$S$1204,0),4))</f>
        <v/>
      </c>
      <c r="E747" s="8" t="str">
        <f t="array" ref="E747">IF(743&gt;$S$1204,"",INDEX($T$5:$AJ$1204,MATCH(743,$S$5:$S$1204,0),5))</f>
        <v/>
      </c>
      <c r="F747" s="8" t="str">
        <f t="array" ref="F747">IF(743&gt;$S$1204,"",INDEX($T$5:$AJ$1204,MATCH(743,$S$5:$S$1204,0),6))</f>
        <v/>
      </c>
      <c r="G747" s="8" t="str">
        <f t="array" ref="G747">IF(743&gt;$S$1204,"",INDEX($T$5:$AJ$1204,MATCH(743,$S$5:$S$1204,0),7))</f>
        <v/>
      </c>
      <c r="H747" s="8" t="str">
        <f t="array" ref="H747">IF(743&gt;$S$1204,"",INDEX($T$5:$AJ$1204,MATCH(743,$S$5:$S$1204,0),8))</f>
        <v/>
      </c>
      <c r="I747" s="8" t="str">
        <f t="array" ref="I747">IF(743&gt;$S$1204,"",INDEX($T$5:$AJ$1204,MATCH(743,$S$5:$S$1204,0),9))</f>
        <v/>
      </c>
      <c r="J747" s="14" t="str">
        <f t="array" ref="J747">IF(743&gt;$S$1204,"",INDEX($T$5:$AJ$1204,MATCH(743,$S$5:$S$1204,0),10))</f>
        <v/>
      </c>
      <c r="K747" s="8" t="str">
        <f t="array" ref="K747">IF(743&gt;$S$1204,"",INDEX($T$5:$AJ$1204,MATCH(743,$S$5:$S$1204,0),11))</f>
        <v/>
      </c>
      <c r="L747" s="8" t="str">
        <f t="array" ref="L747">IF(743&gt;$S$1204,"",INDEX($T$5:$AJ$1204,MATCH(743,$S$5:$S$1204,0),12))</f>
        <v/>
      </c>
      <c r="M747" s="8" t="str">
        <f t="array" ref="M747">IF(743&gt;$S$1204,"",INDEX($T$5:$AJ$1204,MATCH(743,$S$5:$S$1204,0),13))</f>
        <v/>
      </c>
      <c r="N747" s="8" t="str">
        <f t="array" ref="N747">IF(743&gt;$S$1204,"",INDEX($T$5:$AJ$1204,MATCH(743,$S$5:$S$1204,0),14))</f>
        <v/>
      </c>
      <c r="O747" s="15" t="str">
        <f t="array" ref="O747">IF(743&gt;$S$1204,"",INDEX($T$5:$AJ$1204,MATCH(743,$S$5:$S$1204,0),15))</f>
        <v/>
      </c>
      <c r="P747" s="8" t="str">
        <f t="array" ref="P747">IF(743&gt;$S$1204,"",INDEX($T$5:$AJ$1204,MATCH(743,$S$5:$S$1204,0),16))</f>
        <v/>
      </c>
      <c r="Q747" s="8" t="str">
        <f t="array" ref="Q747">IF(743&gt;$S$1204,"",INDEX($T$5:$AJ$1204,MATCH(743,$S$5:$S$1204,0),17))</f>
        <v/>
      </c>
      <c r="R747" s="17"/>
      <c r="S747" s="17">
        <f>S746+IF(M4_Sectores!A151="",0,1)</f>
        <v>0</v>
      </c>
      <c r="T747" s="17" t="str">
        <f>IF(M4_Sectores!A151="","",IF(M4_Sectores!A151="","",M4_Sectores!A151))</f>
        <v/>
      </c>
      <c r="U747" s="17" t="str">
        <f>IF(M4_Sectores!A151="","",IF(M4_Sectores!Q151="","",M4_Sectores!Q151))</f>
        <v/>
      </c>
      <c r="V747" s="17" t="str">
        <f>IF(M4_Sectores!A151="","",IF(M4_Sectores!D151="","",M4_Sectores!D151))</f>
        <v/>
      </c>
      <c r="W747" s="17" t="str">
        <f>IF(M4_Sectores!A151="","",IF(M4_Sectores!B151="","",M4_Sectores!B151))</f>
        <v/>
      </c>
      <c r="X747" s="17" t="str">
        <f>IF(M4_Sectores!A151="","",IF(M4_Sectores!C151="","",M4_Sectores!C151))</f>
        <v/>
      </c>
      <c r="Y747" s="17" t="str">
        <f>IF(M4_Sectores!A151="","",IF(M4_Sectores!E151="","",M4_Sectores!E151))</f>
        <v/>
      </c>
      <c r="Z747" s="17" t="str">
        <f>IF(M4_Sectores!A151="","",IF(M4_Sectores!F151="","",M4_Sectores!F151))</f>
        <v/>
      </c>
      <c r="AA747" s="17" t="str">
        <f>IF(M4_Sectores!A151="","","M4 Sectores")</f>
        <v/>
      </c>
      <c r="AB747" s="17" t="str">
        <f>IF(M4_Sectores!A151="","",IF(M4_Sectores!G151="","",M4_Sectores!G151))</f>
        <v/>
      </c>
      <c r="AC747" s="17" t="str">
        <f>IF(M4_Sectores!A151="","",IF(COUNTIFS(M4_Sectores!$A$9:A151,M4_Sectores!A151,M4_Sectores!$D$9:D151,M4_Sectores!D151,M4_Sectores!$H$9:H151,M4_Sectores!H151)=1,IF(M4_Sectores!L151="","",M4_Sectores!L151),""))</f>
        <v/>
      </c>
      <c r="AD747" s="17" t="str">
        <f>IF(M4_Sectores!A151="","","EE")</f>
        <v/>
      </c>
      <c r="AE747" s="17" t="str">
        <f>IF(M4_Sectores!A151="","",IF(M4_Sectores!N151="","",M4_Sectores!N151))</f>
        <v/>
      </c>
      <c r="AF747" s="17" t="str">
        <f>IF(M4_Sectores!A151="","",IF(M4_Sectores!O151="","",M4_Sectores!O151))</f>
        <v/>
      </c>
      <c r="AG747" s="17" t="str">
        <f>IF(M4_Sectores!A151="","",IF(M4_Sectores!P151="","",M4_Sectores!P151))</f>
        <v/>
      </c>
      <c r="AH747" s="17" t="str">
        <f>IF(M4_Sectores!A151="","",IF(M4_Sectores!H151="","",M4_Sectores!H151))</f>
        <v/>
      </c>
      <c r="AI747" s="17" t="str">
        <f>IF(M4_Sectores!A151="","","M4_Sectores!151")</f>
        <v/>
      </c>
      <c r="AJ747" s="17" t="str">
        <f>IF(M4_Sectores!A151="","",IF(M4_Sectores!L151="","Pendiente de momento o resultado",IF(COUNTIFS(M4_Sectores!$A$9:A151,M4_Sectores!A151,M4_Sectores!$D$9:D151,M4_Sectores!D151,M4_Sectores!$H$9:H151,M4_Sectores!H151)=1,"Total del momento","Sector incluido en total")))</f>
        <v/>
      </c>
    </row>
    <row r="748" spans="1:36" ht="55.5" customHeight="1">
      <c r="A748" s="6" t="str">
        <f t="array" ref="A748">IF(744&gt;$S$1204,"",INDEX($T$5:$AJ$1204,MATCH(744,$S$5:$S$1204,0),1))</f>
        <v/>
      </c>
      <c r="B748" s="8" t="str">
        <f t="array" ref="B748">IF(744&gt;$S$1204,"",INDEX($T$5:$AJ$1204,MATCH(744,$S$5:$S$1204,0),2))</f>
        <v/>
      </c>
      <c r="C748" s="10" t="str">
        <f t="array" ref="C748">IF(744&gt;$S$1204,"",INDEX($T$5:$AJ$1204,MATCH(744,$S$5:$S$1204,0),3))</f>
        <v/>
      </c>
      <c r="D748" s="8" t="str">
        <f t="array" ref="D748">IF(744&gt;$S$1204,"",INDEX($T$5:$AJ$1204,MATCH(744,$S$5:$S$1204,0),4))</f>
        <v/>
      </c>
      <c r="E748" s="8" t="str">
        <f t="array" ref="E748">IF(744&gt;$S$1204,"",INDEX($T$5:$AJ$1204,MATCH(744,$S$5:$S$1204,0),5))</f>
        <v/>
      </c>
      <c r="F748" s="8" t="str">
        <f t="array" ref="F748">IF(744&gt;$S$1204,"",INDEX($T$5:$AJ$1204,MATCH(744,$S$5:$S$1204,0),6))</f>
        <v/>
      </c>
      <c r="G748" s="8" t="str">
        <f t="array" ref="G748">IF(744&gt;$S$1204,"",INDEX($T$5:$AJ$1204,MATCH(744,$S$5:$S$1204,0),7))</f>
        <v/>
      </c>
      <c r="H748" s="8" t="str">
        <f t="array" ref="H748">IF(744&gt;$S$1204,"",INDEX($T$5:$AJ$1204,MATCH(744,$S$5:$S$1204,0),8))</f>
        <v/>
      </c>
      <c r="I748" s="8" t="str">
        <f t="array" ref="I748">IF(744&gt;$S$1204,"",INDEX($T$5:$AJ$1204,MATCH(744,$S$5:$S$1204,0),9))</f>
        <v/>
      </c>
      <c r="J748" s="14" t="str">
        <f t="array" ref="J748">IF(744&gt;$S$1204,"",INDEX($T$5:$AJ$1204,MATCH(744,$S$5:$S$1204,0),10))</f>
        <v/>
      </c>
      <c r="K748" s="8" t="str">
        <f t="array" ref="K748">IF(744&gt;$S$1204,"",INDEX($T$5:$AJ$1204,MATCH(744,$S$5:$S$1204,0),11))</f>
        <v/>
      </c>
      <c r="L748" s="8" t="str">
        <f t="array" ref="L748">IF(744&gt;$S$1204,"",INDEX($T$5:$AJ$1204,MATCH(744,$S$5:$S$1204,0),12))</f>
        <v/>
      </c>
      <c r="M748" s="8" t="str">
        <f t="array" ref="M748">IF(744&gt;$S$1204,"",INDEX($T$5:$AJ$1204,MATCH(744,$S$5:$S$1204,0),13))</f>
        <v/>
      </c>
      <c r="N748" s="8" t="str">
        <f t="array" ref="N748">IF(744&gt;$S$1204,"",INDEX($T$5:$AJ$1204,MATCH(744,$S$5:$S$1204,0),14))</f>
        <v/>
      </c>
      <c r="O748" s="15" t="str">
        <f t="array" ref="O748">IF(744&gt;$S$1204,"",INDEX($T$5:$AJ$1204,MATCH(744,$S$5:$S$1204,0),15))</f>
        <v/>
      </c>
      <c r="P748" s="8" t="str">
        <f t="array" ref="P748">IF(744&gt;$S$1204,"",INDEX($T$5:$AJ$1204,MATCH(744,$S$5:$S$1204,0),16))</f>
        <v/>
      </c>
      <c r="Q748" s="8" t="str">
        <f t="array" ref="Q748">IF(744&gt;$S$1204,"",INDEX($T$5:$AJ$1204,MATCH(744,$S$5:$S$1204,0),17))</f>
        <v/>
      </c>
      <c r="R748" s="17"/>
      <c r="S748" s="17">
        <f>S747+IF(M4_Sectores!A152="",0,1)</f>
        <v>0</v>
      </c>
      <c r="T748" s="17" t="str">
        <f>IF(M4_Sectores!A152="","",IF(M4_Sectores!A152="","",M4_Sectores!A152))</f>
        <v/>
      </c>
      <c r="U748" s="17" t="str">
        <f>IF(M4_Sectores!A152="","",IF(M4_Sectores!Q152="","",M4_Sectores!Q152))</f>
        <v/>
      </c>
      <c r="V748" s="17" t="str">
        <f>IF(M4_Sectores!A152="","",IF(M4_Sectores!D152="","",M4_Sectores!D152))</f>
        <v/>
      </c>
      <c r="W748" s="17" t="str">
        <f>IF(M4_Sectores!A152="","",IF(M4_Sectores!B152="","",M4_Sectores!B152))</f>
        <v/>
      </c>
      <c r="X748" s="17" t="str">
        <f>IF(M4_Sectores!A152="","",IF(M4_Sectores!C152="","",M4_Sectores!C152))</f>
        <v/>
      </c>
      <c r="Y748" s="17" t="str">
        <f>IF(M4_Sectores!A152="","",IF(M4_Sectores!E152="","",M4_Sectores!E152))</f>
        <v/>
      </c>
      <c r="Z748" s="17" t="str">
        <f>IF(M4_Sectores!A152="","",IF(M4_Sectores!F152="","",M4_Sectores!F152))</f>
        <v/>
      </c>
      <c r="AA748" s="17" t="str">
        <f>IF(M4_Sectores!A152="","","M4 Sectores")</f>
        <v/>
      </c>
      <c r="AB748" s="17" t="str">
        <f>IF(M4_Sectores!A152="","",IF(M4_Sectores!G152="","",M4_Sectores!G152))</f>
        <v/>
      </c>
      <c r="AC748" s="17" t="str">
        <f>IF(M4_Sectores!A152="","",IF(COUNTIFS(M4_Sectores!$A$9:A152,M4_Sectores!A152,M4_Sectores!$D$9:D152,M4_Sectores!D152,M4_Sectores!$H$9:H152,M4_Sectores!H152)=1,IF(M4_Sectores!L152="","",M4_Sectores!L152),""))</f>
        <v/>
      </c>
      <c r="AD748" s="17" t="str">
        <f>IF(M4_Sectores!A152="","","EE")</f>
        <v/>
      </c>
      <c r="AE748" s="17" t="str">
        <f>IF(M4_Sectores!A152="","",IF(M4_Sectores!N152="","",M4_Sectores!N152))</f>
        <v/>
      </c>
      <c r="AF748" s="17" t="str">
        <f>IF(M4_Sectores!A152="","",IF(M4_Sectores!O152="","",M4_Sectores!O152))</f>
        <v/>
      </c>
      <c r="AG748" s="17" t="str">
        <f>IF(M4_Sectores!A152="","",IF(M4_Sectores!P152="","",M4_Sectores!P152))</f>
        <v/>
      </c>
      <c r="AH748" s="17" t="str">
        <f>IF(M4_Sectores!A152="","",IF(M4_Sectores!H152="","",M4_Sectores!H152))</f>
        <v/>
      </c>
      <c r="AI748" s="17" t="str">
        <f>IF(M4_Sectores!A152="","","M4_Sectores!152")</f>
        <v/>
      </c>
      <c r="AJ748" s="17" t="str">
        <f>IF(M4_Sectores!A152="","",IF(M4_Sectores!L152="","Pendiente de momento o resultado",IF(COUNTIFS(M4_Sectores!$A$9:A152,M4_Sectores!A152,M4_Sectores!$D$9:D152,M4_Sectores!D152,M4_Sectores!$H$9:H152,M4_Sectores!H152)=1,"Total del momento","Sector incluido en total")))</f>
        <v/>
      </c>
    </row>
    <row r="749" spans="1:36" ht="55.5" customHeight="1">
      <c r="A749" s="6" t="str">
        <f t="array" ref="A749">IF(745&gt;$S$1204,"",INDEX($T$5:$AJ$1204,MATCH(745,$S$5:$S$1204,0),1))</f>
        <v/>
      </c>
      <c r="B749" s="8" t="str">
        <f t="array" ref="B749">IF(745&gt;$S$1204,"",INDEX($T$5:$AJ$1204,MATCH(745,$S$5:$S$1204,0),2))</f>
        <v/>
      </c>
      <c r="C749" s="10" t="str">
        <f t="array" ref="C749">IF(745&gt;$S$1204,"",INDEX($T$5:$AJ$1204,MATCH(745,$S$5:$S$1204,0),3))</f>
        <v/>
      </c>
      <c r="D749" s="8" t="str">
        <f t="array" ref="D749">IF(745&gt;$S$1204,"",INDEX($T$5:$AJ$1204,MATCH(745,$S$5:$S$1204,0),4))</f>
        <v/>
      </c>
      <c r="E749" s="8" t="str">
        <f t="array" ref="E749">IF(745&gt;$S$1204,"",INDEX($T$5:$AJ$1204,MATCH(745,$S$5:$S$1204,0),5))</f>
        <v/>
      </c>
      <c r="F749" s="8" t="str">
        <f t="array" ref="F749">IF(745&gt;$S$1204,"",INDEX($T$5:$AJ$1204,MATCH(745,$S$5:$S$1204,0),6))</f>
        <v/>
      </c>
      <c r="G749" s="8" t="str">
        <f t="array" ref="G749">IF(745&gt;$S$1204,"",INDEX($T$5:$AJ$1204,MATCH(745,$S$5:$S$1204,0),7))</f>
        <v/>
      </c>
      <c r="H749" s="8" t="str">
        <f t="array" ref="H749">IF(745&gt;$S$1204,"",INDEX($T$5:$AJ$1204,MATCH(745,$S$5:$S$1204,0),8))</f>
        <v/>
      </c>
      <c r="I749" s="8" t="str">
        <f t="array" ref="I749">IF(745&gt;$S$1204,"",INDEX($T$5:$AJ$1204,MATCH(745,$S$5:$S$1204,0),9))</f>
        <v/>
      </c>
      <c r="J749" s="14" t="str">
        <f t="array" ref="J749">IF(745&gt;$S$1204,"",INDEX($T$5:$AJ$1204,MATCH(745,$S$5:$S$1204,0),10))</f>
        <v/>
      </c>
      <c r="K749" s="8" t="str">
        <f t="array" ref="K749">IF(745&gt;$S$1204,"",INDEX($T$5:$AJ$1204,MATCH(745,$S$5:$S$1204,0),11))</f>
        <v/>
      </c>
      <c r="L749" s="8" t="str">
        <f t="array" ref="L749">IF(745&gt;$S$1204,"",INDEX($T$5:$AJ$1204,MATCH(745,$S$5:$S$1204,0),12))</f>
        <v/>
      </c>
      <c r="M749" s="8" t="str">
        <f t="array" ref="M749">IF(745&gt;$S$1204,"",INDEX($T$5:$AJ$1204,MATCH(745,$S$5:$S$1204,0),13))</f>
        <v/>
      </c>
      <c r="N749" s="8" t="str">
        <f t="array" ref="N749">IF(745&gt;$S$1204,"",INDEX($T$5:$AJ$1204,MATCH(745,$S$5:$S$1204,0),14))</f>
        <v/>
      </c>
      <c r="O749" s="15" t="str">
        <f t="array" ref="O749">IF(745&gt;$S$1204,"",INDEX($T$5:$AJ$1204,MATCH(745,$S$5:$S$1204,0),15))</f>
        <v/>
      </c>
      <c r="P749" s="8" t="str">
        <f t="array" ref="P749">IF(745&gt;$S$1204,"",INDEX($T$5:$AJ$1204,MATCH(745,$S$5:$S$1204,0),16))</f>
        <v/>
      </c>
      <c r="Q749" s="8" t="str">
        <f t="array" ref="Q749">IF(745&gt;$S$1204,"",INDEX($T$5:$AJ$1204,MATCH(745,$S$5:$S$1204,0),17))</f>
        <v/>
      </c>
      <c r="R749" s="17"/>
      <c r="S749" s="17">
        <f>S748+IF(M4_Sectores!A153="",0,1)</f>
        <v>0</v>
      </c>
      <c r="T749" s="17" t="str">
        <f>IF(M4_Sectores!A153="","",IF(M4_Sectores!A153="","",M4_Sectores!A153))</f>
        <v/>
      </c>
      <c r="U749" s="17" t="str">
        <f>IF(M4_Sectores!A153="","",IF(M4_Sectores!Q153="","",M4_Sectores!Q153))</f>
        <v/>
      </c>
      <c r="V749" s="17" t="str">
        <f>IF(M4_Sectores!A153="","",IF(M4_Sectores!D153="","",M4_Sectores!D153))</f>
        <v/>
      </c>
      <c r="W749" s="17" t="str">
        <f>IF(M4_Sectores!A153="","",IF(M4_Sectores!B153="","",M4_Sectores!B153))</f>
        <v/>
      </c>
      <c r="X749" s="17" t="str">
        <f>IF(M4_Sectores!A153="","",IF(M4_Sectores!C153="","",M4_Sectores!C153))</f>
        <v/>
      </c>
      <c r="Y749" s="17" t="str">
        <f>IF(M4_Sectores!A153="","",IF(M4_Sectores!E153="","",M4_Sectores!E153))</f>
        <v/>
      </c>
      <c r="Z749" s="17" t="str">
        <f>IF(M4_Sectores!A153="","",IF(M4_Sectores!F153="","",M4_Sectores!F153))</f>
        <v/>
      </c>
      <c r="AA749" s="17" t="str">
        <f>IF(M4_Sectores!A153="","","M4 Sectores")</f>
        <v/>
      </c>
      <c r="AB749" s="17" t="str">
        <f>IF(M4_Sectores!A153="","",IF(M4_Sectores!G153="","",M4_Sectores!G153))</f>
        <v/>
      </c>
      <c r="AC749" s="17" t="str">
        <f>IF(M4_Sectores!A153="","",IF(COUNTIFS(M4_Sectores!$A$9:A153,M4_Sectores!A153,M4_Sectores!$D$9:D153,M4_Sectores!D153,M4_Sectores!$H$9:H153,M4_Sectores!H153)=1,IF(M4_Sectores!L153="","",M4_Sectores!L153),""))</f>
        <v/>
      </c>
      <c r="AD749" s="17" t="str">
        <f>IF(M4_Sectores!A153="","","EE")</f>
        <v/>
      </c>
      <c r="AE749" s="17" t="str">
        <f>IF(M4_Sectores!A153="","",IF(M4_Sectores!N153="","",M4_Sectores!N153))</f>
        <v/>
      </c>
      <c r="AF749" s="17" t="str">
        <f>IF(M4_Sectores!A153="","",IF(M4_Sectores!O153="","",M4_Sectores!O153))</f>
        <v/>
      </c>
      <c r="AG749" s="17" t="str">
        <f>IF(M4_Sectores!A153="","",IF(M4_Sectores!P153="","",M4_Sectores!P153))</f>
        <v/>
      </c>
      <c r="AH749" s="17" t="str">
        <f>IF(M4_Sectores!A153="","",IF(M4_Sectores!H153="","",M4_Sectores!H153))</f>
        <v/>
      </c>
      <c r="AI749" s="17" t="str">
        <f>IF(M4_Sectores!A153="","","M4_Sectores!153")</f>
        <v/>
      </c>
      <c r="AJ749" s="17" t="str">
        <f>IF(M4_Sectores!A153="","",IF(M4_Sectores!L153="","Pendiente de momento o resultado",IF(COUNTIFS(M4_Sectores!$A$9:A153,M4_Sectores!A153,M4_Sectores!$D$9:D153,M4_Sectores!D153,M4_Sectores!$H$9:H153,M4_Sectores!H153)=1,"Total del momento","Sector incluido en total")))</f>
        <v/>
      </c>
    </row>
    <row r="750" spans="1:36" ht="55.5" customHeight="1">
      <c r="A750" s="6" t="str">
        <f t="array" ref="A750">IF(746&gt;$S$1204,"",INDEX($T$5:$AJ$1204,MATCH(746,$S$5:$S$1204,0),1))</f>
        <v/>
      </c>
      <c r="B750" s="8" t="str">
        <f t="array" ref="B750">IF(746&gt;$S$1204,"",INDEX($T$5:$AJ$1204,MATCH(746,$S$5:$S$1204,0),2))</f>
        <v/>
      </c>
      <c r="C750" s="10" t="str">
        <f t="array" ref="C750">IF(746&gt;$S$1204,"",INDEX($T$5:$AJ$1204,MATCH(746,$S$5:$S$1204,0),3))</f>
        <v/>
      </c>
      <c r="D750" s="8" t="str">
        <f t="array" ref="D750">IF(746&gt;$S$1204,"",INDEX($T$5:$AJ$1204,MATCH(746,$S$5:$S$1204,0),4))</f>
        <v/>
      </c>
      <c r="E750" s="8" t="str">
        <f t="array" ref="E750">IF(746&gt;$S$1204,"",INDEX($T$5:$AJ$1204,MATCH(746,$S$5:$S$1204,0),5))</f>
        <v/>
      </c>
      <c r="F750" s="8" t="str">
        <f t="array" ref="F750">IF(746&gt;$S$1204,"",INDEX($T$5:$AJ$1204,MATCH(746,$S$5:$S$1204,0),6))</f>
        <v/>
      </c>
      <c r="G750" s="8" t="str">
        <f t="array" ref="G750">IF(746&gt;$S$1204,"",INDEX($T$5:$AJ$1204,MATCH(746,$S$5:$S$1204,0),7))</f>
        <v/>
      </c>
      <c r="H750" s="8" t="str">
        <f t="array" ref="H750">IF(746&gt;$S$1204,"",INDEX($T$5:$AJ$1204,MATCH(746,$S$5:$S$1204,0),8))</f>
        <v/>
      </c>
      <c r="I750" s="8" t="str">
        <f t="array" ref="I750">IF(746&gt;$S$1204,"",INDEX($T$5:$AJ$1204,MATCH(746,$S$5:$S$1204,0),9))</f>
        <v/>
      </c>
      <c r="J750" s="14" t="str">
        <f t="array" ref="J750">IF(746&gt;$S$1204,"",INDEX($T$5:$AJ$1204,MATCH(746,$S$5:$S$1204,0),10))</f>
        <v/>
      </c>
      <c r="K750" s="8" t="str">
        <f t="array" ref="K750">IF(746&gt;$S$1204,"",INDEX($T$5:$AJ$1204,MATCH(746,$S$5:$S$1204,0),11))</f>
        <v/>
      </c>
      <c r="L750" s="8" t="str">
        <f t="array" ref="L750">IF(746&gt;$S$1204,"",INDEX($T$5:$AJ$1204,MATCH(746,$S$5:$S$1204,0),12))</f>
        <v/>
      </c>
      <c r="M750" s="8" t="str">
        <f t="array" ref="M750">IF(746&gt;$S$1204,"",INDEX($T$5:$AJ$1204,MATCH(746,$S$5:$S$1204,0),13))</f>
        <v/>
      </c>
      <c r="N750" s="8" t="str">
        <f t="array" ref="N750">IF(746&gt;$S$1204,"",INDEX($T$5:$AJ$1204,MATCH(746,$S$5:$S$1204,0),14))</f>
        <v/>
      </c>
      <c r="O750" s="15" t="str">
        <f t="array" ref="O750">IF(746&gt;$S$1204,"",INDEX($T$5:$AJ$1204,MATCH(746,$S$5:$S$1204,0),15))</f>
        <v/>
      </c>
      <c r="P750" s="8" t="str">
        <f t="array" ref="P750">IF(746&gt;$S$1204,"",INDEX($T$5:$AJ$1204,MATCH(746,$S$5:$S$1204,0),16))</f>
        <v/>
      </c>
      <c r="Q750" s="8" t="str">
        <f t="array" ref="Q750">IF(746&gt;$S$1204,"",INDEX($T$5:$AJ$1204,MATCH(746,$S$5:$S$1204,0),17))</f>
        <v/>
      </c>
      <c r="R750" s="17"/>
      <c r="S750" s="17">
        <f>S749+IF(M4_Sectores!A154="",0,1)</f>
        <v>0</v>
      </c>
      <c r="T750" s="17" t="str">
        <f>IF(M4_Sectores!A154="","",IF(M4_Sectores!A154="","",M4_Sectores!A154))</f>
        <v/>
      </c>
      <c r="U750" s="17" t="str">
        <f>IF(M4_Sectores!A154="","",IF(M4_Sectores!Q154="","",M4_Sectores!Q154))</f>
        <v/>
      </c>
      <c r="V750" s="17" t="str">
        <f>IF(M4_Sectores!A154="","",IF(M4_Sectores!D154="","",M4_Sectores!D154))</f>
        <v/>
      </c>
      <c r="W750" s="17" t="str">
        <f>IF(M4_Sectores!A154="","",IF(M4_Sectores!B154="","",M4_Sectores!B154))</f>
        <v/>
      </c>
      <c r="X750" s="17" t="str">
        <f>IF(M4_Sectores!A154="","",IF(M4_Sectores!C154="","",M4_Sectores!C154))</f>
        <v/>
      </c>
      <c r="Y750" s="17" t="str">
        <f>IF(M4_Sectores!A154="","",IF(M4_Sectores!E154="","",M4_Sectores!E154))</f>
        <v/>
      </c>
      <c r="Z750" s="17" t="str">
        <f>IF(M4_Sectores!A154="","",IF(M4_Sectores!F154="","",M4_Sectores!F154))</f>
        <v/>
      </c>
      <c r="AA750" s="17" t="str">
        <f>IF(M4_Sectores!A154="","","M4 Sectores")</f>
        <v/>
      </c>
      <c r="AB750" s="17" t="str">
        <f>IF(M4_Sectores!A154="","",IF(M4_Sectores!G154="","",M4_Sectores!G154))</f>
        <v/>
      </c>
      <c r="AC750" s="17" t="str">
        <f>IF(M4_Sectores!A154="","",IF(COUNTIFS(M4_Sectores!$A$9:A154,M4_Sectores!A154,M4_Sectores!$D$9:D154,M4_Sectores!D154,M4_Sectores!$H$9:H154,M4_Sectores!H154)=1,IF(M4_Sectores!L154="","",M4_Sectores!L154),""))</f>
        <v/>
      </c>
      <c r="AD750" s="17" t="str">
        <f>IF(M4_Sectores!A154="","","EE")</f>
        <v/>
      </c>
      <c r="AE750" s="17" t="str">
        <f>IF(M4_Sectores!A154="","",IF(M4_Sectores!N154="","",M4_Sectores!N154))</f>
        <v/>
      </c>
      <c r="AF750" s="17" t="str">
        <f>IF(M4_Sectores!A154="","",IF(M4_Sectores!O154="","",M4_Sectores!O154))</f>
        <v/>
      </c>
      <c r="AG750" s="17" t="str">
        <f>IF(M4_Sectores!A154="","",IF(M4_Sectores!P154="","",M4_Sectores!P154))</f>
        <v/>
      </c>
      <c r="AH750" s="17" t="str">
        <f>IF(M4_Sectores!A154="","",IF(M4_Sectores!H154="","",M4_Sectores!H154))</f>
        <v/>
      </c>
      <c r="AI750" s="17" t="str">
        <f>IF(M4_Sectores!A154="","","M4_Sectores!154")</f>
        <v/>
      </c>
      <c r="AJ750" s="17" t="str">
        <f>IF(M4_Sectores!A154="","",IF(M4_Sectores!L154="","Pendiente de momento o resultado",IF(COUNTIFS(M4_Sectores!$A$9:A154,M4_Sectores!A154,M4_Sectores!$D$9:D154,M4_Sectores!D154,M4_Sectores!$H$9:H154,M4_Sectores!H154)=1,"Total del momento","Sector incluido en total")))</f>
        <v/>
      </c>
    </row>
    <row r="751" spans="1:36" ht="55.5" customHeight="1">
      <c r="A751" s="6" t="str">
        <f t="array" ref="A751">IF(747&gt;$S$1204,"",INDEX($T$5:$AJ$1204,MATCH(747,$S$5:$S$1204,0),1))</f>
        <v/>
      </c>
      <c r="B751" s="8" t="str">
        <f t="array" ref="B751">IF(747&gt;$S$1204,"",INDEX($T$5:$AJ$1204,MATCH(747,$S$5:$S$1204,0),2))</f>
        <v/>
      </c>
      <c r="C751" s="10" t="str">
        <f t="array" ref="C751">IF(747&gt;$S$1204,"",INDEX($T$5:$AJ$1204,MATCH(747,$S$5:$S$1204,0),3))</f>
        <v/>
      </c>
      <c r="D751" s="8" t="str">
        <f t="array" ref="D751">IF(747&gt;$S$1204,"",INDEX($T$5:$AJ$1204,MATCH(747,$S$5:$S$1204,0),4))</f>
        <v/>
      </c>
      <c r="E751" s="8" t="str">
        <f t="array" ref="E751">IF(747&gt;$S$1204,"",INDEX($T$5:$AJ$1204,MATCH(747,$S$5:$S$1204,0),5))</f>
        <v/>
      </c>
      <c r="F751" s="8" t="str">
        <f t="array" ref="F751">IF(747&gt;$S$1204,"",INDEX($T$5:$AJ$1204,MATCH(747,$S$5:$S$1204,0),6))</f>
        <v/>
      </c>
      <c r="G751" s="8" t="str">
        <f t="array" ref="G751">IF(747&gt;$S$1204,"",INDEX($T$5:$AJ$1204,MATCH(747,$S$5:$S$1204,0),7))</f>
        <v/>
      </c>
      <c r="H751" s="8" t="str">
        <f t="array" ref="H751">IF(747&gt;$S$1204,"",INDEX($T$5:$AJ$1204,MATCH(747,$S$5:$S$1204,0),8))</f>
        <v/>
      </c>
      <c r="I751" s="8" t="str">
        <f t="array" ref="I751">IF(747&gt;$S$1204,"",INDEX($T$5:$AJ$1204,MATCH(747,$S$5:$S$1204,0),9))</f>
        <v/>
      </c>
      <c r="J751" s="14" t="str">
        <f t="array" ref="J751">IF(747&gt;$S$1204,"",INDEX($T$5:$AJ$1204,MATCH(747,$S$5:$S$1204,0),10))</f>
        <v/>
      </c>
      <c r="K751" s="8" t="str">
        <f t="array" ref="K751">IF(747&gt;$S$1204,"",INDEX($T$5:$AJ$1204,MATCH(747,$S$5:$S$1204,0),11))</f>
        <v/>
      </c>
      <c r="L751" s="8" t="str">
        <f t="array" ref="L751">IF(747&gt;$S$1204,"",INDEX($T$5:$AJ$1204,MATCH(747,$S$5:$S$1204,0),12))</f>
        <v/>
      </c>
      <c r="M751" s="8" t="str">
        <f t="array" ref="M751">IF(747&gt;$S$1204,"",INDEX($T$5:$AJ$1204,MATCH(747,$S$5:$S$1204,0),13))</f>
        <v/>
      </c>
      <c r="N751" s="8" t="str">
        <f t="array" ref="N751">IF(747&gt;$S$1204,"",INDEX($T$5:$AJ$1204,MATCH(747,$S$5:$S$1204,0),14))</f>
        <v/>
      </c>
      <c r="O751" s="15" t="str">
        <f t="array" ref="O751">IF(747&gt;$S$1204,"",INDEX($T$5:$AJ$1204,MATCH(747,$S$5:$S$1204,0),15))</f>
        <v/>
      </c>
      <c r="P751" s="8" t="str">
        <f t="array" ref="P751">IF(747&gt;$S$1204,"",INDEX($T$5:$AJ$1204,MATCH(747,$S$5:$S$1204,0),16))</f>
        <v/>
      </c>
      <c r="Q751" s="8" t="str">
        <f t="array" ref="Q751">IF(747&gt;$S$1204,"",INDEX($T$5:$AJ$1204,MATCH(747,$S$5:$S$1204,0),17))</f>
        <v/>
      </c>
      <c r="R751" s="17"/>
      <c r="S751" s="17">
        <f>S750+IF(M4_Sectores!A155="",0,1)</f>
        <v>0</v>
      </c>
      <c r="T751" s="17" t="str">
        <f>IF(M4_Sectores!A155="","",IF(M4_Sectores!A155="","",M4_Sectores!A155))</f>
        <v/>
      </c>
      <c r="U751" s="17" t="str">
        <f>IF(M4_Sectores!A155="","",IF(M4_Sectores!Q155="","",M4_Sectores!Q155))</f>
        <v/>
      </c>
      <c r="V751" s="17" t="str">
        <f>IF(M4_Sectores!A155="","",IF(M4_Sectores!D155="","",M4_Sectores!D155))</f>
        <v/>
      </c>
      <c r="W751" s="17" t="str">
        <f>IF(M4_Sectores!A155="","",IF(M4_Sectores!B155="","",M4_Sectores!B155))</f>
        <v/>
      </c>
      <c r="X751" s="17" t="str">
        <f>IF(M4_Sectores!A155="","",IF(M4_Sectores!C155="","",M4_Sectores!C155))</f>
        <v/>
      </c>
      <c r="Y751" s="17" t="str">
        <f>IF(M4_Sectores!A155="","",IF(M4_Sectores!E155="","",M4_Sectores!E155))</f>
        <v/>
      </c>
      <c r="Z751" s="17" t="str">
        <f>IF(M4_Sectores!A155="","",IF(M4_Sectores!F155="","",M4_Sectores!F155))</f>
        <v/>
      </c>
      <c r="AA751" s="17" t="str">
        <f>IF(M4_Sectores!A155="","","M4 Sectores")</f>
        <v/>
      </c>
      <c r="AB751" s="17" t="str">
        <f>IF(M4_Sectores!A155="","",IF(M4_Sectores!G155="","",M4_Sectores!G155))</f>
        <v/>
      </c>
      <c r="AC751" s="17" t="str">
        <f>IF(M4_Sectores!A155="","",IF(COUNTIFS(M4_Sectores!$A$9:A155,M4_Sectores!A155,M4_Sectores!$D$9:D155,M4_Sectores!D155,M4_Sectores!$H$9:H155,M4_Sectores!H155)=1,IF(M4_Sectores!L155="","",M4_Sectores!L155),""))</f>
        <v/>
      </c>
      <c r="AD751" s="17" t="str">
        <f>IF(M4_Sectores!A155="","","EE")</f>
        <v/>
      </c>
      <c r="AE751" s="17" t="str">
        <f>IF(M4_Sectores!A155="","",IF(M4_Sectores!N155="","",M4_Sectores!N155))</f>
        <v/>
      </c>
      <c r="AF751" s="17" t="str">
        <f>IF(M4_Sectores!A155="","",IF(M4_Sectores!O155="","",M4_Sectores!O155))</f>
        <v/>
      </c>
      <c r="AG751" s="17" t="str">
        <f>IF(M4_Sectores!A155="","",IF(M4_Sectores!P155="","",M4_Sectores!P155))</f>
        <v/>
      </c>
      <c r="AH751" s="17" t="str">
        <f>IF(M4_Sectores!A155="","",IF(M4_Sectores!H155="","",M4_Sectores!H155))</f>
        <v/>
      </c>
      <c r="AI751" s="17" t="str">
        <f>IF(M4_Sectores!A155="","","M4_Sectores!155")</f>
        <v/>
      </c>
      <c r="AJ751" s="17" t="str">
        <f>IF(M4_Sectores!A155="","",IF(M4_Sectores!L155="","Pendiente de momento o resultado",IF(COUNTIFS(M4_Sectores!$A$9:A155,M4_Sectores!A155,M4_Sectores!$D$9:D155,M4_Sectores!D155,M4_Sectores!$H$9:H155,M4_Sectores!H155)=1,"Total del momento","Sector incluido en total")))</f>
        <v/>
      </c>
    </row>
    <row r="752" spans="1:36" ht="55.5" customHeight="1">
      <c r="A752" s="6" t="str">
        <f t="array" ref="A752">IF(748&gt;$S$1204,"",INDEX($T$5:$AJ$1204,MATCH(748,$S$5:$S$1204,0),1))</f>
        <v/>
      </c>
      <c r="B752" s="8" t="str">
        <f t="array" ref="B752">IF(748&gt;$S$1204,"",INDEX($T$5:$AJ$1204,MATCH(748,$S$5:$S$1204,0),2))</f>
        <v/>
      </c>
      <c r="C752" s="10" t="str">
        <f t="array" ref="C752">IF(748&gt;$S$1204,"",INDEX($T$5:$AJ$1204,MATCH(748,$S$5:$S$1204,0),3))</f>
        <v/>
      </c>
      <c r="D752" s="8" t="str">
        <f t="array" ref="D752">IF(748&gt;$S$1204,"",INDEX($T$5:$AJ$1204,MATCH(748,$S$5:$S$1204,0),4))</f>
        <v/>
      </c>
      <c r="E752" s="8" t="str">
        <f t="array" ref="E752">IF(748&gt;$S$1204,"",INDEX($T$5:$AJ$1204,MATCH(748,$S$5:$S$1204,0),5))</f>
        <v/>
      </c>
      <c r="F752" s="8" t="str">
        <f t="array" ref="F752">IF(748&gt;$S$1204,"",INDEX($T$5:$AJ$1204,MATCH(748,$S$5:$S$1204,0),6))</f>
        <v/>
      </c>
      <c r="G752" s="8" t="str">
        <f t="array" ref="G752">IF(748&gt;$S$1204,"",INDEX($T$5:$AJ$1204,MATCH(748,$S$5:$S$1204,0),7))</f>
        <v/>
      </c>
      <c r="H752" s="8" t="str">
        <f t="array" ref="H752">IF(748&gt;$S$1204,"",INDEX($T$5:$AJ$1204,MATCH(748,$S$5:$S$1204,0),8))</f>
        <v/>
      </c>
      <c r="I752" s="8" t="str">
        <f t="array" ref="I752">IF(748&gt;$S$1204,"",INDEX($T$5:$AJ$1204,MATCH(748,$S$5:$S$1204,0),9))</f>
        <v/>
      </c>
      <c r="J752" s="14" t="str">
        <f t="array" ref="J752">IF(748&gt;$S$1204,"",INDEX($T$5:$AJ$1204,MATCH(748,$S$5:$S$1204,0),10))</f>
        <v/>
      </c>
      <c r="K752" s="8" t="str">
        <f t="array" ref="K752">IF(748&gt;$S$1204,"",INDEX($T$5:$AJ$1204,MATCH(748,$S$5:$S$1204,0),11))</f>
        <v/>
      </c>
      <c r="L752" s="8" t="str">
        <f t="array" ref="L752">IF(748&gt;$S$1204,"",INDEX($T$5:$AJ$1204,MATCH(748,$S$5:$S$1204,0),12))</f>
        <v/>
      </c>
      <c r="M752" s="8" t="str">
        <f t="array" ref="M752">IF(748&gt;$S$1204,"",INDEX($T$5:$AJ$1204,MATCH(748,$S$5:$S$1204,0),13))</f>
        <v/>
      </c>
      <c r="N752" s="8" t="str">
        <f t="array" ref="N752">IF(748&gt;$S$1204,"",INDEX($T$5:$AJ$1204,MATCH(748,$S$5:$S$1204,0),14))</f>
        <v/>
      </c>
      <c r="O752" s="15" t="str">
        <f t="array" ref="O752">IF(748&gt;$S$1204,"",INDEX($T$5:$AJ$1204,MATCH(748,$S$5:$S$1204,0),15))</f>
        <v/>
      </c>
      <c r="P752" s="8" t="str">
        <f t="array" ref="P752">IF(748&gt;$S$1204,"",INDEX($T$5:$AJ$1204,MATCH(748,$S$5:$S$1204,0),16))</f>
        <v/>
      </c>
      <c r="Q752" s="8" t="str">
        <f t="array" ref="Q752">IF(748&gt;$S$1204,"",INDEX($T$5:$AJ$1204,MATCH(748,$S$5:$S$1204,0),17))</f>
        <v/>
      </c>
      <c r="R752" s="17"/>
      <c r="S752" s="17">
        <f>S751+IF(M4_Sectores!A156="",0,1)</f>
        <v>0</v>
      </c>
      <c r="T752" s="17" t="str">
        <f>IF(M4_Sectores!A156="","",IF(M4_Sectores!A156="","",M4_Sectores!A156))</f>
        <v/>
      </c>
      <c r="U752" s="17" t="str">
        <f>IF(M4_Sectores!A156="","",IF(M4_Sectores!Q156="","",M4_Sectores!Q156))</f>
        <v/>
      </c>
      <c r="V752" s="17" t="str">
        <f>IF(M4_Sectores!A156="","",IF(M4_Sectores!D156="","",M4_Sectores!D156))</f>
        <v/>
      </c>
      <c r="W752" s="17" t="str">
        <f>IF(M4_Sectores!A156="","",IF(M4_Sectores!B156="","",M4_Sectores!B156))</f>
        <v/>
      </c>
      <c r="X752" s="17" t="str">
        <f>IF(M4_Sectores!A156="","",IF(M4_Sectores!C156="","",M4_Sectores!C156))</f>
        <v/>
      </c>
      <c r="Y752" s="17" t="str">
        <f>IF(M4_Sectores!A156="","",IF(M4_Sectores!E156="","",M4_Sectores!E156))</f>
        <v/>
      </c>
      <c r="Z752" s="17" t="str">
        <f>IF(M4_Sectores!A156="","",IF(M4_Sectores!F156="","",M4_Sectores!F156))</f>
        <v/>
      </c>
      <c r="AA752" s="17" t="str">
        <f>IF(M4_Sectores!A156="","","M4 Sectores")</f>
        <v/>
      </c>
      <c r="AB752" s="17" t="str">
        <f>IF(M4_Sectores!A156="","",IF(M4_Sectores!G156="","",M4_Sectores!G156))</f>
        <v/>
      </c>
      <c r="AC752" s="17" t="str">
        <f>IF(M4_Sectores!A156="","",IF(COUNTIFS(M4_Sectores!$A$9:A156,M4_Sectores!A156,M4_Sectores!$D$9:D156,M4_Sectores!D156,M4_Sectores!$H$9:H156,M4_Sectores!H156)=1,IF(M4_Sectores!L156="","",M4_Sectores!L156),""))</f>
        <v/>
      </c>
      <c r="AD752" s="17" t="str">
        <f>IF(M4_Sectores!A156="","","EE")</f>
        <v/>
      </c>
      <c r="AE752" s="17" t="str">
        <f>IF(M4_Sectores!A156="","",IF(M4_Sectores!N156="","",M4_Sectores!N156))</f>
        <v/>
      </c>
      <c r="AF752" s="17" t="str">
        <f>IF(M4_Sectores!A156="","",IF(M4_Sectores!O156="","",M4_Sectores!O156))</f>
        <v/>
      </c>
      <c r="AG752" s="17" t="str">
        <f>IF(M4_Sectores!A156="","",IF(M4_Sectores!P156="","",M4_Sectores!P156))</f>
        <v/>
      </c>
      <c r="AH752" s="17" t="str">
        <f>IF(M4_Sectores!A156="","",IF(M4_Sectores!H156="","",M4_Sectores!H156))</f>
        <v/>
      </c>
      <c r="AI752" s="17" t="str">
        <f>IF(M4_Sectores!A156="","","M4_Sectores!156")</f>
        <v/>
      </c>
      <c r="AJ752" s="17" t="str">
        <f>IF(M4_Sectores!A156="","",IF(M4_Sectores!L156="","Pendiente de momento o resultado",IF(COUNTIFS(M4_Sectores!$A$9:A156,M4_Sectores!A156,M4_Sectores!$D$9:D156,M4_Sectores!D156,M4_Sectores!$H$9:H156,M4_Sectores!H156)=1,"Total del momento","Sector incluido en total")))</f>
        <v/>
      </c>
    </row>
    <row r="753" spans="1:36" ht="55.5" customHeight="1">
      <c r="A753" s="6" t="str">
        <f t="array" ref="A753">IF(749&gt;$S$1204,"",INDEX($T$5:$AJ$1204,MATCH(749,$S$5:$S$1204,0),1))</f>
        <v/>
      </c>
      <c r="B753" s="8" t="str">
        <f t="array" ref="B753">IF(749&gt;$S$1204,"",INDEX($T$5:$AJ$1204,MATCH(749,$S$5:$S$1204,0),2))</f>
        <v/>
      </c>
      <c r="C753" s="10" t="str">
        <f t="array" ref="C753">IF(749&gt;$S$1204,"",INDEX($T$5:$AJ$1204,MATCH(749,$S$5:$S$1204,0),3))</f>
        <v/>
      </c>
      <c r="D753" s="8" t="str">
        <f t="array" ref="D753">IF(749&gt;$S$1204,"",INDEX($T$5:$AJ$1204,MATCH(749,$S$5:$S$1204,0),4))</f>
        <v/>
      </c>
      <c r="E753" s="8" t="str">
        <f t="array" ref="E753">IF(749&gt;$S$1204,"",INDEX($T$5:$AJ$1204,MATCH(749,$S$5:$S$1204,0),5))</f>
        <v/>
      </c>
      <c r="F753" s="8" t="str">
        <f t="array" ref="F753">IF(749&gt;$S$1204,"",INDEX($T$5:$AJ$1204,MATCH(749,$S$5:$S$1204,0),6))</f>
        <v/>
      </c>
      <c r="G753" s="8" t="str">
        <f t="array" ref="G753">IF(749&gt;$S$1204,"",INDEX($T$5:$AJ$1204,MATCH(749,$S$5:$S$1204,0),7))</f>
        <v/>
      </c>
      <c r="H753" s="8" t="str">
        <f t="array" ref="H753">IF(749&gt;$S$1204,"",INDEX($T$5:$AJ$1204,MATCH(749,$S$5:$S$1204,0),8))</f>
        <v/>
      </c>
      <c r="I753" s="8" t="str">
        <f t="array" ref="I753">IF(749&gt;$S$1204,"",INDEX($T$5:$AJ$1204,MATCH(749,$S$5:$S$1204,0),9))</f>
        <v/>
      </c>
      <c r="J753" s="14" t="str">
        <f t="array" ref="J753">IF(749&gt;$S$1204,"",INDEX($T$5:$AJ$1204,MATCH(749,$S$5:$S$1204,0),10))</f>
        <v/>
      </c>
      <c r="K753" s="8" t="str">
        <f t="array" ref="K753">IF(749&gt;$S$1204,"",INDEX($T$5:$AJ$1204,MATCH(749,$S$5:$S$1204,0),11))</f>
        <v/>
      </c>
      <c r="L753" s="8" t="str">
        <f t="array" ref="L753">IF(749&gt;$S$1204,"",INDEX($T$5:$AJ$1204,MATCH(749,$S$5:$S$1204,0),12))</f>
        <v/>
      </c>
      <c r="M753" s="8" t="str">
        <f t="array" ref="M753">IF(749&gt;$S$1204,"",INDEX($T$5:$AJ$1204,MATCH(749,$S$5:$S$1204,0),13))</f>
        <v/>
      </c>
      <c r="N753" s="8" t="str">
        <f t="array" ref="N753">IF(749&gt;$S$1204,"",INDEX($T$5:$AJ$1204,MATCH(749,$S$5:$S$1204,0),14))</f>
        <v/>
      </c>
      <c r="O753" s="15" t="str">
        <f t="array" ref="O753">IF(749&gt;$S$1204,"",INDEX($T$5:$AJ$1204,MATCH(749,$S$5:$S$1204,0),15))</f>
        <v/>
      </c>
      <c r="P753" s="8" t="str">
        <f t="array" ref="P753">IF(749&gt;$S$1204,"",INDEX($T$5:$AJ$1204,MATCH(749,$S$5:$S$1204,0),16))</f>
        <v/>
      </c>
      <c r="Q753" s="8" t="str">
        <f t="array" ref="Q753">IF(749&gt;$S$1204,"",INDEX($T$5:$AJ$1204,MATCH(749,$S$5:$S$1204,0),17))</f>
        <v/>
      </c>
      <c r="R753" s="17"/>
      <c r="S753" s="17">
        <f>S752+IF(M4_Sectores!A157="",0,1)</f>
        <v>0</v>
      </c>
      <c r="T753" s="17" t="str">
        <f>IF(M4_Sectores!A157="","",IF(M4_Sectores!A157="","",M4_Sectores!A157))</f>
        <v/>
      </c>
      <c r="U753" s="17" t="str">
        <f>IF(M4_Sectores!A157="","",IF(M4_Sectores!Q157="","",M4_Sectores!Q157))</f>
        <v/>
      </c>
      <c r="V753" s="17" t="str">
        <f>IF(M4_Sectores!A157="","",IF(M4_Sectores!D157="","",M4_Sectores!D157))</f>
        <v/>
      </c>
      <c r="W753" s="17" t="str">
        <f>IF(M4_Sectores!A157="","",IF(M4_Sectores!B157="","",M4_Sectores!B157))</f>
        <v/>
      </c>
      <c r="X753" s="17" t="str">
        <f>IF(M4_Sectores!A157="","",IF(M4_Sectores!C157="","",M4_Sectores!C157))</f>
        <v/>
      </c>
      <c r="Y753" s="17" t="str">
        <f>IF(M4_Sectores!A157="","",IF(M4_Sectores!E157="","",M4_Sectores!E157))</f>
        <v/>
      </c>
      <c r="Z753" s="17" t="str">
        <f>IF(M4_Sectores!A157="","",IF(M4_Sectores!F157="","",M4_Sectores!F157))</f>
        <v/>
      </c>
      <c r="AA753" s="17" t="str">
        <f>IF(M4_Sectores!A157="","","M4 Sectores")</f>
        <v/>
      </c>
      <c r="AB753" s="17" t="str">
        <f>IF(M4_Sectores!A157="","",IF(M4_Sectores!G157="","",M4_Sectores!G157))</f>
        <v/>
      </c>
      <c r="AC753" s="17" t="str">
        <f>IF(M4_Sectores!A157="","",IF(COUNTIFS(M4_Sectores!$A$9:A157,M4_Sectores!A157,M4_Sectores!$D$9:D157,M4_Sectores!D157,M4_Sectores!$H$9:H157,M4_Sectores!H157)=1,IF(M4_Sectores!L157="","",M4_Sectores!L157),""))</f>
        <v/>
      </c>
      <c r="AD753" s="17" t="str">
        <f>IF(M4_Sectores!A157="","","EE")</f>
        <v/>
      </c>
      <c r="AE753" s="17" t="str">
        <f>IF(M4_Sectores!A157="","",IF(M4_Sectores!N157="","",M4_Sectores!N157))</f>
        <v/>
      </c>
      <c r="AF753" s="17" t="str">
        <f>IF(M4_Sectores!A157="","",IF(M4_Sectores!O157="","",M4_Sectores!O157))</f>
        <v/>
      </c>
      <c r="AG753" s="17" t="str">
        <f>IF(M4_Sectores!A157="","",IF(M4_Sectores!P157="","",M4_Sectores!P157))</f>
        <v/>
      </c>
      <c r="AH753" s="17" t="str">
        <f>IF(M4_Sectores!A157="","",IF(M4_Sectores!H157="","",M4_Sectores!H157))</f>
        <v/>
      </c>
      <c r="AI753" s="17" t="str">
        <f>IF(M4_Sectores!A157="","","M4_Sectores!157")</f>
        <v/>
      </c>
      <c r="AJ753" s="17" t="str">
        <f>IF(M4_Sectores!A157="","",IF(M4_Sectores!L157="","Pendiente de momento o resultado",IF(COUNTIFS(M4_Sectores!$A$9:A157,M4_Sectores!A157,M4_Sectores!$D$9:D157,M4_Sectores!D157,M4_Sectores!$H$9:H157,M4_Sectores!H157)=1,"Total del momento","Sector incluido en total")))</f>
        <v/>
      </c>
    </row>
    <row r="754" spans="1:36" ht="55.5" customHeight="1">
      <c r="A754" s="6" t="str">
        <f t="array" ref="A754">IF(750&gt;$S$1204,"",INDEX($T$5:$AJ$1204,MATCH(750,$S$5:$S$1204,0),1))</f>
        <v/>
      </c>
      <c r="B754" s="8" t="str">
        <f t="array" ref="B754">IF(750&gt;$S$1204,"",INDEX($T$5:$AJ$1204,MATCH(750,$S$5:$S$1204,0),2))</f>
        <v/>
      </c>
      <c r="C754" s="10" t="str">
        <f t="array" ref="C754">IF(750&gt;$S$1204,"",INDEX($T$5:$AJ$1204,MATCH(750,$S$5:$S$1204,0),3))</f>
        <v/>
      </c>
      <c r="D754" s="8" t="str">
        <f t="array" ref="D754">IF(750&gt;$S$1204,"",INDEX($T$5:$AJ$1204,MATCH(750,$S$5:$S$1204,0),4))</f>
        <v/>
      </c>
      <c r="E754" s="8" t="str">
        <f t="array" ref="E754">IF(750&gt;$S$1204,"",INDEX($T$5:$AJ$1204,MATCH(750,$S$5:$S$1204,0),5))</f>
        <v/>
      </c>
      <c r="F754" s="8" t="str">
        <f t="array" ref="F754">IF(750&gt;$S$1204,"",INDEX($T$5:$AJ$1204,MATCH(750,$S$5:$S$1204,0),6))</f>
        <v/>
      </c>
      <c r="G754" s="8" t="str">
        <f t="array" ref="G754">IF(750&gt;$S$1204,"",INDEX($T$5:$AJ$1204,MATCH(750,$S$5:$S$1204,0),7))</f>
        <v/>
      </c>
      <c r="H754" s="8" t="str">
        <f t="array" ref="H754">IF(750&gt;$S$1204,"",INDEX($T$5:$AJ$1204,MATCH(750,$S$5:$S$1204,0),8))</f>
        <v/>
      </c>
      <c r="I754" s="8" t="str">
        <f t="array" ref="I754">IF(750&gt;$S$1204,"",INDEX($T$5:$AJ$1204,MATCH(750,$S$5:$S$1204,0),9))</f>
        <v/>
      </c>
      <c r="J754" s="14" t="str">
        <f t="array" ref="J754">IF(750&gt;$S$1204,"",INDEX($T$5:$AJ$1204,MATCH(750,$S$5:$S$1204,0),10))</f>
        <v/>
      </c>
      <c r="K754" s="8" t="str">
        <f t="array" ref="K754">IF(750&gt;$S$1204,"",INDEX($T$5:$AJ$1204,MATCH(750,$S$5:$S$1204,0),11))</f>
        <v/>
      </c>
      <c r="L754" s="8" t="str">
        <f t="array" ref="L754">IF(750&gt;$S$1204,"",INDEX($T$5:$AJ$1204,MATCH(750,$S$5:$S$1204,0),12))</f>
        <v/>
      </c>
      <c r="M754" s="8" t="str">
        <f t="array" ref="M754">IF(750&gt;$S$1204,"",INDEX($T$5:$AJ$1204,MATCH(750,$S$5:$S$1204,0),13))</f>
        <v/>
      </c>
      <c r="N754" s="8" t="str">
        <f t="array" ref="N754">IF(750&gt;$S$1204,"",INDEX($T$5:$AJ$1204,MATCH(750,$S$5:$S$1204,0),14))</f>
        <v/>
      </c>
      <c r="O754" s="15" t="str">
        <f t="array" ref="O754">IF(750&gt;$S$1204,"",INDEX($T$5:$AJ$1204,MATCH(750,$S$5:$S$1204,0),15))</f>
        <v/>
      </c>
      <c r="P754" s="8" t="str">
        <f t="array" ref="P754">IF(750&gt;$S$1204,"",INDEX($T$5:$AJ$1204,MATCH(750,$S$5:$S$1204,0),16))</f>
        <v/>
      </c>
      <c r="Q754" s="8" t="str">
        <f t="array" ref="Q754">IF(750&gt;$S$1204,"",INDEX($T$5:$AJ$1204,MATCH(750,$S$5:$S$1204,0),17))</f>
        <v/>
      </c>
      <c r="R754" s="17"/>
      <c r="S754" s="17">
        <f>S753+IF(M4_Sectores!A158="",0,1)</f>
        <v>0</v>
      </c>
      <c r="T754" s="17" t="str">
        <f>IF(M4_Sectores!A158="","",IF(M4_Sectores!A158="","",M4_Sectores!A158))</f>
        <v/>
      </c>
      <c r="U754" s="17" t="str">
        <f>IF(M4_Sectores!A158="","",IF(M4_Sectores!Q158="","",M4_Sectores!Q158))</f>
        <v/>
      </c>
      <c r="V754" s="17" t="str">
        <f>IF(M4_Sectores!A158="","",IF(M4_Sectores!D158="","",M4_Sectores!D158))</f>
        <v/>
      </c>
      <c r="W754" s="17" t="str">
        <f>IF(M4_Sectores!A158="","",IF(M4_Sectores!B158="","",M4_Sectores!B158))</f>
        <v/>
      </c>
      <c r="X754" s="17" t="str">
        <f>IF(M4_Sectores!A158="","",IF(M4_Sectores!C158="","",M4_Sectores!C158))</f>
        <v/>
      </c>
      <c r="Y754" s="17" t="str">
        <f>IF(M4_Sectores!A158="","",IF(M4_Sectores!E158="","",M4_Sectores!E158))</f>
        <v/>
      </c>
      <c r="Z754" s="17" t="str">
        <f>IF(M4_Sectores!A158="","",IF(M4_Sectores!F158="","",M4_Sectores!F158))</f>
        <v/>
      </c>
      <c r="AA754" s="17" t="str">
        <f>IF(M4_Sectores!A158="","","M4 Sectores")</f>
        <v/>
      </c>
      <c r="AB754" s="17" t="str">
        <f>IF(M4_Sectores!A158="","",IF(M4_Sectores!G158="","",M4_Sectores!G158))</f>
        <v/>
      </c>
      <c r="AC754" s="17" t="str">
        <f>IF(M4_Sectores!A158="","",IF(COUNTIFS(M4_Sectores!$A$9:A158,M4_Sectores!A158,M4_Sectores!$D$9:D158,M4_Sectores!D158,M4_Sectores!$H$9:H158,M4_Sectores!H158)=1,IF(M4_Sectores!L158="","",M4_Sectores!L158),""))</f>
        <v/>
      </c>
      <c r="AD754" s="17" t="str">
        <f>IF(M4_Sectores!A158="","","EE")</f>
        <v/>
      </c>
      <c r="AE754" s="17" t="str">
        <f>IF(M4_Sectores!A158="","",IF(M4_Sectores!N158="","",M4_Sectores!N158))</f>
        <v/>
      </c>
      <c r="AF754" s="17" t="str">
        <f>IF(M4_Sectores!A158="","",IF(M4_Sectores!O158="","",M4_Sectores!O158))</f>
        <v/>
      </c>
      <c r="AG754" s="17" t="str">
        <f>IF(M4_Sectores!A158="","",IF(M4_Sectores!P158="","",M4_Sectores!P158))</f>
        <v/>
      </c>
      <c r="AH754" s="17" t="str">
        <f>IF(M4_Sectores!A158="","",IF(M4_Sectores!H158="","",M4_Sectores!H158))</f>
        <v/>
      </c>
      <c r="AI754" s="17" t="str">
        <f>IF(M4_Sectores!A158="","","M4_Sectores!158")</f>
        <v/>
      </c>
      <c r="AJ754" s="17" t="str">
        <f>IF(M4_Sectores!A158="","",IF(M4_Sectores!L158="","Pendiente de momento o resultado",IF(COUNTIFS(M4_Sectores!$A$9:A158,M4_Sectores!A158,M4_Sectores!$D$9:D158,M4_Sectores!D158,M4_Sectores!$H$9:H158,M4_Sectores!H158)=1,"Total del momento","Sector incluido en total")))</f>
        <v/>
      </c>
    </row>
    <row r="755" spans="1:36" ht="55.5" customHeight="1">
      <c r="A755" s="6" t="str">
        <f t="array" ref="A755">IF(751&gt;$S$1204,"",INDEX($T$5:$AJ$1204,MATCH(751,$S$5:$S$1204,0),1))</f>
        <v/>
      </c>
      <c r="B755" s="8" t="str">
        <f t="array" ref="B755">IF(751&gt;$S$1204,"",INDEX($T$5:$AJ$1204,MATCH(751,$S$5:$S$1204,0),2))</f>
        <v/>
      </c>
      <c r="C755" s="10" t="str">
        <f t="array" ref="C755">IF(751&gt;$S$1204,"",INDEX($T$5:$AJ$1204,MATCH(751,$S$5:$S$1204,0),3))</f>
        <v/>
      </c>
      <c r="D755" s="8" t="str">
        <f t="array" ref="D755">IF(751&gt;$S$1204,"",INDEX($T$5:$AJ$1204,MATCH(751,$S$5:$S$1204,0),4))</f>
        <v/>
      </c>
      <c r="E755" s="8" t="str">
        <f t="array" ref="E755">IF(751&gt;$S$1204,"",INDEX($T$5:$AJ$1204,MATCH(751,$S$5:$S$1204,0),5))</f>
        <v/>
      </c>
      <c r="F755" s="8" t="str">
        <f t="array" ref="F755">IF(751&gt;$S$1204,"",INDEX($T$5:$AJ$1204,MATCH(751,$S$5:$S$1204,0),6))</f>
        <v/>
      </c>
      <c r="G755" s="8" t="str">
        <f t="array" ref="G755">IF(751&gt;$S$1204,"",INDEX($T$5:$AJ$1204,MATCH(751,$S$5:$S$1204,0),7))</f>
        <v/>
      </c>
      <c r="H755" s="8" t="str">
        <f t="array" ref="H755">IF(751&gt;$S$1204,"",INDEX($T$5:$AJ$1204,MATCH(751,$S$5:$S$1204,0),8))</f>
        <v/>
      </c>
      <c r="I755" s="8" t="str">
        <f t="array" ref="I755">IF(751&gt;$S$1204,"",INDEX($T$5:$AJ$1204,MATCH(751,$S$5:$S$1204,0),9))</f>
        <v/>
      </c>
      <c r="J755" s="14" t="str">
        <f t="array" ref="J755">IF(751&gt;$S$1204,"",INDEX($T$5:$AJ$1204,MATCH(751,$S$5:$S$1204,0),10))</f>
        <v/>
      </c>
      <c r="K755" s="8" t="str">
        <f t="array" ref="K755">IF(751&gt;$S$1204,"",INDEX($T$5:$AJ$1204,MATCH(751,$S$5:$S$1204,0),11))</f>
        <v/>
      </c>
      <c r="L755" s="8" t="str">
        <f t="array" ref="L755">IF(751&gt;$S$1204,"",INDEX($T$5:$AJ$1204,MATCH(751,$S$5:$S$1204,0),12))</f>
        <v/>
      </c>
      <c r="M755" s="8" t="str">
        <f t="array" ref="M755">IF(751&gt;$S$1204,"",INDEX($T$5:$AJ$1204,MATCH(751,$S$5:$S$1204,0),13))</f>
        <v/>
      </c>
      <c r="N755" s="8" t="str">
        <f t="array" ref="N755">IF(751&gt;$S$1204,"",INDEX($T$5:$AJ$1204,MATCH(751,$S$5:$S$1204,0),14))</f>
        <v/>
      </c>
      <c r="O755" s="15" t="str">
        <f t="array" ref="O755">IF(751&gt;$S$1204,"",INDEX($T$5:$AJ$1204,MATCH(751,$S$5:$S$1204,0),15))</f>
        <v/>
      </c>
      <c r="P755" s="8" t="str">
        <f t="array" ref="P755">IF(751&gt;$S$1204,"",INDEX($T$5:$AJ$1204,MATCH(751,$S$5:$S$1204,0),16))</f>
        <v/>
      </c>
      <c r="Q755" s="8" t="str">
        <f t="array" ref="Q755">IF(751&gt;$S$1204,"",INDEX($T$5:$AJ$1204,MATCH(751,$S$5:$S$1204,0),17))</f>
        <v/>
      </c>
      <c r="R755" s="17"/>
      <c r="S755" s="17">
        <f>S754+IF(M4_Sectores!A159="",0,1)</f>
        <v>0</v>
      </c>
      <c r="T755" s="17" t="str">
        <f>IF(M4_Sectores!A159="","",IF(M4_Sectores!A159="","",M4_Sectores!A159))</f>
        <v/>
      </c>
      <c r="U755" s="17" t="str">
        <f>IF(M4_Sectores!A159="","",IF(M4_Sectores!Q159="","",M4_Sectores!Q159))</f>
        <v/>
      </c>
      <c r="V755" s="17" t="str">
        <f>IF(M4_Sectores!A159="","",IF(M4_Sectores!D159="","",M4_Sectores!D159))</f>
        <v/>
      </c>
      <c r="W755" s="17" t="str">
        <f>IF(M4_Sectores!A159="","",IF(M4_Sectores!B159="","",M4_Sectores!B159))</f>
        <v/>
      </c>
      <c r="X755" s="17" t="str">
        <f>IF(M4_Sectores!A159="","",IF(M4_Sectores!C159="","",M4_Sectores!C159))</f>
        <v/>
      </c>
      <c r="Y755" s="17" t="str">
        <f>IF(M4_Sectores!A159="","",IF(M4_Sectores!E159="","",M4_Sectores!E159))</f>
        <v/>
      </c>
      <c r="Z755" s="17" t="str">
        <f>IF(M4_Sectores!A159="","",IF(M4_Sectores!F159="","",M4_Sectores!F159))</f>
        <v/>
      </c>
      <c r="AA755" s="17" t="str">
        <f>IF(M4_Sectores!A159="","","M4 Sectores")</f>
        <v/>
      </c>
      <c r="AB755" s="17" t="str">
        <f>IF(M4_Sectores!A159="","",IF(M4_Sectores!G159="","",M4_Sectores!G159))</f>
        <v/>
      </c>
      <c r="AC755" s="17" t="str">
        <f>IF(M4_Sectores!A159="","",IF(COUNTIFS(M4_Sectores!$A$9:A159,M4_Sectores!A159,M4_Sectores!$D$9:D159,M4_Sectores!D159,M4_Sectores!$H$9:H159,M4_Sectores!H159)=1,IF(M4_Sectores!L159="","",M4_Sectores!L159),""))</f>
        <v/>
      </c>
      <c r="AD755" s="17" t="str">
        <f>IF(M4_Sectores!A159="","","EE")</f>
        <v/>
      </c>
      <c r="AE755" s="17" t="str">
        <f>IF(M4_Sectores!A159="","",IF(M4_Sectores!N159="","",M4_Sectores!N159))</f>
        <v/>
      </c>
      <c r="AF755" s="17" t="str">
        <f>IF(M4_Sectores!A159="","",IF(M4_Sectores!O159="","",M4_Sectores!O159))</f>
        <v/>
      </c>
      <c r="AG755" s="17" t="str">
        <f>IF(M4_Sectores!A159="","",IF(M4_Sectores!P159="","",M4_Sectores!P159))</f>
        <v/>
      </c>
      <c r="AH755" s="17" t="str">
        <f>IF(M4_Sectores!A159="","",IF(M4_Sectores!H159="","",M4_Sectores!H159))</f>
        <v/>
      </c>
      <c r="AI755" s="17" t="str">
        <f>IF(M4_Sectores!A159="","","M4_Sectores!159")</f>
        <v/>
      </c>
      <c r="AJ755" s="17" t="str">
        <f>IF(M4_Sectores!A159="","",IF(M4_Sectores!L159="","Pendiente de momento o resultado",IF(COUNTIFS(M4_Sectores!$A$9:A159,M4_Sectores!A159,M4_Sectores!$D$9:D159,M4_Sectores!D159,M4_Sectores!$H$9:H159,M4_Sectores!H159)=1,"Total del momento","Sector incluido en total")))</f>
        <v/>
      </c>
    </row>
    <row r="756" spans="1:36" ht="55.5" customHeight="1">
      <c r="A756" s="6" t="str">
        <f t="array" ref="A756">IF(752&gt;$S$1204,"",INDEX($T$5:$AJ$1204,MATCH(752,$S$5:$S$1204,0),1))</f>
        <v/>
      </c>
      <c r="B756" s="8" t="str">
        <f t="array" ref="B756">IF(752&gt;$S$1204,"",INDEX($T$5:$AJ$1204,MATCH(752,$S$5:$S$1204,0),2))</f>
        <v/>
      </c>
      <c r="C756" s="10" t="str">
        <f t="array" ref="C756">IF(752&gt;$S$1204,"",INDEX($T$5:$AJ$1204,MATCH(752,$S$5:$S$1204,0),3))</f>
        <v/>
      </c>
      <c r="D756" s="8" t="str">
        <f t="array" ref="D756">IF(752&gt;$S$1204,"",INDEX($T$5:$AJ$1204,MATCH(752,$S$5:$S$1204,0),4))</f>
        <v/>
      </c>
      <c r="E756" s="8" t="str">
        <f t="array" ref="E756">IF(752&gt;$S$1204,"",INDEX($T$5:$AJ$1204,MATCH(752,$S$5:$S$1204,0),5))</f>
        <v/>
      </c>
      <c r="F756" s="8" t="str">
        <f t="array" ref="F756">IF(752&gt;$S$1204,"",INDEX($T$5:$AJ$1204,MATCH(752,$S$5:$S$1204,0),6))</f>
        <v/>
      </c>
      <c r="G756" s="8" t="str">
        <f t="array" ref="G756">IF(752&gt;$S$1204,"",INDEX($T$5:$AJ$1204,MATCH(752,$S$5:$S$1204,0),7))</f>
        <v/>
      </c>
      <c r="H756" s="8" t="str">
        <f t="array" ref="H756">IF(752&gt;$S$1204,"",INDEX($T$5:$AJ$1204,MATCH(752,$S$5:$S$1204,0),8))</f>
        <v/>
      </c>
      <c r="I756" s="8" t="str">
        <f t="array" ref="I756">IF(752&gt;$S$1204,"",INDEX($T$5:$AJ$1204,MATCH(752,$S$5:$S$1204,0),9))</f>
        <v/>
      </c>
      <c r="J756" s="14" t="str">
        <f t="array" ref="J756">IF(752&gt;$S$1204,"",INDEX($T$5:$AJ$1204,MATCH(752,$S$5:$S$1204,0),10))</f>
        <v/>
      </c>
      <c r="K756" s="8" t="str">
        <f t="array" ref="K756">IF(752&gt;$S$1204,"",INDEX($T$5:$AJ$1204,MATCH(752,$S$5:$S$1204,0),11))</f>
        <v/>
      </c>
      <c r="L756" s="8" t="str">
        <f t="array" ref="L756">IF(752&gt;$S$1204,"",INDEX($T$5:$AJ$1204,MATCH(752,$S$5:$S$1204,0),12))</f>
        <v/>
      </c>
      <c r="M756" s="8" t="str">
        <f t="array" ref="M756">IF(752&gt;$S$1204,"",INDEX($T$5:$AJ$1204,MATCH(752,$S$5:$S$1204,0),13))</f>
        <v/>
      </c>
      <c r="N756" s="8" t="str">
        <f t="array" ref="N756">IF(752&gt;$S$1204,"",INDEX($T$5:$AJ$1204,MATCH(752,$S$5:$S$1204,0),14))</f>
        <v/>
      </c>
      <c r="O756" s="15" t="str">
        <f t="array" ref="O756">IF(752&gt;$S$1204,"",INDEX($T$5:$AJ$1204,MATCH(752,$S$5:$S$1204,0),15))</f>
        <v/>
      </c>
      <c r="P756" s="8" t="str">
        <f t="array" ref="P756">IF(752&gt;$S$1204,"",INDEX($T$5:$AJ$1204,MATCH(752,$S$5:$S$1204,0),16))</f>
        <v/>
      </c>
      <c r="Q756" s="8" t="str">
        <f t="array" ref="Q756">IF(752&gt;$S$1204,"",INDEX($T$5:$AJ$1204,MATCH(752,$S$5:$S$1204,0),17))</f>
        <v/>
      </c>
      <c r="R756" s="17"/>
      <c r="S756" s="17">
        <f>S755+IF(M4_Sectores!A160="",0,1)</f>
        <v>0</v>
      </c>
      <c r="T756" s="17" t="str">
        <f>IF(M4_Sectores!A160="","",IF(M4_Sectores!A160="","",M4_Sectores!A160))</f>
        <v/>
      </c>
      <c r="U756" s="17" t="str">
        <f>IF(M4_Sectores!A160="","",IF(M4_Sectores!Q160="","",M4_Sectores!Q160))</f>
        <v/>
      </c>
      <c r="V756" s="17" t="str">
        <f>IF(M4_Sectores!A160="","",IF(M4_Sectores!D160="","",M4_Sectores!D160))</f>
        <v/>
      </c>
      <c r="W756" s="17" t="str">
        <f>IF(M4_Sectores!A160="","",IF(M4_Sectores!B160="","",M4_Sectores!B160))</f>
        <v/>
      </c>
      <c r="X756" s="17" t="str">
        <f>IF(M4_Sectores!A160="","",IF(M4_Sectores!C160="","",M4_Sectores!C160))</f>
        <v/>
      </c>
      <c r="Y756" s="17" t="str">
        <f>IF(M4_Sectores!A160="","",IF(M4_Sectores!E160="","",M4_Sectores!E160))</f>
        <v/>
      </c>
      <c r="Z756" s="17" t="str">
        <f>IF(M4_Sectores!A160="","",IF(M4_Sectores!F160="","",M4_Sectores!F160))</f>
        <v/>
      </c>
      <c r="AA756" s="17" t="str">
        <f>IF(M4_Sectores!A160="","","M4 Sectores")</f>
        <v/>
      </c>
      <c r="AB756" s="17" t="str">
        <f>IF(M4_Sectores!A160="","",IF(M4_Sectores!G160="","",M4_Sectores!G160))</f>
        <v/>
      </c>
      <c r="AC756" s="17" t="str">
        <f>IF(M4_Sectores!A160="","",IF(COUNTIFS(M4_Sectores!$A$9:A160,M4_Sectores!A160,M4_Sectores!$D$9:D160,M4_Sectores!D160,M4_Sectores!$H$9:H160,M4_Sectores!H160)=1,IF(M4_Sectores!L160="","",M4_Sectores!L160),""))</f>
        <v/>
      </c>
      <c r="AD756" s="17" t="str">
        <f>IF(M4_Sectores!A160="","","EE")</f>
        <v/>
      </c>
      <c r="AE756" s="17" t="str">
        <f>IF(M4_Sectores!A160="","",IF(M4_Sectores!N160="","",M4_Sectores!N160))</f>
        <v/>
      </c>
      <c r="AF756" s="17" t="str">
        <f>IF(M4_Sectores!A160="","",IF(M4_Sectores!O160="","",M4_Sectores!O160))</f>
        <v/>
      </c>
      <c r="AG756" s="17" t="str">
        <f>IF(M4_Sectores!A160="","",IF(M4_Sectores!P160="","",M4_Sectores!P160))</f>
        <v/>
      </c>
      <c r="AH756" s="17" t="str">
        <f>IF(M4_Sectores!A160="","",IF(M4_Sectores!H160="","",M4_Sectores!H160))</f>
        <v/>
      </c>
      <c r="AI756" s="17" t="str">
        <f>IF(M4_Sectores!A160="","","M4_Sectores!160")</f>
        <v/>
      </c>
      <c r="AJ756" s="17" t="str">
        <f>IF(M4_Sectores!A160="","",IF(M4_Sectores!L160="","Pendiente de momento o resultado",IF(COUNTIFS(M4_Sectores!$A$9:A160,M4_Sectores!A160,M4_Sectores!$D$9:D160,M4_Sectores!D160,M4_Sectores!$H$9:H160,M4_Sectores!H160)=1,"Total del momento","Sector incluido en total")))</f>
        <v/>
      </c>
    </row>
    <row r="757" spans="1:36" ht="55.5" customHeight="1">
      <c r="A757" s="6" t="str">
        <f t="array" ref="A757">IF(753&gt;$S$1204,"",INDEX($T$5:$AJ$1204,MATCH(753,$S$5:$S$1204,0),1))</f>
        <v/>
      </c>
      <c r="B757" s="8" t="str">
        <f t="array" ref="B757">IF(753&gt;$S$1204,"",INDEX($T$5:$AJ$1204,MATCH(753,$S$5:$S$1204,0),2))</f>
        <v/>
      </c>
      <c r="C757" s="10" t="str">
        <f t="array" ref="C757">IF(753&gt;$S$1204,"",INDEX($T$5:$AJ$1204,MATCH(753,$S$5:$S$1204,0),3))</f>
        <v/>
      </c>
      <c r="D757" s="8" t="str">
        <f t="array" ref="D757">IF(753&gt;$S$1204,"",INDEX($T$5:$AJ$1204,MATCH(753,$S$5:$S$1204,0),4))</f>
        <v/>
      </c>
      <c r="E757" s="8" t="str">
        <f t="array" ref="E757">IF(753&gt;$S$1204,"",INDEX($T$5:$AJ$1204,MATCH(753,$S$5:$S$1204,0),5))</f>
        <v/>
      </c>
      <c r="F757" s="8" t="str">
        <f t="array" ref="F757">IF(753&gt;$S$1204,"",INDEX($T$5:$AJ$1204,MATCH(753,$S$5:$S$1204,0),6))</f>
        <v/>
      </c>
      <c r="G757" s="8" t="str">
        <f t="array" ref="G757">IF(753&gt;$S$1204,"",INDEX($T$5:$AJ$1204,MATCH(753,$S$5:$S$1204,0),7))</f>
        <v/>
      </c>
      <c r="H757" s="8" t="str">
        <f t="array" ref="H757">IF(753&gt;$S$1204,"",INDEX($T$5:$AJ$1204,MATCH(753,$S$5:$S$1204,0),8))</f>
        <v/>
      </c>
      <c r="I757" s="8" t="str">
        <f t="array" ref="I757">IF(753&gt;$S$1204,"",INDEX($T$5:$AJ$1204,MATCH(753,$S$5:$S$1204,0),9))</f>
        <v/>
      </c>
      <c r="J757" s="14" t="str">
        <f t="array" ref="J757">IF(753&gt;$S$1204,"",INDEX($T$5:$AJ$1204,MATCH(753,$S$5:$S$1204,0),10))</f>
        <v/>
      </c>
      <c r="K757" s="8" t="str">
        <f t="array" ref="K757">IF(753&gt;$S$1204,"",INDEX($T$5:$AJ$1204,MATCH(753,$S$5:$S$1204,0),11))</f>
        <v/>
      </c>
      <c r="L757" s="8" t="str">
        <f t="array" ref="L757">IF(753&gt;$S$1204,"",INDEX($T$5:$AJ$1204,MATCH(753,$S$5:$S$1204,0),12))</f>
        <v/>
      </c>
      <c r="M757" s="8" t="str">
        <f t="array" ref="M757">IF(753&gt;$S$1204,"",INDEX($T$5:$AJ$1204,MATCH(753,$S$5:$S$1204,0),13))</f>
        <v/>
      </c>
      <c r="N757" s="8" t="str">
        <f t="array" ref="N757">IF(753&gt;$S$1204,"",INDEX($T$5:$AJ$1204,MATCH(753,$S$5:$S$1204,0),14))</f>
        <v/>
      </c>
      <c r="O757" s="15" t="str">
        <f t="array" ref="O757">IF(753&gt;$S$1204,"",INDEX($T$5:$AJ$1204,MATCH(753,$S$5:$S$1204,0),15))</f>
        <v/>
      </c>
      <c r="P757" s="8" t="str">
        <f t="array" ref="P757">IF(753&gt;$S$1204,"",INDEX($T$5:$AJ$1204,MATCH(753,$S$5:$S$1204,0),16))</f>
        <v/>
      </c>
      <c r="Q757" s="8" t="str">
        <f t="array" ref="Q757">IF(753&gt;$S$1204,"",INDEX($T$5:$AJ$1204,MATCH(753,$S$5:$S$1204,0),17))</f>
        <v/>
      </c>
      <c r="R757" s="17"/>
      <c r="S757" s="17">
        <f>S756+IF(M4_Sectores!A161="",0,1)</f>
        <v>0</v>
      </c>
      <c r="T757" s="17" t="str">
        <f>IF(M4_Sectores!A161="","",IF(M4_Sectores!A161="","",M4_Sectores!A161))</f>
        <v/>
      </c>
      <c r="U757" s="17" t="str">
        <f>IF(M4_Sectores!A161="","",IF(M4_Sectores!Q161="","",M4_Sectores!Q161))</f>
        <v/>
      </c>
      <c r="V757" s="17" t="str">
        <f>IF(M4_Sectores!A161="","",IF(M4_Sectores!D161="","",M4_Sectores!D161))</f>
        <v/>
      </c>
      <c r="W757" s="17" t="str">
        <f>IF(M4_Sectores!A161="","",IF(M4_Sectores!B161="","",M4_Sectores!B161))</f>
        <v/>
      </c>
      <c r="X757" s="17" t="str">
        <f>IF(M4_Sectores!A161="","",IF(M4_Sectores!C161="","",M4_Sectores!C161))</f>
        <v/>
      </c>
      <c r="Y757" s="17" t="str">
        <f>IF(M4_Sectores!A161="","",IF(M4_Sectores!E161="","",M4_Sectores!E161))</f>
        <v/>
      </c>
      <c r="Z757" s="17" t="str">
        <f>IF(M4_Sectores!A161="","",IF(M4_Sectores!F161="","",M4_Sectores!F161))</f>
        <v/>
      </c>
      <c r="AA757" s="17" t="str">
        <f>IF(M4_Sectores!A161="","","M4 Sectores")</f>
        <v/>
      </c>
      <c r="AB757" s="17" t="str">
        <f>IF(M4_Sectores!A161="","",IF(M4_Sectores!G161="","",M4_Sectores!G161))</f>
        <v/>
      </c>
      <c r="AC757" s="17" t="str">
        <f>IF(M4_Sectores!A161="","",IF(COUNTIFS(M4_Sectores!$A$9:A161,M4_Sectores!A161,M4_Sectores!$D$9:D161,M4_Sectores!D161,M4_Sectores!$H$9:H161,M4_Sectores!H161)=1,IF(M4_Sectores!L161="","",M4_Sectores!L161),""))</f>
        <v/>
      </c>
      <c r="AD757" s="17" t="str">
        <f>IF(M4_Sectores!A161="","","EE")</f>
        <v/>
      </c>
      <c r="AE757" s="17" t="str">
        <f>IF(M4_Sectores!A161="","",IF(M4_Sectores!N161="","",M4_Sectores!N161))</f>
        <v/>
      </c>
      <c r="AF757" s="17" t="str">
        <f>IF(M4_Sectores!A161="","",IF(M4_Sectores!O161="","",M4_Sectores!O161))</f>
        <v/>
      </c>
      <c r="AG757" s="17" t="str">
        <f>IF(M4_Sectores!A161="","",IF(M4_Sectores!P161="","",M4_Sectores!P161))</f>
        <v/>
      </c>
      <c r="AH757" s="17" t="str">
        <f>IF(M4_Sectores!A161="","",IF(M4_Sectores!H161="","",M4_Sectores!H161))</f>
        <v/>
      </c>
      <c r="AI757" s="17" t="str">
        <f>IF(M4_Sectores!A161="","","M4_Sectores!161")</f>
        <v/>
      </c>
      <c r="AJ757" s="17" t="str">
        <f>IF(M4_Sectores!A161="","",IF(M4_Sectores!L161="","Pendiente de momento o resultado",IF(COUNTIFS(M4_Sectores!$A$9:A161,M4_Sectores!A161,M4_Sectores!$D$9:D161,M4_Sectores!D161,M4_Sectores!$H$9:H161,M4_Sectores!H161)=1,"Total del momento","Sector incluido en total")))</f>
        <v/>
      </c>
    </row>
    <row r="758" spans="1:36" ht="55.5" customHeight="1">
      <c r="A758" s="6" t="str">
        <f t="array" ref="A758">IF(754&gt;$S$1204,"",INDEX($T$5:$AJ$1204,MATCH(754,$S$5:$S$1204,0),1))</f>
        <v/>
      </c>
      <c r="B758" s="8" t="str">
        <f t="array" ref="B758">IF(754&gt;$S$1204,"",INDEX($T$5:$AJ$1204,MATCH(754,$S$5:$S$1204,0),2))</f>
        <v/>
      </c>
      <c r="C758" s="10" t="str">
        <f t="array" ref="C758">IF(754&gt;$S$1204,"",INDEX($T$5:$AJ$1204,MATCH(754,$S$5:$S$1204,0),3))</f>
        <v/>
      </c>
      <c r="D758" s="8" t="str">
        <f t="array" ref="D758">IF(754&gt;$S$1204,"",INDEX($T$5:$AJ$1204,MATCH(754,$S$5:$S$1204,0),4))</f>
        <v/>
      </c>
      <c r="E758" s="8" t="str">
        <f t="array" ref="E758">IF(754&gt;$S$1204,"",INDEX($T$5:$AJ$1204,MATCH(754,$S$5:$S$1204,0),5))</f>
        <v/>
      </c>
      <c r="F758" s="8" t="str">
        <f t="array" ref="F758">IF(754&gt;$S$1204,"",INDEX($T$5:$AJ$1204,MATCH(754,$S$5:$S$1204,0),6))</f>
        <v/>
      </c>
      <c r="G758" s="8" t="str">
        <f t="array" ref="G758">IF(754&gt;$S$1204,"",INDEX($T$5:$AJ$1204,MATCH(754,$S$5:$S$1204,0),7))</f>
        <v/>
      </c>
      <c r="H758" s="8" t="str">
        <f t="array" ref="H758">IF(754&gt;$S$1204,"",INDEX($T$5:$AJ$1204,MATCH(754,$S$5:$S$1204,0),8))</f>
        <v/>
      </c>
      <c r="I758" s="8" t="str">
        <f t="array" ref="I758">IF(754&gt;$S$1204,"",INDEX($T$5:$AJ$1204,MATCH(754,$S$5:$S$1204,0),9))</f>
        <v/>
      </c>
      <c r="J758" s="14" t="str">
        <f t="array" ref="J758">IF(754&gt;$S$1204,"",INDEX($T$5:$AJ$1204,MATCH(754,$S$5:$S$1204,0),10))</f>
        <v/>
      </c>
      <c r="K758" s="8" t="str">
        <f t="array" ref="K758">IF(754&gt;$S$1204,"",INDEX($T$5:$AJ$1204,MATCH(754,$S$5:$S$1204,0),11))</f>
        <v/>
      </c>
      <c r="L758" s="8" t="str">
        <f t="array" ref="L758">IF(754&gt;$S$1204,"",INDEX($T$5:$AJ$1204,MATCH(754,$S$5:$S$1204,0),12))</f>
        <v/>
      </c>
      <c r="M758" s="8" t="str">
        <f t="array" ref="M758">IF(754&gt;$S$1204,"",INDEX($T$5:$AJ$1204,MATCH(754,$S$5:$S$1204,0),13))</f>
        <v/>
      </c>
      <c r="N758" s="8" t="str">
        <f t="array" ref="N758">IF(754&gt;$S$1204,"",INDEX($T$5:$AJ$1204,MATCH(754,$S$5:$S$1204,0),14))</f>
        <v/>
      </c>
      <c r="O758" s="15" t="str">
        <f t="array" ref="O758">IF(754&gt;$S$1204,"",INDEX($T$5:$AJ$1204,MATCH(754,$S$5:$S$1204,0),15))</f>
        <v/>
      </c>
      <c r="P758" s="8" t="str">
        <f t="array" ref="P758">IF(754&gt;$S$1204,"",INDEX($T$5:$AJ$1204,MATCH(754,$S$5:$S$1204,0),16))</f>
        <v/>
      </c>
      <c r="Q758" s="8" t="str">
        <f t="array" ref="Q758">IF(754&gt;$S$1204,"",INDEX($T$5:$AJ$1204,MATCH(754,$S$5:$S$1204,0),17))</f>
        <v/>
      </c>
      <c r="R758" s="17"/>
      <c r="S758" s="17">
        <f>S757+IF(M4_Sectores!A162="",0,1)</f>
        <v>0</v>
      </c>
      <c r="T758" s="17" t="str">
        <f>IF(M4_Sectores!A162="","",IF(M4_Sectores!A162="","",M4_Sectores!A162))</f>
        <v/>
      </c>
      <c r="U758" s="17" t="str">
        <f>IF(M4_Sectores!A162="","",IF(M4_Sectores!Q162="","",M4_Sectores!Q162))</f>
        <v/>
      </c>
      <c r="V758" s="17" t="str">
        <f>IF(M4_Sectores!A162="","",IF(M4_Sectores!D162="","",M4_Sectores!D162))</f>
        <v/>
      </c>
      <c r="W758" s="17" t="str">
        <f>IF(M4_Sectores!A162="","",IF(M4_Sectores!B162="","",M4_Sectores!B162))</f>
        <v/>
      </c>
      <c r="X758" s="17" t="str">
        <f>IF(M4_Sectores!A162="","",IF(M4_Sectores!C162="","",M4_Sectores!C162))</f>
        <v/>
      </c>
      <c r="Y758" s="17" t="str">
        <f>IF(M4_Sectores!A162="","",IF(M4_Sectores!E162="","",M4_Sectores!E162))</f>
        <v/>
      </c>
      <c r="Z758" s="17" t="str">
        <f>IF(M4_Sectores!A162="","",IF(M4_Sectores!F162="","",M4_Sectores!F162))</f>
        <v/>
      </c>
      <c r="AA758" s="17" t="str">
        <f>IF(M4_Sectores!A162="","","M4 Sectores")</f>
        <v/>
      </c>
      <c r="AB758" s="17" t="str">
        <f>IF(M4_Sectores!A162="","",IF(M4_Sectores!G162="","",M4_Sectores!G162))</f>
        <v/>
      </c>
      <c r="AC758" s="17" t="str">
        <f>IF(M4_Sectores!A162="","",IF(COUNTIFS(M4_Sectores!$A$9:A162,M4_Sectores!A162,M4_Sectores!$D$9:D162,M4_Sectores!D162,M4_Sectores!$H$9:H162,M4_Sectores!H162)=1,IF(M4_Sectores!L162="","",M4_Sectores!L162),""))</f>
        <v/>
      </c>
      <c r="AD758" s="17" t="str">
        <f>IF(M4_Sectores!A162="","","EE")</f>
        <v/>
      </c>
      <c r="AE758" s="17" t="str">
        <f>IF(M4_Sectores!A162="","",IF(M4_Sectores!N162="","",M4_Sectores!N162))</f>
        <v/>
      </c>
      <c r="AF758" s="17" t="str">
        <f>IF(M4_Sectores!A162="","",IF(M4_Sectores!O162="","",M4_Sectores!O162))</f>
        <v/>
      </c>
      <c r="AG758" s="17" t="str">
        <f>IF(M4_Sectores!A162="","",IF(M4_Sectores!P162="","",M4_Sectores!P162))</f>
        <v/>
      </c>
      <c r="AH758" s="17" t="str">
        <f>IF(M4_Sectores!A162="","",IF(M4_Sectores!H162="","",M4_Sectores!H162))</f>
        <v/>
      </c>
      <c r="AI758" s="17" t="str">
        <f>IF(M4_Sectores!A162="","","M4_Sectores!162")</f>
        <v/>
      </c>
      <c r="AJ758" s="17" t="str">
        <f>IF(M4_Sectores!A162="","",IF(M4_Sectores!L162="","Pendiente de momento o resultado",IF(COUNTIFS(M4_Sectores!$A$9:A162,M4_Sectores!A162,M4_Sectores!$D$9:D162,M4_Sectores!D162,M4_Sectores!$H$9:H162,M4_Sectores!H162)=1,"Total del momento","Sector incluido en total")))</f>
        <v/>
      </c>
    </row>
    <row r="759" spans="1:36" ht="55.5" customHeight="1">
      <c r="A759" s="6" t="str">
        <f t="array" ref="A759">IF(755&gt;$S$1204,"",INDEX($T$5:$AJ$1204,MATCH(755,$S$5:$S$1204,0),1))</f>
        <v/>
      </c>
      <c r="B759" s="8" t="str">
        <f t="array" ref="B759">IF(755&gt;$S$1204,"",INDEX($T$5:$AJ$1204,MATCH(755,$S$5:$S$1204,0),2))</f>
        <v/>
      </c>
      <c r="C759" s="10" t="str">
        <f t="array" ref="C759">IF(755&gt;$S$1204,"",INDEX($T$5:$AJ$1204,MATCH(755,$S$5:$S$1204,0),3))</f>
        <v/>
      </c>
      <c r="D759" s="8" t="str">
        <f t="array" ref="D759">IF(755&gt;$S$1204,"",INDEX($T$5:$AJ$1204,MATCH(755,$S$5:$S$1204,0),4))</f>
        <v/>
      </c>
      <c r="E759" s="8" t="str">
        <f t="array" ref="E759">IF(755&gt;$S$1204,"",INDEX($T$5:$AJ$1204,MATCH(755,$S$5:$S$1204,0),5))</f>
        <v/>
      </c>
      <c r="F759" s="8" t="str">
        <f t="array" ref="F759">IF(755&gt;$S$1204,"",INDEX($T$5:$AJ$1204,MATCH(755,$S$5:$S$1204,0),6))</f>
        <v/>
      </c>
      <c r="G759" s="8" t="str">
        <f t="array" ref="G759">IF(755&gt;$S$1204,"",INDEX($T$5:$AJ$1204,MATCH(755,$S$5:$S$1204,0),7))</f>
        <v/>
      </c>
      <c r="H759" s="8" t="str">
        <f t="array" ref="H759">IF(755&gt;$S$1204,"",INDEX($T$5:$AJ$1204,MATCH(755,$S$5:$S$1204,0),8))</f>
        <v/>
      </c>
      <c r="I759" s="8" t="str">
        <f t="array" ref="I759">IF(755&gt;$S$1204,"",INDEX($T$5:$AJ$1204,MATCH(755,$S$5:$S$1204,0),9))</f>
        <v/>
      </c>
      <c r="J759" s="14" t="str">
        <f t="array" ref="J759">IF(755&gt;$S$1204,"",INDEX($T$5:$AJ$1204,MATCH(755,$S$5:$S$1204,0),10))</f>
        <v/>
      </c>
      <c r="K759" s="8" t="str">
        <f t="array" ref="K759">IF(755&gt;$S$1204,"",INDEX($T$5:$AJ$1204,MATCH(755,$S$5:$S$1204,0),11))</f>
        <v/>
      </c>
      <c r="L759" s="8" t="str">
        <f t="array" ref="L759">IF(755&gt;$S$1204,"",INDEX($T$5:$AJ$1204,MATCH(755,$S$5:$S$1204,0),12))</f>
        <v/>
      </c>
      <c r="M759" s="8" t="str">
        <f t="array" ref="M759">IF(755&gt;$S$1204,"",INDEX($T$5:$AJ$1204,MATCH(755,$S$5:$S$1204,0),13))</f>
        <v/>
      </c>
      <c r="N759" s="8" t="str">
        <f t="array" ref="N759">IF(755&gt;$S$1204,"",INDEX($T$5:$AJ$1204,MATCH(755,$S$5:$S$1204,0),14))</f>
        <v/>
      </c>
      <c r="O759" s="15" t="str">
        <f t="array" ref="O759">IF(755&gt;$S$1204,"",INDEX($T$5:$AJ$1204,MATCH(755,$S$5:$S$1204,0),15))</f>
        <v/>
      </c>
      <c r="P759" s="8" t="str">
        <f t="array" ref="P759">IF(755&gt;$S$1204,"",INDEX($T$5:$AJ$1204,MATCH(755,$S$5:$S$1204,0),16))</f>
        <v/>
      </c>
      <c r="Q759" s="8" t="str">
        <f t="array" ref="Q759">IF(755&gt;$S$1204,"",INDEX($T$5:$AJ$1204,MATCH(755,$S$5:$S$1204,0),17))</f>
        <v/>
      </c>
      <c r="R759" s="17"/>
      <c r="S759" s="17">
        <f>S758+IF(M4_Sectores!A163="",0,1)</f>
        <v>0</v>
      </c>
      <c r="T759" s="17" t="str">
        <f>IF(M4_Sectores!A163="","",IF(M4_Sectores!A163="","",M4_Sectores!A163))</f>
        <v/>
      </c>
      <c r="U759" s="17" t="str">
        <f>IF(M4_Sectores!A163="","",IF(M4_Sectores!Q163="","",M4_Sectores!Q163))</f>
        <v/>
      </c>
      <c r="V759" s="17" t="str">
        <f>IF(M4_Sectores!A163="","",IF(M4_Sectores!D163="","",M4_Sectores!D163))</f>
        <v/>
      </c>
      <c r="W759" s="17" t="str">
        <f>IF(M4_Sectores!A163="","",IF(M4_Sectores!B163="","",M4_Sectores!B163))</f>
        <v/>
      </c>
      <c r="X759" s="17" t="str">
        <f>IF(M4_Sectores!A163="","",IF(M4_Sectores!C163="","",M4_Sectores!C163))</f>
        <v/>
      </c>
      <c r="Y759" s="17" t="str">
        <f>IF(M4_Sectores!A163="","",IF(M4_Sectores!E163="","",M4_Sectores!E163))</f>
        <v/>
      </c>
      <c r="Z759" s="17" t="str">
        <f>IF(M4_Sectores!A163="","",IF(M4_Sectores!F163="","",M4_Sectores!F163))</f>
        <v/>
      </c>
      <c r="AA759" s="17" t="str">
        <f>IF(M4_Sectores!A163="","","M4 Sectores")</f>
        <v/>
      </c>
      <c r="AB759" s="17" t="str">
        <f>IF(M4_Sectores!A163="","",IF(M4_Sectores!G163="","",M4_Sectores!G163))</f>
        <v/>
      </c>
      <c r="AC759" s="17" t="str">
        <f>IF(M4_Sectores!A163="","",IF(COUNTIFS(M4_Sectores!$A$9:A163,M4_Sectores!A163,M4_Sectores!$D$9:D163,M4_Sectores!D163,M4_Sectores!$H$9:H163,M4_Sectores!H163)=1,IF(M4_Sectores!L163="","",M4_Sectores!L163),""))</f>
        <v/>
      </c>
      <c r="AD759" s="17" t="str">
        <f>IF(M4_Sectores!A163="","","EE")</f>
        <v/>
      </c>
      <c r="AE759" s="17" t="str">
        <f>IF(M4_Sectores!A163="","",IF(M4_Sectores!N163="","",M4_Sectores!N163))</f>
        <v/>
      </c>
      <c r="AF759" s="17" t="str">
        <f>IF(M4_Sectores!A163="","",IF(M4_Sectores!O163="","",M4_Sectores!O163))</f>
        <v/>
      </c>
      <c r="AG759" s="17" t="str">
        <f>IF(M4_Sectores!A163="","",IF(M4_Sectores!P163="","",M4_Sectores!P163))</f>
        <v/>
      </c>
      <c r="AH759" s="17" t="str">
        <f>IF(M4_Sectores!A163="","",IF(M4_Sectores!H163="","",M4_Sectores!H163))</f>
        <v/>
      </c>
      <c r="AI759" s="17" t="str">
        <f>IF(M4_Sectores!A163="","","M4_Sectores!163")</f>
        <v/>
      </c>
      <c r="AJ759" s="17" t="str">
        <f>IF(M4_Sectores!A163="","",IF(M4_Sectores!L163="","Pendiente de momento o resultado",IF(COUNTIFS(M4_Sectores!$A$9:A163,M4_Sectores!A163,M4_Sectores!$D$9:D163,M4_Sectores!D163,M4_Sectores!$H$9:H163,M4_Sectores!H163)=1,"Total del momento","Sector incluido en total")))</f>
        <v/>
      </c>
    </row>
    <row r="760" spans="1:36" ht="55.5" customHeight="1">
      <c r="A760" s="6" t="str">
        <f t="array" ref="A760">IF(756&gt;$S$1204,"",INDEX($T$5:$AJ$1204,MATCH(756,$S$5:$S$1204,0),1))</f>
        <v/>
      </c>
      <c r="B760" s="8" t="str">
        <f t="array" ref="B760">IF(756&gt;$S$1204,"",INDEX($T$5:$AJ$1204,MATCH(756,$S$5:$S$1204,0),2))</f>
        <v/>
      </c>
      <c r="C760" s="10" t="str">
        <f t="array" ref="C760">IF(756&gt;$S$1204,"",INDEX($T$5:$AJ$1204,MATCH(756,$S$5:$S$1204,0),3))</f>
        <v/>
      </c>
      <c r="D760" s="8" t="str">
        <f t="array" ref="D760">IF(756&gt;$S$1204,"",INDEX($T$5:$AJ$1204,MATCH(756,$S$5:$S$1204,0),4))</f>
        <v/>
      </c>
      <c r="E760" s="8" t="str">
        <f t="array" ref="E760">IF(756&gt;$S$1204,"",INDEX($T$5:$AJ$1204,MATCH(756,$S$5:$S$1204,0),5))</f>
        <v/>
      </c>
      <c r="F760" s="8" t="str">
        <f t="array" ref="F760">IF(756&gt;$S$1204,"",INDEX($T$5:$AJ$1204,MATCH(756,$S$5:$S$1204,0),6))</f>
        <v/>
      </c>
      <c r="G760" s="8" t="str">
        <f t="array" ref="G760">IF(756&gt;$S$1204,"",INDEX($T$5:$AJ$1204,MATCH(756,$S$5:$S$1204,0),7))</f>
        <v/>
      </c>
      <c r="H760" s="8" t="str">
        <f t="array" ref="H760">IF(756&gt;$S$1204,"",INDEX($T$5:$AJ$1204,MATCH(756,$S$5:$S$1204,0),8))</f>
        <v/>
      </c>
      <c r="I760" s="8" t="str">
        <f t="array" ref="I760">IF(756&gt;$S$1204,"",INDEX($T$5:$AJ$1204,MATCH(756,$S$5:$S$1204,0),9))</f>
        <v/>
      </c>
      <c r="J760" s="14" t="str">
        <f t="array" ref="J760">IF(756&gt;$S$1204,"",INDEX($T$5:$AJ$1204,MATCH(756,$S$5:$S$1204,0),10))</f>
        <v/>
      </c>
      <c r="K760" s="8" t="str">
        <f t="array" ref="K760">IF(756&gt;$S$1204,"",INDEX($T$5:$AJ$1204,MATCH(756,$S$5:$S$1204,0),11))</f>
        <v/>
      </c>
      <c r="L760" s="8" t="str">
        <f t="array" ref="L760">IF(756&gt;$S$1204,"",INDEX($T$5:$AJ$1204,MATCH(756,$S$5:$S$1204,0),12))</f>
        <v/>
      </c>
      <c r="M760" s="8" t="str">
        <f t="array" ref="M760">IF(756&gt;$S$1204,"",INDEX($T$5:$AJ$1204,MATCH(756,$S$5:$S$1204,0),13))</f>
        <v/>
      </c>
      <c r="N760" s="8" t="str">
        <f t="array" ref="N760">IF(756&gt;$S$1204,"",INDEX($T$5:$AJ$1204,MATCH(756,$S$5:$S$1204,0),14))</f>
        <v/>
      </c>
      <c r="O760" s="15" t="str">
        <f t="array" ref="O760">IF(756&gt;$S$1204,"",INDEX($T$5:$AJ$1204,MATCH(756,$S$5:$S$1204,0),15))</f>
        <v/>
      </c>
      <c r="P760" s="8" t="str">
        <f t="array" ref="P760">IF(756&gt;$S$1204,"",INDEX($T$5:$AJ$1204,MATCH(756,$S$5:$S$1204,0),16))</f>
        <v/>
      </c>
      <c r="Q760" s="8" t="str">
        <f t="array" ref="Q760">IF(756&gt;$S$1204,"",INDEX($T$5:$AJ$1204,MATCH(756,$S$5:$S$1204,0),17))</f>
        <v/>
      </c>
      <c r="R760" s="17"/>
      <c r="S760" s="17">
        <f>S759+IF(M4_Sectores!A164="",0,1)</f>
        <v>0</v>
      </c>
      <c r="T760" s="17" t="str">
        <f>IF(M4_Sectores!A164="","",IF(M4_Sectores!A164="","",M4_Sectores!A164))</f>
        <v/>
      </c>
      <c r="U760" s="17" t="str">
        <f>IF(M4_Sectores!A164="","",IF(M4_Sectores!Q164="","",M4_Sectores!Q164))</f>
        <v/>
      </c>
      <c r="V760" s="17" t="str">
        <f>IF(M4_Sectores!A164="","",IF(M4_Sectores!D164="","",M4_Sectores!D164))</f>
        <v/>
      </c>
      <c r="W760" s="17" t="str">
        <f>IF(M4_Sectores!A164="","",IF(M4_Sectores!B164="","",M4_Sectores!B164))</f>
        <v/>
      </c>
      <c r="X760" s="17" t="str">
        <f>IF(M4_Sectores!A164="","",IF(M4_Sectores!C164="","",M4_Sectores!C164))</f>
        <v/>
      </c>
      <c r="Y760" s="17" t="str">
        <f>IF(M4_Sectores!A164="","",IF(M4_Sectores!E164="","",M4_Sectores!E164))</f>
        <v/>
      </c>
      <c r="Z760" s="17" t="str">
        <f>IF(M4_Sectores!A164="","",IF(M4_Sectores!F164="","",M4_Sectores!F164))</f>
        <v/>
      </c>
      <c r="AA760" s="17" t="str">
        <f>IF(M4_Sectores!A164="","","M4 Sectores")</f>
        <v/>
      </c>
      <c r="AB760" s="17" t="str">
        <f>IF(M4_Sectores!A164="","",IF(M4_Sectores!G164="","",M4_Sectores!G164))</f>
        <v/>
      </c>
      <c r="AC760" s="17" t="str">
        <f>IF(M4_Sectores!A164="","",IF(COUNTIFS(M4_Sectores!$A$9:A164,M4_Sectores!A164,M4_Sectores!$D$9:D164,M4_Sectores!D164,M4_Sectores!$H$9:H164,M4_Sectores!H164)=1,IF(M4_Sectores!L164="","",M4_Sectores!L164),""))</f>
        <v/>
      </c>
      <c r="AD760" s="17" t="str">
        <f>IF(M4_Sectores!A164="","","EE")</f>
        <v/>
      </c>
      <c r="AE760" s="17" t="str">
        <f>IF(M4_Sectores!A164="","",IF(M4_Sectores!N164="","",M4_Sectores!N164))</f>
        <v/>
      </c>
      <c r="AF760" s="17" t="str">
        <f>IF(M4_Sectores!A164="","",IF(M4_Sectores!O164="","",M4_Sectores!O164))</f>
        <v/>
      </c>
      <c r="AG760" s="17" t="str">
        <f>IF(M4_Sectores!A164="","",IF(M4_Sectores!P164="","",M4_Sectores!P164))</f>
        <v/>
      </c>
      <c r="AH760" s="17" t="str">
        <f>IF(M4_Sectores!A164="","",IF(M4_Sectores!H164="","",M4_Sectores!H164))</f>
        <v/>
      </c>
      <c r="AI760" s="17" t="str">
        <f>IF(M4_Sectores!A164="","","M4_Sectores!164")</f>
        <v/>
      </c>
      <c r="AJ760" s="17" t="str">
        <f>IF(M4_Sectores!A164="","",IF(M4_Sectores!L164="","Pendiente de momento o resultado",IF(COUNTIFS(M4_Sectores!$A$9:A164,M4_Sectores!A164,M4_Sectores!$D$9:D164,M4_Sectores!D164,M4_Sectores!$H$9:H164,M4_Sectores!H164)=1,"Total del momento","Sector incluido en total")))</f>
        <v/>
      </c>
    </row>
    <row r="761" spans="1:36" ht="55.5" customHeight="1">
      <c r="A761" s="6" t="str">
        <f t="array" ref="A761">IF(757&gt;$S$1204,"",INDEX($T$5:$AJ$1204,MATCH(757,$S$5:$S$1204,0),1))</f>
        <v/>
      </c>
      <c r="B761" s="8" t="str">
        <f t="array" ref="B761">IF(757&gt;$S$1204,"",INDEX($T$5:$AJ$1204,MATCH(757,$S$5:$S$1204,0),2))</f>
        <v/>
      </c>
      <c r="C761" s="10" t="str">
        <f t="array" ref="C761">IF(757&gt;$S$1204,"",INDEX($T$5:$AJ$1204,MATCH(757,$S$5:$S$1204,0),3))</f>
        <v/>
      </c>
      <c r="D761" s="8" t="str">
        <f t="array" ref="D761">IF(757&gt;$S$1204,"",INDEX($T$5:$AJ$1204,MATCH(757,$S$5:$S$1204,0),4))</f>
        <v/>
      </c>
      <c r="E761" s="8" t="str">
        <f t="array" ref="E761">IF(757&gt;$S$1204,"",INDEX($T$5:$AJ$1204,MATCH(757,$S$5:$S$1204,0),5))</f>
        <v/>
      </c>
      <c r="F761" s="8" t="str">
        <f t="array" ref="F761">IF(757&gt;$S$1204,"",INDEX($T$5:$AJ$1204,MATCH(757,$S$5:$S$1204,0),6))</f>
        <v/>
      </c>
      <c r="G761" s="8" t="str">
        <f t="array" ref="G761">IF(757&gt;$S$1204,"",INDEX($T$5:$AJ$1204,MATCH(757,$S$5:$S$1204,0),7))</f>
        <v/>
      </c>
      <c r="H761" s="8" t="str">
        <f t="array" ref="H761">IF(757&gt;$S$1204,"",INDEX($T$5:$AJ$1204,MATCH(757,$S$5:$S$1204,0),8))</f>
        <v/>
      </c>
      <c r="I761" s="8" t="str">
        <f t="array" ref="I761">IF(757&gt;$S$1204,"",INDEX($T$5:$AJ$1204,MATCH(757,$S$5:$S$1204,0),9))</f>
        <v/>
      </c>
      <c r="J761" s="14" t="str">
        <f t="array" ref="J761">IF(757&gt;$S$1204,"",INDEX($T$5:$AJ$1204,MATCH(757,$S$5:$S$1204,0),10))</f>
        <v/>
      </c>
      <c r="K761" s="8" t="str">
        <f t="array" ref="K761">IF(757&gt;$S$1204,"",INDEX($T$5:$AJ$1204,MATCH(757,$S$5:$S$1204,0),11))</f>
        <v/>
      </c>
      <c r="L761" s="8" t="str">
        <f t="array" ref="L761">IF(757&gt;$S$1204,"",INDEX($T$5:$AJ$1204,MATCH(757,$S$5:$S$1204,0),12))</f>
        <v/>
      </c>
      <c r="M761" s="8" t="str">
        <f t="array" ref="M761">IF(757&gt;$S$1204,"",INDEX($T$5:$AJ$1204,MATCH(757,$S$5:$S$1204,0),13))</f>
        <v/>
      </c>
      <c r="N761" s="8" t="str">
        <f t="array" ref="N761">IF(757&gt;$S$1204,"",INDEX($T$5:$AJ$1204,MATCH(757,$S$5:$S$1204,0),14))</f>
        <v/>
      </c>
      <c r="O761" s="15" t="str">
        <f t="array" ref="O761">IF(757&gt;$S$1204,"",INDEX($T$5:$AJ$1204,MATCH(757,$S$5:$S$1204,0),15))</f>
        <v/>
      </c>
      <c r="P761" s="8" t="str">
        <f t="array" ref="P761">IF(757&gt;$S$1204,"",INDEX($T$5:$AJ$1204,MATCH(757,$S$5:$S$1204,0),16))</f>
        <v/>
      </c>
      <c r="Q761" s="8" t="str">
        <f t="array" ref="Q761">IF(757&gt;$S$1204,"",INDEX($T$5:$AJ$1204,MATCH(757,$S$5:$S$1204,0),17))</f>
        <v/>
      </c>
      <c r="R761" s="17"/>
      <c r="S761" s="17">
        <f>S760+IF(M4_Sectores!A165="",0,1)</f>
        <v>0</v>
      </c>
      <c r="T761" s="17" t="str">
        <f>IF(M4_Sectores!A165="","",IF(M4_Sectores!A165="","",M4_Sectores!A165))</f>
        <v/>
      </c>
      <c r="U761" s="17" t="str">
        <f>IF(M4_Sectores!A165="","",IF(M4_Sectores!Q165="","",M4_Sectores!Q165))</f>
        <v/>
      </c>
      <c r="V761" s="17" t="str">
        <f>IF(M4_Sectores!A165="","",IF(M4_Sectores!D165="","",M4_Sectores!D165))</f>
        <v/>
      </c>
      <c r="W761" s="17" t="str">
        <f>IF(M4_Sectores!A165="","",IF(M4_Sectores!B165="","",M4_Sectores!B165))</f>
        <v/>
      </c>
      <c r="X761" s="17" t="str">
        <f>IF(M4_Sectores!A165="","",IF(M4_Sectores!C165="","",M4_Sectores!C165))</f>
        <v/>
      </c>
      <c r="Y761" s="17" t="str">
        <f>IF(M4_Sectores!A165="","",IF(M4_Sectores!E165="","",M4_Sectores!E165))</f>
        <v/>
      </c>
      <c r="Z761" s="17" t="str">
        <f>IF(M4_Sectores!A165="","",IF(M4_Sectores!F165="","",M4_Sectores!F165))</f>
        <v/>
      </c>
      <c r="AA761" s="17" t="str">
        <f>IF(M4_Sectores!A165="","","M4 Sectores")</f>
        <v/>
      </c>
      <c r="AB761" s="17" t="str">
        <f>IF(M4_Sectores!A165="","",IF(M4_Sectores!G165="","",M4_Sectores!G165))</f>
        <v/>
      </c>
      <c r="AC761" s="17" t="str">
        <f>IF(M4_Sectores!A165="","",IF(COUNTIFS(M4_Sectores!$A$9:A165,M4_Sectores!A165,M4_Sectores!$D$9:D165,M4_Sectores!D165,M4_Sectores!$H$9:H165,M4_Sectores!H165)=1,IF(M4_Sectores!L165="","",M4_Sectores!L165),""))</f>
        <v/>
      </c>
      <c r="AD761" s="17" t="str">
        <f>IF(M4_Sectores!A165="","","EE")</f>
        <v/>
      </c>
      <c r="AE761" s="17" t="str">
        <f>IF(M4_Sectores!A165="","",IF(M4_Sectores!N165="","",M4_Sectores!N165))</f>
        <v/>
      </c>
      <c r="AF761" s="17" t="str">
        <f>IF(M4_Sectores!A165="","",IF(M4_Sectores!O165="","",M4_Sectores!O165))</f>
        <v/>
      </c>
      <c r="AG761" s="17" t="str">
        <f>IF(M4_Sectores!A165="","",IF(M4_Sectores!P165="","",M4_Sectores!P165))</f>
        <v/>
      </c>
      <c r="AH761" s="17" t="str">
        <f>IF(M4_Sectores!A165="","",IF(M4_Sectores!H165="","",M4_Sectores!H165))</f>
        <v/>
      </c>
      <c r="AI761" s="17" t="str">
        <f>IF(M4_Sectores!A165="","","M4_Sectores!165")</f>
        <v/>
      </c>
      <c r="AJ761" s="17" t="str">
        <f>IF(M4_Sectores!A165="","",IF(M4_Sectores!L165="","Pendiente de momento o resultado",IF(COUNTIFS(M4_Sectores!$A$9:A165,M4_Sectores!A165,M4_Sectores!$D$9:D165,M4_Sectores!D165,M4_Sectores!$H$9:H165,M4_Sectores!H165)=1,"Total del momento","Sector incluido en total")))</f>
        <v/>
      </c>
    </row>
    <row r="762" spans="1:36" ht="55.5" customHeight="1">
      <c r="A762" s="6" t="str">
        <f t="array" ref="A762">IF(758&gt;$S$1204,"",INDEX($T$5:$AJ$1204,MATCH(758,$S$5:$S$1204,0),1))</f>
        <v/>
      </c>
      <c r="B762" s="8" t="str">
        <f t="array" ref="B762">IF(758&gt;$S$1204,"",INDEX($T$5:$AJ$1204,MATCH(758,$S$5:$S$1204,0),2))</f>
        <v/>
      </c>
      <c r="C762" s="10" t="str">
        <f t="array" ref="C762">IF(758&gt;$S$1204,"",INDEX($T$5:$AJ$1204,MATCH(758,$S$5:$S$1204,0),3))</f>
        <v/>
      </c>
      <c r="D762" s="8" t="str">
        <f t="array" ref="D762">IF(758&gt;$S$1204,"",INDEX($T$5:$AJ$1204,MATCH(758,$S$5:$S$1204,0),4))</f>
        <v/>
      </c>
      <c r="E762" s="8" t="str">
        <f t="array" ref="E762">IF(758&gt;$S$1204,"",INDEX($T$5:$AJ$1204,MATCH(758,$S$5:$S$1204,0),5))</f>
        <v/>
      </c>
      <c r="F762" s="8" t="str">
        <f t="array" ref="F762">IF(758&gt;$S$1204,"",INDEX($T$5:$AJ$1204,MATCH(758,$S$5:$S$1204,0),6))</f>
        <v/>
      </c>
      <c r="G762" s="8" t="str">
        <f t="array" ref="G762">IF(758&gt;$S$1204,"",INDEX($T$5:$AJ$1204,MATCH(758,$S$5:$S$1204,0),7))</f>
        <v/>
      </c>
      <c r="H762" s="8" t="str">
        <f t="array" ref="H762">IF(758&gt;$S$1204,"",INDEX($T$5:$AJ$1204,MATCH(758,$S$5:$S$1204,0),8))</f>
        <v/>
      </c>
      <c r="I762" s="8" t="str">
        <f t="array" ref="I762">IF(758&gt;$S$1204,"",INDEX($T$5:$AJ$1204,MATCH(758,$S$5:$S$1204,0),9))</f>
        <v/>
      </c>
      <c r="J762" s="14" t="str">
        <f t="array" ref="J762">IF(758&gt;$S$1204,"",INDEX($T$5:$AJ$1204,MATCH(758,$S$5:$S$1204,0),10))</f>
        <v/>
      </c>
      <c r="K762" s="8" t="str">
        <f t="array" ref="K762">IF(758&gt;$S$1204,"",INDEX($T$5:$AJ$1204,MATCH(758,$S$5:$S$1204,0),11))</f>
        <v/>
      </c>
      <c r="L762" s="8" t="str">
        <f t="array" ref="L762">IF(758&gt;$S$1204,"",INDEX($T$5:$AJ$1204,MATCH(758,$S$5:$S$1204,0),12))</f>
        <v/>
      </c>
      <c r="M762" s="8" t="str">
        <f t="array" ref="M762">IF(758&gt;$S$1204,"",INDEX($T$5:$AJ$1204,MATCH(758,$S$5:$S$1204,0),13))</f>
        <v/>
      </c>
      <c r="N762" s="8" t="str">
        <f t="array" ref="N762">IF(758&gt;$S$1204,"",INDEX($T$5:$AJ$1204,MATCH(758,$S$5:$S$1204,0),14))</f>
        <v/>
      </c>
      <c r="O762" s="15" t="str">
        <f t="array" ref="O762">IF(758&gt;$S$1204,"",INDEX($T$5:$AJ$1204,MATCH(758,$S$5:$S$1204,0),15))</f>
        <v/>
      </c>
      <c r="P762" s="8" t="str">
        <f t="array" ref="P762">IF(758&gt;$S$1204,"",INDEX($T$5:$AJ$1204,MATCH(758,$S$5:$S$1204,0),16))</f>
        <v/>
      </c>
      <c r="Q762" s="8" t="str">
        <f t="array" ref="Q762">IF(758&gt;$S$1204,"",INDEX($T$5:$AJ$1204,MATCH(758,$S$5:$S$1204,0),17))</f>
        <v/>
      </c>
      <c r="R762" s="17"/>
      <c r="S762" s="17">
        <f>S761+IF(M4_Sectores!A166="",0,1)</f>
        <v>0</v>
      </c>
      <c r="T762" s="17" t="str">
        <f>IF(M4_Sectores!A166="","",IF(M4_Sectores!A166="","",M4_Sectores!A166))</f>
        <v/>
      </c>
      <c r="U762" s="17" t="str">
        <f>IF(M4_Sectores!A166="","",IF(M4_Sectores!Q166="","",M4_Sectores!Q166))</f>
        <v/>
      </c>
      <c r="V762" s="17" t="str">
        <f>IF(M4_Sectores!A166="","",IF(M4_Sectores!D166="","",M4_Sectores!D166))</f>
        <v/>
      </c>
      <c r="W762" s="17" t="str">
        <f>IF(M4_Sectores!A166="","",IF(M4_Sectores!B166="","",M4_Sectores!B166))</f>
        <v/>
      </c>
      <c r="X762" s="17" t="str">
        <f>IF(M4_Sectores!A166="","",IF(M4_Sectores!C166="","",M4_Sectores!C166))</f>
        <v/>
      </c>
      <c r="Y762" s="17" t="str">
        <f>IF(M4_Sectores!A166="","",IF(M4_Sectores!E166="","",M4_Sectores!E166))</f>
        <v/>
      </c>
      <c r="Z762" s="17" t="str">
        <f>IF(M4_Sectores!A166="","",IF(M4_Sectores!F166="","",M4_Sectores!F166))</f>
        <v/>
      </c>
      <c r="AA762" s="17" t="str">
        <f>IF(M4_Sectores!A166="","","M4 Sectores")</f>
        <v/>
      </c>
      <c r="AB762" s="17" t="str">
        <f>IF(M4_Sectores!A166="","",IF(M4_Sectores!G166="","",M4_Sectores!G166))</f>
        <v/>
      </c>
      <c r="AC762" s="17" t="str">
        <f>IF(M4_Sectores!A166="","",IF(COUNTIFS(M4_Sectores!$A$9:A166,M4_Sectores!A166,M4_Sectores!$D$9:D166,M4_Sectores!D166,M4_Sectores!$H$9:H166,M4_Sectores!H166)=1,IF(M4_Sectores!L166="","",M4_Sectores!L166),""))</f>
        <v/>
      </c>
      <c r="AD762" s="17" t="str">
        <f>IF(M4_Sectores!A166="","","EE")</f>
        <v/>
      </c>
      <c r="AE762" s="17" t="str">
        <f>IF(M4_Sectores!A166="","",IF(M4_Sectores!N166="","",M4_Sectores!N166))</f>
        <v/>
      </c>
      <c r="AF762" s="17" t="str">
        <f>IF(M4_Sectores!A166="","",IF(M4_Sectores!O166="","",M4_Sectores!O166))</f>
        <v/>
      </c>
      <c r="AG762" s="17" t="str">
        <f>IF(M4_Sectores!A166="","",IF(M4_Sectores!P166="","",M4_Sectores!P166))</f>
        <v/>
      </c>
      <c r="AH762" s="17" t="str">
        <f>IF(M4_Sectores!A166="","",IF(M4_Sectores!H166="","",M4_Sectores!H166))</f>
        <v/>
      </c>
      <c r="AI762" s="17" t="str">
        <f>IF(M4_Sectores!A166="","","M4_Sectores!166")</f>
        <v/>
      </c>
      <c r="AJ762" s="17" t="str">
        <f>IF(M4_Sectores!A166="","",IF(M4_Sectores!L166="","Pendiente de momento o resultado",IF(COUNTIFS(M4_Sectores!$A$9:A166,M4_Sectores!A166,M4_Sectores!$D$9:D166,M4_Sectores!D166,M4_Sectores!$H$9:H166,M4_Sectores!H166)=1,"Total del momento","Sector incluido en total")))</f>
        <v/>
      </c>
    </row>
    <row r="763" spans="1:36" ht="55.5" customHeight="1">
      <c r="A763" s="6" t="str">
        <f t="array" ref="A763">IF(759&gt;$S$1204,"",INDEX($T$5:$AJ$1204,MATCH(759,$S$5:$S$1204,0),1))</f>
        <v/>
      </c>
      <c r="B763" s="8" t="str">
        <f t="array" ref="B763">IF(759&gt;$S$1204,"",INDEX($T$5:$AJ$1204,MATCH(759,$S$5:$S$1204,0),2))</f>
        <v/>
      </c>
      <c r="C763" s="10" t="str">
        <f t="array" ref="C763">IF(759&gt;$S$1204,"",INDEX($T$5:$AJ$1204,MATCH(759,$S$5:$S$1204,0),3))</f>
        <v/>
      </c>
      <c r="D763" s="8" t="str">
        <f t="array" ref="D763">IF(759&gt;$S$1204,"",INDEX($T$5:$AJ$1204,MATCH(759,$S$5:$S$1204,0),4))</f>
        <v/>
      </c>
      <c r="E763" s="8" t="str">
        <f t="array" ref="E763">IF(759&gt;$S$1204,"",INDEX($T$5:$AJ$1204,MATCH(759,$S$5:$S$1204,0),5))</f>
        <v/>
      </c>
      <c r="F763" s="8" t="str">
        <f t="array" ref="F763">IF(759&gt;$S$1204,"",INDEX($T$5:$AJ$1204,MATCH(759,$S$5:$S$1204,0),6))</f>
        <v/>
      </c>
      <c r="G763" s="8" t="str">
        <f t="array" ref="G763">IF(759&gt;$S$1204,"",INDEX($T$5:$AJ$1204,MATCH(759,$S$5:$S$1204,0),7))</f>
        <v/>
      </c>
      <c r="H763" s="8" t="str">
        <f t="array" ref="H763">IF(759&gt;$S$1204,"",INDEX($T$5:$AJ$1204,MATCH(759,$S$5:$S$1204,0),8))</f>
        <v/>
      </c>
      <c r="I763" s="8" t="str">
        <f t="array" ref="I763">IF(759&gt;$S$1204,"",INDEX($T$5:$AJ$1204,MATCH(759,$S$5:$S$1204,0),9))</f>
        <v/>
      </c>
      <c r="J763" s="14" t="str">
        <f t="array" ref="J763">IF(759&gt;$S$1204,"",INDEX($T$5:$AJ$1204,MATCH(759,$S$5:$S$1204,0),10))</f>
        <v/>
      </c>
      <c r="K763" s="8" t="str">
        <f t="array" ref="K763">IF(759&gt;$S$1204,"",INDEX($T$5:$AJ$1204,MATCH(759,$S$5:$S$1204,0),11))</f>
        <v/>
      </c>
      <c r="L763" s="8" t="str">
        <f t="array" ref="L763">IF(759&gt;$S$1204,"",INDEX($T$5:$AJ$1204,MATCH(759,$S$5:$S$1204,0),12))</f>
        <v/>
      </c>
      <c r="M763" s="8" t="str">
        <f t="array" ref="M763">IF(759&gt;$S$1204,"",INDEX($T$5:$AJ$1204,MATCH(759,$S$5:$S$1204,0),13))</f>
        <v/>
      </c>
      <c r="N763" s="8" t="str">
        <f t="array" ref="N763">IF(759&gt;$S$1204,"",INDEX($T$5:$AJ$1204,MATCH(759,$S$5:$S$1204,0),14))</f>
        <v/>
      </c>
      <c r="O763" s="15" t="str">
        <f t="array" ref="O763">IF(759&gt;$S$1204,"",INDEX($T$5:$AJ$1204,MATCH(759,$S$5:$S$1204,0),15))</f>
        <v/>
      </c>
      <c r="P763" s="8" t="str">
        <f t="array" ref="P763">IF(759&gt;$S$1204,"",INDEX($T$5:$AJ$1204,MATCH(759,$S$5:$S$1204,0),16))</f>
        <v/>
      </c>
      <c r="Q763" s="8" t="str">
        <f t="array" ref="Q763">IF(759&gt;$S$1204,"",INDEX($T$5:$AJ$1204,MATCH(759,$S$5:$S$1204,0),17))</f>
        <v/>
      </c>
      <c r="R763" s="17"/>
      <c r="S763" s="17">
        <f>S762+IF(M4_Sectores!A167="",0,1)</f>
        <v>0</v>
      </c>
      <c r="T763" s="17" t="str">
        <f>IF(M4_Sectores!A167="","",IF(M4_Sectores!A167="","",M4_Sectores!A167))</f>
        <v/>
      </c>
      <c r="U763" s="17" t="str">
        <f>IF(M4_Sectores!A167="","",IF(M4_Sectores!Q167="","",M4_Sectores!Q167))</f>
        <v/>
      </c>
      <c r="V763" s="17" t="str">
        <f>IF(M4_Sectores!A167="","",IF(M4_Sectores!D167="","",M4_Sectores!D167))</f>
        <v/>
      </c>
      <c r="W763" s="17" t="str">
        <f>IF(M4_Sectores!A167="","",IF(M4_Sectores!B167="","",M4_Sectores!B167))</f>
        <v/>
      </c>
      <c r="X763" s="17" t="str">
        <f>IF(M4_Sectores!A167="","",IF(M4_Sectores!C167="","",M4_Sectores!C167))</f>
        <v/>
      </c>
      <c r="Y763" s="17" t="str">
        <f>IF(M4_Sectores!A167="","",IF(M4_Sectores!E167="","",M4_Sectores!E167))</f>
        <v/>
      </c>
      <c r="Z763" s="17" t="str">
        <f>IF(M4_Sectores!A167="","",IF(M4_Sectores!F167="","",M4_Sectores!F167))</f>
        <v/>
      </c>
      <c r="AA763" s="17" t="str">
        <f>IF(M4_Sectores!A167="","","M4 Sectores")</f>
        <v/>
      </c>
      <c r="AB763" s="17" t="str">
        <f>IF(M4_Sectores!A167="","",IF(M4_Sectores!G167="","",M4_Sectores!G167))</f>
        <v/>
      </c>
      <c r="AC763" s="17" t="str">
        <f>IF(M4_Sectores!A167="","",IF(COUNTIFS(M4_Sectores!$A$9:A167,M4_Sectores!A167,M4_Sectores!$D$9:D167,M4_Sectores!D167,M4_Sectores!$H$9:H167,M4_Sectores!H167)=1,IF(M4_Sectores!L167="","",M4_Sectores!L167),""))</f>
        <v/>
      </c>
      <c r="AD763" s="17" t="str">
        <f>IF(M4_Sectores!A167="","","EE")</f>
        <v/>
      </c>
      <c r="AE763" s="17" t="str">
        <f>IF(M4_Sectores!A167="","",IF(M4_Sectores!N167="","",M4_Sectores!N167))</f>
        <v/>
      </c>
      <c r="AF763" s="17" t="str">
        <f>IF(M4_Sectores!A167="","",IF(M4_Sectores!O167="","",M4_Sectores!O167))</f>
        <v/>
      </c>
      <c r="AG763" s="17" t="str">
        <f>IF(M4_Sectores!A167="","",IF(M4_Sectores!P167="","",M4_Sectores!P167))</f>
        <v/>
      </c>
      <c r="AH763" s="17" t="str">
        <f>IF(M4_Sectores!A167="","",IF(M4_Sectores!H167="","",M4_Sectores!H167))</f>
        <v/>
      </c>
      <c r="AI763" s="17" t="str">
        <f>IF(M4_Sectores!A167="","","M4_Sectores!167")</f>
        <v/>
      </c>
      <c r="AJ763" s="17" t="str">
        <f>IF(M4_Sectores!A167="","",IF(M4_Sectores!L167="","Pendiente de momento o resultado",IF(COUNTIFS(M4_Sectores!$A$9:A167,M4_Sectores!A167,M4_Sectores!$D$9:D167,M4_Sectores!D167,M4_Sectores!$H$9:H167,M4_Sectores!H167)=1,"Total del momento","Sector incluido en total")))</f>
        <v/>
      </c>
    </row>
    <row r="764" spans="1:36" ht="55.5" customHeight="1">
      <c r="A764" s="6" t="str">
        <f t="array" ref="A764">IF(760&gt;$S$1204,"",INDEX($T$5:$AJ$1204,MATCH(760,$S$5:$S$1204,0),1))</f>
        <v/>
      </c>
      <c r="B764" s="8" t="str">
        <f t="array" ref="B764">IF(760&gt;$S$1204,"",INDEX($T$5:$AJ$1204,MATCH(760,$S$5:$S$1204,0),2))</f>
        <v/>
      </c>
      <c r="C764" s="10" t="str">
        <f t="array" ref="C764">IF(760&gt;$S$1204,"",INDEX($T$5:$AJ$1204,MATCH(760,$S$5:$S$1204,0),3))</f>
        <v/>
      </c>
      <c r="D764" s="8" t="str">
        <f t="array" ref="D764">IF(760&gt;$S$1204,"",INDEX($T$5:$AJ$1204,MATCH(760,$S$5:$S$1204,0),4))</f>
        <v/>
      </c>
      <c r="E764" s="8" t="str">
        <f t="array" ref="E764">IF(760&gt;$S$1204,"",INDEX($T$5:$AJ$1204,MATCH(760,$S$5:$S$1204,0),5))</f>
        <v/>
      </c>
      <c r="F764" s="8" t="str">
        <f t="array" ref="F764">IF(760&gt;$S$1204,"",INDEX($T$5:$AJ$1204,MATCH(760,$S$5:$S$1204,0),6))</f>
        <v/>
      </c>
      <c r="G764" s="8" t="str">
        <f t="array" ref="G764">IF(760&gt;$S$1204,"",INDEX($T$5:$AJ$1204,MATCH(760,$S$5:$S$1204,0),7))</f>
        <v/>
      </c>
      <c r="H764" s="8" t="str">
        <f t="array" ref="H764">IF(760&gt;$S$1204,"",INDEX($T$5:$AJ$1204,MATCH(760,$S$5:$S$1204,0),8))</f>
        <v/>
      </c>
      <c r="I764" s="8" t="str">
        <f t="array" ref="I764">IF(760&gt;$S$1204,"",INDEX($T$5:$AJ$1204,MATCH(760,$S$5:$S$1204,0),9))</f>
        <v/>
      </c>
      <c r="J764" s="14" t="str">
        <f t="array" ref="J764">IF(760&gt;$S$1204,"",INDEX($T$5:$AJ$1204,MATCH(760,$S$5:$S$1204,0),10))</f>
        <v/>
      </c>
      <c r="K764" s="8" t="str">
        <f t="array" ref="K764">IF(760&gt;$S$1204,"",INDEX($T$5:$AJ$1204,MATCH(760,$S$5:$S$1204,0),11))</f>
        <v/>
      </c>
      <c r="L764" s="8" t="str">
        <f t="array" ref="L764">IF(760&gt;$S$1204,"",INDEX($T$5:$AJ$1204,MATCH(760,$S$5:$S$1204,0),12))</f>
        <v/>
      </c>
      <c r="M764" s="8" t="str">
        <f t="array" ref="M764">IF(760&gt;$S$1204,"",INDEX($T$5:$AJ$1204,MATCH(760,$S$5:$S$1204,0),13))</f>
        <v/>
      </c>
      <c r="N764" s="8" t="str">
        <f t="array" ref="N764">IF(760&gt;$S$1204,"",INDEX($T$5:$AJ$1204,MATCH(760,$S$5:$S$1204,0),14))</f>
        <v/>
      </c>
      <c r="O764" s="15" t="str">
        <f t="array" ref="O764">IF(760&gt;$S$1204,"",INDEX($T$5:$AJ$1204,MATCH(760,$S$5:$S$1204,0),15))</f>
        <v/>
      </c>
      <c r="P764" s="8" t="str">
        <f t="array" ref="P764">IF(760&gt;$S$1204,"",INDEX($T$5:$AJ$1204,MATCH(760,$S$5:$S$1204,0),16))</f>
        <v/>
      </c>
      <c r="Q764" s="8" t="str">
        <f t="array" ref="Q764">IF(760&gt;$S$1204,"",INDEX($T$5:$AJ$1204,MATCH(760,$S$5:$S$1204,0),17))</f>
        <v/>
      </c>
      <c r="R764" s="17"/>
      <c r="S764" s="17">
        <f>S763+IF(M4_Sectores!A168="",0,1)</f>
        <v>0</v>
      </c>
      <c r="T764" s="17" t="str">
        <f>IF(M4_Sectores!A168="","",IF(M4_Sectores!A168="","",M4_Sectores!A168))</f>
        <v/>
      </c>
      <c r="U764" s="17" t="str">
        <f>IF(M4_Sectores!A168="","",IF(M4_Sectores!Q168="","",M4_Sectores!Q168))</f>
        <v/>
      </c>
      <c r="V764" s="17" t="str">
        <f>IF(M4_Sectores!A168="","",IF(M4_Sectores!D168="","",M4_Sectores!D168))</f>
        <v/>
      </c>
      <c r="W764" s="17" t="str">
        <f>IF(M4_Sectores!A168="","",IF(M4_Sectores!B168="","",M4_Sectores!B168))</f>
        <v/>
      </c>
      <c r="X764" s="17" t="str">
        <f>IF(M4_Sectores!A168="","",IF(M4_Sectores!C168="","",M4_Sectores!C168))</f>
        <v/>
      </c>
      <c r="Y764" s="17" t="str">
        <f>IF(M4_Sectores!A168="","",IF(M4_Sectores!E168="","",M4_Sectores!E168))</f>
        <v/>
      </c>
      <c r="Z764" s="17" t="str">
        <f>IF(M4_Sectores!A168="","",IF(M4_Sectores!F168="","",M4_Sectores!F168))</f>
        <v/>
      </c>
      <c r="AA764" s="17" t="str">
        <f>IF(M4_Sectores!A168="","","M4 Sectores")</f>
        <v/>
      </c>
      <c r="AB764" s="17" t="str">
        <f>IF(M4_Sectores!A168="","",IF(M4_Sectores!G168="","",M4_Sectores!G168))</f>
        <v/>
      </c>
      <c r="AC764" s="17" t="str">
        <f>IF(M4_Sectores!A168="","",IF(COUNTIFS(M4_Sectores!$A$9:A168,M4_Sectores!A168,M4_Sectores!$D$9:D168,M4_Sectores!D168,M4_Sectores!$H$9:H168,M4_Sectores!H168)=1,IF(M4_Sectores!L168="","",M4_Sectores!L168),""))</f>
        <v/>
      </c>
      <c r="AD764" s="17" t="str">
        <f>IF(M4_Sectores!A168="","","EE")</f>
        <v/>
      </c>
      <c r="AE764" s="17" t="str">
        <f>IF(M4_Sectores!A168="","",IF(M4_Sectores!N168="","",M4_Sectores!N168))</f>
        <v/>
      </c>
      <c r="AF764" s="17" t="str">
        <f>IF(M4_Sectores!A168="","",IF(M4_Sectores!O168="","",M4_Sectores!O168))</f>
        <v/>
      </c>
      <c r="AG764" s="17" t="str">
        <f>IF(M4_Sectores!A168="","",IF(M4_Sectores!P168="","",M4_Sectores!P168))</f>
        <v/>
      </c>
      <c r="AH764" s="17" t="str">
        <f>IF(M4_Sectores!A168="","",IF(M4_Sectores!H168="","",M4_Sectores!H168))</f>
        <v/>
      </c>
      <c r="AI764" s="17" t="str">
        <f>IF(M4_Sectores!A168="","","M4_Sectores!168")</f>
        <v/>
      </c>
      <c r="AJ764" s="17" t="str">
        <f>IF(M4_Sectores!A168="","",IF(M4_Sectores!L168="","Pendiente de momento o resultado",IF(COUNTIFS(M4_Sectores!$A$9:A168,M4_Sectores!A168,M4_Sectores!$D$9:D168,M4_Sectores!D168,M4_Sectores!$H$9:H168,M4_Sectores!H168)=1,"Total del momento","Sector incluido en total")))</f>
        <v/>
      </c>
    </row>
    <row r="765" spans="1:36" ht="55.5" customHeight="1">
      <c r="A765" s="6" t="str">
        <f t="array" ref="A765">IF(761&gt;$S$1204,"",INDEX($T$5:$AJ$1204,MATCH(761,$S$5:$S$1204,0),1))</f>
        <v/>
      </c>
      <c r="B765" s="8" t="str">
        <f t="array" ref="B765">IF(761&gt;$S$1204,"",INDEX($T$5:$AJ$1204,MATCH(761,$S$5:$S$1204,0),2))</f>
        <v/>
      </c>
      <c r="C765" s="10" t="str">
        <f t="array" ref="C765">IF(761&gt;$S$1204,"",INDEX($T$5:$AJ$1204,MATCH(761,$S$5:$S$1204,0),3))</f>
        <v/>
      </c>
      <c r="D765" s="8" t="str">
        <f t="array" ref="D765">IF(761&gt;$S$1204,"",INDEX($T$5:$AJ$1204,MATCH(761,$S$5:$S$1204,0),4))</f>
        <v/>
      </c>
      <c r="E765" s="8" t="str">
        <f t="array" ref="E765">IF(761&gt;$S$1204,"",INDEX($T$5:$AJ$1204,MATCH(761,$S$5:$S$1204,0),5))</f>
        <v/>
      </c>
      <c r="F765" s="8" t="str">
        <f t="array" ref="F765">IF(761&gt;$S$1204,"",INDEX($T$5:$AJ$1204,MATCH(761,$S$5:$S$1204,0),6))</f>
        <v/>
      </c>
      <c r="G765" s="8" t="str">
        <f t="array" ref="G765">IF(761&gt;$S$1204,"",INDEX($T$5:$AJ$1204,MATCH(761,$S$5:$S$1204,0),7))</f>
        <v/>
      </c>
      <c r="H765" s="8" t="str">
        <f t="array" ref="H765">IF(761&gt;$S$1204,"",INDEX($T$5:$AJ$1204,MATCH(761,$S$5:$S$1204,0),8))</f>
        <v/>
      </c>
      <c r="I765" s="8" t="str">
        <f t="array" ref="I765">IF(761&gt;$S$1204,"",INDEX($T$5:$AJ$1204,MATCH(761,$S$5:$S$1204,0),9))</f>
        <v/>
      </c>
      <c r="J765" s="14" t="str">
        <f t="array" ref="J765">IF(761&gt;$S$1204,"",INDEX($T$5:$AJ$1204,MATCH(761,$S$5:$S$1204,0),10))</f>
        <v/>
      </c>
      <c r="K765" s="8" t="str">
        <f t="array" ref="K765">IF(761&gt;$S$1204,"",INDEX($T$5:$AJ$1204,MATCH(761,$S$5:$S$1204,0),11))</f>
        <v/>
      </c>
      <c r="L765" s="8" t="str">
        <f t="array" ref="L765">IF(761&gt;$S$1204,"",INDEX($T$5:$AJ$1204,MATCH(761,$S$5:$S$1204,0),12))</f>
        <v/>
      </c>
      <c r="M765" s="8" t="str">
        <f t="array" ref="M765">IF(761&gt;$S$1204,"",INDEX($T$5:$AJ$1204,MATCH(761,$S$5:$S$1204,0),13))</f>
        <v/>
      </c>
      <c r="N765" s="8" t="str">
        <f t="array" ref="N765">IF(761&gt;$S$1204,"",INDEX($T$5:$AJ$1204,MATCH(761,$S$5:$S$1204,0),14))</f>
        <v/>
      </c>
      <c r="O765" s="15" t="str">
        <f t="array" ref="O765">IF(761&gt;$S$1204,"",INDEX($T$5:$AJ$1204,MATCH(761,$S$5:$S$1204,0),15))</f>
        <v/>
      </c>
      <c r="P765" s="8" t="str">
        <f t="array" ref="P765">IF(761&gt;$S$1204,"",INDEX($T$5:$AJ$1204,MATCH(761,$S$5:$S$1204,0),16))</f>
        <v/>
      </c>
      <c r="Q765" s="8" t="str">
        <f t="array" ref="Q765">IF(761&gt;$S$1204,"",INDEX($T$5:$AJ$1204,MATCH(761,$S$5:$S$1204,0),17))</f>
        <v/>
      </c>
      <c r="R765" s="17"/>
      <c r="S765" s="17">
        <f>S764+IF(M4_Sectores!A169="",0,1)</f>
        <v>0</v>
      </c>
      <c r="T765" s="17" t="str">
        <f>IF(M4_Sectores!A169="","",IF(M4_Sectores!A169="","",M4_Sectores!A169))</f>
        <v/>
      </c>
      <c r="U765" s="17" t="str">
        <f>IF(M4_Sectores!A169="","",IF(M4_Sectores!Q169="","",M4_Sectores!Q169))</f>
        <v/>
      </c>
      <c r="V765" s="17" t="str">
        <f>IF(M4_Sectores!A169="","",IF(M4_Sectores!D169="","",M4_Sectores!D169))</f>
        <v/>
      </c>
      <c r="W765" s="17" t="str">
        <f>IF(M4_Sectores!A169="","",IF(M4_Sectores!B169="","",M4_Sectores!B169))</f>
        <v/>
      </c>
      <c r="X765" s="17" t="str">
        <f>IF(M4_Sectores!A169="","",IF(M4_Sectores!C169="","",M4_Sectores!C169))</f>
        <v/>
      </c>
      <c r="Y765" s="17" t="str">
        <f>IF(M4_Sectores!A169="","",IF(M4_Sectores!E169="","",M4_Sectores!E169))</f>
        <v/>
      </c>
      <c r="Z765" s="17" t="str">
        <f>IF(M4_Sectores!A169="","",IF(M4_Sectores!F169="","",M4_Sectores!F169))</f>
        <v/>
      </c>
      <c r="AA765" s="17" t="str">
        <f>IF(M4_Sectores!A169="","","M4 Sectores")</f>
        <v/>
      </c>
      <c r="AB765" s="17" t="str">
        <f>IF(M4_Sectores!A169="","",IF(M4_Sectores!G169="","",M4_Sectores!G169))</f>
        <v/>
      </c>
      <c r="AC765" s="17" t="str">
        <f>IF(M4_Sectores!A169="","",IF(COUNTIFS(M4_Sectores!$A$9:A169,M4_Sectores!A169,M4_Sectores!$D$9:D169,M4_Sectores!D169,M4_Sectores!$H$9:H169,M4_Sectores!H169)=1,IF(M4_Sectores!L169="","",M4_Sectores!L169),""))</f>
        <v/>
      </c>
      <c r="AD765" s="17" t="str">
        <f>IF(M4_Sectores!A169="","","EE")</f>
        <v/>
      </c>
      <c r="AE765" s="17" t="str">
        <f>IF(M4_Sectores!A169="","",IF(M4_Sectores!N169="","",M4_Sectores!N169))</f>
        <v/>
      </c>
      <c r="AF765" s="17" t="str">
        <f>IF(M4_Sectores!A169="","",IF(M4_Sectores!O169="","",M4_Sectores!O169))</f>
        <v/>
      </c>
      <c r="AG765" s="17" t="str">
        <f>IF(M4_Sectores!A169="","",IF(M4_Sectores!P169="","",M4_Sectores!P169))</f>
        <v/>
      </c>
      <c r="AH765" s="17" t="str">
        <f>IF(M4_Sectores!A169="","",IF(M4_Sectores!H169="","",M4_Sectores!H169))</f>
        <v/>
      </c>
      <c r="AI765" s="17" t="str">
        <f>IF(M4_Sectores!A169="","","M4_Sectores!169")</f>
        <v/>
      </c>
      <c r="AJ765" s="17" t="str">
        <f>IF(M4_Sectores!A169="","",IF(M4_Sectores!L169="","Pendiente de momento o resultado",IF(COUNTIFS(M4_Sectores!$A$9:A169,M4_Sectores!A169,M4_Sectores!$D$9:D169,M4_Sectores!D169,M4_Sectores!$H$9:H169,M4_Sectores!H169)=1,"Total del momento","Sector incluido en total")))</f>
        <v/>
      </c>
    </row>
    <row r="766" spans="1:36" ht="55.5" customHeight="1">
      <c r="A766" s="6" t="str">
        <f t="array" ref="A766">IF(762&gt;$S$1204,"",INDEX($T$5:$AJ$1204,MATCH(762,$S$5:$S$1204,0),1))</f>
        <v/>
      </c>
      <c r="B766" s="8" t="str">
        <f t="array" ref="B766">IF(762&gt;$S$1204,"",INDEX($T$5:$AJ$1204,MATCH(762,$S$5:$S$1204,0),2))</f>
        <v/>
      </c>
      <c r="C766" s="10" t="str">
        <f t="array" ref="C766">IF(762&gt;$S$1204,"",INDEX($T$5:$AJ$1204,MATCH(762,$S$5:$S$1204,0),3))</f>
        <v/>
      </c>
      <c r="D766" s="8" t="str">
        <f t="array" ref="D766">IF(762&gt;$S$1204,"",INDEX($T$5:$AJ$1204,MATCH(762,$S$5:$S$1204,0),4))</f>
        <v/>
      </c>
      <c r="E766" s="8" t="str">
        <f t="array" ref="E766">IF(762&gt;$S$1204,"",INDEX($T$5:$AJ$1204,MATCH(762,$S$5:$S$1204,0),5))</f>
        <v/>
      </c>
      <c r="F766" s="8" t="str">
        <f t="array" ref="F766">IF(762&gt;$S$1204,"",INDEX($T$5:$AJ$1204,MATCH(762,$S$5:$S$1204,0),6))</f>
        <v/>
      </c>
      <c r="G766" s="8" t="str">
        <f t="array" ref="G766">IF(762&gt;$S$1204,"",INDEX($T$5:$AJ$1204,MATCH(762,$S$5:$S$1204,0),7))</f>
        <v/>
      </c>
      <c r="H766" s="8" t="str">
        <f t="array" ref="H766">IF(762&gt;$S$1204,"",INDEX($T$5:$AJ$1204,MATCH(762,$S$5:$S$1204,0),8))</f>
        <v/>
      </c>
      <c r="I766" s="8" t="str">
        <f t="array" ref="I766">IF(762&gt;$S$1204,"",INDEX($T$5:$AJ$1204,MATCH(762,$S$5:$S$1204,0),9))</f>
        <v/>
      </c>
      <c r="J766" s="14" t="str">
        <f t="array" ref="J766">IF(762&gt;$S$1204,"",INDEX($T$5:$AJ$1204,MATCH(762,$S$5:$S$1204,0),10))</f>
        <v/>
      </c>
      <c r="K766" s="8" t="str">
        <f t="array" ref="K766">IF(762&gt;$S$1204,"",INDEX($T$5:$AJ$1204,MATCH(762,$S$5:$S$1204,0),11))</f>
        <v/>
      </c>
      <c r="L766" s="8" t="str">
        <f t="array" ref="L766">IF(762&gt;$S$1204,"",INDEX($T$5:$AJ$1204,MATCH(762,$S$5:$S$1204,0),12))</f>
        <v/>
      </c>
      <c r="M766" s="8" t="str">
        <f t="array" ref="M766">IF(762&gt;$S$1204,"",INDEX($T$5:$AJ$1204,MATCH(762,$S$5:$S$1204,0),13))</f>
        <v/>
      </c>
      <c r="N766" s="8" t="str">
        <f t="array" ref="N766">IF(762&gt;$S$1204,"",INDEX($T$5:$AJ$1204,MATCH(762,$S$5:$S$1204,0),14))</f>
        <v/>
      </c>
      <c r="O766" s="15" t="str">
        <f t="array" ref="O766">IF(762&gt;$S$1204,"",INDEX($T$5:$AJ$1204,MATCH(762,$S$5:$S$1204,0),15))</f>
        <v/>
      </c>
      <c r="P766" s="8" t="str">
        <f t="array" ref="P766">IF(762&gt;$S$1204,"",INDEX($T$5:$AJ$1204,MATCH(762,$S$5:$S$1204,0),16))</f>
        <v/>
      </c>
      <c r="Q766" s="8" t="str">
        <f t="array" ref="Q766">IF(762&gt;$S$1204,"",INDEX($T$5:$AJ$1204,MATCH(762,$S$5:$S$1204,0),17))</f>
        <v/>
      </c>
      <c r="R766" s="17"/>
      <c r="S766" s="17">
        <f>S765+IF(M4_Sectores!A170="",0,1)</f>
        <v>0</v>
      </c>
      <c r="T766" s="17" t="str">
        <f>IF(M4_Sectores!A170="","",IF(M4_Sectores!A170="","",M4_Sectores!A170))</f>
        <v/>
      </c>
      <c r="U766" s="17" t="str">
        <f>IF(M4_Sectores!A170="","",IF(M4_Sectores!Q170="","",M4_Sectores!Q170))</f>
        <v/>
      </c>
      <c r="V766" s="17" t="str">
        <f>IF(M4_Sectores!A170="","",IF(M4_Sectores!D170="","",M4_Sectores!D170))</f>
        <v/>
      </c>
      <c r="W766" s="17" t="str">
        <f>IF(M4_Sectores!A170="","",IF(M4_Sectores!B170="","",M4_Sectores!B170))</f>
        <v/>
      </c>
      <c r="X766" s="17" t="str">
        <f>IF(M4_Sectores!A170="","",IF(M4_Sectores!C170="","",M4_Sectores!C170))</f>
        <v/>
      </c>
      <c r="Y766" s="17" t="str">
        <f>IF(M4_Sectores!A170="","",IF(M4_Sectores!E170="","",M4_Sectores!E170))</f>
        <v/>
      </c>
      <c r="Z766" s="17" t="str">
        <f>IF(M4_Sectores!A170="","",IF(M4_Sectores!F170="","",M4_Sectores!F170))</f>
        <v/>
      </c>
      <c r="AA766" s="17" t="str">
        <f>IF(M4_Sectores!A170="","","M4 Sectores")</f>
        <v/>
      </c>
      <c r="AB766" s="17" t="str">
        <f>IF(M4_Sectores!A170="","",IF(M4_Sectores!G170="","",M4_Sectores!G170))</f>
        <v/>
      </c>
      <c r="AC766" s="17" t="str">
        <f>IF(M4_Sectores!A170="","",IF(COUNTIFS(M4_Sectores!$A$9:A170,M4_Sectores!A170,M4_Sectores!$D$9:D170,M4_Sectores!D170,M4_Sectores!$H$9:H170,M4_Sectores!H170)=1,IF(M4_Sectores!L170="","",M4_Sectores!L170),""))</f>
        <v/>
      </c>
      <c r="AD766" s="17" t="str">
        <f>IF(M4_Sectores!A170="","","EE")</f>
        <v/>
      </c>
      <c r="AE766" s="17" t="str">
        <f>IF(M4_Sectores!A170="","",IF(M4_Sectores!N170="","",M4_Sectores!N170))</f>
        <v/>
      </c>
      <c r="AF766" s="17" t="str">
        <f>IF(M4_Sectores!A170="","",IF(M4_Sectores!O170="","",M4_Sectores!O170))</f>
        <v/>
      </c>
      <c r="AG766" s="17" t="str">
        <f>IF(M4_Sectores!A170="","",IF(M4_Sectores!P170="","",M4_Sectores!P170))</f>
        <v/>
      </c>
      <c r="AH766" s="17" t="str">
        <f>IF(M4_Sectores!A170="","",IF(M4_Sectores!H170="","",M4_Sectores!H170))</f>
        <v/>
      </c>
      <c r="AI766" s="17" t="str">
        <f>IF(M4_Sectores!A170="","","M4_Sectores!170")</f>
        <v/>
      </c>
      <c r="AJ766" s="17" t="str">
        <f>IF(M4_Sectores!A170="","",IF(M4_Sectores!L170="","Pendiente de momento o resultado",IF(COUNTIFS(M4_Sectores!$A$9:A170,M4_Sectores!A170,M4_Sectores!$D$9:D170,M4_Sectores!D170,M4_Sectores!$H$9:H170,M4_Sectores!H170)=1,"Total del momento","Sector incluido en total")))</f>
        <v/>
      </c>
    </row>
    <row r="767" spans="1:36" ht="55.5" customHeight="1">
      <c r="A767" s="6" t="str">
        <f t="array" ref="A767">IF(763&gt;$S$1204,"",INDEX($T$5:$AJ$1204,MATCH(763,$S$5:$S$1204,0),1))</f>
        <v/>
      </c>
      <c r="B767" s="8" t="str">
        <f t="array" ref="B767">IF(763&gt;$S$1204,"",INDEX($T$5:$AJ$1204,MATCH(763,$S$5:$S$1204,0),2))</f>
        <v/>
      </c>
      <c r="C767" s="10" t="str">
        <f t="array" ref="C767">IF(763&gt;$S$1204,"",INDEX($T$5:$AJ$1204,MATCH(763,$S$5:$S$1204,0),3))</f>
        <v/>
      </c>
      <c r="D767" s="8" t="str">
        <f t="array" ref="D767">IF(763&gt;$S$1204,"",INDEX($T$5:$AJ$1204,MATCH(763,$S$5:$S$1204,0),4))</f>
        <v/>
      </c>
      <c r="E767" s="8" t="str">
        <f t="array" ref="E767">IF(763&gt;$S$1204,"",INDEX($T$5:$AJ$1204,MATCH(763,$S$5:$S$1204,0),5))</f>
        <v/>
      </c>
      <c r="F767" s="8" t="str">
        <f t="array" ref="F767">IF(763&gt;$S$1204,"",INDEX($T$5:$AJ$1204,MATCH(763,$S$5:$S$1204,0),6))</f>
        <v/>
      </c>
      <c r="G767" s="8" t="str">
        <f t="array" ref="G767">IF(763&gt;$S$1204,"",INDEX($T$5:$AJ$1204,MATCH(763,$S$5:$S$1204,0),7))</f>
        <v/>
      </c>
      <c r="H767" s="8" t="str">
        <f t="array" ref="H767">IF(763&gt;$S$1204,"",INDEX($T$5:$AJ$1204,MATCH(763,$S$5:$S$1204,0),8))</f>
        <v/>
      </c>
      <c r="I767" s="8" t="str">
        <f t="array" ref="I767">IF(763&gt;$S$1204,"",INDEX($T$5:$AJ$1204,MATCH(763,$S$5:$S$1204,0),9))</f>
        <v/>
      </c>
      <c r="J767" s="14" t="str">
        <f t="array" ref="J767">IF(763&gt;$S$1204,"",INDEX($T$5:$AJ$1204,MATCH(763,$S$5:$S$1204,0),10))</f>
        <v/>
      </c>
      <c r="K767" s="8" t="str">
        <f t="array" ref="K767">IF(763&gt;$S$1204,"",INDEX($T$5:$AJ$1204,MATCH(763,$S$5:$S$1204,0),11))</f>
        <v/>
      </c>
      <c r="L767" s="8" t="str">
        <f t="array" ref="L767">IF(763&gt;$S$1204,"",INDEX($T$5:$AJ$1204,MATCH(763,$S$5:$S$1204,0),12))</f>
        <v/>
      </c>
      <c r="M767" s="8" t="str">
        <f t="array" ref="M767">IF(763&gt;$S$1204,"",INDEX($T$5:$AJ$1204,MATCH(763,$S$5:$S$1204,0),13))</f>
        <v/>
      </c>
      <c r="N767" s="8" t="str">
        <f t="array" ref="N767">IF(763&gt;$S$1204,"",INDEX($T$5:$AJ$1204,MATCH(763,$S$5:$S$1204,0),14))</f>
        <v/>
      </c>
      <c r="O767" s="15" t="str">
        <f t="array" ref="O767">IF(763&gt;$S$1204,"",INDEX($T$5:$AJ$1204,MATCH(763,$S$5:$S$1204,0),15))</f>
        <v/>
      </c>
      <c r="P767" s="8" t="str">
        <f t="array" ref="P767">IF(763&gt;$S$1204,"",INDEX($T$5:$AJ$1204,MATCH(763,$S$5:$S$1204,0),16))</f>
        <v/>
      </c>
      <c r="Q767" s="8" t="str">
        <f t="array" ref="Q767">IF(763&gt;$S$1204,"",INDEX($T$5:$AJ$1204,MATCH(763,$S$5:$S$1204,0),17))</f>
        <v/>
      </c>
      <c r="R767" s="17"/>
      <c r="S767" s="17">
        <f>S766+IF(M4_Sectores!A171="",0,1)</f>
        <v>0</v>
      </c>
      <c r="T767" s="17" t="str">
        <f>IF(M4_Sectores!A171="","",IF(M4_Sectores!A171="","",M4_Sectores!A171))</f>
        <v/>
      </c>
      <c r="U767" s="17" t="str">
        <f>IF(M4_Sectores!A171="","",IF(M4_Sectores!Q171="","",M4_Sectores!Q171))</f>
        <v/>
      </c>
      <c r="V767" s="17" t="str">
        <f>IF(M4_Sectores!A171="","",IF(M4_Sectores!D171="","",M4_Sectores!D171))</f>
        <v/>
      </c>
      <c r="W767" s="17" t="str">
        <f>IF(M4_Sectores!A171="","",IF(M4_Sectores!B171="","",M4_Sectores!B171))</f>
        <v/>
      </c>
      <c r="X767" s="17" t="str">
        <f>IF(M4_Sectores!A171="","",IF(M4_Sectores!C171="","",M4_Sectores!C171))</f>
        <v/>
      </c>
      <c r="Y767" s="17" t="str">
        <f>IF(M4_Sectores!A171="","",IF(M4_Sectores!E171="","",M4_Sectores!E171))</f>
        <v/>
      </c>
      <c r="Z767" s="17" t="str">
        <f>IF(M4_Sectores!A171="","",IF(M4_Sectores!F171="","",M4_Sectores!F171))</f>
        <v/>
      </c>
      <c r="AA767" s="17" t="str">
        <f>IF(M4_Sectores!A171="","","M4 Sectores")</f>
        <v/>
      </c>
      <c r="AB767" s="17" t="str">
        <f>IF(M4_Sectores!A171="","",IF(M4_Sectores!G171="","",M4_Sectores!G171))</f>
        <v/>
      </c>
      <c r="AC767" s="17" t="str">
        <f>IF(M4_Sectores!A171="","",IF(COUNTIFS(M4_Sectores!$A$9:A171,M4_Sectores!A171,M4_Sectores!$D$9:D171,M4_Sectores!D171,M4_Sectores!$H$9:H171,M4_Sectores!H171)=1,IF(M4_Sectores!L171="","",M4_Sectores!L171),""))</f>
        <v/>
      </c>
      <c r="AD767" s="17" t="str">
        <f>IF(M4_Sectores!A171="","","EE")</f>
        <v/>
      </c>
      <c r="AE767" s="17" t="str">
        <f>IF(M4_Sectores!A171="","",IF(M4_Sectores!N171="","",M4_Sectores!N171))</f>
        <v/>
      </c>
      <c r="AF767" s="17" t="str">
        <f>IF(M4_Sectores!A171="","",IF(M4_Sectores!O171="","",M4_Sectores!O171))</f>
        <v/>
      </c>
      <c r="AG767" s="17" t="str">
        <f>IF(M4_Sectores!A171="","",IF(M4_Sectores!P171="","",M4_Sectores!P171))</f>
        <v/>
      </c>
      <c r="AH767" s="17" t="str">
        <f>IF(M4_Sectores!A171="","",IF(M4_Sectores!H171="","",M4_Sectores!H171))</f>
        <v/>
      </c>
      <c r="AI767" s="17" t="str">
        <f>IF(M4_Sectores!A171="","","M4_Sectores!171")</f>
        <v/>
      </c>
      <c r="AJ767" s="17" t="str">
        <f>IF(M4_Sectores!A171="","",IF(M4_Sectores!L171="","Pendiente de momento o resultado",IF(COUNTIFS(M4_Sectores!$A$9:A171,M4_Sectores!A171,M4_Sectores!$D$9:D171,M4_Sectores!D171,M4_Sectores!$H$9:H171,M4_Sectores!H171)=1,"Total del momento","Sector incluido en total")))</f>
        <v/>
      </c>
    </row>
    <row r="768" spans="1:36" ht="55.5" customHeight="1">
      <c r="A768" s="6" t="str">
        <f t="array" ref="A768">IF(764&gt;$S$1204,"",INDEX($T$5:$AJ$1204,MATCH(764,$S$5:$S$1204,0),1))</f>
        <v/>
      </c>
      <c r="B768" s="8" t="str">
        <f t="array" ref="B768">IF(764&gt;$S$1204,"",INDEX($T$5:$AJ$1204,MATCH(764,$S$5:$S$1204,0),2))</f>
        <v/>
      </c>
      <c r="C768" s="10" t="str">
        <f t="array" ref="C768">IF(764&gt;$S$1204,"",INDEX($T$5:$AJ$1204,MATCH(764,$S$5:$S$1204,0),3))</f>
        <v/>
      </c>
      <c r="D768" s="8" t="str">
        <f t="array" ref="D768">IF(764&gt;$S$1204,"",INDEX($T$5:$AJ$1204,MATCH(764,$S$5:$S$1204,0),4))</f>
        <v/>
      </c>
      <c r="E768" s="8" t="str">
        <f t="array" ref="E768">IF(764&gt;$S$1204,"",INDEX($T$5:$AJ$1204,MATCH(764,$S$5:$S$1204,0),5))</f>
        <v/>
      </c>
      <c r="F768" s="8" t="str">
        <f t="array" ref="F768">IF(764&gt;$S$1204,"",INDEX($T$5:$AJ$1204,MATCH(764,$S$5:$S$1204,0),6))</f>
        <v/>
      </c>
      <c r="G768" s="8" t="str">
        <f t="array" ref="G768">IF(764&gt;$S$1204,"",INDEX($T$5:$AJ$1204,MATCH(764,$S$5:$S$1204,0),7))</f>
        <v/>
      </c>
      <c r="H768" s="8" t="str">
        <f t="array" ref="H768">IF(764&gt;$S$1204,"",INDEX($T$5:$AJ$1204,MATCH(764,$S$5:$S$1204,0),8))</f>
        <v/>
      </c>
      <c r="I768" s="8" t="str">
        <f t="array" ref="I768">IF(764&gt;$S$1204,"",INDEX($T$5:$AJ$1204,MATCH(764,$S$5:$S$1204,0),9))</f>
        <v/>
      </c>
      <c r="J768" s="14" t="str">
        <f t="array" ref="J768">IF(764&gt;$S$1204,"",INDEX($T$5:$AJ$1204,MATCH(764,$S$5:$S$1204,0),10))</f>
        <v/>
      </c>
      <c r="K768" s="8" t="str">
        <f t="array" ref="K768">IF(764&gt;$S$1204,"",INDEX($T$5:$AJ$1204,MATCH(764,$S$5:$S$1204,0),11))</f>
        <v/>
      </c>
      <c r="L768" s="8" t="str">
        <f t="array" ref="L768">IF(764&gt;$S$1204,"",INDEX($T$5:$AJ$1204,MATCH(764,$S$5:$S$1204,0),12))</f>
        <v/>
      </c>
      <c r="M768" s="8" t="str">
        <f t="array" ref="M768">IF(764&gt;$S$1204,"",INDEX($T$5:$AJ$1204,MATCH(764,$S$5:$S$1204,0),13))</f>
        <v/>
      </c>
      <c r="N768" s="8" t="str">
        <f t="array" ref="N768">IF(764&gt;$S$1204,"",INDEX($T$5:$AJ$1204,MATCH(764,$S$5:$S$1204,0),14))</f>
        <v/>
      </c>
      <c r="O768" s="15" t="str">
        <f t="array" ref="O768">IF(764&gt;$S$1204,"",INDEX($T$5:$AJ$1204,MATCH(764,$S$5:$S$1204,0),15))</f>
        <v/>
      </c>
      <c r="P768" s="8" t="str">
        <f t="array" ref="P768">IF(764&gt;$S$1204,"",INDEX($T$5:$AJ$1204,MATCH(764,$S$5:$S$1204,0),16))</f>
        <v/>
      </c>
      <c r="Q768" s="8" t="str">
        <f t="array" ref="Q768">IF(764&gt;$S$1204,"",INDEX($T$5:$AJ$1204,MATCH(764,$S$5:$S$1204,0),17))</f>
        <v/>
      </c>
      <c r="R768" s="17"/>
      <c r="S768" s="17">
        <f>S767+IF(M4_Sectores!A172="",0,1)</f>
        <v>0</v>
      </c>
      <c r="T768" s="17" t="str">
        <f>IF(M4_Sectores!A172="","",IF(M4_Sectores!A172="","",M4_Sectores!A172))</f>
        <v/>
      </c>
      <c r="U768" s="17" t="str">
        <f>IF(M4_Sectores!A172="","",IF(M4_Sectores!Q172="","",M4_Sectores!Q172))</f>
        <v/>
      </c>
      <c r="V768" s="17" t="str">
        <f>IF(M4_Sectores!A172="","",IF(M4_Sectores!D172="","",M4_Sectores!D172))</f>
        <v/>
      </c>
      <c r="W768" s="17" t="str">
        <f>IF(M4_Sectores!A172="","",IF(M4_Sectores!B172="","",M4_Sectores!B172))</f>
        <v/>
      </c>
      <c r="X768" s="17" t="str">
        <f>IF(M4_Sectores!A172="","",IF(M4_Sectores!C172="","",M4_Sectores!C172))</f>
        <v/>
      </c>
      <c r="Y768" s="17" t="str">
        <f>IF(M4_Sectores!A172="","",IF(M4_Sectores!E172="","",M4_Sectores!E172))</f>
        <v/>
      </c>
      <c r="Z768" s="17" t="str">
        <f>IF(M4_Sectores!A172="","",IF(M4_Sectores!F172="","",M4_Sectores!F172))</f>
        <v/>
      </c>
      <c r="AA768" s="17" t="str">
        <f>IF(M4_Sectores!A172="","","M4 Sectores")</f>
        <v/>
      </c>
      <c r="AB768" s="17" t="str">
        <f>IF(M4_Sectores!A172="","",IF(M4_Sectores!G172="","",M4_Sectores!G172))</f>
        <v/>
      </c>
      <c r="AC768" s="17" t="str">
        <f>IF(M4_Sectores!A172="","",IF(COUNTIFS(M4_Sectores!$A$9:A172,M4_Sectores!A172,M4_Sectores!$D$9:D172,M4_Sectores!D172,M4_Sectores!$H$9:H172,M4_Sectores!H172)=1,IF(M4_Sectores!L172="","",M4_Sectores!L172),""))</f>
        <v/>
      </c>
      <c r="AD768" s="17" t="str">
        <f>IF(M4_Sectores!A172="","","EE")</f>
        <v/>
      </c>
      <c r="AE768" s="17" t="str">
        <f>IF(M4_Sectores!A172="","",IF(M4_Sectores!N172="","",M4_Sectores!N172))</f>
        <v/>
      </c>
      <c r="AF768" s="17" t="str">
        <f>IF(M4_Sectores!A172="","",IF(M4_Sectores!O172="","",M4_Sectores!O172))</f>
        <v/>
      </c>
      <c r="AG768" s="17" t="str">
        <f>IF(M4_Sectores!A172="","",IF(M4_Sectores!P172="","",M4_Sectores!P172))</f>
        <v/>
      </c>
      <c r="AH768" s="17" t="str">
        <f>IF(M4_Sectores!A172="","",IF(M4_Sectores!H172="","",M4_Sectores!H172))</f>
        <v/>
      </c>
      <c r="AI768" s="17" t="str">
        <f>IF(M4_Sectores!A172="","","M4_Sectores!172")</f>
        <v/>
      </c>
      <c r="AJ768" s="17" t="str">
        <f>IF(M4_Sectores!A172="","",IF(M4_Sectores!L172="","Pendiente de momento o resultado",IF(COUNTIFS(M4_Sectores!$A$9:A172,M4_Sectores!A172,M4_Sectores!$D$9:D172,M4_Sectores!D172,M4_Sectores!$H$9:H172,M4_Sectores!H172)=1,"Total del momento","Sector incluido en total")))</f>
        <v/>
      </c>
    </row>
    <row r="769" spans="1:36" ht="55.5" customHeight="1">
      <c r="A769" s="6" t="str">
        <f t="array" ref="A769">IF(765&gt;$S$1204,"",INDEX($T$5:$AJ$1204,MATCH(765,$S$5:$S$1204,0),1))</f>
        <v/>
      </c>
      <c r="B769" s="8" t="str">
        <f t="array" ref="B769">IF(765&gt;$S$1204,"",INDEX($T$5:$AJ$1204,MATCH(765,$S$5:$S$1204,0),2))</f>
        <v/>
      </c>
      <c r="C769" s="10" t="str">
        <f t="array" ref="C769">IF(765&gt;$S$1204,"",INDEX($T$5:$AJ$1204,MATCH(765,$S$5:$S$1204,0),3))</f>
        <v/>
      </c>
      <c r="D769" s="8" t="str">
        <f t="array" ref="D769">IF(765&gt;$S$1204,"",INDEX($T$5:$AJ$1204,MATCH(765,$S$5:$S$1204,0),4))</f>
        <v/>
      </c>
      <c r="E769" s="8" t="str">
        <f t="array" ref="E769">IF(765&gt;$S$1204,"",INDEX($T$5:$AJ$1204,MATCH(765,$S$5:$S$1204,0),5))</f>
        <v/>
      </c>
      <c r="F769" s="8" t="str">
        <f t="array" ref="F769">IF(765&gt;$S$1204,"",INDEX($T$5:$AJ$1204,MATCH(765,$S$5:$S$1204,0),6))</f>
        <v/>
      </c>
      <c r="G769" s="8" t="str">
        <f t="array" ref="G769">IF(765&gt;$S$1204,"",INDEX($T$5:$AJ$1204,MATCH(765,$S$5:$S$1204,0),7))</f>
        <v/>
      </c>
      <c r="H769" s="8" t="str">
        <f t="array" ref="H769">IF(765&gt;$S$1204,"",INDEX($T$5:$AJ$1204,MATCH(765,$S$5:$S$1204,0),8))</f>
        <v/>
      </c>
      <c r="I769" s="8" t="str">
        <f t="array" ref="I769">IF(765&gt;$S$1204,"",INDEX($T$5:$AJ$1204,MATCH(765,$S$5:$S$1204,0),9))</f>
        <v/>
      </c>
      <c r="J769" s="14" t="str">
        <f t="array" ref="J769">IF(765&gt;$S$1204,"",INDEX($T$5:$AJ$1204,MATCH(765,$S$5:$S$1204,0),10))</f>
        <v/>
      </c>
      <c r="K769" s="8" t="str">
        <f t="array" ref="K769">IF(765&gt;$S$1204,"",INDEX($T$5:$AJ$1204,MATCH(765,$S$5:$S$1204,0),11))</f>
        <v/>
      </c>
      <c r="L769" s="8" t="str">
        <f t="array" ref="L769">IF(765&gt;$S$1204,"",INDEX($T$5:$AJ$1204,MATCH(765,$S$5:$S$1204,0),12))</f>
        <v/>
      </c>
      <c r="M769" s="8" t="str">
        <f t="array" ref="M769">IF(765&gt;$S$1204,"",INDEX($T$5:$AJ$1204,MATCH(765,$S$5:$S$1204,0),13))</f>
        <v/>
      </c>
      <c r="N769" s="8" t="str">
        <f t="array" ref="N769">IF(765&gt;$S$1204,"",INDEX($T$5:$AJ$1204,MATCH(765,$S$5:$S$1204,0),14))</f>
        <v/>
      </c>
      <c r="O769" s="15" t="str">
        <f t="array" ref="O769">IF(765&gt;$S$1204,"",INDEX($T$5:$AJ$1204,MATCH(765,$S$5:$S$1204,0),15))</f>
        <v/>
      </c>
      <c r="P769" s="8" t="str">
        <f t="array" ref="P769">IF(765&gt;$S$1204,"",INDEX($T$5:$AJ$1204,MATCH(765,$S$5:$S$1204,0),16))</f>
        <v/>
      </c>
      <c r="Q769" s="8" t="str">
        <f t="array" ref="Q769">IF(765&gt;$S$1204,"",INDEX($T$5:$AJ$1204,MATCH(765,$S$5:$S$1204,0),17))</f>
        <v/>
      </c>
      <c r="R769" s="17"/>
      <c r="S769" s="17">
        <f>S768+IF(M4_Sectores!A173="",0,1)</f>
        <v>0</v>
      </c>
      <c r="T769" s="17" t="str">
        <f>IF(M4_Sectores!A173="","",IF(M4_Sectores!A173="","",M4_Sectores!A173))</f>
        <v/>
      </c>
      <c r="U769" s="17" t="str">
        <f>IF(M4_Sectores!A173="","",IF(M4_Sectores!Q173="","",M4_Sectores!Q173))</f>
        <v/>
      </c>
      <c r="V769" s="17" t="str">
        <f>IF(M4_Sectores!A173="","",IF(M4_Sectores!D173="","",M4_Sectores!D173))</f>
        <v/>
      </c>
      <c r="W769" s="17" t="str">
        <f>IF(M4_Sectores!A173="","",IF(M4_Sectores!B173="","",M4_Sectores!B173))</f>
        <v/>
      </c>
      <c r="X769" s="17" t="str">
        <f>IF(M4_Sectores!A173="","",IF(M4_Sectores!C173="","",M4_Sectores!C173))</f>
        <v/>
      </c>
      <c r="Y769" s="17" t="str">
        <f>IF(M4_Sectores!A173="","",IF(M4_Sectores!E173="","",M4_Sectores!E173))</f>
        <v/>
      </c>
      <c r="Z769" s="17" t="str">
        <f>IF(M4_Sectores!A173="","",IF(M4_Sectores!F173="","",M4_Sectores!F173))</f>
        <v/>
      </c>
      <c r="AA769" s="17" t="str">
        <f>IF(M4_Sectores!A173="","","M4 Sectores")</f>
        <v/>
      </c>
      <c r="AB769" s="17" t="str">
        <f>IF(M4_Sectores!A173="","",IF(M4_Sectores!G173="","",M4_Sectores!G173))</f>
        <v/>
      </c>
      <c r="AC769" s="17" t="str">
        <f>IF(M4_Sectores!A173="","",IF(COUNTIFS(M4_Sectores!$A$9:A173,M4_Sectores!A173,M4_Sectores!$D$9:D173,M4_Sectores!D173,M4_Sectores!$H$9:H173,M4_Sectores!H173)=1,IF(M4_Sectores!L173="","",M4_Sectores!L173),""))</f>
        <v/>
      </c>
      <c r="AD769" s="17" t="str">
        <f>IF(M4_Sectores!A173="","","EE")</f>
        <v/>
      </c>
      <c r="AE769" s="17" t="str">
        <f>IF(M4_Sectores!A173="","",IF(M4_Sectores!N173="","",M4_Sectores!N173))</f>
        <v/>
      </c>
      <c r="AF769" s="17" t="str">
        <f>IF(M4_Sectores!A173="","",IF(M4_Sectores!O173="","",M4_Sectores!O173))</f>
        <v/>
      </c>
      <c r="AG769" s="17" t="str">
        <f>IF(M4_Sectores!A173="","",IF(M4_Sectores!P173="","",M4_Sectores!P173))</f>
        <v/>
      </c>
      <c r="AH769" s="17" t="str">
        <f>IF(M4_Sectores!A173="","",IF(M4_Sectores!H173="","",M4_Sectores!H173))</f>
        <v/>
      </c>
      <c r="AI769" s="17" t="str">
        <f>IF(M4_Sectores!A173="","","M4_Sectores!173")</f>
        <v/>
      </c>
      <c r="AJ769" s="17" t="str">
        <f>IF(M4_Sectores!A173="","",IF(M4_Sectores!L173="","Pendiente de momento o resultado",IF(COUNTIFS(M4_Sectores!$A$9:A173,M4_Sectores!A173,M4_Sectores!$D$9:D173,M4_Sectores!D173,M4_Sectores!$H$9:H173,M4_Sectores!H173)=1,"Total del momento","Sector incluido en total")))</f>
        <v/>
      </c>
    </row>
    <row r="770" spans="1:36" ht="55.5" customHeight="1">
      <c r="A770" s="6" t="str">
        <f t="array" ref="A770">IF(766&gt;$S$1204,"",INDEX($T$5:$AJ$1204,MATCH(766,$S$5:$S$1204,0),1))</f>
        <v/>
      </c>
      <c r="B770" s="8" t="str">
        <f t="array" ref="B770">IF(766&gt;$S$1204,"",INDEX($T$5:$AJ$1204,MATCH(766,$S$5:$S$1204,0),2))</f>
        <v/>
      </c>
      <c r="C770" s="10" t="str">
        <f t="array" ref="C770">IF(766&gt;$S$1204,"",INDEX($T$5:$AJ$1204,MATCH(766,$S$5:$S$1204,0),3))</f>
        <v/>
      </c>
      <c r="D770" s="8" t="str">
        <f t="array" ref="D770">IF(766&gt;$S$1204,"",INDEX($T$5:$AJ$1204,MATCH(766,$S$5:$S$1204,0),4))</f>
        <v/>
      </c>
      <c r="E770" s="8" t="str">
        <f t="array" ref="E770">IF(766&gt;$S$1204,"",INDEX($T$5:$AJ$1204,MATCH(766,$S$5:$S$1204,0),5))</f>
        <v/>
      </c>
      <c r="F770" s="8" t="str">
        <f t="array" ref="F770">IF(766&gt;$S$1204,"",INDEX($T$5:$AJ$1204,MATCH(766,$S$5:$S$1204,0),6))</f>
        <v/>
      </c>
      <c r="G770" s="8" t="str">
        <f t="array" ref="G770">IF(766&gt;$S$1204,"",INDEX($T$5:$AJ$1204,MATCH(766,$S$5:$S$1204,0),7))</f>
        <v/>
      </c>
      <c r="H770" s="8" t="str">
        <f t="array" ref="H770">IF(766&gt;$S$1204,"",INDEX($T$5:$AJ$1204,MATCH(766,$S$5:$S$1204,0),8))</f>
        <v/>
      </c>
      <c r="I770" s="8" t="str">
        <f t="array" ref="I770">IF(766&gt;$S$1204,"",INDEX($T$5:$AJ$1204,MATCH(766,$S$5:$S$1204,0),9))</f>
        <v/>
      </c>
      <c r="J770" s="14" t="str">
        <f t="array" ref="J770">IF(766&gt;$S$1204,"",INDEX($T$5:$AJ$1204,MATCH(766,$S$5:$S$1204,0),10))</f>
        <v/>
      </c>
      <c r="K770" s="8" t="str">
        <f t="array" ref="K770">IF(766&gt;$S$1204,"",INDEX($T$5:$AJ$1204,MATCH(766,$S$5:$S$1204,0),11))</f>
        <v/>
      </c>
      <c r="L770" s="8" t="str">
        <f t="array" ref="L770">IF(766&gt;$S$1204,"",INDEX($T$5:$AJ$1204,MATCH(766,$S$5:$S$1204,0),12))</f>
        <v/>
      </c>
      <c r="M770" s="8" t="str">
        <f t="array" ref="M770">IF(766&gt;$S$1204,"",INDEX($T$5:$AJ$1204,MATCH(766,$S$5:$S$1204,0),13))</f>
        <v/>
      </c>
      <c r="N770" s="8" t="str">
        <f t="array" ref="N770">IF(766&gt;$S$1204,"",INDEX($T$5:$AJ$1204,MATCH(766,$S$5:$S$1204,0),14))</f>
        <v/>
      </c>
      <c r="O770" s="15" t="str">
        <f t="array" ref="O770">IF(766&gt;$S$1204,"",INDEX($T$5:$AJ$1204,MATCH(766,$S$5:$S$1204,0),15))</f>
        <v/>
      </c>
      <c r="P770" s="8" t="str">
        <f t="array" ref="P770">IF(766&gt;$S$1204,"",INDEX($T$5:$AJ$1204,MATCH(766,$S$5:$S$1204,0),16))</f>
        <v/>
      </c>
      <c r="Q770" s="8" t="str">
        <f t="array" ref="Q770">IF(766&gt;$S$1204,"",INDEX($T$5:$AJ$1204,MATCH(766,$S$5:$S$1204,0),17))</f>
        <v/>
      </c>
      <c r="R770" s="17"/>
      <c r="S770" s="17">
        <f>S769+IF(M4_Sectores!A174="",0,1)</f>
        <v>0</v>
      </c>
      <c r="T770" s="17" t="str">
        <f>IF(M4_Sectores!A174="","",IF(M4_Sectores!A174="","",M4_Sectores!A174))</f>
        <v/>
      </c>
      <c r="U770" s="17" t="str">
        <f>IF(M4_Sectores!A174="","",IF(M4_Sectores!Q174="","",M4_Sectores!Q174))</f>
        <v/>
      </c>
      <c r="V770" s="17" t="str">
        <f>IF(M4_Sectores!A174="","",IF(M4_Sectores!D174="","",M4_Sectores!D174))</f>
        <v/>
      </c>
      <c r="W770" s="17" t="str">
        <f>IF(M4_Sectores!A174="","",IF(M4_Sectores!B174="","",M4_Sectores!B174))</f>
        <v/>
      </c>
      <c r="X770" s="17" t="str">
        <f>IF(M4_Sectores!A174="","",IF(M4_Sectores!C174="","",M4_Sectores!C174))</f>
        <v/>
      </c>
      <c r="Y770" s="17" t="str">
        <f>IF(M4_Sectores!A174="","",IF(M4_Sectores!E174="","",M4_Sectores!E174))</f>
        <v/>
      </c>
      <c r="Z770" s="17" t="str">
        <f>IF(M4_Sectores!A174="","",IF(M4_Sectores!F174="","",M4_Sectores!F174))</f>
        <v/>
      </c>
      <c r="AA770" s="17" t="str">
        <f>IF(M4_Sectores!A174="","","M4 Sectores")</f>
        <v/>
      </c>
      <c r="AB770" s="17" t="str">
        <f>IF(M4_Sectores!A174="","",IF(M4_Sectores!G174="","",M4_Sectores!G174))</f>
        <v/>
      </c>
      <c r="AC770" s="17" t="str">
        <f>IF(M4_Sectores!A174="","",IF(COUNTIFS(M4_Sectores!$A$9:A174,M4_Sectores!A174,M4_Sectores!$D$9:D174,M4_Sectores!D174,M4_Sectores!$H$9:H174,M4_Sectores!H174)=1,IF(M4_Sectores!L174="","",M4_Sectores!L174),""))</f>
        <v/>
      </c>
      <c r="AD770" s="17" t="str">
        <f>IF(M4_Sectores!A174="","","EE")</f>
        <v/>
      </c>
      <c r="AE770" s="17" t="str">
        <f>IF(M4_Sectores!A174="","",IF(M4_Sectores!N174="","",M4_Sectores!N174))</f>
        <v/>
      </c>
      <c r="AF770" s="17" t="str">
        <f>IF(M4_Sectores!A174="","",IF(M4_Sectores!O174="","",M4_Sectores!O174))</f>
        <v/>
      </c>
      <c r="AG770" s="17" t="str">
        <f>IF(M4_Sectores!A174="","",IF(M4_Sectores!P174="","",M4_Sectores!P174))</f>
        <v/>
      </c>
      <c r="AH770" s="17" t="str">
        <f>IF(M4_Sectores!A174="","",IF(M4_Sectores!H174="","",M4_Sectores!H174))</f>
        <v/>
      </c>
      <c r="AI770" s="17" t="str">
        <f>IF(M4_Sectores!A174="","","M4_Sectores!174")</f>
        <v/>
      </c>
      <c r="AJ770" s="17" t="str">
        <f>IF(M4_Sectores!A174="","",IF(M4_Sectores!L174="","Pendiente de momento o resultado",IF(COUNTIFS(M4_Sectores!$A$9:A174,M4_Sectores!A174,M4_Sectores!$D$9:D174,M4_Sectores!D174,M4_Sectores!$H$9:H174,M4_Sectores!H174)=1,"Total del momento","Sector incluido en total")))</f>
        <v/>
      </c>
    </row>
    <row r="771" spans="1:36" ht="55.5" customHeight="1">
      <c r="A771" s="6" t="str">
        <f t="array" ref="A771">IF(767&gt;$S$1204,"",INDEX($T$5:$AJ$1204,MATCH(767,$S$5:$S$1204,0),1))</f>
        <v/>
      </c>
      <c r="B771" s="8" t="str">
        <f t="array" ref="B771">IF(767&gt;$S$1204,"",INDEX($T$5:$AJ$1204,MATCH(767,$S$5:$S$1204,0),2))</f>
        <v/>
      </c>
      <c r="C771" s="10" t="str">
        <f t="array" ref="C771">IF(767&gt;$S$1204,"",INDEX($T$5:$AJ$1204,MATCH(767,$S$5:$S$1204,0),3))</f>
        <v/>
      </c>
      <c r="D771" s="8" t="str">
        <f t="array" ref="D771">IF(767&gt;$S$1204,"",INDEX($T$5:$AJ$1204,MATCH(767,$S$5:$S$1204,0),4))</f>
        <v/>
      </c>
      <c r="E771" s="8" t="str">
        <f t="array" ref="E771">IF(767&gt;$S$1204,"",INDEX($T$5:$AJ$1204,MATCH(767,$S$5:$S$1204,0),5))</f>
        <v/>
      </c>
      <c r="F771" s="8" t="str">
        <f t="array" ref="F771">IF(767&gt;$S$1204,"",INDEX($T$5:$AJ$1204,MATCH(767,$S$5:$S$1204,0),6))</f>
        <v/>
      </c>
      <c r="G771" s="8" t="str">
        <f t="array" ref="G771">IF(767&gt;$S$1204,"",INDEX($T$5:$AJ$1204,MATCH(767,$S$5:$S$1204,0),7))</f>
        <v/>
      </c>
      <c r="H771" s="8" t="str">
        <f t="array" ref="H771">IF(767&gt;$S$1204,"",INDEX($T$5:$AJ$1204,MATCH(767,$S$5:$S$1204,0),8))</f>
        <v/>
      </c>
      <c r="I771" s="8" t="str">
        <f t="array" ref="I771">IF(767&gt;$S$1204,"",INDEX($T$5:$AJ$1204,MATCH(767,$S$5:$S$1204,0),9))</f>
        <v/>
      </c>
      <c r="J771" s="14" t="str">
        <f t="array" ref="J771">IF(767&gt;$S$1204,"",INDEX($T$5:$AJ$1204,MATCH(767,$S$5:$S$1204,0),10))</f>
        <v/>
      </c>
      <c r="K771" s="8" t="str">
        <f t="array" ref="K771">IF(767&gt;$S$1204,"",INDEX($T$5:$AJ$1204,MATCH(767,$S$5:$S$1204,0),11))</f>
        <v/>
      </c>
      <c r="L771" s="8" t="str">
        <f t="array" ref="L771">IF(767&gt;$S$1204,"",INDEX($T$5:$AJ$1204,MATCH(767,$S$5:$S$1204,0),12))</f>
        <v/>
      </c>
      <c r="M771" s="8" t="str">
        <f t="array" ref="M771">IF(767&gt;$S$1204,"",INDEX($T$5:$AJ$1204,MATCH(767,$S$5:$S$1204,0),13))</f>
        <v/>
      </c>
      <c r="N771" s="8" t="str">
        <f t="array" ref="N771">IF(767&gt;$S$1204,"",INDEX($T$5:$AJ$1204,MATCH(767,$S$5:$S$1204,0),14))</f>
        <v/>
      </c>
      <c r="O771" s="15" t="str">
        <f t="array" ref="O771">IF(767&gt;$S$1204,"",INDEX($T$5:$AJ$1204,MATCH(767,$S$5:$S$1204,0),15))</f>
        <v/>
      </c>
      <c r="P771" s="8" t="str">
        <f t="array" ref="P771">IF(767&gt;$S$1204,"",INDEX($T$5:$AJ$1204,MATCH(767,$S$5:$S$1204,0),16))</f>
        <v/>
      </c>
      <c r="Q771" s="8" t="str">
        <f t="array" ref="Q771">IF(767&gt;$S$1204,"",INDEX($T$5:$AJ$1204,MATCH(767,$S$5:$S$1204,0),17))</f>
        <v/>
      </c>
      <c r="R771" s="17"/>
      <c r="S771" s="17">
        <f>S770+IF(M4_Sectores!A175="",0,1)</f>
        <v>0</v>
      </c>
      <c r="T771" s="17" t="str">
        <f>IF(M4_Sectores!A175="","",IF(M4_Sectores!A175="","",M4_Sectores!A175))</f>
        <v/>
      </c>
      <c r="U771" s="17" t="str">
        <f>IF(M4_Sectores!A175="","",IF(M4_Sectores!Q175="","",M4_Sectores!Q175))</f>
        <v/>
      </c>
      <c r="V771" s="17" t="str">
        <f>IF(M4_Sectores!A175="","",IF(M4_Sectores!D175="","",M4_Sectores!D175))</f>
        <v/>
      </c>
      <c r="W771" s="17" t="str">
        <f>IF(M4_Sectores!A175="","",IF(M4_Sectores!B175="","",M4_Sectores!B175))</f>
        <v/>
      </c>
      <c r="X771" s="17" t="str">
        <f>IF(M4_Sectores!A175="","",IF(M4_Sectores!C175="","",M4_Sectores!C175))</f>
        <v/>
      </c>
      <c r="Y771" s="17" t="str">
        <f>IF(M4_Sectores!A175="","",IF(M4_Sectores!E175="","",M4_Sectores!E175))</f>
        <v/>
      </c>
      <c r="Z771" s="17" t="str">
        <f>IF(M4_Sectores!A175="","",IF(M4_Sectores!F175="","",M4_Sectores!F175))</f>
        <v/>
      </c>
      <c r="AA771" s="17" t="str">
        <f>IF(M4_Sectores!A175="","","M4 Sectores")</f>
        <v/>
      </c>
      <c r="AB771" s="17" t="str">
        <f>IF(M4_Sectores!A175="","",IF(M4_Sectores!G175="","",M4_Sectores!G175))</f>
        <v/>
      </c>
      <c r="AC771" s="17" t="str">
        <f>IF(M4_Sectores!A175="","",IF(COUNTIFS(M4_Sectores!$A$9:A175,M4_Sectores!A175,M4_Sectores!$D$9:D175,M4_Sectores!D175,M4_Sectores!$H$9:H175,M4_Sectores!H175)=1,IF(M4_Sectores!L175="","",M4_Sectores!L175),""))</f>
        <v/>
      </c>
      <c r="AD771" s="17" t="str">
        <f>IF(M4_Sectores!A175="","","EE")</f>
        <v/>
      </c>
      <c r="AE771" s="17" t="str">
        <f>IF(M4_Sectores!A175="","",IF(M4_Sectores!N175="","",M4_Sectores!N175))</f>
        <v/>
      </c>
      <c r="AF771" s="17" t="str">
        <f>IF(M4_Sectores!A175="","",IF(M4_Sectores!O175="","",M4_Sectores!O175))</f>
        <v/>
      </c>
      <c r="AG771" s="17" t="str">
        <f>IF(M4_Sectores!A175="","",IF(M4_Sectores!P175="","",M4_Sectores!P175))</f>
        <v/>
      </c>
      <c r="AH771" s="17" t="str">
        <f>IF(M4_Sectores!A175="","",IF(M4_Sectores!H175="","",M4_Sectores!H175))</f>
        <v/>
      </c>
      <c r="AI771" s="17" t="str">
        <f>IF(M4_Sectores!A175="","","M4_Sectores!175")</f>
        <v/>
      </c>
      <c r="AJ771" s="17" t="str">
        <f>IF(M4_Sectores!A175="","",IF(M4_Sectores!L175="","Pendiente de momento o resultado",IF(COUNTIFS(M4_Sectores!$A$9:A175,M4_Sectores!A175,M4_Sectores!$D$9:D175,M4_Sectores!D175,M4_Sectores!$H$9:H175,M4_Sectores!H175)=1,"Total del momento","Sector incluido en total")))</f>
        <v/>
      </c>
    </row>
    <row r="772" spans="1:36" ht="55.5" customHeight="1">
      <c r="A772" s="6" t="str">
        <f t="array" ref="A772">IF(768&gt;$S$1204,"",INDEX($T$5:$AJ$1204,MATCH(768,$S$5:$S$1204,0),1))</f>
        <v/>
      </c>
      <c r="B772" s="8" t="str">
        <f t="array" ref="B772">IF(768&gt;$S$1204,"",INDEX($T$5:$AJ$1204,MATCH(768,$S$5:$S$1204,0),2))</f>
        <v/>
      </c>
      <c r="C772" s="10" t="str">
        <f t="array" ref="C772">IF(768&gt;$S$1204,"",INDEX($T$5:$AJ$1204,MATCH(768,$S$5:$S$1204,0),3))</f>
        <v/>
      </c>
      <c r="D772" s="8" t="str">
        <f t="array" ref="D772">IF(768&gt;$S$1204,"",INDEX($T$5:$AJ$1204,MATCH(768,$S$5:$S$1204,0),4))</f>
        <v/>
      </c>
      <c r="E772" s="8" t="str">
        <f t="array" ref="E772">IF(768&gt;$S$1204,"",INDEX($T$5:$AJ$1204,MATCH(768,$S$5:$S$1204,0),5))</f>
        <v/>
      </c>
      <c r="F772" s="8" t="str">
        <f t="array" ref="F772">IF(768&gt;$S$1204,"",INDEX($T$5:$AJ$1204,MATCH(768,$S$5:$S$1204,0),6))</f>
        <v/>
      </c>
      <c r="G772" s="8" t="str">
        <f t="array" ref="G772">IF(768&gt;$S$1204,"",INDEX($T$5:$AJ$1204,MATCH(768,$S$5:$S$1204,0),7))</f>
        <v/>
      </c>
      <c r="H772" s="8" t="str">
        <f t="array" ref="H772">IF(768&gt;$S$1204,"",INDEX($T$5:$AJ$1204,MATCH(768,$S$5:$S$1204,0),8))</f>
        <v/>
      </c>
      <c r="I772" s="8" t="str">
        <f t="array" ref="I772">IF(768&gt;$S$1204,"",INDEX($T$5:$AJ$1204,MATCH(768,$S$5:$S$1204,0),9))</f>
        <v/>
      </c>
      <c r="J772" s="14" t="str">
        <f t="array" ref="J772">IF(768&gt;$S$1204,"",INDEX($T$5:$AJ$1204,MATCH(768,$S$5:$S$1204,0),10))</f>
        <v/>
      </c>
      <c r="K772" s="8" t="str">
        <f t="array" ref="K772">IF(768&gt;$S$1204,"",INDEX($T$5:$AJ$1204,MATCH(768,$S$5:$S$1204,0),11))</f>
        <v/>
      </c>
      <c r="L772" s="8" t="str">
        <f t="array" ref="L772">IF(768&gt;$S$1204,"",INDEX($T$5:$AJ$1204,MATCH(768,$S$5:$S$1204,0),12))</f>
        <v/>
      </c>
      <c r="M772" s="8" t="str">
        <f t="array" ref="M772">IF(768&gt;$S$1204,"",INDEX($T$5:$AJ$1204,MATCH(768,$S$5:$S$1204,0),13))</f>
        <v/>
      </c>
      <c r="N772" s="8" t="str">
        <f t="array" ref="N772">IF(768&gt;$S$1204,"",INDEX($T$5:$AJ$1204,MATCH(768,$S$5:$S$1204,0),14))</f>
        <v/>
      </c>
      <c r="O772" s="15" t="str">
        <f t="array" ref="O772">IF(768&gt;$S$1204,"",INDEX($T$5:$AJ$1204,MATCH(768,$S$5:$S$1204,0),15))</f>
        <v/>
      </c>
      <c r="P772" s="8" t="str">
        <f t="array" ref="P772">IF(768&gt;$S$1204,"",INDEX($T$5:$AJ$1204,MATCH(768,$S$5:$S$1204,0),16))</f>
        <v/>
      </c>
      <c r="Q772" s="8" t="str">
        <f t="array" ref="Q772">IF(768&gt;$S$1204,"",INDEX($T$5:$AJ$1204,MATCH(768,$S$5:$S$1204,0),17))</f>
        <v/>
      </c>
      <c r="R772" s="17"/>
      <c r="S772" s="17">
        <f>S771+IF(M4_Sectores!A176="",0,1)</f>
        <v>0</v>
      </c>
      <c r="T772" s="17" t="str">
        <f>IF(M4_Sectores!A176="","",IF(M4_Sectores!A176="","",M4_Sectores!A176))</f>
        <v/>
      </c>
      <c r="U772" s="17" t="str">
        <f>IF(M4_Sectores!A176="","",IF(M4_Sectores!Q176="","",M4_Sectores!Q176))</f>
        <v/>
      </c>
      <c r="V772" s="17" t="str">
        <f>IF(M4_Sectores!A176="","",IF(M4_Sectores!D176="","",M4_Sectores!D176))</f>
        <v/>
      </c>
      <c r="W772" s="17" t="str">
        <f>IF(M4_Sectores!A176="","",IF(M4_Sectores!B176="","",M4_Sectores!B176))</f>
        <v/>
      </c>
      <c r="X772" s="17" t="str">
        <f>IF(M4_Sectores!A176="","",IF(M4_Sectores!C176="","",M4_Sectores!C176))</f>
        <v/>
      </c>
      <c r="Y772" s="17" t="str">
        <f>IF(M4_Sectores!A176="","",IF(M4_Sectores!E176="","",M4_Sectores!E176))</f>
        <v/>
      </c>
      <c r="Z772" s="17" t="str">
        <f>IF(M4_Sectores!A176="","",IF(M4_Sectores!F176="","",M4_Sectores!F176))</f>
        <v/>
      </c>
      <c r="AA772" s="17" t="str">
        <f>IF(M4_Sectores!A176="","","M4 Sectores")</f>
        <v/>
      </c>
      <c r="AB772" s="17" t="str">
        <f>IF(M4_Sectores!A176="","",IF(M4_Sectores!G176="","",M4_Sectores!G176))</f>
        <v/>
      </c>
      <c r="AC772" s="17" t="str">
        <f>IF(M4_Sectores!A176="","",IF(COUNTIFS(M4_Sectores!$A$9:A176,M4_Sectores!A176,M4_Sectores!$D$9:D176,M4_Sectores!D176,M4_Sectores!$H$9:H176,M4_Sectores!H176)=1,IF(M4_Sectores!L176="","",M4_Sectores!L176),""))</f>
        <v/>
      </c>
      <c r="AD772" s="17" t="str">
        <f>IF(M4_Sectores!A176="","","EE")</f>
        <v/>
      </c>
      <c r="AE772" s="17" t="str">
        <f>IF(M4_Sectores!A176="","",IF(M4_Sectores!N176="","",M4_Sectores!N176))</f>
        <v/>
      </c>
      <c r="AF772" s="17" t="str">
        <f>IF(M4_Sectores!A176="","",IF(M4_Sectores!O176="","",M4_Sectores!O176))</f>
        <v/>
      </c>
      <c r="AG772" s="17" t="str">
        <f>IF(M4_Sectores!A176="","",IF(M4_Sectores!P176="","",M4_Sectores!P176))</f>
        <v/>
      </c>
      <c r="AH772" s="17" t="str">
        <f>IF(M4_Sectores!A176="","",IF(M4_Sectores!H176="","",M4_Sectores!H176))</f>
        <v/>
      </c>
      <c r="AI772" s="17" t="str">
        <f>IF(M4_Sectores!A176="","","M4_Sectores!176")</f>
        <v/>
      </c>
      <c r="AJ772" s="17" t="str">
        <f>IF(M4_Sectores!A176="","",IF(M4_Sectores!L176="","Pendiente de momento o resultado",IF(COUNTIFS(M4_Sectores!$A$9:A176,M4_Sectores!A176,M4_Sectores!$D$9:D176,M4_Sectores!D176,M4_Sectores!$H$9:H176,M4_Sectores!H176)=1,"Total del momento","Sector incluido en total")))</f>
        <v/>
      </c>
    </row>
    <row r="773" spans="1:36" ht="55.5" customHeight="1">
      <c r="A773" s="6" t="str">
        <f t="array" ref="A773">IF(769&gt;$S$1204,"",INDEX($T$5:$AJ$1204,MATCH(769,$S$5:$S$1204,0),1))</f>
        <v/>
      </c>
      <c r="B773" s="8" t="str">
        <f t="array" ref="B773">IF(769&gt;$S$1204,"",INDEX($T$5:$AJ$1204,MATCH(769,$S$5:$S$1204,0),2))</f>
        <v/>
      </c>
      <c r="C773" s="10" t="str">
        <f t="array" ref="C773">IF(769&gt;$S$1204,"",INDEX($T$5:$AJ$1204,MATCH(769,$S$5:$S$1204,0),3))</f>
        <v/>
      </c>
      <c r="D773" s="8" t="str">
        <f t="array" ref="D773">IF(769&gt;$S$1204,"",INDEX($T$5:$AJ$1204,MATCH(769,$S$5:$S$1204,0),4))</f>
        <v/>
      </c>
      <c r="E773" s="8" t="str">
        <f t="array" ref="E773">IF(769&gt;$S$1204,"",INDEX($T$5:$AJ$1204,MATCH(769,$S$5:$S$1204,0),5))</f>
        <v/>
      </c>
      <c r="F773" s="8" t="str">
        <f t="array" ref="F773">IF(769&gt;$S$1204,"",INDEX($T$5:$AJ$1204,MATCH(769,$S$5:$S$1204,0),6))</f>
        <v/>
      </c>
      <c r="G773" s="8" t="str">
        <f t="array" ref="G773">IF(769&gt;$S$1204,"",INDEX($T$5:$AJ$1204,MATCH(769,$S$5:$S$1204,0),7))</f>
        <v/>
      </c>
      <c r="H773" s="8" t="str">
        <f t="array" ref="H773">IF(769&gt;$S$1204,"",INDEX($T$5:$AJ$1204,MATCH(769,$S$5:$S$1204,0),8))</f>
        <v/>
      </c>
      <c r="I773" s="8" t="str">
        <f t="array" ref="I773">IF(769&gt;$S$1204,"",INDEX($T$5:$AJ$1204,MATCH(769,$S$5:$S$1204,0),9))</f>
        <v/>
      </c>
      <c r="J773" s="14" t="str">
        <f t="array" ref="J773">IF(769&gt;$S$1204,"",INDEX($T$5:$AJ$1204,MATCH(769,$S$5:$S$1204,0),10))</f>
        <v/>
      </c>
      <c r="K773" s="8" t="str">
        <f t="array" ref="K773">IF(769&gt;$S$1204,"",INDEX($T$5:$AJ$1204,MATCH(769,$S$5:$S$1204,0),11))</f>
        <v/>
      </c>
      <c r="L773" s="8" t="str">
        <f t="array" ref="L773">IF(769&gt;$S$1204,"",INDEX($T$5:$AJ$1204,MATCH(769,$S$5:$S$1204,0),12))</f>
        <v/>
      </c>
      <c r="M773" s="8" t="str">
        <f t="array" ref="M773">IF(769&gt;$S$1204,"",INDEX($T$5:$AJ$1204,MATCH(769,$S$5:$S$1204,0),13))</f>
        <v/>
      </c>
      <c r="N773" s="8" t="str">
        <f t="array" ref="N773">IF(769&gt;$S$1204,"",INDEX($T$5:$AJ$1204,MATCH(769,$S$5:$S$1204,0),14))</f>
        <v/>
      </c>
      <c r="O773" s="15" t="str">
        <f t="array" ref="O773">IF(769&gt;$S$1204,"",INDEX($T$5:$AJ$1204,MATCH(769,$S$5:$S$1204,0),15))</f>
        <v/>
      </c>
      <c r="P773" s="8" t="str">
        <f t="array" ref="P773">IF(769&gt;$S$1204,"",INDEX($T$5:$AJ$1204,MATCH(769,$S$5:$S$1204,0),16))</f>
        <v/>
      </c>
      <c r="Q773" s="8" t="str">
        <f t="array" ref="Q773">IF(769&gt;$S$1204,"",INDEX($T$5:$AJ$1204,MATCH(769,$S$5:$S$1204,0),17))</f>
        <v/>
      </c>
      <c r="R773" s="17"/>
      <c r="S773" s="17">
        <f>S772+IF(M4_Sectores!A177="",0,1)</f>
        <v>0</v>
      </c>
      <c r="T773" s="17" t="str">
        <f>IF(M4_Sectores!A177="","",IF(M4_Sectores!A177="","",M4_Sectores!A177))</f>
        <v/>
      </c>
      <c r="U773" s="17" t="str">
        <f>IF(M4_Sectores!A177="","",IF(M4_Sectores!Q177="","",M4_Sectores!Q177))</f>
        <v/>
      </c>
      <c r="V773" s="17" t="str">
        <f>IF(M4_Sectores!A177="","",IF(M4_Sectores!D177="","",M4_Sectores!D177))</f>
        <v/>
      </c>
      <c r="W773" s="17" t="str">
        <f>IF(M4_Sectores!A177="","",IF(M4_Sectores!B177="","",M4_Sectores!B177))</f>
        <v/>
      </c>
      <c r="X773" s="17" t="str">
        <f>IF(M4_Sectores!A177="","",IF(M4_Sectores!C177="","",M4_Sectores!C177))</f>
        <v/>
      </c>
      <c r="Y773" s="17" t="str">
        <f>IF(M4_Sectores!A177="","",IF(M4_Sectores!E177="","",M4_Sectores!E177))</f>
        <v/>
      </c>
      <c r="Z773" s="17" t="str">
        <f>IF(M4_Sectores!A177="","",IF(M4_Sectores!F177="","",M4_Sectores!F177))</f>
        <v/>
      </c>
      <c r="AA773" s="17" t="str">
        <f>IF(M4_Sectores!A177="","","M4 Sectores")</f>
        <v/>
      </c>
      <c r="AB773" s="17" t="str">
        <f>IF(M4_Sectores!A177="","",IF(M4_Sectores!G177="","",M4_Sectores!G177))</f>
        <v/>
      </c>
      <c r="AC773" s="17" t="str">
        <f>IF(M4_Sectores!A177="","",IF(COUNTIFS(M4_Sectores!$A$9:A177,M4_Sectores!A177,M4_Sectores!$D$9:D177,M4_Sectores!D177,M4_Sectores!$H$9:H177,M4_Sectores!H177)=1,IF(M4_Sectores!L177="","",M4_Sectores!L177),""))</f>
        <v/>
      </c>
      <c r="AD773" s="17" t="str">
        <f>IF(M4_Sectores!A177="","","EE")</f>
        <v/>
      </c>
      <c r="AE773" s="17" t="str">
        <f>IF(M4_Sectores!A177="","",IF(M4_Sectores!N177="","",M4_Sectores!N177))</f>
        <v/>
      </c>
      <c r="AF773" s="17" t="str">
        <f>IF(M4_Sectores!A177="","",IF(M4_Sectores!O177="","",M4_Sectores!O177))</f>
        <v/>
      </c>
      <c r="AG773" s="17" t="str">
        <f>IF(M4_Sectores!A177="","",IF(M4_Sectores!P177="","",M4_Sectores!P177))</f>
        <v/>
      </c>
      <c r="AH773" s="17" t="str">
        <f>IF(M4_Sectores!A177="","",IF(M4_Sectores!H177="","",M4_Sectores!H177))</f>
        <v/>
      </c>
      <c r="AI773" s="17" t="str">
        <f>IF(M4_Sectores!A177="","","M4_Sectores!177")</f>
        <v/>
      </c>
      <c r="AJ773" s="17" t="str">
        <f>IF(M4_Sectores!A177="","",IF(M4_Sectores!L177="","Pendiente de momento o resultado",IF(COUNTIFS(M4_Sectores!$A$9:A177,M4_Sectores!A177,M4_Sectores!$D$9:D177,M4_Sectores!D177,M4_Sectores!$H$9:H177,M4_Sectores!H177)=1,"Total del momento","Sector incluido en total")))</f>
        <v/>
      </c>
    </row>
    <row r="774" spans="1:36" ht="55.5" customHeight="1">
      <c r="A774" s="6" t="str">
        <f t="array" ref="A774">IF(770&gt;$S$1204,"",INDEX($T$5:$AJ$1204,MATCH(770,$S$5:$S$1204,0),1))</f>
        <v/>
      </c>
      <c r="B774" s="8" t="str">
        <f t="array" ref="B774">IF(770&gt;$S$1204,"",INDEX($T$5:$AJ$1204,MATCH(770,$S$5:$S$1204,0),2))</f>
        <v/>
      </c>
      <c r="C774" s="10" t="str">
        <f t="array" ref="C774">IF(770&gt;$S$1204,"",INDEX($T$5:$AJ$1204,MATCH(770,$S$5:$S$1204,0),3))</f>
        <v/>
      </c>
      <c r="D774" s="8" t="str">
        <f t="array" ref="D774">IF(770&gt;$S$1204,"",INDEX($T$5:$AJ$1204,MATCH(770,$S$5:$S$1204,0),4))</f>
        <v/>
      </c>
      <c r="E774" s="8" t="str">
        <f t="array" ref="E774">IF(770&gt;$S$1204,"",INDEX($T$5:$AJ$1204,MATCH(770,$S$5:$S$1204,0),5))</f>
        <v/>
      </c>
      <c r="F774" s="8" t="str">
        <f t="array" ref="F774">IF(770&gt;$S$1204,"",INDEX($T$5:$AJ$1204,MATCH(770,$S$5:$S$1204,0),6))</f>
        <v/>
      </c>
      <c r="G774" s="8" t="str">
        <f t="array" ref="G774">IF(770&gt;$S$1204,"",INDEX($T$5:$AJ$1204,MATCH(770,$S$5:$S$1204,0),7))</f>
        <v/>
      </c>
      <c r="H774" s="8" t="str">
        <f t="array" ref="H774">IF(770&gt;$S$1204,"",INDEX($T$5:$AJ$1204,MATCH(770,$S$5:$S$1204,0),8))</f>
        <v/>
      </c>
      <c r="I774" s="8" t="str">
        <f t="array" ref="I774">IF(770&gt;$S$1204,"",INDEX($T$5:$AJ$1204,MATCH(770,$S$5:$S$1204,0),9))</f>
        <v/>
      </c>
      <c r="J774" s="14" t="str">
        <f t="array" ref="J774">IF(770&gt;$S$1204,"",INDEX($T$5:$AJ$1204,MATCH(770,$S$5:$S$1204,0),10))</f>
        <v/>
      </c>
      <c r="K774" s="8" t="str">
        <f t="array" ref="K774">IF(770&gt;$S$1204,"",INDEX($T$5:$AJ$1204,MATCH(770,$S$5:$S$1204,0),11))</f>
        <v/>
      </c>
      <c r="L774" s="8" t="str">
        <f t="array" ref="L774">IF(770&gt;$S$1204,"",INDEX($T$5:$AJ$1204,MATCH(770,$S$5:$S$1204,0),12))</f>
        <v/>
      </c>
      <c r="M774" s="8" t="str">
        <f t="array" ref="M774">IF(770&gt;$S$1204,"",INDEX($T$5:$AJ$1204,MATCH(770,$S$5:$S$1204,0),13))</f>
        <v/>
      </c>
      <c r="N774" s="8" t="str">
        <f t="array" ref="N774">IF(770&gt;$S$1204,"",INDEX($T$5:$AJ$1204,MATCH(770,$S$5:$S$1204,0),14))</f>
        <v/>
      </c>
      <c r="O774" s="15" t="str">
        <f t="array" ref="O774">IF(770&gt;$S$1204,"",INDEX($T$5:$AJ$1204,MATCH(770,$S$5:$S$1204,0),15))</f>
        <v/>
      </c>
      <c r="P774" s="8" t="str">
        <f t="array" ref="P774">IF(770&gt;$S$1204,"",INDEX($T$5:$AJ$1204,MATCH(770,$S$5:$S$1204,0),16))</f>
        <v/>
      </c>
      <c r="Q774" s="8" t="str">
        <f t="array" ref="Q774">IF(770&gt;$S$1204,"",INDEX($T$5:$AJ$1204,MATCH(770,$S$5:$S$1204,0),17))</f>
        <v/>
      </c>
      <c r="R774" s="17"/>
      <c r="S774" s="17">
        <f>S773+IF(M4_Sectores!A178="",0,1)</f>
        <v>0</v>
      </c>
      <c r="T774" s="17" t="str">
        <f>IF(M4_Sectores!A178="","",IF(M4_Sectores!A178="","",M4_Sectores!A178))</f>
        <v/>
      </c>
      <c r="U774" s="17" t="str">
        <f>IF(M4_Sectores!A178="","",IF(M4_Sectores!Q178="","",M4_Sectores!Q178))</f>
        <v/>
      </c>
      <c r="V774" s="17" t="str">
        <f>IF(M4_Sectores!A178="","",IF(M4_Sectores!D178="","",M4_Sectores!D178))</f>
        <v/>
      </c>
      <c r="W774" s="17" t="str">
        <f>IF(M4_Sectores!A178="","",IF(M4_Sectores!B178="","",M4_Sectores!B178))</f>
        <v/>
      </c>
      <c r="X774" s="17" t="str">
        <f>IF(M4_Sectores!A178="","",IF(M4_Sectores!C178="","",M4_Sectores!C178))</f>
        <v/>
      </c>
      <c r="Y774" s="17" t="str">
        <f>IF(M4_Sectores!A178="","",IF(M4_Sectores!E178="","",M4_Sectores!E178))</f>
        <v/>
      </c>
      <c r="Z774" s="17" t="str">
        <f>IF(M4_Sectores!A178="","",IF(M4_Sectores!F178="","",M4_Sectores!F178))</f>
        <v/>
      </c>
      <c r="AA774" s="17" t="str">
        <f>IF(M4_Sectores!A178="","","M4 Sectores")</f>
        <v/>
      </c>
      <c r="AB774" s="17" t="str">
        <f>IF(M4_Sectores!A178="","",IF(M4_Sectores!G178="","",M4_Sectores!G178))</f>
        <v/>
      </c>
      <c r="AC774" s="17" t="str">
        <f>IF(M4_Sectores!A178="","",IF(COUNTIFS(M4_Sectores!$A$9:A178,M4_Sectores!A178,M4_Sectores!$D$9:D178,M4_Sectores!D178,M4_Sectores!$H$9:H178,M4_Sectores!H178)=1,IF(M4_Sectores!L178="","",M4_Sectores!L178),""))</f>
        <v/>
      </c>
      <c r="AD774" s="17" t="str">
        <f>IF(M4_Sectores!A178="","","EE")</f>
        <v/>
      </c>
      <c r="AE774" s="17" t="str">
        <f>IF(M4_Sectores!A178="","",IF(M4_Sectores!N178="","",M4_Sectores!N178))</f>
        <v/>
      </c>
      <c r="AF774" s="17" t="str">
        <f>IF(M4_Sectores!A178="","",IF(M4_Sectores!O178="","",M4_Sectores!O178))</f>
        <v/>
      </c>
      <c r="AG774" s="17" t="str">
        <f>IF(M4_Sectores!A178="","",IF(M4_Sectores!P178="","",M4_Sectores!P178))</f>
        <v/>
      </c>
      <c r="AH774" s="17" t="str">
        <f>IF(M4_Sectores!A178="","",IF(M4_Sectores!H178="","",M4_Sectores!H178))</f>
        <v/>
      </c>
      <c r="AI774" s="17" t="str">
        <f>IF(M4_Sectores!A178="","","M4_Sectores!178")</f>
        <v/>
      </c>
      <c r="AJ774" s="17" t="str">
        <f>IF(M4_Sectores!A178="","",IF(M4_Sectores!L178="","Pendiente de momento o resultado",IF(COUNTIFS(M4_Sectores!$A$9:A178,M4_Sectores!A178,M4_Sectores!$D$9:D178,M4_Sectores!D178,M4_Sectores!$H$9:H178,M4_Sectores!H178)=1,"Total del momento","Sector incluido en total")))</f>
        <v/>
      </c>
    </row>
    <row r="775" spans="1:36" ht="55.5" customHeight="1">
      <c r="A775" s="6" t="str">
        <f t="array" ref="A775">IF(771&gt;$S$1204,"",INDEX($T$5:$AJ$1204,MATCH(771,$S$5:$S$1204,0),1))</f>
        <v/>
      </c>
      <c r="B775" s="8" t="str">
        <f t="array" ref="B775">IF(771&gt;$S$1204,"",INDEX($T$5:$AJ$1204,MATCH(771,$S$5:$S$1204,0),2))</f>
        <v/>
      </c>
      <c r="C775" s="10" t="str">
        <f t="array" ref="C775">IF(771&gt;$S$1204,"",INDEX($T$5:$AJ$1204,MATCH(771,$S$5:$S$1204,0),3))</f>
        <v/>
      </c>
      <c r="D775" s="8" t="str">
        <f t="array" ref="D775">IF(771&gt;$S$1204,"",INDEX($T$5:$AJ$1204,MATCH(771,$S$5:$S$1204,0),4))</f>
        <v/>
      </c>
      <c r="E775" s="8" t="str">
        <f t="array" ref="E775">IF(771&gt;$S$1204,"",INDEX($T$5:$AJ$1204,MATCH(771,$S$5:$S$1204,0),5))</f>
        <v/>
      </c>
      <c r="F775" s="8" t="str">
        <f t="array" ref="F775">IF(771&gt;$S$1204,"",INDEX($T$5:$AJ$1204,MATCH(771,$S$5:$S$1204,0),6))</f>
        <v/>
      </c>
      <c r="G775" s="8" t="str">
        <f t="array" ref="G775">IF(771&gt;$S$1204,"",INDEX($T$5:$AJ$1204,MATCH(771,$S$5:$S$1204,0),7))</f>
        <v/>
      </c>
      <c r="H775" s="8" t="str">
        <f t="array" ref="H775">IF(771&gt;$S$1204,"",INDEX($T$5:$AJ$1204,MATCH(771,$S$5:$S$1204,0),8))</f>
        <v/>
      </c>
      <c r="I775" s="8" t="str">
        <f t="array" ref="I775">IF(771&gt;$S$1204,"",INDEX($T$5:$AJ$1204,MATCH(771,$S$5:$S$1204,0),9))</f>
        <v/>
      </c>
      <c r="J775" s="14" t="str">
        <f t="array" ref="J775">IF(771&gt;$S$1204,"",INDEX($T$5:$AJ$1204,MATCH(771,$S$5:$S$1204,0),10))</f>
        <v/>
      </c>
      <c r="K775" s="8" t="str">
        <f t="array" ref="K775">IF(771&gt;$S$1204,"",INDEX($T$5:$AJ$1204,MATCH(771,$S$5:$S$1204,0),11))</f>
        <v/>
      </c>
      <c r="L775" s="8" t="str">
        <f t="array" ref="L775">IF(771&gt;$S$1204,"",INDEX($T$5:$AJ$1204,MATCH(771,$S$5:$S$1204,0),12))</f>
        <v/>
      </c>
      <c r="M775" s="8" t="str">
        <f t="array" ref="M775">IF(771&gt;$S$1204,"",INDEX($T$5:$AJ$1204,MATCH(771,$S$5:$S$1204,0),13))</f>
        <v/>
      </c>
      <c r="N775" s="8" t="str">
        <f t="array" ref="N775">IF(771&gt;$S$1204,"",INDEX($T$5:$AJ$1204,MATCH(771,$S$5:$S$1204,0),14))</f>
        <v/>
      </c>
      <c r="O775" s="15" t="str">
        <f t="array" ref="O775">IF(771&gt;$S$1204,"",INDEX($T$5:$AJ$1204,MATCH(771,$S$5:$S$1204,0),15))</f>
        <v/>
      </c>
      <c r="P775" s="8" t="str">
        <f t="array" ref="P775">IF(771&gt;$S$1204,"",INDEX($T$5:$AJ$1204,MATCH(771,$S$5:$S$1204,0),16))</f>
        <v/>
      </c>
      <c r="Q775" s="8" t="str">
        <f t="array" ref="Q775">IF(771&gt;$S$1204,"",INDEX($T$5:$AJ$1204,MATCH(771,$S$5:$S$1204,0),17))</f>
        <v/>
      </c>
      <c r="R775" s="17"/>
      <c r="S775" s="17">
        <f>S774+IF(M4_Sectores!A179="",0,1)</f>
        <v>0</v>
      </c>
      <c r="T775" s="17" t="str">
        <f>IF(M4_Sectores!A179="","",IF(M4_Sectores!A179="","",M4_Sectores!A179))</f>
        <v/>
      </c>
      <c r="U775" s="17" t="str">
        <f>IF(M4_Sectores!A179="","",IF(M4_Sectores!Q179="","",M4_Sectores!Q179))</f>
        <v/>
      </c>
      <c r="V775" s="17" t="str">
        <f>IF(M4_Sectores!A179="","",IF(M4_Sectores!D179="","",M4_Sectores!D179))</f>
        <v/>
      </c>
      <c r="W775" s="17" t="str">
        <f>IF(M4_Sectores!A179="","",IF(M4_Sectores!B179="","",M4_Sectores!B179))</f>
        <v/>
      </c>
      <c r="X775" s="17" t="str">
        <f>IF(M4_Sectores!A179="","",IF(M4_Sectores!C179="","",M4_Sectores!C179))</f>
        <v/>
      </c>
      <c r="Y775" s="17" t="str">
        <f>IF(M4_Sectores!A179="","",IF(M4_Sectores!E179="","",M4_Sectores!E179))</f>
        <v/>
      </c>
      <c r="Z775" s="17" t="str">
        <f>IF(M4_Sectores!A179="","",IF(M4_Sectores!F179="","",M4_Sectores!F179))</f>
        <v/>
      </c>
      <c r="AA775" s="17" t="str">
        <f>IF(M4_Sectores!A179="","","M4 Sectores")</f>
        <v/>
      </c>
      <c r="AB775" s="17" t="str">
        <f>IF(M4_Sectores!A179="","",IF(M4_Sectores!G179="","",M4_Sectores!G179))</f>
        <v/>
      </c>
      <c r="AC775" s="17" t="str">
        <f>IF(M4_Sectores!A179="","",IF(COUNTIFS(M4_Sectores!$A$9:A179,M4_Sectores!A179,M4_Sectores!$D$9:D179,M4_Sectores!D179,M4_Sectores!$H$9:H179,M4_Sectores!H179)=1,IF(M4_Sectores!L179="","",M4_Sectores!L179),""))</f>
        <v/>
      </c>
      <c r="AD775" s="17" t="str">
        <f>IF(M4_Sectores!A179="","","EE")</f>
        <v/>
      </c>
      <c r="AE775" s="17" t="str">
        <f>IF(M4_Sectores!A179="","",IF(M4_Sectores!N179="","",M4_Sectores!N179))</f>
        <v/>
      </c>
      <c r="AF775" s="17" t="str">
        <f>IF(M4_Sectores!A179="","",IF(M4_Sectores!O179="","",M4_Sectores!O179))</f>
        <v/>
      </c>
      <c r="AG775" s="17" t="str">
        <f>IF(M4_Sectores!A179="","",IF(M4_Sectores!P179="","",M4_Sectores!P179))</f>
        <v/>
      </c>
      <c r="AH775" s="17" t="str">
        <f>IF(M4_Sectores!A179="","",IF(M4_Sectores!H179="","",M4_Sectores!H179))</f>
        <v/>
      </c>
      <c r="AI775" s="17" t="str">
        <f>IF(M4_Sectores!A179="","","M4_Sectores!179")</f>
        <v/>
      </c>
      <c r="AJ775" s="17" t="str">
        <f>IF(M4_Sectores!A179="","",IF(M4_Sectores!L179="","Pendiente de momento o resultado",IF(COUNTIFS(M4_Sectores!$A$9:A179,M4_Sectores!A179,M4_Sectores!$D$9:D179,M4_Sectores!D179,M4_Sectores!$H$9:H179,M4_Sectores!H179)=1,"Total del momento","Sector incluido en total")))</f>
        <v/>
      </c>
    </row>
    <row r="776" spans="1:36" ht="55.5" customHeight="1">
      <c r="A776" s="6" t="str">
        <f t="array" ref="A776">IF(772&gt;$S$1204,"",INDEX($T$5:$AJ$1204,MATCH(772,$S$5:$S$1204,0),1))</f>
        <v/>
      </c>
      <c r="B776" s="8" t="str">
        <f t="array" ref="B776">IF(772&gt;$S$1204,"",INDEX($T$5:$AJ$1204,MATCH(772,$S$5:$S$1204,0),2))</f>
        <v/>
      </c>
      <c r="C776" s="10" t="str">
        <f t="array" ref="C776">IF(772&gt;$S$1204,"",INDEX($T$5:$AJ$1204,MATCH(772,$S$5:$S$1204,0),3))</f>
        <v/>
      </c>
      <c r="D776" s="8" t="str">
        <f t="array" ref="D776">IF(772&gt;$S$1204,"",INDEX($T$5:$AJ$1204,MATCH(772,$S$5:$S$1204,0),4))</f>
        <v/>
      </c>
      <c r="E776" s="8" t="str">
        <f t="array" ref="E776">IF(772&gt;$S$1204,"",INDEX($T$5:$AJ$1204,MATCH(772,$S$5:$S$1204,0),5))</f>
        <v/>
      </c>
      <c r="F776" s="8" t="str">
        <f t="array" ref="F776">IF(772&gt;$S$1204,"",INDEX($T$5:$AJ$1204,MATCH(772,$S$5:$S$1204,0),6))</f>
        <v/>
      </c>
      <c r="G776" s="8" t="str">
        <f t="array" ref="G776">IF(772&gt;$S$1204,"",INDEX($T$5:$AJ$1204,MATCH(772,$S$5:$S$1204,0),7))</f>
        <v/>
      </c>
      <c r="H776" s="8" t="str">
        <f t="array" ref="H776">IF(772&gt;$S$1204,"",INDEX($T$5:$AJ$1204,MATCH(772,$S$5:$S$1204,0),8))</f>
        <v/>
      </c>
      <c r="I776" s="8" t="str">
        <f t="array" ref="I776">IF(772&gt;$S$1204,"",INDEX($T$5:$AJ$1204,MATCH(772,$S$5:$S$1204,0),9))</f>
        <v/>
      </c>
      <c r="J776" s="14" t="str">
        <f t="array" ref="J776">IF(772&gt;$S$1204,"",INDEX($T$5:$AJ$1204,MATCH(772,$S$5:$S$1204,0),10))</f>
        <v/>
      </c>
      <c r="K776" s="8" t="str">
        <f t="array" ref="K776">IF(772&gt;$S$1204,"",INDEX($T$5:$AJ$1204,MATCH(772,$S$5:$S$1204,0),11))</f>
        <v/>
      </c>
      <c r="L776" s="8" t="str">
        <f t="array" ref="L776">IF(772&gt;$S$1204,"",INDEX($T$5:$AJ$1204,MATCH(772,$S$5:$S$1204,0),12))</f>
        <v/>
      </c>
      <c r="M776" s="8" t="str">
        <f t="array" ref="M776">IF(772&gt;$S$1204,"",INDEX($T$5:$AJ$1204,MATCH(772,$S$5:$S$1204,0),13))</f>
        <v/>
      </c>
      <c r="N776" s="8" t="str">
        <f t="array" ref="N776">IF(772&gt;$S$1204,"",INDEX($T$5:$AJ$1204,MATCH(772,$S$5:$S$1204,0),14))</f>
        <v/>
      </c>
      <c r="O776" s="15" t="str">
        <f t="array" ref="O776">IF(772&gt;$S$1204,"",INDEX($T$5:$AJ$1204,MATCH(772,$S$5:$S$1204,0),15))</f>
        <v/>
      </c>
      <c r="P776" s="8" t="str">
        <f t="array" ref="P776">IF(772&gt;$S$1204,"",INDEX($T$5:$AJ$1204,MATCH(772,$S$5:$S$1204,0),16))</f>
        <v/>
      </c>
      <c r="Q776" s="8" t="str">
        <f t="array" ref="Q776">IF(772&gt;$S$1204,"",INDEX($T$5:$AJ$1204,MATCH(772,$S$5:$S$1204,0),17))</f>
        <v/>
      </c>
      <c r="R776" s="17"/>
      <c r="S776" s="17">
        <f>S775+IF(M4_Sectores!A180="",0,1)</f>
        <v>0</v>
      </c>
      <c r="T776" s="17" t="str">
        <f>IF(M4_Sectores!A180="","",IF(M4_Sectores!A180="","",M4_Sectores!A180))</f>
        <v/>
      </c>
      <c r="U776" s="17" t="str">
        <f>IF(M4_Sectores!A180="","",IF(M4_Sectores!Q180="","",M4_Sectores!Q180))</f>
        <v/>
      </c>
      <c r="V776" s="17" t="str">
        <f>IF(M4_Sectores!A180="","",IF(M4_Sectores!D180="","",M4_Sectores!D180))</f>
        <v/>
      </c>
      <c r="W776" s="17" t="str">
        <f>IF(M4_Sectores!A180="","",IF(M4_Sectores!B180="","",M4_Sectores!B180))</f>
        <v/>
      </c>
      <c r="X776" s="17" t="str">
        <f>IF(M4_Sectores!A180="","",IF(M4_Sectores!C180="","",M4_Sectores!C180))</f>
        <v/>
      </c>
      <c r="Y776" s="17" t="str">
        <f>IF(M4_Sectores!A180="","",IF(M4_Sectores!E180="","",M4_Sectores!E180))</f>
        <v/>
      </c>
      <c r="Z776" s="17" t="str">
        <f>IF(M4_Sectores!A180="","",IF(M4_Sectores!F180="","",M4_Sectores!F180))</f>
        <v/>
      </c>
      <c r="AA776" s="17" t="str">
        <f>IF(M4_Sectores!A180="","","M4 Sectores")</f>
        <v/>
      </c>
      <c r="AB776" s="17" t="str">
        <f>IF(M4_Sectores!A180="","",IF(M4_Sectores!G180="","",M4_Sectores!G180))</f>
        <v/>
      </c>
      <c r="AC776" s="17" t="str">
        <f>IF(M4_Sectores!A180="","",IF(COUNTIFS(M4_Sectores!$A$9:A180,M4_Sectores!A180,M4_Sectores!$D$9:D180,M4_Sectores!D180,M4_Sectores!$H$9:H180,M4_Sectores!H180)=1,IF(M4_Sectores!L180="","",M4_Sectores!L180),""))</f>
        <v/>
      </c>
      <c r="AD776" s="17" t="str">
        <f>IF(M4_Sectores!A180="","","EE")</f>
        <v/>
      </c>
      <c r="AE776" s="17" t="str">
        <f>IF(M4_Sectores!A180="","",IF(M4_Sectores!N180="","",M4_Sectores!N180))</f>
        <v/>
      </c>
      <c r="AF776" s="17" t="str">
        <f>IF(M4_Sectores!A180="","",IF(M4_Sectores!O180="","",M4_Sectores!O180))</f>
        <v/>
      </c>
      <c r="AG776" s="17" t="str">
        <f>IF(M4_Sectores!A180="","",IF(M4_Sectores!P180="","",M4_Sectores!P180))</f>
        <v/>
      </c>
      <c r="AH776" s="17" t="str">
        <f>IF(M4_Sectores!A180="","",IF(M4_Sectores!H180="","",M4_Sectores!H180))</f>
        <v/>
      </c>
      <c r="AI776" s="17" t="str">
        <f>IF(M4_Sectores!A180="","","M4_Sectores!180")</f>
        <v/>
      </c>
      <c r="AJ776" s="17" t="str">
        <f>IF(M4_Sectores!A180="","",IF(M4_Sectores!L180="","Pendiente de momento o resultado",IF(COUNTIFS(M4_Sectores!$A$9:A180,M4_Sectores!A180,M4_Sectores!$D$9:D180,M4_Sectores!D180,M4_Sectores!$H$9:H180,M4_Sectores!H180)=1,"Total del momento","Sector incluido en total")))</f>
        <v/>
      </c>
    </row>
    <row r="777" spans="1:36" ht="55.5" customHeight="1">
      <c r="A777" s="6" t="str">
        <f t="array" ref="A777">IF(773&gt;$S$1204,"",INDEX($T$5:$AJ$1204,MATCH(773,$S$5:$S$1204,0),1))</f>
        <v/>
      </c>
      <c r="B777" s="8" t="str">
        <f t="array" ref="B777">IF(773&gt;$S$1204,"",INDEX($T$5:$AJ$1204,MATCH(773,$S$5:$S$1204,0),2))</f>
        <v/>
      </c>
      <c r="C777" s="10" t="str">
        <f t="array" ref="C777">IF(773&gt;$S$1204,"",INDEX($T$5:$AJ$1204,MATCH(773,$S$5:$S$1204,0),3))</f>
        <v/>
      </c>
      <c r="D777" s="8" t="str">
        <f t="array" ref="D777">IF(773&gt;$S$1204,"",INDEX($T$5:$AJ$1204,MATCH(773,$S$5:$S$1204,0),4))</f>
        <v/>
      </c>
      <c r="E777" s="8" t="str">
        <f t="array" ref="E777">IF(773&gt;$S$1204,"",INDEX($T$5:$AJ$1204,MATCH(773,$S$5:$S$1204,0),5))</f>
        <v/>
      </c>
      <c r="F777" s="8" t="str">
        <f t="array" ref="F777">IF(773&gt;$S$1204,"",INDEX($T$5:$AJ$1204,MATCH(773,$S$5:$S$1204,0),6))</f>
        <v/>
      </c>
      <c r="G777" s="8" t="str">
        <f t="array" ref="G777">IF(773&gt;$S$1204,"",INDEX($T$5:$AJ$1204,MATCH(773,$S$5:$S$1204,0),7))</f>
        <v/>
      </c>
      <c r="H777" s="8" t="str">
        <f t="array" ref="H777">IF(773&gt;$S$1204,"",INDEX($T$5:$AJ$1204,MATCH(773,$S$5:$S$1204,0),8))</f>
        <v/>
      </c>
      <c r="I777" s="8" t="str">
        <f t="array" ref="I777">IF(773&gt;$S$1204,"",INDEX($T$5:$AJ$1204,MATCH(773,$S$5:$S$1204,0),9))</f>
        <v/>
      </c>
      <c r="J777" s="14" t="str">
        <f t="array" ref="J777">IF(773&gt;$S$1204,"",INDEX($T$5:$AJ$1204,MATCH(773,$S$5:$S$1204,0),10))</f>
        <v/>
      </c>
      <c r="K777" s="8" t="str">
        <f t="array" ref="K777">IF(773&gt;$S$1204,"",INDEX($T$5:$AJ$1204,MATCH(773,$S$5:$S$1204,0),11))</f>
        <v/>
      </c>
      <c r="L777" s="8" t="str">
        <f t="array" ref="L777">IF(773&gt;$S$1204,"",INDEX($T$5:$AJ$1204,MATCH(773,$S$5:$S$1204,0),12))</f>
        <v/>
      </c>
      <c r="M777" s="8" t="str">
        <f t="array" ref="M777">IF(773&gt;$S$1204,"",INDEX($T$5:$AJ$1204,MATCH(773,$S$5:$S$1204,0),13))</f>
        <v/>
      </c>
      <c r="N777" s="8" t="str">
        <f t="array" ref="N777">IF(773&gt;$S$1204,"",INDEX($T$5:$AJ$1204,MATCH(773,$S$5:$S$1204,0),14))</f>
        <v/>
      </c>
      <c r="O777" s="15" t="str">
        <f t="array" ref="O777">IF(773&gt;$S$1204,"",INDEX($T$5:$AJ$1204,MATCH(773,$S$5:$S$1204,0),15))</f>
        <v/>
      </c>
      <c r="P777" s="8" t="str">
        <f t="array" ref="P777">IF(773&gt;$S$1204,"",INDEX($T$5:$AJ$1204,MATCH(773,$S$5:$S$1204,0),16))</f>
        <v/>
      </c>
      <c r="Q777" s="8" t="str">
        <f t="array" ref="Q777">IF(773&gt;$S$1204,"",INDEX($T$5:$AJ$1204,MATCH(773,$S$5:$S$1204,0),17))</f>
        <v/>
      </c>
      <c r="R777" s="17"/>
      <c r="S777" s="17">
        <f>S776+IF(M4_Sectores!A181="",0,1)</f>
        <v>0</v>
      </c>
      <c r="T777" s="17" t="str">
        <f>IF(M4_Sectores!A181="","",IF(M4_Sectores!A181="","",M4_Sectores!A181))</f>
        <v/>
      </c>
      <c r="U777" s="17" t="str">
        <f>IF(M4_Sectores!A181="","",IF(M4_Sectores!Q181="","",M4_Sectores!Q181))</f>
        <v/>
      </c>
      <c r="V777" s="17" t="str">
        <f>IF(M4_Sectores!A181="","",IF(M4_Sectores!D181="","",M4_Sectores!D181))</f>
        <v/>
      </c>
      <c r="W777" s="17" t="str">
        <f>IF(M4_Sectores!A181="","",IF(M4_Sectores!B181="","",M4_Sectores!B181))</f>
        <v/>
      </c>
      <c r="X777" s="17" t="str">
        <f>IF(M4_Sectores!A181="","",IF(M4_Sectores!C181="","",M4_Sectores!C181))</f>
        <v/>
      </c>
      <c r="Y777" s="17" t="str">
        <f>IF(M4_Sectores!A181="","",IF(M4_Sectores!E181="","",M4_Sectores!E181))</f>
        <v/>
      </c>
      <c r="Z777" s="17" t="str">
        <f>IF(M4_Sectores!A181="","",IF(M4_Sectores!F181="","",M4_Sectores!F181))</f>
        <v/>
      </c>
      <c r="AA777" s="17" t="str">
        <f>IF(M4_Sectores!A181="","","M4 Sectores")</f>
        <v/>
      </c>
      <c r="AB777" s="17" t="str">
        <f>IF(M4_Sectores!A181="","",IF(M4_Sectores!G181="","",M4_Sectores!G181))</f>
        <v/>
      </c>
      <c r="AC777" s="17" t="str">
        <f>IF(M4_Sectores!A181="","",IF(COUNTIFS(M4_Sectores!$A$9:A181,M4_Sectores!A181,M4_Sectores!$D$9:D181,M4_Sectores!D181,M4_Sectores!$H$9:H181,M4_Sectores!H181)=1,IF(M4_Sectores!L181="","",M4_Sectores!L181),""))</f>
        <v/>
      </c>
      <c r="AD777" s="17" t="str">
        <f>IF(M4_Sectores!A181="","","EE")</f>
        <v/>
      </c>
      <c r="AE777" s="17" t="str">
        <f>IF(M4_Sectores!A181="","",IF(M4_Sectores!N181="","",M4_Sectores!N181))</f>
        <v/>
      </c>
      <c r="AF777" s="17" t="str">
        <f>IF(M4_Sectores!A181="","",IF(M4_Sectores!O181="","",M4_Sectores!O181))</f>
        <v/>
      </c>
      <c r="AG777" s="17" t="str">
        <f>IF(M4_Sectores!A181="","",IF(M4_Sectores!P181="","",M4_Sectores!P181))</f>
        <v/>
      </c>
      <c r="AH777" s="17" t="str">
        <f>IF(M4_Sectores!A181="","",IF(M4_Sectores!H181="","",M4_Sectores!H181))</f>
        <v/>
      </c>
      <c r="AI777" s="17" t="str">
        <f>IF(M4_Sectores!A181="","","M4_Sectores!181")</f>
        <v/>
      </c>
      <c r="AJ777" s="17" t="str">
        <f>IF(M4_Sectores!A181="","",IF(M4_Sectores!L181="","Pendiente de momento o resultado",IF(COUNTIFS(M4_Sectores!$A$9:A181,M4_Sectores!A181,M4_Sectores!$D$9:D181,M4_Sectores!D181,M4_Sectores!$H$9:H181,M4_Sectores!H181)=1,"Total del momento","Sector incluido en total")))</f>
        <v/>
      </c>
    </row>
    <row r="778" spans="1:36" ht="55.5" customHeight="1">
      <c r="A778" s="6" t="str">
        <f t="array" ref="A778">IF(774&gt;$S$1204,"",INDEX($T$5:$AJ$1204,MATCH(774,$S$5:$S$1204,0),1))</f>
        <v/>
      </c>
      <c r="B778" s="8" t="str">
        <f t="array" ref="B778">IF(774&gt;$S$1204,"",INDEX($T$5:$AJ$1204,MATCH(774,$S$5:$S$1204,0),2))</f>
        <v/>
      </c>
      <c r="C778" s="10" t="str">
        <f t="array" ref="C778">IF(774&gt;$S$1204,"",INDEX($T$5:$AJ$1204,MATCH(774,$S$5:$S$1204,0),3))</f>
        <v/>
      </c>
      <c r="D778" s="8" t="str">
        <f t="array" ref="D778">IF(774&gt;$S$1204,"",INDEX($T$5:$AJ$1204,MATCH(774,$S$5:$S$1204,0),4))</f>
        <v/>
      </c>
      <c r="E778" s="8" t="str">
        <f t="array" ref="E778">IF(774&gt;$S$1204,"",INDEX($T$5:$AJ$1204,MATCH(774,$S$5:$S$1204,0),5))</f>
        <v/>
      </c>
      <c r="F778" s="8" t="str">
        <f t="array" ref="F778">IF(774&gt;$S$1204,"",INDEX($T$5:$AJ$1204,MATCH(774,$S$5:$S$1204,0),6))</f>
        <v/>
      </c>
      <c r="G778" s="8" t="str">
        <f t="array" ref="G778">IF(774&gt;$S$1204,"",INDEX($T$5:$AJ$1204,MATCH(774,$S$5:$S$1204,0),7))</f>
        <v/>
      </c>
      <c r="H778" s="8" t="str">
        <f t="array" ref="H778">IF(774&gt;$S$1204,"",INDEX($T$5:$AJ$1204,MATCH(774,$S$5:$S$1204,0),8))</f>
        <v/>
      </c>
      <c r="I778" s="8" t="str">
        <f t="array" ref="I778">IF(774&gt;$S$1204,"",INDEX($T$5:$AJ$1204,MATCH(774,$S$5:$S$1204,0),9))</f>
        <v/>
      </c>
      <c r="J778" s="14" t="str">
        <f t="array" ref="J778">IF(774&gt;$S$1204,"",INDEX($T$5:$AJ$1204,MATCH(774,$S$5:$S$1204,0),10))</f>
        <v/>
      </c>
      <c r="K778" s="8" t="str">
        <f t="array" ref="K778">IF(774&gt;$S$1204,"",INDEX($T$5:$AJ$1204,MATCH(774,$S$5:$S$1204,0),11))</f>
        <v/>
      </c>
      <c r="L778" s="8" t="str">
        <f t="array" ref="L778">IF(774&gt;$S$1204,"",INDEX($T$5:$AJ$1204,MATCH(774,$S$5:$S$1204,0),12))</f>
        <v/>
      </c>
      <c r="M778" s="8" t="str">
        <f t="array" ref="M778">IF(774&gt;$S$1204,"",INDEX($T$5:$AJ$1204,MATCH(774,$S$5:$S$1204,0),13))</f>
        <v/>
      </c>
      <c r="N778" s="8" t="str">
        <f t="array" ref="N778">IF(774&gt;$S$1204,"",INDEX($T$5:$AJ$1204,MATCH(774,$S$5:$S$1204,0),14))</f>
        <v/>
      </c>
      <c r="O778" s="15" t="str">
        <f t="array" ref="O778">IF(774&gt;$S$1204,"",INDEX($T$5:$AJ$1204,MATCH(774,$S$5:$S$1204,0),15))</f>
        <v/>
      </c>
      <c r="P778" s="8" t="str">
        <f t="array" ref="P778">IF(774&gt;$S$1204,"",INDEX($T$5:$AJ$1204,MATCH(774,$S$5:$S$1204,0),16))</f>
        <v/>
      </c>
      <c r="Q778" s="8" t="str">
        <f t="array" ref="Q778">IF(774&gt;$S$1204,"",INDEX($T$5:$AJ$1204,MATCH(774,$S$5:$S$1204,0),17))</f>
        <v/>
      </c>
      <c r="R778" s="17"/>
      <c r="S778" s="17">
        <f>S777+IF(M4_Sectores!A182="",0,1)</f>
        <v>0</v>
      </c>
      <c r="T778" s="17" t="str">
        <f>IF(M4_Sectores!A182="","",IF(M4_Sectores!A182="","",M4_Sectores!A182))</f>
        <v/>
      </c>
      <c r="U778" s="17" t="str">
        <f>IF(M4_Sectores!A182="","",IF(M4_Sectores!Q182="","",M4_Sectores!Q182))</f>
        <v/>
      </c>
      <c r="V778" s="17" t="str">
        <f>IF(M4_Sectores!A182="","",IF(M4_Sectores!D182="","",M4_Sectores!D182))</f>
        <v/>
      </c>
      <c r="W778" s="17" t="str">
        <f>IF(M4_Sectores!A182="","",IF(M4_Sectores!B182="","",M4_Sectores!B182))</f>
        <v/>
      </c>
      <c r="X778" s="17" t="str">
        <f>IF(M4_Sectores!A182="","",IF(M4_Sectores!C182="","",M4_Sectores!C182))</f>
        <v/>
      </c>
      <c r="Y778" s="17" t="str">
        <f>IF(M4_Sectores!A182="","",IF(M4_Sectores!E182="","",M4_Sectores!E182))</f>
        <v/>
      </c>
      <c r="Z778" s="17" t="str">
        <f>IF(M4_Sectores!A182="","",IF(M4_Sectores!F182="","",M4_Sectores!F182))</f>
        <v/>
      </c>
      <c r="AA778" s="17" t="str">
        <f>IF(M4_Sectores!A182="","","M4 Sectores")</f>
        <v/>
      </c>
      <c r="AB778" s="17" t="str">
        <f>IF(M4_Sectores!A182="","",IF(M4_Sectores!G182="","",M4_Sectores!G182))</f>
        <v/>
      </c>
      <c r="AC778" s="17" t="str">
        <f>IF(M4_Sectores!A182="","",IF(COUNTIFS(M4_Sectores!$A$9:A182,M4_Sectores!A182,M4_Sectores!$D$9:D182,M4_Sectores!D182,M4_Sectores!$H$9:H182,M4_Sectores!H182)=1,IF(M4_Sectores!L182="","",M4_Sectores!L182),""))</f>
        <v/>
      </c>
      <c r="AD778" s="17" t="str">
        <f>IF(M4_Sectores!A182="","","EE")</f>
        <v/>
      </c>
      <c r="AE778" s="17" t="str">
        <f>IF(M4_Sectores!A182="","",IF(M4_Sectores!N182="","",M4_Sectores!N182))</f>
        <v/>
      </c>
      <c r="AF778" s="17" t="str">
        <f>IF(M4_Sectores!A182="","",IF(M4_Sectores!O182="","",M4_Sectores!O182))</f>
        <v/>
      </c>
      <c r="AG778" s="17" t="str">
        <f>IF(M4_Sectores!A182="","",IF(M4_Sectores!P182="","",M4_Sectores!P182))</f>
        <v/>
      </c>
      <c r="AH778" s="17" t="str">
        <f>IF(M4_Sectores!A182="","",IF(M4_Sectores!H182="","",M4_Sectores!H182))</f>
        <v/>
      </c>
      <c r="AI778" s="17" t="str">
        <f>IF(M4_Sectores!A182="","","M4_Sectores!182")</f>
        <v/>
      </c>
      <c r="AJ778" s="17" t="str">
        <f>IF(M4_Sectores!A182="","",IF(M4_Sectores!L182="","Pendiente de momento o resultado",IF(COUNTIFS(M4_Sectores!$A$9:A182,M4_Sectores!A182,M4_Sectores!$D$9:D182,M4_Sectores!D182,M4_Sectores!$H$9:H182,M4_Sectores!H182)=1,"Total del momento","Sector incluido en total")))</f>
        <v/>
      </c>
    </row>
    <row r="779" spans="1:36" ht="55.5" customHeight="1">
      <c r="A779" s="6" t="str">
        <f t="array" ref="A779">IF(775&gt;$S$1204,"",INDEX($T$5:$AJ$1204,MATCH(775,$S$5:$S$1204,0),1))</f>
        <v/>
      </c>
      <c r="B779" s="8" t="str">
        <f t="array" ref="B779">IF(775&gt;$S$1204,"",INDEX($T$5:$AJ$1204,MATCH(775,$S$5:$S$1204,0),2))</f>
        <v/>
      </c>
      <c r="C779" s="10" t="str">
        <f t="array" ref="C779">IF(775&gt;$S$1204,"",INDEX($T$5:$AJ$1204,MATCH(775,$S$5:$S$1204,0),3))</f>
        <v/>
      </c>
      <c r="D779" s="8" t="str">
        <f t="array" ref="D779">IF(775&gt;$S$1204,"",INDEX($T$5:$AJ$1204,MATCH(775,$S$5:$S$1204,0),4))</f>
        <v/>
      </c>
      <c r="E779" s="8" t="str">
        <f t="array" ref="E779">IF(775&gt;$S$1204,"",INDEX($T$5:$AJ$1204,MATCH(775,$S$5:$S$1204,0),5))</f>
        <v/>
      </c>
      <c r="F779" s="8" t="str">
        <f t="array" ref="F779">IF(775&gt;$S$1204,"",INDEX($T$5:$AJ$1204,MATCH(775,$S$5:$S$1204,0),6))</f>
        <v/>
      </c>
      <c r="G779" s="8" t="str">
        <f t="array" ref="G779">IF(775&gt;$S$1204,"",INDEX($T$5:$AJ$1204,MATCH(775,$S$5:$S$1204,0),7))</f>
        <v/>
      </c>
      <c r="H779" s="8" t="str">
        <f t="array" ref="H779">IF(775&gt;$S$1204,"",INDEX($T$5:$AJ$1204,MATCH(775,$S$5:$S$1204,0),8))</f>
        <v/>
      </c>
      <c r="I779" s="8" t="str">
        <f t="array" ref="I779">IF(775&gt;$S$1204,"",INDEX($T$5:$AJ$1204,MATCH(775,$S$5:$S$1204,0),9))</f>
        <v/>
      </c>
      <c r="J779" s="14" t="str">
        <f t="array" ref="J779">IF(775&gt;$S$1204,"",INDEX($T$5:$AJ$1204,MATCH(775,$S$5:$S$1204,0),10))</f>
        <v/>
      </c>
      <c r="K779" s="8" t="str">
        <f t="array" ref="K779">IF(775&gt;$S$1204,"",INDEX($T$5:$AJ$1204,MATCH(775,$S$5:$S$1204,0),11))</f>
        <v/>
      </c>
      <c r="L779" s="8" t="str">
        <f t="array" ref="L779">IF(775&gt;$S$1204,"",INDEX($T$5:$AJ$1204,MATCH(775,$S$5:$S$1204,0),12))</f>
        <v/>
      </c>
      <c r="M779" s="8" t="str">
        <f t="array" ref="M779">IF(775&gt;$S$1204,"",INDEX($T$5:$AJ$1204,MATCH(775,$S$5:$S$1204,0),13))</f>
        <v/>
      </c>
      <c r="N779" s="8" t="str">
        <f t="array" ref="N779">IF(775&gt;$S$1204,"",INDEX($T$5:$AJ$1204,MATCH(775,$S$5:$S$1204,0),14))</f>
        <v/>
      </c>
      <c r="O779" s="15" t="str">
        <f t="array" ref="O779">IF(775&gt;$S$1204,"",INDEX($T$5:$AJ$1204,MATCH(775,$S$5:$S$1204,0),15))</f>
        <v/>
      </c>
      <c r="P779" s="8" t="str">
        <f t="array" ref="P779">IF(775&gt;$S$1204,"",INDEX($T$5:$AJ$1204,MATCH(775,$S$5:$S$1204,0),16))</f>
        <v/>
      </c>
      <c r="Q779" s="8" t="str">
        <f t="array" ref="Q779">IF(775&gt;$S$1204,"",INDEX($T$5:$AJ$1204,MATCH(775,$S$5:$S$1204,0),17))</f>
        <v/>
      </c>
      <c r="R779" s="17"/>
      <c r="S779" s="17">
        <f>S778+IF(M4_Sectores!A183="",0,1)</f>
        <v>0</v>
      </c>
      <c r="T779" s="17" t="str">
        <f>IF(M4_Sectores!A183="","",IF(M4_Sectores!A183="","",M4_Sectores!A183))</f>
        <v/>
      </c>
      <c r="U779" s="17" t="str">
        <f>IF(M4_Sectores!A183="","",IF(M4_Sectores!Q183="","",M4_Sectores!Q183))</f>
        <v/>
      </c>
      <c r="V779" s="17" t="str">
        <f>IF(M4_Sectores!A183="","",IF(M4_Sectores!D183="","",M4_Sectores!D183))</f>
        <v/>
      </c>
      <c r="W779" s="17" t="str">
        <f>IF(M4_Sectores!A183="","",IF(M4_Sectores!B183="","",M4_Sectores!B183))</f>
        <v/>
      </c>
      <c r="X779" s="17" t="str">
        <f>IF(M4_Sectores!A183="","",IF(M4_Sectores!C183="","",M4_Sectores!C183))</f>
        <v/>
      </c>
      <c r="Y779" s="17" t="str">
        <f>IF(M4_Sectores!A183="","",IF(M4_Sectores!E183="","",M4_Sectores!E183))</f>
        <v/>
      </c>
      <c r="Z779" s="17" t="str">
        <f>IF(M4_Sectores!A183="","",IF(M4_Sectores!F183="","",M4_Sectores!F183))</f>
        <v/>
      </c>
      <c r="AA779" s="17" t="str">
        <f>IF(M4_Sectores!A183="","","M4 Sectores")</f>
        <v/>
      </c>
      <c r="AB779" s="17" t="str">
        <f>IF(M4_Sectores!A183="","",IF(M4_Sectores!G183="","",M4_Sectores!G183))</f>
        <v/>
      </c>
      <c r="AC779" s="17" t="str">
        <f>IF(M4_Sectores!A183="","",IF(COUNTIFS(M4_Sectores!$A$9:A183,M4_Sectores!A183,M4_Sectores!$D$9:D183,M4_Sectores!D183,M4_Sectores!$H$9:H183,M4_Sectores!H183)=1,IF(M4_Sectores!L183="","",M4_Sectores!L183),""))</f>
        <v/>
      </c>
      <c r="AD779" s="17" t="str">
        <f>IF(M4_Sectores!A183="","","EE")</f>
        <v/>
      </c>
      <c r="AE779" s="17" t="str">
        <f>IF(M4_Sectores!A183="","",IF(M4_Sectores!N183="","",M4_Sectores!N183))</f>
        <v/>
      </c>
      <c r="AF779" s="17" t="str">
        <f>IF(M4_Sectores!A183="","",IF(M4_Sectores!O183="","",M4_Sectores!O183))</f>
        <v/>
      </c>
      <c r="AG779" s="17" t="str">
        <f>IF(M4_Sectores!A183="","",IF(M4_Sectores!P183="","",M4_Sectores!P183))</f>
        <v/>
      </c>
      <c r="AH779" s="17" t="str">
        <f>IF(M4_Sectores!A183="","",IF(M4_Sectores!H183="","",M4_Sectores!H183))</f>
        <v/>
      </c>
      <c r="AI779" s="17" t="str">
        <f>IF(M4_Sectores!A183="","","M4_Sectores!183")</f>
        <v/>
      </c>
      <c r="AJ779" s="17" t="str">
        <f>IF(M4_Sectores!A183="","",IF(M4_Sectores!L183="","Pendiente de momento o resultado",IF(COUNTIFS(M4_Sectores!$A$9:A183,M4_Sectores!A183,M4_Sectores!$D$9:D183,M4_Sectores!D183,M4_Sectores!$H$9:H183,M4_Sectores!H183)=1,"Total del momento","Sector incluido en total")))</f>
        <v/>
      </c>
    </row>
    <row r="780" spans="1:36" ht="55.5" customHeight="1">
      <c r="A780" s="6" t="str">
        <f t="array" ref="A780">IF(776&gt;$S$1204,"",INDEX($T$5:$AJ$1204,MATCH(776,$S$5:$S$1204,0),1))</f>
        <v/>
      </c>
      <c r="B780" s="8" t="str">
        <f t="array" ref="B780">IF(776&gt;$S$1204,"",INDEX($T$5:$AJ$1204,MATCH(776,$S$5:$S$1204,0),2))</f>
        <v/>
      </c>
      <c r="C780" s="10" t="str">
        <f t="array" ref="C780">IF(776&gt;$S$1204,"",INDEX($T$5:$AJ$1204,MATCH(776,$S$5:$S$1204,0),3))</f>
        <v/>
      </c>
      <c r="D780" s="8" t="str">
        <f t="array" ref="D780">IF(776&gt;$S$1204,"",INDEX($T$5:$AJ$1204,MATCH(776,$S$5:$S$1204,0),4))</f>
        <v/>
      </c>
      <c r="E780" s="8" t="str">
        <f t="array" ref="E780">IF(776&gt;$S$1204,"",INDEX($T$5:$AJ$1204,MATCH(776,$S$5:$S$1204,0),5))</f>
        <v/>
      </c>
      <c r="F780" s="8" t="str">
        <f t="array" ref="F780">IF(776&gt;$S$1204,"",INDEX($T$5:$AJ$1204,MATCH(776,$S$5:$S$1204,0),6))</f>
        <v/>
      </c>
      <c r="G780" s="8" t="str">
        <f t="array" ref="G780">IF(776&gt;$S$1204,"",INDEX($T$5:$AJ$1204,MATCH(776,$S$5:$S$1204,0),7))</f>
        <v/>
      </c>
      <c r="H780" s="8" t="str">
        <f t="array" ref="H780">IF(776&gt;$S$1204,"",INDEX($T$5:$AJ$1204,MATCH(776,$S$5:$S$1204,0),8))</f>
        <v/>
      </c>
      <c r="I780" s="8" t="str">
        <f t="array" ref="I780">IF(776&gt;$S$1204,"",INDEX($T$5:$AJ$1204,MATCH(776,$S$5:$S$1204,0),9))</f>
        <v/>
      </c>
      <c r="J780" s="14" t="str">
        <f t="array" ref="J780">IF(776&gt;$S$1204,"",INDEX($T$5:$AJ$1204,MATCH(776,$S$5:$S$1204,0),10))</f>
        <v/>
      </c>
      <c r="K780" s="8" t="str">
        <f t="array" ref="K780">IF(776&gt;$S$1204,"",INDEX($T$5:$AJ$1204,MATCH(776,$S$5:$S$1204,0),11))</f>
        <v/>
      </c>
      <c r="L780" s="8" t="str">
        <f t="array" ref="L780">IF(776&gt;$S$1204,"",INDEX($T$5:$AJ$1204,MATCH(776,$S$5:$S$1204,0),12))</f>
        <v/>
      </c>
      <c r="M780" s="8" t="str">
        <f t="array" ref="M780">IF(776&gt;$S$1204,"",INDEX($T$5:$AJ$1204,MATCH(776,$S$5:$S$1204,0),13))</f>
        <v/>
      </c>
      <c r="N780" s="8" t="str">
        <f t="array" ref="N780">IF(776&gt;$S$1204,"",INDEX($T$5:$AJ$1204,MATCH(776,$S$5:$S$1204,0),14))</f>
        <v/>
      </c>
      <c r="O780" s="15" t="str">
        <f t="array" ref="O780">IF(776&gt;$S$1204,"",INDEX($T$5:$AJ$1204,MATCH(776,$S$5:$S$1204,0),15))</f>
        <v/>
      </c>
      <c r="P780" s="8" t="str">
        <f t="array" ref="P780">IF(776&gt;$S$1204,"",INDEX($T$5:$AJ$1204,MATCH(776,$S$5:$S$1204,0),16))</f>
        <v/>
      </c>
      <c r="Q780" s="8" t="str">
        <f t="array" ref="Q780">IF(776&gt;$S$1204,"",INDEX($T$5:$AJ$1204,MATCH(776,$S$5:$S$1204,0),17))</f>
        <v/>
      </c>
      <c r="R780" s="17"/>
      <c r="S780" s="17">
        <f>S779+IF(M4_Sectores!A184="",0,1)</f>
        <v>0</v>
      </c>
      <c r="T780" s="17" t="str">
        <f>IF(M4_Sectores!A184="","",IF(M4_Sectores!A184="","",M4_Sectores!A184))</f>
        <v/>
      </c>
      <c r="U780" s="17" t="str">
        <f>IF(M4_Sectores!A184="","",IF(M4_Sectores!Q184="","",M4_Sectores!Q184))</f>
        <v/>
      </c>
      <c r="V780" s="17" t="str">
        <f>IF(M4_Sectores!A184="","",IF(M4_Sectores!D184="","",M4_Sectores!D184))</f>
        <v/>
      </c>
      <c r="W780" s="17" t="str">
        <f>IF(M4_Sectores!A184="","",IF(M4_Sectores!B184="","",M4_Sectores!B184))</f>
        <v/>
      </c>
      <c r="X780" s="17" t="str">
        <f>IF(M4_Sectores!A184="","",IF(M4_Sectores!C184="","",M4_Sectores!C184))</f>
        <v/>
      </c>
      <c r="Y780" s="17" t="str">
        <f>IF(M4_Sectores!A184="","",IF(M4_Sectores!E184="","",M4_Sectores!E184))</f>
        <v/>
      </c>
      <c r="Z780" s="17" t="str">
        <f>IF(M4_Sectores!A184="","",IF(M4_Sectores!F184="","",M4_Sectores!F184))</f>
        <v/>
      </c>
      <c r="AA780" s="17" t="str">
        <f>IF(M4_Sectores!A184="","","M4 Sectores")</f>
        <v/>
      </c>
      <c r="AB780" s="17" t="str">
        <f>IF(M4_Sectores!A184="","",IF(M4_Sectores!G184="","",M4_Sectores!G184))</f>
        <v/>
      </c>
      <c r="AC780" s="17" t="str">
        <f>IF(M4_Sectores!A184="","",IF(COUNTIFS(M4_Sectores!$A$9:A184,M4_Sectores!A184,M4_Sectores!$D$9:D184,M4_Sectores!D184,M4_Sectores!$H$9:H184,M4_Sectores!H184)=1,IF(M4_Sectores!L184="","",M4_Sectores!L184),""))</f>
        <v/>
      </c>
      <c r="AD780" s="17" t="str">
        <f>IF(M4_Sectores!A184="","","EE")</f>
        <v/>
      </c>
      <c r="AE780" s="17" t="str">
        <f>IF(M4_Sectores!A184="","",IF(M4_Sectores!N184="","",M4_Sectores!N184))</f>
        <v/>
      </c>
      <c r="AF780" s="17" t="str">
        <f>IF(M4_Sectores!A184="","",IF(M4_Sectores!O184="","",M4_Sectores!O184))</f>
        <v/>
      </c>
      <c r="AG780" s="17" t="str">
        <f>IF(M4_Sectores!A184="","",IF(M4_Sectores!P184="","",M4_Sectores!P184))</f>
        <v/>
      </c>
      <c r="AH780" s="17" t="str">
        <f>IF(M4_Sectores!A184="","",IF(M4_Sectores!H184="","",M4_Sectores!H184))</f>
        <v/>
      </c>
      <c r="AI780" s="17" t="str">
        <f>IF(M4_Sectores!A184="","","M4_Sectores!184")</f>
        <v/>
      </c>
      <c r="AJ780" s="17" t="str">
        <f>IF(M4_Sectores!A184="","",IF(M4_Sectores!L184="","Pendiente de momento o resultado",IF(COUNTIFS(M4_Sectores!$A$9:A184,M4_Sectores!A184,M4_Sectores!$D$9:D184,M4_Sectores!D184,M4_Sectores!$H$9:H184,M4_Sectores!H184)=1,"Total del momento","Sector incluido en total")))</f>
        <v/>
      </c>
    </row>
    <row r="781" spans="1:36" ht="55.5" customHeight="1">
      <c r="A781" s="6" t="str">
        <f t="array" ref="A781">IF(777&gt;$S$1204,"",INDEX($T$5:$AJ$1204,MATCH(777,$S$5:$S$1204,0),1))</f>
        <v/>
      </c>
      <c r="B781" s="8" t="str">
        <f t="array" ref="B781">IF(777&gt;$S$1204,"",INDEX($T$5:$AJ$1204,MATCH(777,$S$5:$S$1204,0),2))</f>
        <v/>
      </c>
      <c r="C781" s="10" t="str">
        <f t="array" ref="C781">IF(777&gt;$S$1204,"",INDEX($T$5:$AJ$1204,MATCH(777,$S$5:$S$1204,0),3))</f>
        <v/>
      </c>
      <c r="D781" s="8" t="str">
        <f t="array" ref="D781">IF(777&gt;$S$1204,"",INDEX($T$5:$AJ$1204,MATCH(777,$S$5:$S$1204,0),4))</f>
        <v/>
      </c>
      <c r="E781" s="8" t="str">
        <f t="array" ref="E781">IF(777&gt;$S$1204,"",INDEX($T$5:$AJ$1204,MATCH(777,$S$5:$S$1204,0),5))</f>
        <v/>
      </c>
      <c r="F781" s="8" t="str">
        <f t="array" ref="F781">IF(777&gt;$S$1204,"",INDEX($T$5:$AJ$1204,MATCH(777,$S$5:$S$1204,0),6))</f>
        <v/>
      </c>
      <c r="G781" s="8" t="str">
        <f t="array" ref="G781">IF(777&gt;$S$1204,"",INDEX($T$5:$AJ$1204,MATCH(777,$S$5:$S$1204,0),7))</f>
        <v/>
      </c>
      <c r="H781" s="8" t="str">
        <f t="array" ref="H781">IF(777&gt;$S$1204,"",INDEX($T$5:$AJ$1204,MATCH(777,$S$5:$S$1204,0),8))</f>
        <v/>
      </c>
      <c r="I781" s="8" t="str">
        <f t="array" ref="I781">IF(777&gt;$S$1204,"",INDEX($T$5:$AJ$1204,MATCH(777,$S$5:$S$1204,0),9))</f>
        <v/>
      </c>
      <c r="J781" s="14" t="str">
        <f t="array" ref="J781">IF(777&gt;$S$1204,"",INDEX($T$5:$AJ$1204,MATCH(777,$S$5:$S$1204,0),10))</f>
        <v/>
      </c>
      <c r="K781" s="8" t="str">
        <f t="array" ref="K781">IF(777&gt;$S$1204,"",INDEX($T$5:$AJ$1204,MATCH(777,$S$5:$S$1204,0),11))</f>
        <v/>
      </c>
      <c r="L781" s="8" t="str">
        <f t="array" ref="L781">IF(777&gt;$S$1204,"",INDEX($T$5:$AJ$1204,MATCH(777,$S$5:$S$1204,0),12))</f>
        <v/>
      </c>
      <c r="M781" s="8" t="str">
        <f t="array" ref="M781">IF(777&gt;$S$1204,"",INDEX($T$5:$AJ$1204,MATCH(777,$S$5:$S$1204,0),13))</f>
        <v/>
      </c>
      <c r="N781" s="8" t="str">
        <f t="array" ref="N781">IF(777&gt;$S$1204,"",INDEX($T$5:$AJ$1204,MATCH(777,$S$5:$S$1204,0),14))</f>
        <v/>
      </c>
      <c r="O781" s="15" t="str">
        <f t="array" ref="O781">IF(777&gt;$S$1204,"",INDEX($T$5:$AJ$1204,MATCH(777,$S$5:$S$1204,0),15))</f>
        <v/>
      </c>
      <c r="P781" s="8" t="str">
        <f t="array" ref="P781">IF(777&gt;$S$1204,"",INDEX($T$5:$AJ$1204,MATCH(777,$S$5:$S$1204,0),16))</f>
        <v/>
      </c>
      <c r="Q781" s="8" t="str">
        <f t="array" ref="Q781">IF(777&gt;$S$1204,"",INDEX($T$5:$AJ$1204,MATCH(777,$S$5:$S$1204,0),17))</f>
        <v/>
      </c>
      <c r="R781" s="17"/>
      <c r="S781" s="17">
        <f>S780+IF(M4_Sectores!A185="",0,1)</f>
        <v>0</v>
      </c>
      <c r="T781" s="17" t="str">
        <f>IF(M4_Sectores!A185="","",IF(M4_Sectores!A185="","",M4_Sectores!A185))</f>
        <v/>
      </c>
      <c r="U781" s="17" t="str">
        <f>IF(M4_Sectores!A185="","",IF(M4_Sectores!Q185="","",M4_Sectores!Q185))</f>
        <v/>
      </c>
      <c r="V781" s="17" t="str">
        <f>IF(M4_Sectores!A185="","",IF(M4_Sectores!D185="","",M4_Sectores!D185))</f>
        <v/>
      </c>
      <c r="W781" s="17" t="str">
        <f>IF(M4_Sectores!A185="","",IF(M4_Sectores!B185="","",M4_Sectores!B185))</f>
        <v/>
      </c>
      <c r="X781" s="17" t="str">
        <f>IF(M4_Sectores!A185="","",IF(M4_Sectores!C185="","",M4_Sectores!C185))</f>
        <v/>
      </c>
      <c r="Y781" s="17" t="str">
        <f>IF(M4_Sectores!A185="","",IF(M4_Sectores!E185="","",M4_Sectores!E185))</f>
        <v/>
      </c>
      <c r="Z781" s="17" t="str">
        <f>IF(M4_Sectores!A185="","",IF(M4_Sectores!F185="","",M4_Sectores!F185))</f>
        <v/>
      </c>
      <c r="AA781" s="17" t="str">
        <f>IF(M4_Sectores!A185="","","M4 Sectores")</f>
        <v/>
      </c>
      <c r="AB781" s="17" t="str">
        <f>IF(M4_Sectores!A185="","",IF(M4_Sectores!G185="","",M4_Sectores!G185))</f>
        <v/>
      </c>
      <c r="AC781" s="17" t="str">
        <f>IF(M4_Sectores!A185="","",IF(COUNTIFS(M4_Sectores!$A$9:A185,M4_Sectores!A185,M4_Sectores!$D$9:D185,M4_Sectores!D185,M4_Sectores!$H$9:H185,M4_Sectores!H185)=1,IF(M4_Sectores!L185="","",M4_Sectores!L185),""))</f>
        <v/>
      </c>
      <c r="AD781" s="17" t="str">
        <f>IF(M4_Sectores!A185="","","EE")</f>
        <v/>
      </c>
      <c r="AE781" s="17" t="str">
        <f>IF(M4_Sectores!A185="","",IF(M4_Sectores!N185="","",M4_Sectores!N185))</f>
        <v/>
      </c>
      <c r="AF781" s="17" t="str">
        <f>IF(M4_Sectores!A185="","",IF(M4_Sectores!O185="","",M4_Sectores!O185))</f>
        <v/>
      </c>
      <c r="AG781" s="17" t="str">
        <f>IF(M4_Sectores!A185="","",IF(M4_Sectores!P185="","",M4_Sectores!P185))</f>
        <v/>
      </c>
      <c r="AH781" s="17" t="str">
        <f>IF(M4_Sectores!A185="","",IF(M4_Sectores!H185="","",M4_Sectores!H185))</f>
        <v/>
      </c>
      <c r="AI781" s="17" t="str">
        <f>IF(M4_Sectores!A185="","","M4_Sectores!185")</f>
        <v/>
      </c>
      <c r="AJ781" s="17" t="str">
        <f>IF(M4_Sectores!A185="","",IF(M4_Sectores!L185="","Pendiente de momento o resultado",IF(COUNTIFS(M4_Sectores!$A$9:A185,M4_Sectores!A185,M4_Sectores!$D$9:D185,M4_Sectores!D185,M4_Sectores!$H$9:H185,M4_Sectores!H185)=1,"Total del momento","Sector incluido en total")))</f>
        <v/>
      </c>
    </row>
    <row r="782" spans="1:36" ht="55.5" customHeight="1">
      <c r="A782" s="6" t="str">
        <f t="array" ref="A782">IF(778&gt;$S$1204,"",INDEX($T$5:$AJ$1204,MATCH(778,$S$5:$S$1204,0),1))</f>
        <v/>
      </c>
      <c r="B782" s="8" t="str">
        <f t="array" ref="B782">IF(778&gt;$S$1204,"",INDEX($T$5:$AJ$1204,MATCH(778,$S$5:$S$1204,0),2))</f>
        <v/>
      </c>
      <c r="C782" s="10" t="str">
        <f t="array" ref="C782">IF(778&gt;$S$1204,"",INDEX($T$5:$AJ$1204,MATCH(778,$S$5:$S$1204,0),3))</f>
        <v/>
      </c>
      <c r="D782" s="8" t="str">
        <f t="array" ref="D782">IF(778&gt;$S$1204,"",INDEX($T$5:$AJ$1204,MATCH(778,$S$5:$S$1204,0),4))</f>
        <v/>
      </c>
      <c r="E782" s="8" t="str">
        <f t="array" ref="E782">IF(778&gt;$S$1204,"",INDEX($T$5:$AJ$1204,MATCH(778,$S$5:$S$1204,0),5))</f>
        <v/>
      </c>
      <c r="F782" s="8" t="str">
        <f t="array" ref="F782">IF(778&gt;$S$1204,"",INDEX($T$5:$AJ$1204,MATCH(778,$S$5:$S$1204,0),6))</f>
        <v/>
      </c>
      <c r="G782" s="8" t="str">
        <f t="array" ref="G782">IF(778&gt;$S$1204,"",INDEX($T$5:$AJ$1204,MATCH(778,$S$5:$S$1204,0),7))</f>
        <v/>
      </c>
      <c r="H782" s="8" t="str">
        <f t="array" ref="H782">IF(778&gt;$S$1204,"",INDEX($T$5:$AJ$1204,MATCH(778,$S$5:$S$1204,0),8))</f>
        <v/>
      </c>
      <c r="I782" s="8" t="str">
        <f t="array" ref="I782">IF(778&gt;$S$1204,"",INDEX($T$5:$AJ$1204,MATCH(778,$S$5:$S$1204,0),9))</f>
        <v/>
      </c>
      <c r="J782" s="14" t="str">
        <f t="array" ref="J782">IF(778&gt;$S$1204,"",INDEX($T$5:$AJ$1204,MATCH(778,$S$5:$S$1204,0),10))</f>
        <v/>
      </c>
      <c r="K782" s="8" t="str">
        <f t="array" ref="K782">IF(778&gt;$S$1204,"",INDEX($T$5:$AJ$1204,MATCH(778,$S$5:$S$1204,0),11))</f>
        <v/>
      </c>
      <c r="L782" s="8" t="str">
        <f t="array" ref="L782">IF(778&gt;$S$1204,"",INDEX($T$5:$AJ$1204,MATCH(778,$S$5:$S$1204,0),12))</f>
        <v/>
      </c>
      <c r="M782" s="8" t="str">
        <f t="array" ref="M782">IF(778&gt;$S$1204,"",INDEX($T$5:$AJ$1204,MATCH(778,$S$5:$S$1204,0),13))</f>
        <v/>
      </c>
      <c r="N782" s="8" t="str">
        <f t="array" ref="N782">IF(778&gt;$S$1204,"",INDEX($T$5:$AJ$1204,MATCH(778,$S$5:$S$1204,0),14))</f>
        <v/>
      </c>
      <c r="O782" s="15" t="str">
        <f t="array" ref="O782">IF(778&gt;$S$1204,"",INDEX($T$5:$AJ$1204,MATCH(778,$S$5:$S$1204,0),15))</f>
        <v/>
      </c>
      <c r="P782" s="8" t="str">
        <f t="array" ref="P782">IF(778&gt;$S$1204,"",INDEX($T$5:$AJ$1204,MATCH(778,$S$5:$S$1204,0),16))</f>
        <v/>
      </c>
      <c r="Q782" s="8" t="str">
        <f t="array" ref="Q782">IF(778&gt;$S$1204,"",INDEX($T$5:$AJ$1204,MATCH(778,$S$5:$S$1204,0),17))</f>
        <v/>
      </c>
      <c r="R782" s="17"/>
      <c r="S782" s="17">
        <f>S781+IF(M4_Sectores!A186="",0,1)</f>
        <v>0</v>
      </c>
      <c r="T782" s="17" t="str">
        <f>IF(M4_Sectores!A186="","",IF(M4_Sectores!A186="","",M4_Sectores!A186))</f>
        <v/>
      </c>
      <c r="U782" s="17" t="str">
        <f>IF(M4_Sectores!A186="","",IF(M4_Sectores!Q186="","",M4_Sectores!Q186))</f>
        <v/>
      </c>
      <c r="V782" s="17" t="str">
        <f>IF(M4_Sectores!A186="","",IF(M4_Sectores!D186="","",M4_Sectores!D186))</f>
        <v/>
      </c>
      <c r="W782" s="17" t="str">
        <f>IF(M4_Sectores!A186="","",IF(M4_Sectores!B186="","",M4_Sectores!B186))</f>
        <v/>
      </c>
      <c r="X782" s="17" t="str">
        <f>IF(M4_Sectores!A186="","",IF(M4_Sectores!C186="","",M4_Sectores!C186))</f>
        <v/>
      </c>
      <c r="Y782" s="17" t="str">
        <f>IF(M4_Sectores!A186="","",IF(M4_Sectores!E186="","",M4_Sectores!E186))</f>
        <v/>
      </c>
      <c r="Z782" s="17" t="str">
        <f>IF(M4_Sectores!A186="","",IF(M4_Sectores!F186="","",M4_Sectores!F186))</f>
        <v/>
      </c>
      <c r="AA782" s="17" t="str">
        <f>IF(M4_Sectores!A186="","","M4 Sectores")</f>
        <v/>
      </c>
      <c r="AB782" s="17" t="str">
        <f>IF(M4_Sectores!A186="","",IF(M4_Sectores!G186="","",M4_Sectores!G186))</f>
        <v/>
      </c>
      <c r="AC782" s="17" t="str">
        <f>IF(M4_Sectores!A186="","",IF(COUNTIFS(M4_Sectores!$A$9:A186,M4_Sectores!A186,M4_Sectores!$D$9:D186,M4_Sectores!D186,M4_Sectores!$H$9:H186,M4_Sectores!H186)=1,IF(M4_Sectores!L186="","",M4_Sectores!L186),""))</f>
        <v/>
      </c>
      <c r="AD782" s="17" t="str">
        <f>IF(M4_Sectores!A186="","","EE")</f>
        <v/>
      </c>
      <c r="AE782" s="17" t="str">
        <f>IF(M4_Sectores!A186="","",IF(M4_Sectores!N186="","",M4_Sectores!N186))</f>
        <v/>
      </c>
      <c r="AF782" s="17" t="str">
        <f>IF(M4_Sectores!A186="","",IF(M4_Sectores!O186="","",M4_Sectores!O186))</f>
        <v/>
      </c>
      <c r="AG782" s="17" t="str">
        <f>IF(M4_Sectores!A186="","",IF(M4_Sectores!P186="","",M4_Sectores!P186))</f>
        <v/>
      </c>
      <c r="AH782" s="17" t="str">
        <f>IF(M4_Sectores!A186="","",IF(M4_Sectores!H186="","",M4_Sectores!H186))</f>
        <v/>
      </c>
      <c r="AI782" s="17" t="str">
        <f>IF(M4_Sectores!A186="","","M4_Sectores!186")</f>
        <v/>
      </c>
      <c r="AJ782" s="17" t="str">
        <f>IF(M4_Sectores!A186="","",IF(M4_Sectores!L186="","Pendiente de momento o resultado",IF(COUNTIFS(M4_Sectores!$A$9:A186,M4_Sectores!A186,M4_Sectores!$D$9:D186,M4_Sectores!D186,M4_Sectores!$H$9:H186,M4_Sectores!H186)=1,"Total del momento","Sector incluido en total")))</f>
        <v/>
      </c>
    </row>
    <row r="783" spans="1:36" ht="55.5" customHeight="1">
      <c r="A783" s="6" t="str">
        <f t="array" ref="A783">IF(779&gt;$S$1204,"",INDEX($T$5:$AJ$1204,MATCH(779,$S$5:$S$1204,0),1))</f>
        <v/>
      </c>
      <c r="B783" s="8" t="str">
        <f t="array" ref="B783">IF(779&gt;$S$1204,"",INDEX($T$5:$AJ$1204,MATCH(779,$S$5:$S$1204,0),2))</f>
        <v/>
      </c>
      <c r="C783" s="10" t="str">
        <f t="array" ref="C783">IF(779&gt;$S$1204,"",INDEX($T$5:$AJ$1204,MATCH(779,$S$5:$S$1204,0),3))</f>
        <v/>
      </c>
      <c r="D783" s="8" t="str">
        <f t="array" ref="D783">IF(779&gt;$S$1204,"",INDEX($T$5:$AJ$1204,MATCH(779,$S$5:$S$1204,0),4))</f>
        <v/>
      </c>
      <c r="E783" s="8" t="str">
        <f t="array" ref="E783">IF(779&gt;$S$1204,"",INDEX($T$5:$AJ$1204,MATCH(779,$S$5:$S$1204,0),5))</f>
        <v/>
      </c>
      <c r="F783" s="8" t="str">
        <f t="array" ref="F783">IF(779&gt;$S$1204,"",INDEX($T$5:$AJ$1204,MATCH(779,$S$5:$S$1204,0),6))</f>
        <v/>
      </c>
      <c r="G783" s="8" t="str">
        <f t="array" ref="G783">IF(779&gt;$S$1204,"",INDEX($T$5:$AJ$1204,MATCH(779,$S$5:$S$1204,0),7))</f>
        <v/>
      </c>
      <c r="H783" s="8" t="str">
        <f t="array" ref="H783">IF(779&gt;$S$1204,"",INDEX($T$5:$AJ$1204,MATCH(779,$S$5:$S$1204,0),8))</f>
        <v/>
      </c>
      <c r="I783" s="8" t="str">
        <f t="array" ref="I783">IF(779&gt;$S$1204,"",INDEX($T$5:$AJ$1204,MATCH(779,$S$5:$S$1204,0),9))</f>
        <v/>
      </c>
      <c r="J783" s="14" t="str">
        <f t="array" ref="J783">IF(779&gt;$S$1204,"",INDEX($T$5:$AJ$1204,MATCH(779,$S$5:$S$1204,0),10))</f>
        <v/>
      </c>
      <c r="K783" s="8" t="str">
        <f t="array" ref="K783">IF(779&gt;$S$1204,"",INDEX($T$5:$AJ$1204,MATCH(779,$S$5:$S$1204,0),11))</f>
        <v/>
      </c>
      <c r="L783" s="8" t="str">
        <f t="array" ref="L783">IF(779&gt;$S$1204,"",INDEX($T$5:$AJ$1204,MATCH(779,$S$5:$S$1204,0),12))</f>
        <v/>
      </c>
      <c r="M783" s="8" t="str">
        <f t="array" ref="M783">IF(779&gt;$S$1204,"",INDEX($T$5:$AJ$1204,MATCH(779,$S$5:$S$1204,0),13))</f>
        <v/>
      </c>
      <c r="N783" s="8" t="str">
        <f t="array" ref="N783">IF(779&gt;$S$1204,"",INDEX($T$5:$AJ$1204,MATCH(779,$S$5:$S$1204,0),14))</f>
        <v/>
      </c>
      <c r="O783" s="15" t="str">
        <f t="array" ref="O783">IF(779&gt;$S$1204,"",INDEX($T$5:$AJ$1204,MATCH(779,$S$5:$S$1204,0),15))</f>
        <v/>
      </c>
      <c r="P783" s="8" t="str">
        <f t="array" ref="P783">IF(779&gt;$S$1204,"",INDEX($T$5:$AJ$1204,MATCH(779,$S$5:$S$1204,0),16))</f>
        <v/>
      </c>
      <c r="Q783" s="8" t="str">
        <f t="array" ref="Q783">IF(779&gt;$S$1204,"",INDEX($T$5:$AJ$1204,MATCH(779,$S$5:$S$1204,0),17))</f>
        <v/>
      </c>
      <c r="R783" s="17"/>
      <c r="S783" s="17">
        <f>S782+IF(M4_Sectores!A187="",0,1)</f>
        <v>0</v>
      </c>
      <c r="T783" s="17" t="str">
        <f>IF(M4_Sectores!A187="","",IF(M4_Sectores!A187="","",M4_Sectores!A187))</f>
        <v/>
      </c>
      <c r="U783" s="17" t="str">
        <f>IF(M4_Sectores!A187="","",IF(M4_Sectores!Q187="","",M4_Sectores!Q187))</f>
        <v/>
      </c>
      <c r="V783" s="17" t="str">
        <f>IF(M4_Sectores!A187="","",IF(M4_Sectores!D187="","",M4_Sectores!D187))</f>
        <v/>
      </c>
      <c r="W783" s="17" t="str">
        <f>IF(M4_Sectores!A187="","",IF(M4_Sectores!B187="","",M4_Sectores!B187))</f>
        <v/>
      </c>
      <c r="X783" s="17" t="str">
        <f>IF(M4_Sectores!A187="","",IF(M4_Sectores!C187="","",M4_Sectores!C187))</f>
        <v/>
      </c>
      <c r="Y783" s="17" t="str">
        <f>IF(M4_Sectores!A187="","",IF(M4_Sectores!E187="","",M4_Sectores!E187))</f>
        <v/>
      </c>
      <c r="Z783" s="17" t="str">
        <f>IF(M4_Sectores!A187="","",IF(M4_Sectores!F187="","",M4_Sectores!F187))</f>
        <v/>
      </c>
      <c r="AA783" s="17" t="str">
        <f>IF(M4_Sectores!A187="","","M4 Sectores")</f>
        <v/>
      </c>
      <c r="AB783" s="17" t="str">
        <f>IF(M4_Sectores!A187="","",IF(M4_Sectores!G187="","",M4_Sectores!G187))</f>
        <v/>
      </c>
      <c r="AC783" s="17" t="str">
        <f>IF(M4_Sectores!A187="","",IF(COUNTIFS(M4_Sectores!$A$9:A187,M4_Sectores!A187,M4_Sectores!$D$9:D187,M4_Sectores!D187,M4_Sectores!$H$9:H187,M4_Sectores!H187)=1,IF(M4_Sectores!L187="","",M4_Sectores!L187),""))</f>
        <v/>
      </c>
      <c r="AD783" s="17" t="str">
        <f>IF(M4_Sectores!A187="","","EE")</f>
        <v/>
      </c>
      <c r="AE783" s="17" t="str">
        <f>IF(M4_Sectores!A187="","",IF(M4_Sectores!N187="","",M4_Sectores!N187))</f>
        <v/>
      </c>
      <c r="AF783" s="17" t="str">
        <f>IF(M4_Sectores!A187="","",IF(M4_Sectores!O187="","",M4_Sectores!O187))</f>
        <v/>
      </c>
      <c r="AG783" s="17" t="str">
        <f>IF(M4_Sectores!A187="","",IF(M4_Sectores!P187="","",M4_Sectores!P187))</f>
        <v/>
      </c>
      <c r="AH783" s="17" t="str">
        <f>IF(M4_Sectores!A187="","",IF(M4_Sectores!H187="","",M4_Sectores!H187))</f>
        <v/>
      </c>
      <c r="AI783" s="17" t="str">
        <f>IF(M4_Sectores!A187="","","M4_Sectores!187")</f>
        <v/>
      </c>
      <c r="AJ783" s="17" t="str">
        <f>IF(M4_Sectores!A187="","",IF(M4_Sectores!L187="","Pendiente de momento o resultado",IF(COUNTIFS(M4_Sectores!$A$9:A187,M4_Sectores!A187,M4_Sectores!$D$9:D187,M4_Sectores!D187,M4_Sectores!$H$9:H187,M4_Sectores!H187)=1,"Total del momento","Sector incluido en total")))</f>
        <v/>
      </c>
    </row>
    <row r="784" spans="1:36" ht="55.5" customHeight="1">
      <c r="A784" s="6" t="str">
        <f t="array" ref="A784">IF(780&gt;$S$1204,"",INDEX($T$5:$AJ$1204,MATCH(780,$S$5:$S$1204,0),1))</f>
        <v/>
      </c>
      <c r="B784" s="8" t="str">
        <f t="array" ref="B784">IF(780&gt;$S$1204,"",INDEX($T$5:$AJ$1204,MATCH(780,$S$5:$S$1204,0),2))</f>
        <v/>
      </c>
      <c r="C784" s="10" t="str">
        <f t="array" ref="C784">IF(780&gt;$S$1204,"",INDEX($T$5:$AJ$1204,MATCH(780,$S$5:$S$1204,0),3))</f>
        <v/>
      </c>
      <c r="D784" s="8" t="str">
        <f t="array" ref="D784">IF(780&gt;$S$1204,"",INDEX($T$5:$AJ$1204,MATCH(780,$S$5:$S$1204,0),4))</f>
        <v/>
      </c>
      <c r="E784" s="8" t="str">
        <f t="array" ref="E784">IF(780&gt;$S$1204,"",INDEX($T$5:$AJ$1204,MATCH(780,$S$5:$S$1204,0),5))</f>
        <v/>
      </c>
      <c r="F784" s="8" t="str">
        <f t="array" ref="F784">IF(780&gt;$S$1204,"",INDEX($T$5:$AJ$1204,MATCH(780,$S$5:$S$1204,0),6))</f>
        <v/>
      </c>
      <c r="G784" s="8" t="str">
        <f t="array" ref="G784">IF(780&gt;$S$1204,"",INDEX($T$5:$AJ$1204,MATCH(780,$S$5:$S$1204,0),7))</f>
        <v/>
      </c>
      <c r="H784" s="8" t="str">
        <f t="array" ref="H784">IF(780&gt;$S$1204,"",INDEX($T$5:$AJ$1204,MATCH(780,$S$5:$S$1204,0),8))</f>
        <v/>
      </c>
      <c r="I784" s="8" t="str">
        <f t="array" ref="I784">IF(780&gt;$S$1204,"",INDEX($T$5:$AJ$1204,MATCH(780,$S$5:$S$1204,0),9))</f>
        <v/>
      </c>
      <c r="J784" s="14" t="str">
        <f t="array" ref="J784">IF(780&gt;$S$1204,"",INDEX($T$5:$AJ$1204,MATCH(780,$S$5:$S$1204,0),10))</f>
        <v/>
      </c>
      <c r="K784" s="8" t="str">
        <f t="array" ref="K784">IF(780&gt;$S$1204,"",INDEX($T$5:$AJ$1204,MATCH(780,$S$5:$S$1204,0),11))</f>
        <v/>
      </c>
      <c r="L784" s="8" t="str">
        <f t="array" ref="L784">IF(780&gt;$S$1204,"",INDEX($T$5:$AJ$1204,MATCH(780,$S$5:$S$1204,0),12))</f>
        <v/>
      </c>
      <c r="M784" s="8" t="str">
        <f t="array" ref="M784">IF(780&gt;$S$1204,"",INDEX($T$5:$AJ$1204,MATCH(780,$S$5:$S$1204,0),13))</f>
        <v/>
      </c>
      <c r="N784" s="8" t="str">
        <f t="array" ref="N784">IF(780&gt;$S$1204,"",INDEX($T$5:$AJ$1204,MATCH(780,$S$5:$S$1204,0),14))</f>
        <v/>
      </c>
      <c r="O784" s="15" t="str">
        <f t="array" ref="O784">IF(780&gt;$S$1204,"",INDEX($T$5:$AJ$1204,MATCH(780,$S$5:$S$1204,0),15))</f>
        <v/>
      </c>
      <c r="P784" s="8" t="str">
        <f t="array" ref="P784">IF(780&gt;$S$1204,"",INDEX($T$5:$AJ$1204,MATCH(780,$S$5:$S$1204,0),16))</f>
        <v/>
      </c>
      <c r="Q784" s="8" t="str">
        <f t="array" ref="Q784">IF(780&gt;$S$1204,"",INDEX($T$5:$AJ$1204,MATCH(780,$S$5:$S$1204,0),17))</f>
        <v/>
      </c>
      <c r="R784" s="17"/>
      <c r="S784" s="17">
        <f>S783+IF(M4_Sectores!A188="",0,1)</f>
        <v>0</v>
      </c>
      <c r="T784" s="17" t="str">
        <f>IF(M4_Sectores!A188="","",IF(M4_Sectores!A188="","",M4_Sectores!A188))</f>
        <v/>
      </c>
      <c r="U784" s="17" t="str">
        <f>IF(M4_Sectores!A188="","",IF(M4_Sectores!Q188="","",M4_Sectores!Q188))</f>
        <v/>
      </c>
      <c r="V784" s="17" t="str">
        <f>IF(M4_Sectores!A188="","",IF(M4_Sectores!D188="","",M4_Sectores!D188))</f>
        <v/>
      </c>
      <c r="W784" s="17" t="str">
        <f>IF(M4_Sectores!A188="","",IF(M4_Sectores!B188="","",M4_Sectores!B188))</f>
        <v/>
      </c>
      <c r="X784" s="17" t="str">
        <f>IF(M4_Sectores!A188="","",IF(M4_Sectores!C188="","",M4_Sectores!C188))</f>
        <v/>
      </c>
      <c r="Y784" s="17" t="str">
        <f>IF(M4_Sectores!A188="","",IF(M4_Sectores!E188="","",M4_Sectores!E188))</f>
        <v/>
      </c>
      <c r="Z784" s="17" t="str">
        <f>IF(M4_Sectores!A188="","",IF(M4_Sectores!F188="","",M4_Sectores!F188))</f>
        <v/>
      </c>
      <c r="AA784" s="17" t="str">
        <f>IF(M4_Sectores!A188="","","M4 Sectores")</f>
        <v/>
      </c>
      <c r="AB784" s="17" t="str">
        <f>IF(M4_Sectores!A188="","",IF(M4_Sectores!G188="","",M4_Sectores!G188))</f>
        <v/>
      </c>
      <c r="AC784" s="17" t="str">
        <f>IF(M4_Sectores!A188="","",IF(COUNTIFS(M4_Sectores!$A$9:A188,M4_Sectores!A188,M4_Sectores!$D$9:D188,M4_Sectores!D188,M4_Sectores!$H$9:H188,M4_Sectores!H188)=1,IF(M4_Sectores!L188="","",M4_Sectores!L188),""))</f>
        <v/>
      </c>
      <c r="AD784" s="17" t="str">
        <f>IF(M4_Sectores!A188="","","EE")</f>
        <v/>
      </c>
      <c r="AE784" s="17" t="str">
        <f>IF(M4_Sectores!A188="","",IF(M4_Sectores!N188="","",M4_Sectores!N188))</f>
        <v/>
      </c>
      <c r="AF784" s="17" t="str">
        <f>IF(M4_Sectores!A188="","",IF(M4_Sectores!O188="","",M4_Sectores!O188))</f>
        <v/>
      </c>
      <c r="AG784" s="17" t="str">
        <f>IF(M4_Sectores!A188="","",IF(M4_Sectores!P188="","",M4_Sectores!P188))</f>
        <v/>
      </c>
      <c r="AH784" s="17" t="str">
        <f>IF(M4_Sectores!A188="","",IF(M4_Sectores!H188="","",M4_Sectores!H188))</f>
        <v/>
      </c>
      <c r="AI784" s="17" t="str">
        <f>IF(M4_Sectores!A188="","","M4_Sectores!188")</f>
        <v/>
      </c>
      <c r="AJ784" s="17" t="str">
        <f>IF(M4_Sectores!A188="","",IF(M4_Sectores!L188="","Pendiente de momento o resultado",IF(COUNTIFS(M4_Sectores!$A$9:A188,M4_Sectores!A188,M4_Sectores!$D$9:D188,M4_Sectores!D188,M4_Sectores!$H$9:H188,M4_Sectores!H188)=1,"Total del momento","Sector incluido en total")))</f>
        <v/>
      </c>
    </row>
    <row r="785" spans="1:36" ht="55.5" customHeight="1">
      <c r="A785" s="6" t="str">
        <f t="array" ref="A785">IF(781&gt;$S$1204,"",INDEX($T$5:$AJ$1204,MATCH(781,$S$5:$S$1204,0),1))</f>
        <v/>
      </c>
      <c r="B785" s="8" t="str">
        <f t="array" ref="B785">IF(781&gt;$S$1204,"",INDEX($T$5:$AJ$1204,MATCH(781,$S$5:$S$1204,0),2))</f>
        <v/>
      </c>
      <c r="C785" s="10" t="str">
        <f t="array" ref="C785">IF(781&gt;$S$1204,"",INDEX($T$5:$AJ$1204,MATCH(781,$S$5:$S$1204,0),3))</f>
        <v/>
      </c>
      <c r="D785" s="8" t="str">
        <f t="array" ref="D785">IF(781&gt;$S$1204,"",INDEX($T$5:$AJ$1204,MATCH(781,$S$5:$S$1204,0),4))</f>
        <v/>
      </c>
      <c r="E785" s="8" t="str">
        <f t="array" ref="E785">IF(781&gt;$S$1204,"",INDEX($T$5:$AJ$1204,MATCH(781,$S$5:$S$1204,0),5))</f>
        <v/>
      </c>
      <c r="F785" s="8" t="str">
        <f t="array" ref="F785">IF(781&gt;$S$1204,"",INDEX($T$5:$AJ$1204,MATCH(781,$S$5:$S$1204,0),6))</f>
        <v/>
      </c>
      <c r="G785" s="8" t="str">
        <f t="array" ref="G785">IF(781&gt;$S$1204,"",INDEX($T$5:$AJ$1204,MATCH(781,$S$5:$S$1204,0),7))</f>
        <v/>
      </c>
      <c r="H785" s="8" t="str">
        <f t="array" ref="H785">IF(781&gt;$S$1204,"",INDEX($T$5:$AJ$1204,MATCH(781,$S$5:$S$1204,0),8))</f>
        <v/>
      </c>
      <c r="I785" s="8" t="str">
        <f t="array" ref="I785">IF(781&gt;$S$1204,"",INDEX($T$5:$AJ$1204,MATCH(781,$S$5:$S$1204,0),9))</f>
        <v/>
      </c>
      <c r="J785" s="14" t="str">
        <f t="array" ref="J785">IF(781&gt;$S$1204,"",INDEX($T$5:$AJ$1204,MATCH(781,$S$5:$S$1204,0),10))</f>
        <v/>
      </c>
      <c r="K785" s="8" t="str">
        <f t="array" ref="K785">IF(781&gt;$S$1204,"",INDEX($T$5:$AJ$1204,MATCH(781,$S$5:$S$1204,0),11))</f>
        <v/>
      </c>
      <c r="L785" s="8" t="str">
        <f t="array" ref="L785">IF(781&gt;$S$1204,"",INDEX($T$5:$AJ$1204,MATCH(781,$S$5:$S$1204,0),12))</f>
        <v/>
      </c>
      <c r="M785" s="8" t="str">
        <f t="array" ref="M785">IF(781&gt;$S$1204,"",INDEX($T$5:$AJ$1204,MATCH(781,$S$5:$S$1204,0),13))</f>
        <v/>
      </c>
      <c r="N785" s="8" t="str">
        <f t="array" ref="N785">IF(781&gt;$S$1204,"",INDEX($T$5:$AJ$1204,MATCH(781,$S$5:$S$1204,0),14))</f>
        <v/>
      </c>
      <c r="O785" s="15" t="str">
        <f t="array" ref="O785">IF(781&gt;$S$1204,"",INDEX($T$5:$AJ$1204,MATCH(781,$S$5:$S$1204,0),15))</f>
        <v/>
      </c>
      <c r="P785" s="8" t="str">
        <f t="array" ref="P785">IF(781&gt;$S$1204,"",INDEX($T$5:$AJ$1204,MATCH(781,$S$5:$S$1204,0),16))</f>
        <v/>
      </c>
      <c r="Q785" s="8" t="str">
        <f t="array" ref="Q785">IF(781&gt;$S$1204,"",INDEX($T$5:$AJ$1204,MATCH(781,$S$5:$S$1204,0),17))</f>
        <v/>
      </c>
      <c r="R785" s="17"/>
      <c r="S785" s="17">
        <f>S784+IF(M4_Sectores!A189="",0,1)</f>
        <v>0</v>
      </c>
      <c r="T785" s="17" t="str">
        <f>IF(M4_Sectores!A189="","",IF(M4_Sectores!A189="","",M4_Sectores!A189))</f>
        <v/>
      </c>
      <c r="U785" s="17" t="str">
        <f>IF(M4_Sectores!A189="","",IF(M4_Sectores!Q189="","",M4_Sectores!Q189))</f>
        <v/>
      </c>
      <c r="V785" s="17" t="str">
        <f>IF(M4_Sectores!A189="","",IF(M4_Sectores!D189="","",M4_Sectores!D189))</f>
        <v/>
      </c>
      <c r="W785" s="17" t="str">
        <f>IF(M4_Sectores!A189="","",IF(M4_Sectores!B189="","",M4_Sectores!B189))</f>
        <v/>
      </c>
      <c r="X785" s="17" t="str">
        <f>IF(M4_Sectores!A189="","",IF(M4_Sectores!C189="","",M4_Sectores!C189))</f>
        <v/>
      </c>
      <c r="Y785" s="17" t="str">
        <f>IF(M4_Sectores!A189="","",IF(M4_Sectores!E189="","",M4_Sectores!E189))</f>
        <v/>
      </c>
      <c r="Z785" s="17" t="str">
        <f>IF(M4_Sectores!A189="","",IF(M4_Sectores!F189="","",M4_Sectores!F189))</f>
        <v/>
      </c>
      <c r="AA785" s="17" t="str">
        <f>IF(M4_Sectores!A189="","","M4 Sectores")</f>
        <v/>
      </c>
      <c r="AB785" s="17" t="str">
        <f>IF(M4_Sectores!A189="","",IF(M4_Sectores!G189="","",M4_Sectores!G189))</f>
        <v/>
      </c>
      <c r="AC785" s="17" t="str">
        <f>IF(M4_Sectores!A189="","",IF(COUNTIFS(M4_Sectores!$A$9:A189,M4_Sectores!A189,M4_Sectores!$D$9:D189,M4_Sectores!D189,M4_Sectores!$H$9:H189,M4_Sectores!H189)=1,IF(M4_Sectores!L189="","",M4_Sectores!L189),""))</f>
        <v/>
      </c>
      <c r="AD785" s="17" t="str">
        <f>IF(M4_Sectores!A189="","","EE")</f>
        <v/>
      </c>
      <c r="AE785" s="17" t="str">
        <f>IF(M4_Sectores!A189="","",IF(M4_Sectores!N189="","",M4_Sectores!N189))</f>
        <v/>
      </c>
      <c r="AF785" s="17" t="str">
        <f>IF(M4_Sectores!A189="","",IF(M4_Sectores!O189="","",M4_Sectores!O189))</f>
        <v/>
      </c>
      <c r="AG785" s="17" t="str">
        <f>IF(M4_Sectores!A189="","",IF(M4_Sectores!P189="","",M4_Sectores!P189))</f>
        <v/>
      </c>
      <c r="AH785" s="17" t="str">
        <f>IF(M4_Sectores!A189="","",IF(M4_Sectores!H189="","",M4_Sectores!H189))</f>
        <v/>
      </c>
      <c r="AI785" s="17" t="str">
        <f>IF(M4_Sectores!A189="","","M4_Sectores!189")</f>
        <v/>
      </c>
      <c r="AJ785" s="17" t="str">
        <f>IF(M4_Sectores!A189="","",IF(M4_Sectores!L189="","Pendiente de momento o resultado",IF(COUNTIFS(M4_Sectores!$A$9:A189,M4_Sectores!A189,M4_Sectores!$D$9:D189,M4_Sectores!D189,M4_Sectores!$H$9:H189,M4_Sectores!H189)=1,"Total del momento","Sector incluido en total")))</f>
        <v/>
      </c>
    </row>
    <row r="786" spans="1:36" ht="55.5" customHeight="1">
      <c r="A786" s="6" t="str">
        <f t="array" ref="A786">IF(782&gt;$S$1204,"",INDEX($T$5:$AJ$1204,MATCH(782,$S$5:$S$1204,0),1))</f>
        <v/>
      </c>
      <c r="B786" s="8" t="str">
        <f t="array" ref="B786">IF(782&gt;$S$1204,"",INDEX($T$5:$AJ$1204,MATCH(782,$S$5:$S$1204,0),2))</f>
        <v/>
      </c>
      <c r="C786" s="10" t="str">
        <f t="array" ref="C786">IF(782&gt;$S$1204,"",INDEX($T$5:$AJ$1204,MATCH(782,$S$5:$S$1204,0),3))</f>
        <v/>
      </c>
      <c r="D786" s="8" t="str">
        <f t="array" ref="D786">IF(782&gt;$S$1204,"",INDEX($T$5:$AJ$1204,MATCH(782,$S$5:$S$1204,0),4))</f>
        <v/>
      </c>
      <c r="E786" s="8" t="str">
        <f t="array" ref="E786">IF(782&gt;$S$1204,"",INDEX($T$5:$AJ$1204,MATCH(782,$S$5:$S$1204,0),5))</f>
        <v/>
      </c>
      <c r="F786" s="8" t="str">
        <f t="array" ref="F786">IF(782&gt;$S$1204,"",INDEX($T$5:$AJ$1204,MATCH(782,$S$5:$S$1204,0),6))</f>
        <v/>
      </c>
      <c r="G786" s="8" t="str">
        <f t="array" ref="G786">IF(782&gt;$S$1204,"",INDEX($T$5:$AJ$1204,MATCH(782,$S$5:$S$1204,0),7))</f>
        <v/>
      </c>
      <c r="H786" s="8" t="str">
        <f t="array" ref="H786">IF(782&gt;$S$1204,"",INDEX($T$5:$AJ$1204,MATCH(782,$S$5:$S$1204,0),8))</f>
        <v/>
      </c>
      <c r="I786" s="8" t="str">
        <f t="array" ref="I786">IF(782&gt;$S$1204,"",INDEX($T$5:$AJ$1204,MATCH(782,$S$5:$S$1204,0),9))</f>
        <v/>
      </c>
      <c r="J786" s="14" t="str">
        <f t="array" ref="J786">IF(782&gt;$S$1204,"",INDEX($T$5:$AJ$1204,MATCH(782,$S$5:$S$1204,0),10))</f>
        <v/>
      </c>
      <c r="K786" s="8" t="str">
        <f t="array" ref="K786">IF(782&gt;$S$1204,"",INDEX($T$5:$AJ$1204,MATCH(782,$S$5:$S$1204,0),11))</f>
        <v/>
      </c>
      <c r="L786" s="8" t="str">
        <f t="array" ref="L786">IF(782&gt;$S$1204,"",INDEX($T$5:$AJ$1204,MATCH(782,$S$5:$S$1204,0),12))</f>
        <v/>
      </c>
      <c r="M786" s="8" t="str">
        <f t="array" ref="M786">IF(782&gt;$S$1204,"",INDEX($T$5:$AJ$1204,MATCH(782,$S$5:$S$1204,0),13))</f>
        <v/>
      </c>
      <c r="N786" s="8" t="str">
        <f t="array" ref="N786">IF(782&gt;$S$1204,"",INDEX($T$5:$AJ$1204,MATCH(782,$S$5:$S$1204,0),14))</f>
        <v/>
      </c>
      <c r="O786" s="15" t="str">
        <f t="array" ref="O786">IF(782&gt;$S$1204,"",INDEX($T$5:$AJ$1204,MATCH(782,$S$5:$S$1204,0),15))</f>
        <v/>
      </c>
      <c r="P786" s="8" t="str">
        <f t="array" ref="P786">IF(782&gt;$S$1204,"",INDEX($T$5:$AJ$1204,MATCH(782,$S$5:$S$1204,0),16))</f>
        <v/>
      </c>
      <c r="Q786" s="8" t="str">
        <f t="array" ref="Q786">IF(782&gt;$S$1204,"",INDEX($T$5:$AJ$1204,MATCH(782,$S$5:$S$1204,0),17))</f>
        <v/>
      </c>
      <c r="R786" s="17"/>
      <c r="S786" s="17">
        <f>S785+IF(M4_Sectores!A190="",0,1)</f>
        <v>0</v>
      </c>
      <c r="T786" s="17" t="str">
        <f>IF(M4_Sectores!A190="","",IF(M4_Sectores!A190="","",M4_Sectores!A190))</f>
        <v/>
      </c>
      <c r="U786" s="17" t="str">
        <f>IF(M4_Sectores!A190="","",IF(M4_Sectores!Q190="","",M4_Sectores!Q190))</f>
        <v/>
      </c>
      <c r="V786" s="17" t="str">
        <f>IF(M4_Sectores!A190="","",IF(M4_Sectores!D190="","",M4_Sectores!D190))</f>
        <v/>
      </c>
      <c r="W786" s="17" t="str">
        <f>IF(M4_Sectores!A190="","",IF(M4_Sectores!B190="","",M4_Sectores!B190))</f>
        <v/>
      </c>
      <c r="X786" s="17" t="str">
        <f>IF(M4_Sectores!A190="","",IF(M4_Sectores!C190="","",M4_Sectores!C190))</f>
        <v/>
      </c>
      <c r="Y786" s="17" t="str">
        <f>IF(M4_Sectores!A190="","",IF(M4_Sectores!E190="","",M4_Sectores!E190))</f>
        <v/>
      </c>
      <c r="Z786" s="17" t="str">
        <f>IF(M4_Sectores!A190="","",IF(M4_Sectores!F190="","",M4_Sectores!F190))</f>
        <v/>
      </c>
      <c r="AA786" s="17" t="str">
        <f>IF(M4_Sectores!A190="","","M4 Sectores")</f>
        <v/>
      </c>
      <c r="AB786" s="17" t="str">
        <f>IF(M4_Sectores!A190="","",IF(M4_Sectores!G190="","",M4_Sectores!G190))</f>
        <v/>
      </c>
      <c r="AC786" s="17" t="str">
        <f>IF(M4_Sectores!A190="","",IF(COUNTIFS(M4_Sectores!$A$9:A190,M4_Sectores!A190,M4_Sectores!$D$9:D190,M4_Sectores!D190,M4_Sectores!$H$9:H190,M4_Sectores!H190)=1,IF(M4_Sectores!L190="","",M4_Sectores!L190),""))</f>
        <v/>
      </c>
      <c r="AD786" s="17" t="str">
        <f>IF(M4_Sectores!A190="","","EE")</f>
        <v/>
      </c>
      <c r="AE786" s="17" t="str">
        <f>IF(M4_Sectores!A190="","",IF(M4_Sectores!N190="","",M4_Sectores!N190))</f>
        <v/>
      </c>
      <c r="AF786" s="17" t="str">
        <f>IF(M4_Sectores!A190="","",IF(M4_Sectores!O190="","",M4_Sectores!O190))</f>
        <v/>
      </c>
      <c r="AG786" s="17" t="str">
        <f>IF(M4_Sectores!A190="","",IF(M4_Sectores!P190="","",M4_Sectores!P190))</f>
        <v/>
      </c>
      <c r="AH786" s="17" t="str">
        <f>IF(M4_Sectores!A190="","",IF(M4_Sectores!H190="","",M4_Sectores!H190))</f>
        <v/>
      </c>
      <c r="AI786" s="17" t="str">
        <f>IF(M4_Sectores!A190="","","M4_Sectores!190")</f>
        <v/>
      </c>
      <c r="AJ786" s="17" t="str">
        <f>IF(M4_Sectores!A190="","",IF(M4_Sectores!L190="","Pendiente de momento o resultado",IF(COUNTIFS(M4_Sectores!$A$9:A190,M4_Sectores!A190,M4_Sectores!$D$9:D190,M4_Sectores!D190,M4_Sectores!$H$9:H190,M4_Sectores!H190)=1,"Total del momento","Sector incluido en total")))</f>
        <v/>
      </c>
    </row>
    <row r="787" spans="1:36" ht="55.5" customHeight="1">
      <c r="A787" s="6" t="str">
        <f t="array" ref="A787">IF(783&gt;$S$1204,"",INDEX($T$5:$AJ$1204,MATCH(783,$S$5:$S$1204,0),1))</f>
        <v/>
      </c>
      <c r="B787" s="8" t="str">
        <f t="array" ref="B787">IF(783&gt;$S$1204,"",INDEX($T$5:$AJ$1204,MATCH(783,$S$5:$S$1204,0),2))</f>
        <v/>
      </c>
      <c r="C787" s="10" t="str">
        <f t="array" ref="C787">IF(783&gt;$S$1204,"",INDEX($T$5:$AJ$1204,MATCH(783,$S$5:$S$1204,0),3))</f>
        <v/>
      </c>
      <c r="D787" s="8" t="str">
        <f t="array" ref="D787">IF(783&gt;$S$1204,"",INDEX($T$5:$AJ$1204,MATCH(783,$S$5:$S$1204,0),4))</f>
        <v/>
      </c>
      <c r="E787" s="8" t="str">
        <f t="array" ref="E787">IF(783&gt;$S$1204,"",INDEX($T$5:$AJ$1204,MATCH(783,$S$5:$S$1204,0),5))</f>
        <v/>
      </c>
      <c r="F787" s="8" t="str">
        <f t="array" ref="F787">IF(783&gt;$S$1204,"",INDEX($T$5:$AJ$1204,MATCH(783,$S$5:$S$1204,0),6))</f>
        <v/>
      </c>
      <c r="G787" s="8" t="str">
        <f t="array" ref="G787">IF(783&gt;$S$1204,"",INDEX($T$5:$AJ$1204,MATCH(783,$S$5:$S$1204,0),7))</f>
        <v/>
      </c>
      <c r="H787" s="8" t="str">
        <f t="array" ref="H787">IF(783&gt;$S$1204,"",INDEX($T$5:$AJ$1204,MATCH(783,$S$5:$S$1204,0),8))</f>
        <v/>
      </c>
      <c r="I787" s="8" t="str">
        <f t="array" ref="I787">IF(783&gt;$S$1204,"",INDEX($T$5:$AJ$1204,MATCH(783,$S$5:$S$1204,0),9))</f>
        <v/>
      </c>
      <c r="J787" s="14" t="str">
        <f t="array" ref="J787">IF(783&gt;$S$1204,"",INDEX($T$5:$AJ$1204,MATCH(783,$S$5:$S$1204,0),10))</f>
        <v/>
      </c>
      <c r="K787" s="8" t="str">
        <f t="array" ref="K787">IF(783&gt;$S$1204,"",INDEX($T$5:$AJ$1204,MATCH(783,$S$5:$S$1204,0),11))</f>
        <v/>
      </c>
      <c r="L787" s="8" t="str">
        <f t="array" ref="L787">IF(783&gt;$S$1204,"",INDEX($T$5:$AJ$1204,MATCH(783,$S$5:$S$1204,0),12))</f>
        <v/>
      </c>
      <c r="M787" s="8" t="str">
        <f t="array" ref="M787">IF(783&gt;$S$1204,"",INDEX($T$5:$AJ$1204,MATCH(783,$S$5:$S$1204,0),13))</f>
        <v/>
      </c>
      <c r="N787" s="8" t="str">
        <f t="array" ref="N787">IF(783&gt;$S$1204,"",INDEX($T$5:$AJ$1204,MATCH(783,$S$5:$S$1204,0),14))</f>
        <v/>
      </c>
      <c r="O787" s="15" t="str">
        <f t="array" ref="O787">IF(783&gt;$S$1204,"",INDEX($T$5:$AJ$1204,MATCH(783,$S$5:$S$1204,0),15))</f>
        <v/>
      </c>
      <c r="P787" s="8" t="str">
        <f t="array" ref="P787">IF(783&gt;$S$1204,"",INDEX($T$5:$AJ$1204,MATCH(783,$S$5:$S$1204,0),16))</f>
        <v/>
      </c>
      <c r="Q787" s="8" t="str">
        <f t="array" ref="Q787">IF(783&gt;$S$1204,"",INDEX($T$5:$AJ$1204,MATCH(783,$S$5:$S$1204,0),17))</f>
        <v/>
      </c>
      <c r="R787" s="17"/>
      <c r="S787" s="17">
        <f>S786+IF(M4_Sectores!A191="",0,1)</f>
        <v>0</v>
      </c>
      <c r="T787" s="17" t="str">
        <f>IF(M4_Sectores!A191="","",IF(M4_Sectores!A191="","",M4_Sectores!A191))</f>
        <v/>
      </c>
      <c r="U787" s="17" t="str">
        <f>IF(M4_Sectores!A191="","",IF(M4_Sectores!Q191="","",M4_Sectores!Q191))</f>
        <v/>
      </c>
      <c r="V787" s="17" t="str">
        <f>IF(M4_Sectores!A191="","",IF(M4_Sectores!D191="","",M4_Sectores!D191))</f>
        <v/>
      </c>
      <c r="W787" s="17" t="str">
        <f>IF(M4_Sectores!A191="","",IF(M4_Sectores!B191="","",M4_Sectores!B191))</f>
        <v/>
      </c>
      <c r="X787" s="17" t="str">
        <f>IF(M4_Sectores!A191="","",IF(M4_Sectores!C191="","",M4_Sectores!C191))</f>
        <v/>
      </c>
      <c r="Y787" s="17" t="str">
        <f>IF(M4_Sectores!A191="","",IF(M4_Sectores!E191="","",M4_Sectores!E191))</f>
        <v/>
      </c>
      <c r="Z787" s="17" t="str">
        <f>IF(M4_Sectores!A191="","",IF(M4_Sectores!F191="","",M4_Sectores!F191))</f>
        <v/>
      </c>
      <c r="AA787" s="17" t="str">
        <f>IF(M4_Sectores!A191="","","M4 Sectores")</f>
        <v/>
      </c>
      <c r="AB787" s="17" t="str">
        <f>IF(M4_Sectores!A191="","",IF(M4_Sectores!G191="","",M4_Sectores!G191))</f>
        <v/>
      </c>
      <c r="AC787" s="17" t="str">
        <f>IF(M4_Sectores!A191="","",IF(COUNTIFS(M4_Sectores!$A$9:A191,M4_Sectores!A191,M4_Sectores!$D$9:D191,M4_Sectores!D191,M4_Sectores!$H$9:H191,M4_Sectores!H191)=1,IF(M4_Sectores!L191="","",M4_Sectores!L191),""))</f>
        <v/>
      </c>
      <c r="AD787" s="17" t="str">
        <f>IF(M4_Sectores!A191="","","EE")</f>
        <v/>
      </c>
      <c r="AE787" s="17" t="str">
        <f>IF(M4_Sectores!A191="","",IF(M4_Sectores!N191="","",M4_Sectores!N191))</f>
        <v/>
      </c>
      <c r="AF787" s="17" t="str">
        <f>IF(M4_Sectores!A191="","",IF(M4_Sectores!O191="","",M4_Sectores!O191))</f>
        <v/>
      </c>
      <c r="AG787" s="17" t="str">
        <f>IF(M4_Sectores!A191="","",IF(M4_Sectores!P191="","",M4_Sectores!P191))</f>
        <v/>
      </c>
      <c r="AH787" s="17" t="str">
        <f>IF(M4_Sectores!A191="","",IF(M4_Sectores!H191="","",M4_Sectores!H191))</f>
        <v/>
      </c>
      <c r="AI787" s="17" t="str">
        <f>IF(M4_Sectores!A191="","","M4_Sectores!191")</f>
        <v/>
      </c>
      <c r="AJ787" s="17" t="str">
        <f>IF(M4_Sectores!A191="","",IF(M4_Sectores!L191="","Pendiente de momento o resultado",IF(COUNTIFS(M4_Sectores!$A$9:A191,M4_Sectores!A191,M4_Sectores!$D$9:D191,M4_Sectores!D191,M4_Sectores!$H$9:H191,M4_Sectores!H191)=1,"Total del momento","Sector incluido en total")))</f>
        <v/>
      </c>
    </row>
    <row r="788" spans="1:36" ht="55.5" customHeight="1">
      <c r="A788" s="6" t="str">
        <f t="array" ref="A788">IF(784&gt;$S$1204,"",INDEX($T$5:$AJ$1204,MATCH(784,$S$5:$S$1204,0),1))</f>
        <v/>
      </c>
      <c r="B788" s="8" t="str">
        <f t="array" ref="B788">IF(784&gt;$S$1204,"",INDEX($T$5:$AJ$1204,MATCH(784,$S$5:$S$1204,0),2))</f>
        <v/>
      </c>
      <c r="C788" s="10" t="str">
        <f t="array" ref="C788">IF(784&gt;$S$1204,"",INDEX($T$5:$AJ$1204,MATCH(784,$S$5:$S$1204,0),3))</f>
        <v/>
      </c>
      <c r="D788" s="8" t="str">
        <f t="array" ref="D788">IF(784&gt;$S$1204,"",INDEX($T$5:$AJ$1204,MATCH(784,$S$5:$S$1204,0),4))</f>
        <v/>
      </c>
      <c r="E788" s="8" t="str">
        <f t="array" ref="E788">IF(784&gt;$S$1204,"",INDEX($T$5:$AJ$1204,MATCH(784,$S$5:$S$1204,0),5))</f>
        <v/>
      </c>
      <c r="F788" s="8" t="str">
        <f t="array" ref="F788">IF(784&gt;$S$1204,"",INDEX($T$5:$AJ$1204,MATCH(784,$S$5:$S$1204,0),6))</f>
        <v/>
      </c>
      <c r="G788" s="8" t="str">
        <f t="array" ref="G788">IF(784&gt;$S$1204,"",INDEX($T$5:$AJ$1204,MATCH(784,$S$5:$S$1204,0),7))</f>
        <v/>
      </c>
      <c r="H788" s="8" t="str">
        <f t="array" ref="H788">IF(784&gt;$S$1204,"",INDEX($T$5:$AJ$1204,MATCH(784,$S$5:$S$1204,0),8))</f>
        <v/>
      </c>
      <c r="I788" s="8" t="str">
        <f t="array" ref="I788">IF(784&gt;$S$1204,"",INDEX($T$5:$AJ$1204,MATCH(784,$S$5:$S$1204,0),9))</f>
        <v/>
      </c>
      <c r="J788" s="14" t="str">
        <f t="array" ref="J788">IF(784&gt;$S$1204,"",INDEX($T$5:$AJ$1204,MATCH(784,$S$5:$S$1204,0),10))</f>
        <v/>
      </c>
      <c r="K788" s="8" t="str">
        <f t="array" ref="K788">IF(784&gt;$S$1204,"",INDEX($T$5:$AJ$1204,MATCH(784,$S$5:$S$1204,0),11))</f>
        <v/>
      </c>
      <c r="L788" s="8" t="str">
        <f t="array" ref="L788">IF(784&gt;$S$1204,"",INDEX($T$5:$AJ$1204,MATCH(784,$S$5:$S$1204,0),12))</f>
        <v/>
      </c>
      <c r="M788" s="8" t="str">
        <f t="array" ref="M788">IF(784&gt;$S$1204,"",INDEX($T$5:$AJ$1204,MATCH(784,$S$5:$S$1204,0),13))</f>
        <v/>
      </c>
      <c r="N788" s="8" t="str">
        <f t="array" ref="N788">IF(784&gt;$S$1204,"",INDEX($T$5:$AJ$1204,MATCH(784,$S$5:$S$1204,0),14))</f>
        <v/>
      </c>
      <c r="O788" s="15" t="str">
        <f t="array" ref="O788">IF(784&gt;$S$1204,"",INDEX($T$5:$AJ$1204,MATCH(784,$S$5:$S$1204,0),15))</f>
        <v/>
      </c>
      <c r="P788" s="8" t="str">
        <f t="array" ref="P788">IF(784&gt;$S$1204,"",INDEX($T$5:$AJ$1204,MATCH(784,$S$5:$S$1204,0),16))</f>
        <v/>
      </c>
      <c r="Q788" s="8" t="str">
        <f t="array" ref="Q788">IF(784&gt;$S$1204,"",INDEX($T$5:$AJ$1204,MATCH(784,$S$5:$S$1204,0),17))</f>
        <v/>
      </c>
      <c r="R788" s="17"/>
      <c r="S788" s="17">
        <f>S787+IF(M4_Sectores!A192="",0,1)</f>
        <v>0</v>
      </c>
      <c r="T788" s="17" t="str">
        <f>IF(M4_Sectores!A192="","",IF(M4_Sectores!A192="","",M4_Sectores!A192))</f>
        <v/>
      </c>
      <c r="U788" s="17" t="str">
        <f>IF(M4_Sectores!A192="","",IF(M4_Sectores!Q192="","",M4_Sectores!Q192))</f>
        <v/>
      </c>
      <c r="V788" s="17" t="str">
        <f>IF(M4_Sectores!A192="","",IF(M4_Sectores!D192="","",M4_Sectores!D192))</f>
        <v/>
      </c>
      <c r="W788" s="17" t="str">
        <f>IF(M4_Sectores!A192="","",IF(M4_Sectores!B192="","",M4_Sectores!B192))</f>
        <v/>
      </c>
      <c r="X788" s="17" t="str">
        <f>IF(M4_Sectores!A192="","",IF(M4_Sectores!C192="","",M4_Sectores!C192))</f>
        <v/>
      </c>
      <c r="Y788" s="17" t="str">
        <f>IF(M4_Sectores!A192="","",IF(M4_Sectores!E192="","",M4_Sectores!E192))</f>
        <v/>
      </c>
      <c r="Z788" s="17" t="str">
        <f>IF(M4_Sectores!A192="","",IF(M4_Sectores!F192="","",M4_Sectores!F192))</f>
        <v/>
      </c>
      <c r="AA788" s="17" t="str">
        <f>IF(M4_Sectores!A192="","","M4 Sectores")</f>
        <v/>
      </c>
      <c r="AB788" s="17" t="str">
        <f>IF(M4_Sectores!A192="","",IF(M4_Sectores!G192="","",M4_Sectores!G192))</f>
        <v/>
      </c>
      <c r="AC788" s="17" t="str">
        <f>IF(M4_Sectores!A192="","",IF(COUNTIFS(M4_Sectores!$A$9:A192,M4_Sectores!A192,M4_Sectores!$D$9:D192,M4_Sectores!D192,M4_Sectores!$H$9:H192,M4_Sectores!H192)=1,IF(M4_Sectores!L192="","",M4_Sectores!L192),""))</f>
        <v/>
      </c>
      <c r="AD788" s="17" t="str">
        <f>IF(M4_Sectores!A192="","","EE")</f>
        <v/>
      </c>
      <c r="AE788" s="17" t="str">
        <f>IF(M4_Sectores!A192="","",IF(M4_Sectores!N192="","",M4_Sectores!N192))</f>
        <v/>
      </c>
      <c r="AF788" s="17" t="str">
        <f>IF(M4_Sectores!A192="","",IF(M4_Sectores!O192="","",M4_Sectores!O192))</f>
        <v/>
      </c>
      <c r="AG788" s="17" t="str">
        <f>IF(M4_Sectores!A192="","",IF(M4_Sectores!P192="","",M4_Sectores!P192))</f>
        <v/>
      </c>
      <c r="AH788" s="17" t="str">
        <f>IF(M4_Sectores!A192="","",IF(M4_Sectores!H192="","",M4_Sectores!H192))</f>
        <v/>
      </c>
      <c r="AI788" s="17" t="str">
        <f>IF(M4_Sectores!A192="","","M4_Sectores!192")</f>
        <v/>
      </c>
      <c r="AJ788" s="17" t="str">
        <f>IF(M4_Sectores!A192="","",IF(M4_Sectores!L192="","Pendiente de momento o resultado",IF(COUNTIFS(M4_Sectores!$A$9:A192,M4_Sectores!A192,M4_Sectores!$D$9:D192,M4_Sectores!D192,M4_Sectores!$H$9:H192,M4_Sectores!H192)=1,"Total del momento","Sector incluido en total")))</f>
        <v/>
      </c>
    </row>
    <row r="789" spans="1:36" ht="55.5" customHeight="1">
      <c r="A789" s="6" t="str">
        <f t="array" ref="A789">IF(785&gt;$S$1204,"",INDEX($T$5:$AJ$1204,MATCH(785,$S$5:$S$1204,0),1))</f>
        <v/>
      </c>
      <c r="B789" s="8" t="str">
        <f t="array" ref="B789">IF(785&gt;$S$1204,"",INDEX($T$5:$AJ$1204,MATCH(785,$S$5:$S$1204,0),2))</f>
        <v/>
      </c>
      <c r="C789" s="10" t="str">
        <f t="array" ref="C789">IF(785&gt;$S$1204,"",INDEX($T$5:$AJ$1204,MATCH(785,$S$5:$S$1204,0),3))</f>
        <v/>
      </c>
      <c r="D789" s="8" t="str">
        <f t="array" ref="D789">IF(785&gt;$S$1204,"",INDEX($T$5:$AJ$1204,MATCH(785,$S$5:$S$1204,0),4))</f>
        <v/>
      </c>
      <c r="E789" s="8" t="str">
        <f t="array" ref="E789">IF(785&gt;$S$1204,"",INDEX($T$5:$AJ$1204,MATCH(785,$S$5:$S$1204,0),5))</f>
        <v/>
      </c>
      <c r="F789" s="8" t="str">
        <f t="array" ref="F789">IF(785&gt;$S$1204,"",INDEX($T$5:$AJ$1204,MATCH(785,$S$5:$S$1204,0),6))</f>
        <v/>
      </c>
      <c r="G789" s="8" t="str">
        <f t="array" ref="G789">IF(785&gt;$S$1204,"",INDEX($T$5:$AJ$1204,MATCH(785,$S$5:$S$1204,0),7))</f>
        <v/>
      </c>
      <c r="H789" s="8" t="str">
        <f t="array" ref="H789">IF(785&gt;$S$1204,"",INDEX($T$5:$AJ$1204,MATCH(785,$S$5:$S$1204,0),8))</f>
        <v/>
      </c>
      <c r="I789" s="8" t="str">
        <f t="array" ref="I789">IF(785&gt;$S$1204,"",INDEX($T$5:$AJ$1204,MATCH(785,$S$5:$S$1204,0),9))</f>
        <v/>
      </c>
      <c r="J789" s="14" t="str">
        <f t="array" ref="J789">IF(785&gt;$S$1204,"",INDEX($T$5:$AJ$1204,MATCH(785,$S$5:$S$1204,0),10))</f>
        <v/>
      </c>
      <c r="K789" s="8" t="str">
        <f t="array" ref="K789">IF(785&gt;$S$1204,"",INDEX($T$5:$AJ$1204,MATCH(785,$S$5:$S$1204,0),11))</f>
        <v/>
      </c>
      <c r="L789" s="8" t="str">
        <f t="array" ref="L789">IF(785&gt;$S$1204,"",INDEX($T$5:$AJ$1204,MATCH(785,$S$5:$S$1204,0),12))</f>
        <v/>
      </c>
      <c r="M789" s="8" t="str">
        <f t="array" ref="M789">IF(785&gt;$S$1204,"",INDEX($T$5:$AJ$1204,MATCH(785,$S$5:$S$1204,0),13))</f>
        <v/>
      </c>
      <c r="N789" s="8" t="str">
        <f t="array" ref="N789">IF(785&gt;$S$1204,"",INDEX($T$5:$AJ$1204,MATCH(785,$S$5:$S$1204,0),14))</f>
        <v/>
      </c>
      <c r="O789" s="15" t="str">
        <f t="array" ref="O789">IF(785&gt;$S$1204,"",INDEX($T$5:$AJ$1204,MATCH(785,$S$5:$S$1204,0),15))</f>
        <v/>
      </c>
      <c r="P789" s="8" t="str">
        <f t="array" ref="P789">IF(785&gt;$S$1204,"",INDEX($T$5:$AJ$1204,MATCH(785,$S$5:$S$1204,0),16))</f>
        <v/>
      </c>
      <c r="Q789" s="8" t="str">
        <f t="array" ref="Q789">IF(785&gt;$S$1204,"",INDEX($T$5:$AJ$1204,MATCH(785,$S$5:$S$1204,0),17))</f>
        <v/>
      </c>
      <c r="R789" s="17"/>
      <c r="S789" s="17">
        <f>S788+IF(M4_Sectores!A193="",0,1)</f>
        <v>0</v>
      </c>
      <c r="T789" s="17" t="str">
        <f>IF(M4_Sectores!A193="","",IF(M4_Sectores!A193="","",M4_Sectores!A193))</f>
        <v/>
      </c>
      <c r="U789" s="17" t="str">
        <f>IF(M4_Sectores!A193="","",IF(M4_Sectores!Q193="","",M4_Sectores!Q193))</f>
        <v/>
      </c>
      <c r="V789" s="17" t="str">
        <f>IF(M4_Sectores!A193="","",IF(M4_Sectores!D193="","",M4_Sectores!D193))</f>
        <v/>
      </c>
      <c r="W789" s="17" t="str">
        <f>IF(M4_Sectores!A193="","",IF(M4_Sectores!B193="","",M4_Sectores!B193))</f>
        <v/>
      </c>
      <c r="X789" s="17" t="str">
        <f>IF(M4_Sectores!A193="","",IF(M4_Sectores!C193="","",M4_Sectores!C193))</f>
        <v/>
      </c>
      <c r="Y789" s="17" t="str">
        <f>IF(M4_Sectores!A193="","",IF(M4_Sectores!E193="","",M4_Sectores!E193))</f>
        <v/>
      </c>
      <c r="Z789" s="17" t="str">
        <f>IF(M4_Sectores!A193="","",IF(M4_Sectores!F193="","",M4_Sectores!F193))</f>
        <v/>
      </c>
      <c r="AA789" s="17" t="str">
        <f>IF(M4_Sectores!A193="","","M4 Sectores")</f>
        <v/>
      </c>
      <c r="AB789" s="17" t="str">
        <f>IF(M4_Sectores!A193="","",IF(M4_Sectores!G193="","",M4_Sectores!G193))</f>
        <v/>
      </c>
      <c r="AC789" s="17" t="str">
        <f>IF(M4_Sectores!A193="","",IF(COUNTIFS(M4_Sectores!$A$9:A193,M4_Sectores!A193,M4_Sectores!$D$9:D193,M4_Sectores!D193,M4_Sectores!$H$9:H193,M4_Sectores!H193)=1,IF(M4_Sectores!L193="","",M4_Sectores!L193),""))</f>
        <v/>
      </c>
      <c r="AD789" s="17" t="str">
        <f>IF(M4_Sectores!A193="","","EE")</f>
        <v/>
      </c>
      <c r="AE789" s="17" t="str">
        <f>IF(M4_Sectores!A193="","",IF(M4_Sectores!N193="","",M4_Sectores!N193))</f>
        <v/>
      </c>
      <c r="AF789" s="17" t="str">
        <f>IF(M4_Sectores!A193="","",IF(M4_Sectores!O193="","",M4_Sectores!O193))</f>
        <v/>
      </c>
      <c r="AG789" s="17" t="str">
        <f>IF(M4_Sectores!A193="","",IF(M4_Sectores!P193="","",M4_Sectores!P193))</f>
        <v/>
      </c>
      <c r="AH789" s="17" t="str">
        <f>IF(M4_Sectores!A193="","",IF(M4_Sectores!H193="","",M4_Sectores!H193))</f>
        <v/>
      </c>
      <c r="AI789" s="17" t="str">
        <f>IF(M4_Sectores!A193="","","M4_Sectores!193")</f>
        <v/>
      </c>
      <c r="AJ789" s="17" t="str">
        <f>IF(M4_Sectores!A193="","",IF(M4_Sectores!L193="","Pendiente de momento o resultado",IF(COUNTIFS(M4_Sectores!$A$9:A193,M4_Sectores!A193,M4_Sectores!$D$9:D193,M4_Sectores!D193,M4_Sectores!$H$9:H193,M4_Sectores!H193)=1,"Total del momento","Sector incluido en total")))</f>
        <v/>
      </c>
    </row>
    <row r="790" spans="1:36" ht="55.5" customHeight="1">
      <c r="A790" s="6" t="str">
        <f t="array" ref="A790">IF(786&gt;$S$1204,"",INDEX($T$5:$AJ$1204,MATCH(786,$S$5:$S$1204,0),1))</f>
        <v/>
      </c>
      <c r="B790" s="8" t="str">
        <f t="array" ref="B790">IF(786&gt;$S$1204,"",INDEX($T$5:$AJ$1204,MATCH(786,$S$5:$S$1204,0),2))</f>
        <v/>
      </c>
      <c r="C790" s="10" t="str">
        <f t="array" ref="C790">IF(786&gt;$S$1204,"",INDEX($T$5:$AJ$1204,MATCH(786,$S$5:$S$1204,0),3))</f>
        <v/>
      </c>
      <c r="D790" s="8" t="str">
        <f t="array" ref="D790">IF(786&gt;$S$1204,"",INDEX($T$5:$AJ$1204,MATCH(786,$S$5:$S$1204,0),4))</f>
        <v/>
      </c>
      <c r="E790" s="8" t="str">
        <f t="array" ref="E790">IF(786&gt;$S$1204,"",INDEX($T$5:$AJ$1204,MATCH(786,$S$5:$S$1204,0),5))</f>
        <v/>
      </c>
      <c r="F790" s="8" t="str">
        <f t="array" ref="F790">IF(786&gt;$S$1204,"",INDEX($T$5:$AJ$1204,MATCH(786,$S$5:$S$1204,0),6))</f>
        <v/>
      </c>
      <c r="G790" s="8" t="str">
        <f t="array" ref="G790">IF(786&gt;$S$1204,"",INDEX($T$5:$AJ$1204,MATCH(786,$S$5:$S$1204,0),7))</f>
        <v/>
      </c>
      <c r="H790" s="8" t="str">
        <f t="array" ref="H790">IF(786&gt;$S$1204,"",INDEX($T$5:$AJ$1204,MATCH(786,$S$5:$S$1204,0),8))</f>
        <v/>
      </c>
      <c r="I790" s="8" t="str">
        <f t="array" ref="I790">IF(786&gt;$S$1204,"",INDEX($T$5:$AJ$1204,MATCH(786,$S$5:$S$1204,0),9))</f>
        <v/>
      </c>
      <c r="J790" s="14" t="str">
        <f t="array" ref="J790">IF(786&gt;$S$1204,"",INDEX($T$5:$AJ$1204,MATCH(786,$S$5:$S$1204,0),10))</f>
        <v/>
      </c>
      <c r="K790" s="8" t="str">
        <f t="array" ref="K790">IF(786&gt;$S$1204,"",INDEX($T$5:$AJ$1204,MATCH(786,$S$5:$S$1204,0),11))</f>
        <v/>
      </c>
      <c r="L790" s="8" t="str">
        <f t="array" ref="L790">IF(786&gt;$S$1204,"",INDEX($T$5:$AJ$1204,MATCH(786,$S$5:$S$1204,0),12))</f>
        <v/>
      </c>
      <c r="M790" s="8" t="str">
        <f t="array" ref="M790">IF(786&gt;$S$1204,"",INDEX($T$5:$AJ$1204,MATCH(786,$S$5:$S$1204,0),13))</f>
        <v/>
      </c>
      <c r="N790" s="8" t="str">
        <f t="array" ref="N790">IF(786&gt;$S$1204,"",INDEX($T$5:$AJ$1204,MATCH(786,$S$5:$S$1204,0),14))</f>
        <v/>
      </c>
      <c r="O790" s="15" t="str">
        <f t="array" ref="O790">IF(786&gt;$S$1204,"",INDEX($T$5:$AJ$1204,MATCH(786,$S$5:$S$1204,0),15))</f>
        <v/>
      </c>
      <c r="P790" s="8" t="str">
        <f t="array" ref="P790">IF(786&gt;$S$1204,"",INDEX($T$5:$AJ$1204,MATCH(786,$S$5:$S$1204,0),16))</f>
        <v/>
      </c>
      <c r="Q790" s="8" t="str">
        <f t="array" ref="Q790">IF(786&gt;$S$1204,"",INDEX($T$5:$AJ$1204,MATCH(786,$S$5:$S$1204,0),17))</f>
        <v/>
      </c>
      <c r="R790" s="17"/>
      <c r="S790" s="17">
        <f>S789+IF(M4_Sectores!A194="",0,1)</f>
        <v>0</v>
      </c>
      <c r="T790" s="17" t="str">
        <f>IF(M4_Sectores!A194="","",IF(M4_Sectores!A194="","",M4_Sectores!A194))</f>
        <v/>
      </c>
      <c r="U790" s="17" t="str">
        <f>IF(M4_Sectores!A194="","",IF(M4_Sectores!Q194="","",M4_Sectores!Q194))</f>
        <v/>
      </c>
      <c r="V790" s="17" t="str">
        <f>IF(M4_Sectores!A194="","",IF(M4_Sectores!D194="","",M4_Sectores!D194))</f>
        <v/>
      </c>
      <c r="W790" s="17" t="str">
        <f>IF(M4_Sectores!A194="","",IF(M4_Sectores!B194="","",M4_Sectores!B194))</f>
        <v/>
      </c>
      <c r="X790" s="17" t="str">
        <f>IF(M4_Sectores!A194="","",IF(M4_Sectores!C194="","",M4_Sectores!C194))</f>
        <v/>
      </c>
      <c r="Y790" s="17" t="str">
        <f>IF(M4_Sectores!A194="","",IF(M4_Sectores!E194="","",M4_Sectores!E194))</f>
        <v/>
      </c>
      <c r="Z790" s="17" t="str">
        <f>IF(M4_Sectores!A194="","",IF(M4_Sectores!F194="","",M4_Sectores!F194))</f>
        <v/>
      </c>
      <c r="AA790" s="17" t="str">
        <f>IF(M4_Sectores!A194="","","M4 Sectores")</f>
        <v/>
      </c>
      <c r="AB790" s="17" t="str">
        <f>IF(M4_Sectores!A194="","",IF(M4_Sectores!G194="","",M4_Sectores!G194))</f>
        <v/>
      </c>
      <c r="AC790" s="17" t="str">
        <f>IF(M4_Sectores!A194="","",IF(COUNTIFS(M4_Sectores!$A$9:A194,M4_Sectores!A194,M4_Sectores!$D$9:D194,M4_Sectores!D194,M4_Sectores!$H$9:H194,M4_Sectores!H194)=1,IF(M4_Sectores!L194="","",M4_Sectores!L194),""))</f>
        <v/>
      </c>
      <c r="AD790" s="17" t="str">
        <f>IF(M4_Sectores!A194="","","EE")</f>
        <v/>
      </c>
      <c r="AE790" s="17" t="str">
        <f>IF(M4_Sectores!A194="","",IF(M4_Sectores!N194="","",M4_Sectores!N194))</f>
        <v/>
      </c>
      <c r="AF790" s="17" t="str">
        <f>IF(M4_Sectores!A194="","",IF(M4_Sectores!O194="","",M4_Sectores!O194))</f>
        <v/>
      </c>
      <c r="AG790" s="17" t="str">
        <f>IF(M4_Sectores!A194="","",IF(M4_Sectores!P194="","",M4_Sectores!P194))</f>
        <v/>
      </c>
      <c r="AH790" s="17" t="str">
        <f>IF(M4_Sectores!A194="","",IF(M4_Sectores!H194="","",M4_Sectores!H194))</f>
        <v/>
      </c>
      <c r="AI790" s="17" t="str">
        <f>IF(M4_Sectores!A194="","","M4_Sectores!194")</f>
        <v/>
      </c>
      <c r="AJ790" s="17" t="str">
        <f>IF(M4_Sectores!A194="","",IF(M4_Sectores!L194="","Pendiente de momento o resultado",IF(COUNTIFS(M4_Sectores!$A$9:A194,M4_Sectores!A194,M4_Sectores!$D$9:D194,M4_Sectores!D194,M4_Sectores!$H$9:H194,M4_Sectores!H194)=1,"Total del momento","Sector incluido en total")))</f>
        <v/>
      </c>
    </row>
    <row r="791" spans="1:36" ht="55.5" customHeight="1">
      <c r="A791" s="6" t="str">
        <f t="array" ref="A791">IF(787&gt;$S$1204,"",INDEX($T$5:$AJ$1204,MATCH(787,$S$5:$S$1204,0),1))</f>
        <v/>
      </c>
      <c r="B791" s="8" t="str">
        <f t="array" ref="B791">IF(787&gt;$S$1204,"",INDEX($T$5:$AJ$1204,MATCH(787,$S$5:$S$1204,0),2))</f>
        <v/>
      </c>
      <c r="C791" s="10" t="str">
        <f t="array" ref="C791">IF(787&gt;$S$1204,"",INDEX($T$5:$AJ$1204,MATCH(787,$S$5:$S$1204,0),3))</f>
        <v/>
      </c>
      <c r="D791" s="8" t="str">
        <f t="array" ref="D791">IF(787&gt;$S$1204,"",INDEX($T$5:$AJ$1204,MATCH(787,$S$5:$S$1204,0),4))</f>
        <v/>
      </c>
      <c r="E791" s="8" t="str">
        <f t="array" ref="E791">IF(787&gt;$S$1204,"",INDEX($T$5:$AJ$1204,MATCH(787,$S$5:$S$1204,0),5))</f>
        <v/>
      </c>
      <c r="F791" s="8" t="str">
        <f t="array" ref="F791">IF(787&gt;$S$1204,"",INDEX($T$5:$AJ$1204,MATCH(787,$S$5:$S$1204,0),6))</f>
        <v/>
      </c>
      <c r="G791" s="8" t="str">
        <f t="array" ref="G791">IF(787&gt;$S$1204,"",INDEX($T$5:$AJ$1204,MATCH(787,$S$5:$S$1204,0),7))</f>
        <v/>
      </c>
      <c r="H791" s="8" t="str">
        <f t="array" ref="H791">IF(787&gt;$S$1204,"",INDEX($T$5:$AJ$1204,MATCH(787,$S$5:$S$1204,0),8))</f>
        <v/>
      </c>
      <c r="I791" s="8" t="str">
        <f t="array" ref="I791">IF(787&gt;$S$1204,"",INDEX($T$5:$AJ$1204,MATCH(787,$S$5:$S$1204,0),9))</f>
        <v/>
      </c>
      <c r="J791" s="14" t="str">
        <f t="array" ref="J791">IF(787&gt;$S$1204,"",INDEX($T$5:$AJ$1204,MATCH(787,$S$5:$S$1204,0),10))</f>
        <v/>
      </c>
      <c r="K791" s="8" t="str">
        <f t="array" ref="K791">IF(787&gt;$S$1204,"",INDEX($T$5:$AJ$1204,MATCH(787,$S$5:$S$1204,0),11))</f>
        <v/>
      </c>
      <c r="L791" s="8" t="str">
        <f t="array" ref="L791">IF(787&gt;$S$1204,"",INDEX($T$5:$AJ$1204,MATCH(787,$S$5:$S$1204,0),12))</f>
        <v/>
      </c>
      <c r="M791" s="8" t="str">
        <f t="array" ref="M791">IF(787&gt;$S$1204,"",INDEX($T$5:$AJ$1204,MATCH(787,$S$5:$S$1204,0),13))</f>
        <v/>
      </c>
      <c r="N791" s="8" t="str">
        <f t="array" ref="N791">IF(787&gt;$S$1204,"",INDEX($T$5:$AJ$1204,MATCH(787,$S$5:$S$1204,0),14))</f>
        <v/>
      </c>
      <c r="O791" s="15" t="str">
        <f t="array" ref="O791">IF(787&gt;$S$1204,"",INDEX($T$5:$AJ$1204,MATCH(787,$S$5:$S$1204,0),15))</f>
        <v/>
      </c>
      <c r="P791" s="8" t="str">
        <f t="array" ref="P791">IF(787&gt;$S$1204,"",INDEX($T$5:$AJ$1204,MATCH(787,$S$5:$S$1204,0),16))</f>
        <v/>
      </c>
      <c r="Q791" s="8" t="str">
        <f t="array" ref="Q791">IF(787&gt;$S$1204,"",INDEX($T$5:$AJ$1204,MATCH(787,$S$5:$S$1204,0),17))</f>
        <v/>
      </c>
      <c r="R791" s="17"/>
      <c r="S791" s="17">
        <f>S790+IF(M4_Sectores!A195="",0,1)</f>
        <v>0</v>
      </c>
      <c r="T791" s="17" t="str">
        <f>IF(M4_Sectores!A195="","",IF(M4_Sectores!A195="","",M4_Sectores!A195))</f>
        <v/>
      </c>
      <c r="U791" s="17" t="str">
        <f>IF(M4_Sectores!A195="","",IF(M4_Sectores!Q195="","",M4_Sectores!Q195))</f>
        <v/>
      </c>
      <c r="V791" s="17" t="str">
        <f>IF(M4_Sectores!A195="","",IF(M4_Sectores!D195="","",M4_Sectores!D195))</f>
        <v/>
      </c>
      <c r="W791" s="17" t="str">
        <f>IF(M4_Sectores!A195="","",IF(M4_Sectores!B195="","",M4_Sectores!B195))</f>
        <v/>
      </c>
      <c r="X791" s="17" t="str">
        <f>IF(M4_Sectores!A195="","",IF(M4_Sectores!C195="","",M4_Sectores!C195))</f>
        <v/>
      </c>
      <c r="Y791" s="17" t="str">
        <f>IF(M4_Sectores!A195="","",IF(M4_Sectores!E195="","",M4_Sectores!E195))</f>
        <v/>
      </c>
      <c r="Z791" s="17" t="str">
        <f>IF(M4_Sectores!A195="","",IF(M4_Sectores!F195="","",M4_Sectores!F195))</f>
        <v/>
      </c>
      <c r="AA791" s="17" t="str">
        <f>IF(M4_Sectores!A195="","","M4 Sectores")</f>
        <v/>
      </c>
      <c r="AB791" s="17" t="str">
        <f>IF(M4_Sectores!A195="","",IF(M4_Sectores!G195="","",M4_Sectores!G195))</f>
        <v/>
      </c>
      <c r="AC791" s="17" t="str">
        <f>IF(M4_Sectores!A195="","",IF(COUNTIFS(M4_Sectores!$A$9:A195,M4_Sectores!A195,M4_Sectores!$D$9:D195,M4_Sectores!D195,M4_Sectores!$H$9:H195,M4_Sectores!H195)=1,IF(M4_Sectores!L195="","",M4_Sectores!L195),""))</f>
        <v/>
      </c>
      <c r="AD791" s="17" t="str">
        <f>IF(M4_Sectores!A195="","","EE")</f>
        <v/>
      </c>
      <c r="AE791" s="17" t="str">
        <f>IF(M4_Sectores!A195="","",IF(M4_Sectores!N195="","",M4_Sectores!N195))</f>
        <v/>
      </c>
      <c r="AF791" s="17" t="str">
        <f>IF(M4_Sectores!A195="","",IF(M4_Sectores!O195="","",M4_Sectores!O195))</f>
        <v/>
      </c>
      <c r="AG791" s="17" t="str">
        <f>IF(M4_Sectores!A195="","",IF(M4_Sectores!P195="","",M4_Sectores!P195))</f>
        <v/>
      </c>
      <c r="AH791" s="17" t="str">
        <f>IF(M4_Sectores!A195="","",IF(M4_Sectores!H195="","",M4_Sectores!H195))</f>
        <v/>
      </c>
      <c r="AI791" s="17" t="str">
        <f>IF(M4_Sectores!A195="","","M4_Sectores!195")</f>
        <v/>
      </c>
      <c r="AJ791" s="17" t="str">
        <f>IF(M4_Sectores!A195="","",IF(M4_Sectores!L195="","Pendiente de momento o resultado",IF(COUNTIFS(M4_Sectores!$A$9:A195,M4_Sectores!A195,M4_Sectores!$D$9:D195,M4_Sectores!D195,M4_Sectores!$H$9:H195,M4_Sectores!H195)=1,"Total del momento","Sector incluido en total")))</f>
        <v/>
      </c>
    </row>
    <row r="792" spans="1:36" ht="55.5" customHeight="1">
      <c r="A792" s="6" t="str">
        <f t="array" ref="A792">IF(788&gt;$S$1204,"",INDEX($T$5:$AJ$1204,MATCH(788,$S$5:$S$1204,0),1))</f>
        <v/>
      </c>
      <c r="B792" s="8" t="str">
        <f t="array" ref="B792">IF(788&gt;$S$1204,"",INDEX($T$5:$AJ$1204,MATCH(788,$S$5:$S$1204,0),2))</f>
        <v/>
      </c>
      <c r="C792" s="10" t="str">
        <f t="array" ref="C792">IF(788&gt;$S$1204,"",INDEX($T$5:$AJ$1204,MATCH(788,$S$5:$S$1204,0),3))</f>
        <v/>
      </c>
      <c r="D792" s="8" t="str">
        <f t="array" ref="D792">IF(788&gt;$S$1204,"",INDEX($T$5:$AJ$1204,MATCH(788,$S$5:$S$1204,0),4))</f>
        <v/>
      </c>
      <c r="E792" s="8" t="str">
        <f t="array" ref="E792">IF(788&gt;$S$1204,"",INDEX($T$5:$AJ$1204,MATCH(788,$S$5:$S$1204,0),5))</f>
        <v/>
      </c>
      <c r="F792" s="8" t="str">
        <f t="array" ref="F792">IF(788&gt;$S$1204,"",INDEX($T$5:$AJ$1204,MATCH(788,$S$5:$S$1204,0),6))</f>
        <v/>
      </c>
      <c r="G792" s="8" t="str">
        <f t="array" ref="G792">IF(788&gt;$S$1204,"",INDEX($T$5:$AJ$1204,MATCH(788,$S$5:$S$1204,0),7))</f>
        <v/>
      </c>
      <c r="H792" s="8" t="str">
        <f t="array" ref="H792">IF(788&gt;$S$1204,"",INDEX($T$5:$AJ$1204,MATCH(788,$S$5:$S$1204,0),8))</f>
        <v/>
      </c>
      <c r="I792" s="8" t="str">
        <f t="array" ref="I792">IF(788&gt;$S$1204,"",INDEX($T$5:$AJ$1204,MATCH(788,$S$5:$S$1204,0),9))</f>
        <v/>
      </c>
      <c r="J792" s="14" t="str">
        <f t="array" ref="J792">IF(788&gt;$S$1204,"",INDEX($T$5:$AJ$1204,MATCH(788,$S$5:$S$1204,0),10))</f>
        <v/>
      </c>
      <c r="K792" s="8" t="str">
        <f t="array" ref="K792">IF(788&gt;$S$1204,"",INDEX($T$5:$AJ$1204,MATCH(788,$S$5:$S$1204,0),11))</f>
        <v/>
      </c>
      <c r="L792" s="8" t="str">
        <f t="array" ref="L792">IF(788&gt;$S$1204,"",INDEX($T$5:$AJ$1204,MATCH(788,$S$5:$S$1204,0),12))</f>
        <v/>
      </c>
      <c r="M792" s="8" t="str">
        <f t="array" ref="M792">IF(788&gt;$S$1204,"",INDEX($T$5:$AJ$1204,MATCH(788,$S$5:$S$1204,0),13))</f>
        <v/>
      </c>
      <c r="N792" s="8" t="str">
        <f t="array" ref="N792">IF(788&gt;$S$1204,"",INDEX($T$5:$AJ$1204,MATCH(788,$S$5:$S$1204,0),14))</f>
        <v/>
      </c>
      <c r="O792" s="15" t="str">
        <f t="array" ref="O792">IF(788&gt;$S$1204,"",INDEX($T$5:$AJ$1204,MATCH(788,$S$5:$S$1204,0),15))</f>
        <v/>
      </c>
      <c r="P792" s="8" t="str">
        <f t="array" ref="P792">IF(788&gt;$S$1204,"",INDEX($T$5:$AJ$1204,MATCH(788,$S$5:$S$1204,0),16))</f>
        <v/>
      </c>
      <c r="Q792" s="8" t="str">
        <f t="array" ref="Q792">IF(788&gt;$S$1204,"",INDEX($T$5:$AJ$1204,MATCH(788,$S$5:$S$1204,0),17))</f>
        <v/>
      </c>
      <c r="R792" s="17"/>
      <c r="S792" s="17">
        <f>S791+IF(M4_Sectores!A196="",0,1)</f>
        <v>0</v>
      </c>
      <c r="T792" s="17" t="str">
        <f>IF(M4_Sectores!A196="","",IF(M4_Sectores!A196="","",M4_Sectores!A196))</f>
        <v/>
      </c>
      <c r="U792" s="17" t="str">
        <f>IF(M4_Sectores!A196="","",IF(M4_Sectores!Q196="","",M4_Sectores!Q196))</f>
        <v/>
      </c>
      <c r="V792" s="17" t="str">
        <f>IF(M4_Sectores!A196="","",IF(M4_Sectores!D196="","",M4_Sectores!D196))</f>
        <v/>
      </c>
      <c r="W792" s="17" t="str">
        <f>IF(M4_Sectores!A196="","",IF(M4_Sectores!B196="","",M4_Sectores!B196))</f>
        <v/>
      </c>
      <c r="X792" s="17" t="str">
        <f>IF(M4_Sectores!A196="","",IF(M4_Sectores!C196="","",M4_Sectores!C196))</f>
        <v/>
      </c>
      <c r="Y792" s="17" t="str">
        <f>IF(M4_Sectores!A196="","",IF(M4_Sectores!E196="","",M4_Sectores!E196))</f>
        <v/>
      </c>
      <c r="Z792" s="17" t="str">
        <f>IF(M4_Sectores!A196="","",IF(M4_Sectores!F196="","",M4_Sectores!F196))</f>
        <v/>
      </c>
      <c r="AA792" s="17" t="str">
        <f>IF(M4_Sectores!A196="","","M4 Sectores")</f>
        <v/>
      </c>
      <c r="AB792" s="17" t="str">
        <f>IF(M4_Sectores!A196="","",IF(M4_Sectores!G196="","",M4_Sectores!G196))</f>
        <v/>
      </c>
      <c r="AC792" s="17" t="str">
        <f>IF(M4_Sectores!A196="","",IF(COUNTIFS(M4_Sectores!$A$9:A196,M4_Sectores!A196,M4_Sectores!$D$9:D196,M4_Sectores!D196,M4_Sectores!$H$9:H196,M4_Sectores!H196)=1,IF(M4_Sectores!L196="","",M4_Sectores!L196),""))</f>
        <v/>
      </c>
      <c r="AD792" s="17" t="str">
        <f>IF(M4_Sectores!A196="","","EE")</f>
        <v/>
      </c>
      <c r="AE792" s="17" t="str">
        <f>IF(M4_Sectores!A196="","",IF(M4_Sectores!N196="","",M4_Sectores!N196))</f>
        <v/>
      </c>
      <c r="AF792" s="17" t="str">
        <f>IF(M4_Sectores!A196="","",IF(M4_Sectores!O196="","",M4_Sectores!O196))</f>
        <v/>
      </c>
      <c r="AG792" s="17" t="str">
        <f>IF(M4_Sectores!A196="","",IF(M4_Sectores!P196="","",M4_Sectores!P196))</f>
        <v/>
      </c>
      <c r="AH792" s="17" t="str">
        <f>IF(M4_Sectores!A196="","",IF(M4_Sectores!H196="","",M4_Sectores!H196))</f>
        <v/>
      </c>
      <c r="AI792" s="17" t="str">
        <f>IF(M4_Sectores!A196="","","M4_Sectores!196")</f>
        <v/>
      </c>
      <c r="AJ792" s="17" t="str">
        <f>IF(M4_Sectores!A196="","",IF(M4_Sectores!L196="","Pendiente de momento o resultado",IF(COUNTIFS(M4_Sectores!$A$9:A196,M4_Sectores!A196,M4_Sectores!$D$9:D196,M4_Sectores!D196,M4_Sectores!$H$9:H196,M4_Sectores!H196)=1,"Total del momento","Sector incluido en total")))</f>
        <v/>
      </c>
    </row>
    <row r="793" spans="1:36" ht="55.5" customHeight="1">
      <c r="A793" s="6" t="str">
        <f t="array" ref="A793">IF(789&gt;$S$1204,"",INDEX($T$5:$AJ$1204,MATCH(789,$S$5:$S$1204,0),1))</f>
        <v/>
      </c>
      <c r="B793" s="8" t="str">
        <f t="array" ref="B793">IF(789&gt;$S$1204,"",INDEX($T$5:$AJ$1204,MATCH(789,$S$5:$S$1204,0),2))</f>
        <v/>
      </c>
      <c r="C793" s="10" t="str">
        <f t="array" ref="C793">IF(789&gt;$S$1204,"",INDEX($T$5:$AJ$1204,MATCH(789,$S$5:$S$1204,0),3))</f>
        <v/>
      </c>
      <c r="D793" s="8" t="str">
        <f t="array" ref="D793">IF(789&gt;$S$1204,"",INDEX($T$5:$AJ$1204,MATCH(789,$S$5:$S$1204,0),4))</f>
        <v/>
      </c>
      <c r="E793" s="8" t="str">
        <f t="array" ref="E793">IF(789&gt;$S$1204,"",INDEX($T$5:$AJ$1204,MATCH(789,$S$5:$S$1204,0),5))</f>
        <v/>
      </c>
      <c r="F793" s="8" t="str">
        <f t="array" ref="F793">IF(789&gt;$S$1204,"",INDEX($T$5:$AJ$1204,MATCH(789,$S$5:$S$1204,0),6))</f>
        <v/>
      </c>
      <c r="G793" s="8" t="str">
        <f t="array" ref="G793">IF(789&gt;$S$1204,"",INDEX($T$5:$AJ$1204,MATCH(789,$S$5:$S$1204,0),7))</f>
        <v/>
      </c>
      <c r="H793" s="8" t="str">
        <f t="array" ref="H793">IF(789&gt;$S$1204,"",INDEX($T$5:$AJ$1204,MATCH(789,$S$5:$S$1204,0),8))</f>
        <v/>
      </c>
      <c r="I793" s="8" t="str">
        <f t="array" ref="I793">IF(789&gt;$S$1204,"",INDEX($T$5:$AJ$1204,MATCH(789,$S$5:$S$1204,0),9))</f>
        <v/>
      </c>
      <c r="J793" s="14" t="str">
        <f t="array" ref="J793">IF(789&gt;$S$1204,"",INDEX($T$5:$AJ$1204,MATCH(789,$S$5:$S$1204,0),10))</f>
        <v/>
      </c>
      <c r="K793" s="8" t="str">
        <f t="array" ref="K793">IF(789&gt;$S$1204,"",INDEX($T$5:$AJ$1204,MATCH(789,$S$5:$S$1204,0),11))</f>
        <v/>
      </c>
      <c r="L793" s="8" t="str">
        <f t="array" ref="L793">IF(789&gt;$S$1204,"",INDEX($T$5:$AJ$1204,MATCH(789,$S$5:$S$1204,0),12))</f>
        <v/>
      </c>
      <c r="M793" s="8" t="str">
        <f t="array" ref="M793">IF(789&gt;$S$1204,"",INDEX($T$5:$AJ$1204,MATCH(789,$S$5:$S$1204,0),13))</f>
        <v/>
      </c>
      <c r="N793" s="8" t="str">
        <f t="array" ref="N793">IF(789&gt;$S$1204,"",INDEX($T$5:$AJ$1204,MATCH(789,$S$5:$S$1204,0),14))</f>
        <v/>
      </c>
      <c r="O793" s="15" t="str">
        <f t="array" ref="O793">IF(789&gt;$S$1204,"",INDEX($T$5:$AJ$1204,MATCH(789,$S$5:$S$1204,0),15))</f>
        <v/>
      </c>
      <c r="P793" s="8" t="str">
        <f t="array" ref="P793">IF(789&gt;$S$1204,"",INDEX($T$5:$AJ$1204,MATCH(789,$S$5:$S$1204,0),16))</f>
        <v/>
      </c>
      <c r="Q793" s="8" t="str">
        <f t="array" ref="Q793">IF(789&gt;$S$1204,"",INDEX($T$5:$AJ$1204,MATCH(789,$S$5:$S$1204,0),17))</f>
        <v/>
      </c>
      <c r="R793" s="17"/>
      <c r="S793" s="17">
        <f>S792+IF(M4_Sectores!A197="",0,1)</f>
        <v>0</v>
      </c>
      <c r="T793" s="17" t="str">
        <f>IF(M4_Sectores!A197="","",IF(M4_Sectores!A197="","",M4_Sectores!A197))</f>
        <v/>
      </c>
      <c r="U793" s="17" t="str">
        <f>IF(M4_Sectores!A197="","",IF(M4_Sectores!Q197="","",M4_Sectores!Q197))</f>
        <v/>
      </c>
      <c r="V793" s="17" t="str">
        <f>IF(M4_Sectores!A197="","",IF(M4_Sectores!D197="","",M4_Sectores!D197))</f>
        <v/>
      </c>
      <c r="W793" s="17" t="str">
        <f>IF(M4_Sectores!A197="","",IF(M4_Sectores!B197="","",M4_Sectores!B197))</f>
        <v/>
      </c>
      <c r="X793" s="17" t="str">
        <f>IF(M4_Sectores!A197="","",IF(M4_Sectores!C197="","",M4_Sectores!C197))</f>
        <v/>
      </c>
      <c r="Y793" s="17" t="str">
        <f>IF(M4_Sectores!A197="","",IF(M4_Sectores!E197="","",M4_Sectores!E197))</f>
        <v/>
      </c>
      <c r="Z793" s="17" t="str">
        <f>IF(M4_Sectores!A197="","",IF(M4_Sectores!F197="","",M4_Sectores!F197))</f>
        <v/>
      </c>
      <c r="AA793" s="17" t="str">
        <f>IF(M4_Sectores!A197="","","M4 Sectores")</f>
        <v/>
      </c>
      <c r="AB793" s="17" t="str">
        <f>IF(M4_Sectores!A197="","",IF(M4_Sectores!G197="","",M4_Sectores!G197))</f>
        <v/>
      </c>
      <c r="AC793" s="17" t="str">
        <f>IF(M4_Sectores!A197="","",IF(COUNTIFS(M4_Sectores!$A$9:A197,M4_Sectores!A197,M4_Sectores!$D$9:D197,M4_Sectores!D197,M4_Sectores!$H$9:H197,M4_Sectores!H197)=1,IF(M4_Sectores!L197="","",M4_Sectores!L197),""))</f>
        <v/>
      </c>
      <c r="AD793" s="17" t="str">
        <f>IF(M4_Sectores!A197="","","EE")</f>
        <v/>
      </c>
      <c r="AE793" s="17" t="str">
        <f>IF(M4_Sectores!A197="","",IF(M4_Sectores!N197="","",M4_Sectores!N197))</f>
        <v/>
      </c>
      <c r="AF793" s="17" t="str">
        <f>IF(M4_Sectores!A197="","",IF(M4_Sectores!O197="","",M4_Sectores!O197))</f>
        <v/>
      </c>
      <c r="AG793" s="17" t="str">
        <f>IF(M4_Sectores!A197="","",IF(M4_Sectores!P197="","",M4_Sectores!P197))</f>
        <v/>
      </c>
      <c r="AH793" s="17" t="str">
        <f>IF(M4_Sectores!A197="","",IF(M4_Sectores!H197="","",M4_Sectores!H197))</f>
        <v/>
      </c>
      <c r="AI793" s="17" t="str">
        <f>IF(M4_Sectores!A197="","","M4_Sectores!197")</f>
        <v/>
      </c>
      <c r="AJ793" s="17" t="str">
        <f>IF(M4_Sectores!A197="","",IF(M4_Sectores!L197="","Pendiente de momento o resultado",IF(COUNTIFS(M4_Sectores!$A$9:A197,M4_Sectores!A197,M4_Sectores!$D$9:D197,M4_Sectores!D197,M4_Sectores!$H$9:H197,M4_Sectores!H197)=1,"Total del momento","Sector incluido en total")))</f>
        <v/>
      </c>
    </row>
    <row r="794" spans="1:36" ht="55.5" customHeight="1">
      <c r="A794" s="6" t="str">
        <f t="array" ref="A794">IF(790&gt;$S$1204,"",INDEX($T$5:$AJ$1204,MATCH(790,$S$5:$S$1204,0),1))</f>
        <v/>
      </c>
      <c r="B794" s="8" t="str">
        <f t="array" ref="B794">IF(790&gt;$S$1204,"",INDEX($T$5:$AJ$1204,MATCH(790,$S$5:$S$1204,0),2))</f>
        <v/>
      </c>
      <c r="C794" s="10" t="str">
        <f t="array" ref="C794">IF(790&gt;$S$1204,"",INDEX($T$5:$AJ$1204,MATCH(790,$S$5:$S$1204,0),3))</f>
        <v/>
      </c>
      <c r="D794" s="8" t="str">
        <f t="array" ref="D794">IF(790&gt;$S$1204,"",INDEX($T$5:$AJ$1204,MATCH(790,$S$5:$S$1204,0),4))</f>
        <v/>
      </c>
      <c r="E794" s="8" t="str">
        <f t="array" ref="E794">IF(790&gt;$S$1204,"",INDEX($T$5:$AJ$1204,MATCH(790,$S$5:$S$1204,0),5))</f>
        <v/>
      </c>
      <c r="F794" s="8" t="str">
        <f t="array" ref="F794">IF(790&gt;$S$1204,"",INDEX($T$5:$AJ$1204,MATCH(790,$S$5:$S$1204,0),6))</f>
        <v/>
      </c>
      <c r="G794" s="8" t="str">
        <f t="array" ref="G794">IF(790&gt;$S$1204,"",INDEX($T$5:$AJ$1204,MATCH(790,$S$5:$S$1204,0),7))</f>
        <v/>
      </c>
      <c r="H794" s="8" t="str">
        <f t="array" ref="H794">IF(790&gt;$S$1204,"",INDEX($T$5:$AJ$1204,MATCH(790,$S$5:$S$1204,0),8))</f>
        <v/>
      </c>
      <c r="I794" s="8" t="str">
        <f t="array" ref="I794">IF(790&gt;$S$1204,"",INDEX($T$5:$AJ$1204,MATCH(790,$S$5:$S$1204,0),9))</f>
        <v/>
      </c>
      <c r="J794" s="14" t="str">
        <f t="array" ref="J794">IF(790&gt;$S$1204,"",INDEX($T$5:$AJ$1204,MATCH(790,$S$5:$S$1204,0),10))</f>
        <v/>
      </c>
      <c r="K794" s="8" t="str">
        <f t="array" ref="K794">IF(790&gt;$S$1204,"",INDEX($T$5:$AJ$1204,MATCH(790,$S$5:$S$1204,0),11))</f>
        <v/>
      </c>
      <c r="L794" s="8" t="str">
        <f t="array" ref="L794">IF(790&gt;$S$1204,"",INDEX($T$5:$AJ$1204,MATCH(790,$S$5:$S$1204,0),12))</f>
        <v/>
      </c>
      <c r="M794" s="8" t="str">
        <f t="array" ref="M794">IF(790&gt;$S$1204,"",INDEX($T$5:$AJ$1204,MATCH(790,$S$5:$S$1204,0),13))</f>
        <v/>
      </c>
      <c r="N794" s="8" t="str">
        <f t="array" ref="N794">IF(790&gt;$S$1204,"",INDEX($T$5:$AJ$1204,MATCH(790,$S$5:$S$1204,0),14))</f>
        <v/>
      </c>
      <c r="O794" s="15" t="str">
        <f t="array" ref="O794">IF(790&gt;$S$1204,"",INDEX($T$5:$AJ$1204,MATCH(790,$S$5:$S$1204,0),15))</f>
        <v/>
      </c>
      <c r="P794" s="8" t="str">
        <f t="array" ref="P794">IF(790&gt;$S$1204,"",INDEX($T$5:$AJ$1204,MATCH(790,$S$5:$S$1204,0),16))</f>
        <v/>
      </c>
      <c r="Q794" s="8" t="str">
        <f t="array" ref="Q794">IF(790&gt;$S$1204,"",INDEX($T$5:$AJ$1204,MATCH(790,$S$5:$S$1204,0),17))</f>
        <v/>
      </c>
      <c r="R794" s="17"/>
      <c r="S794" s="17">
        <f>S793+IF(M4_Sectores!A198="",0,1)</f>
        <v>0</v>
      </c>
      <c r="T794" s="17" t="str">
        <f>IF(M4_Sectores!A198="","",IF(M4_Sectores!A198="","",M4_Sectores!A198))</f>
        <v/>
      </c>
      <c r="U794" s="17" t="str">
        <f>IF(M4_Sectores!A198="","",IF(M4_Sectores!Q198="","",M4_Sectores!Q198))</f>
        <v/>
      </c>
      <c r="V794" s="17" t="str">
        <f>IF(M4_Sectores!A198="","",IF(M4_Sectores!D198="","",M4_Sectores!D198))</f>
        <v/>
      </c>
      <c r="W794" s="17" t="str">
        <f>IF(M4_Sectores!A198="","",IF(M4_Sectores!B198="","",M4_Sectores!B198))</f>
        <v/>
      </c>
      <c r="X794" s="17" t="str">
        <f>IF(M4_Sectores!A198="","",IF(M4_Sectores!C198="","",M4_Sectores!C198))</f>
        <v/>
      </c>
      <c r="Y794" s="17" t="str">
        <f>IF(M4_Sectores!A198="","",IF(M4_Sectores!E198="","",M4_Sectores!E198))</f>
        <v/>
      </c>
      <c r="Z794" s="17" t="str">
        <f>IF(M4_Sectores!A198="","",IF(M4_Sectores!F198="","",M4_Sectores!F198))</f>
        <v/>
      </c>
      <c r="AA794" s="17" t="str">
        <f>IF(M4_Sectores!A198="","","M4 Sectores")</f>
        <v/>
      </c>
      <c r="AB794" s="17" t="str">
        <f>IF(M4_Sectores!A198="","",IF(M4_Sectores!G198="","",M4_Sectores!G198))</f>
        <v/>
      </c>
      <c r="AC794" s="17" t="str">
        <f>IF(M4_Sectores!A198="","",IF(COUNTIFS(M4_Sectores!$A$9:A198,M4_Sectores!A198,M4_Sectores!$D$9:D198,M4_Sectores!D198,M4_Sectores!$H$9:H198,M4_Sectores!H198)=1,IF(M4_Sectores!L198="","",M4_Sectores!L198),""))</f>
        <v/>
      </c>
      <c r="AD794" s="17" t="str">
        <f>IF(M4_Sectores!A198="","","EE")</f>
        <v/>
      </c>
      <c r="AE794" s="17" t="str">
        <f>IF(M4_Sectores!A198="","",IF(M4_Sectores!N198="","",M4_Sectores!N198))</f>
        <v/>
      </c>
      <c r="AF794" s="17" t="str">
        <f>IF(M4_Sectores!A198="","",IF(M4_Sectores!O198="","",M4_Sectores!O198))</f>
        <v/>
      </c>
      <c r="AG794" s="17" t="str">
        <f>IF(M4_Sectores!A198="","",IF(M4_Sectores!P198="","",M4_Sectores!P198))</f>
        <v/>
      </c>
      <c r="AH794" s="17" t="str">
        <f>IF(M4_Sectores!A198="","",IF(M4_Sectores!H198="","",M4_Sectores!H198))</f>
        <v/>
      </c>
      <c r="AI794" s="17" t="str">
        <f>IF(M4_Sectores!A198="","","M4_Sectores!198")</f>
        <v/>
      </c>
      <c r="AJ794" s="17" t="str">
        <f>IF(M4_Sectores!A198="","",IF(M4_Sectores!L198="","Pendiente de momento o resultado",IF(COUNTIFS(M4_Sectores!$A$9:A198,M4_Sectores!A198,M4_Sectores!$D$9:D198,M4_Sectores!D198,M4_Sectores!$H$9:H198,M4_Sectores!H198)=1,"Total del momento","Sector incluido en total")))</f>
        <v/>
      </c>
    </row>
    <row r="795" spans="1:36" ht="55.5" customHeight="1">
      <c r="A795" s="6" t="str">
        <f t="array" ref="A795">IF(791&gt;$S$1204,"",INDEX($T$5:$AJ$1204,MATCH(791,$S$5:$S$1204,0),1))</f>
        <v/>
      </c>
      <c r="B795" s="8" t="str">
        <f t="array" ref="B795">IF(791&gt;$S$1204,"",INDEX($T$5:$AJ$1204,MATCH(791,$S$5:$S$1204,0),2))</f>
        <v/>
      </c>
      <c r="C795" s="10" t="str">
        <f t="array" ref="C795">IF(791&gt;$S$1204,"",INDEX($T$5:$AJ$1204,MATCH(791,$S$5:$S$1204,0),3))</f>
        <v/>
      </c>
      <c r="D795" s="8" t="str">
        <f t="array" ref="D795">IF(791&gt;$S$1204,"",INDEX($T$5:$AJ$1204,MATCH(791,$S$5:$S$1204,0),4))</f>
        <v/>
      </c>
      <c r="E795" s="8" t="str">
        <f t="array" ref="E795">IF(791&gt;$S$1204,"",INDEX($T$5:$AJ$1204,MATCH(791,$S$5:$S$1204,0),5))</f>
        <v/>
      </c>
      <c r="F795" s="8" t="str">
        <f t="array" ref="F795">IF(791&gt;$S$1204,"",INDEX($T$5:$AJ$1204,MATCH(791,$S$5:$S$1204,0),6))</f>
        <v/>
      </c>
      <c r="G795" s="8" t="str">
        <f t="array" ref="G795">IF(791&gt;$S$1204,"",INDEX($T$5:$AJ$1204,MATCH(791,$S$5:$S$1204,0),7))</f>
        <v/>
      </c>
      <c r="H795" s="8" t="str">
        <f t="array" ref="H795">IF(791&gt;$S$1204,"",INDEX($T$5:$AJ$1204,MATCH(791,$S$5:$S$1204,0),8))</f>
        <v/>
      </c>
      <c r="I795" s="8" t="str">
        <f t="array" ref="I795">IF(791&gt;$S$1204,"",INDEX($T$5:$AJ$1204,MATCH(791,$S$5:$S$1204,0),9))</f>
        <v/>
      </c>
      <c r="J795" s="14" t="str">
        <f t="array" ref="J795">IF(791&gt;$S$1204,"",INDEX($T$5:$AJ$1204,MATCH(791,$S$5:$S$1204,0),10))</f>
        <v/>
      </c>
      <c r="K795" s="8" t="str">
        <f t="array" ref="K795">IF(791&gt;$S$1204,"",INDEX($T$5:$AJ$1204,MATCH(791,$S$5:$S$1204,0),11))</f>
        <v/>
      </c>
      <c r="L795" s="8" t="str">
        <f t="array" ref="L795">IF(791&gt;$S$1204,"",INDEX($T$5:$AJ$1204,MATCH(791,$S$5:$S$1204,0),12))</f>
        <v/>
      </c>
      <c r="M795" s="8" t="str">
        <f t="array" ref="M795">IF(791&gt;$S$1204,"",INDEX($T$5:$AJ$1204,MATCH(791,$S$5:$S$1204,0),13))</f>
        <v/>
      </c>
      <c r="N795" s="8" t="str">
        <f t="array" ref="N795">IF(791&gt;$S$1204,"",INDEX($T$5:$AJ$1204,MATCH(791,$S$5:$S$1204,0),14))</f>
        <v/>
      </c>
      <c r="O795" s="15" t="str">
        <f t="array" ref="O795">IF(791&gt;$S$1204,"",INDEX($T$5:$AJ$1204,MATCH(791,$S$5:$S$1204,0),15))</f>
        <v/>
      </c>
      <c r="P795" s="8" t="str">
        <f t="array" ref="P795">IF(791&gt;$S$1204,"",INDEX($T$5:$AJ$1204,MATCH(791,$S$5:$S$1204,0),16))</f>
        <v/>
      </c>
      <c r="Q795" s="8" t="str">
        <f t="array" ref="Q795">IF(791&gt;$S$1204,"",INDEX($T$5:$AJ$1204,MATCH(791,$S$5:$S$1204,0),17))</f>
        <v/>
      </c>
      <c r="R795" s="17"/>
      <c r="S795" s="17">
        <f>S794+IF(M4_Sectores!A199="",0,1)</f>
        <v>0</v>
      </c>
      <c r="T795" s="17" t="str">
        <f>IF(M4_Sectores!A199="","",IF(M4_Sectores!A199="","",M4_Sectores!A199))</f>
        <v/>
      </c>
      <c r="U795" s="17" t="str">
        <f>IF(M4_Sectores!A199="","",IF(M4_Sectores!Q199="","",M4_Sectores!Q199))</f>
        <v/>
      </c>
      <c r="V795" s="17" t="str">
        <f>IF(M4_Sectores!A199="","",IF(M4_Sectores!D199="","",M4_Sectores!D199))</f>
        <v/>
      </c>
      <c r="W795" s="17" t="str">
        <f>IF(M4_Sectores!A199="","",IF(M4_Sectores!B199="","",M4_Sectores!B199))</f>
        <v/>
      </c>
      <c r="X795" s="17" t="str">
        <f>IF(M4_Sectores!A199="","",IF(M4_Sectores!C199="","",M4_Sectores!C199))</f>
        <v/>
      </c>
      <c r="Y795" s="17" t="str">
        <f>IF(M4_Sectores!A199="","",IF(M4_Sectores!E199="","",M4_Sectores!E199))</f>
        <v/>
      </c>
      <c r="Z795" s="17" t="str">
        <f>IF(M4_Sectores!A199="","",IF(M4_Sectores!F199="","",M4_Sectores!F199))</f>
        <v/>
      </c>
      <c r="AA795" s="17" t="str">
        <f>IF(M4_Sectores!A199="","","M4 Sectores")</f>
        <v/>
      </c>
      <c r="AB795" s="17" t="str">
        <f>IF(M4_Sectores!A199="","",IF(M4_Sectores!G199="","",M4_Sectores!G199))</f>
        <v/>
      </c>
      <c r="AC795" s="17" t="str">
        <f>IF(M4_Sectores!A199="","",IF(COUNTIFS(M4_Sectores!$A$9:A199,M4_Sectores!A199,M4_Sectores!$D$9:D199,M4_Sectores!D199,M4_Sectores!$H$9:H199,M4_Sectores!H199)=1,IF(M4_Sectores!L199="","",M4_Sectores!L199),""))</f>
        <v/>
      </c>
      <c r="AD795" s="17" t="str">
        <f>IF(M4_Sectores!A199="","","EE")</f>
        <v/>
      </c>
      <c r="AE795" s="17" t="str">
        <f>IF(M4_Sectores!A199="","",IF(M4_Sectores!N199="","",M4_Sectores!N199))</f>
        <v/>
      </c>
      <c r="AF795" s="17" t="str">
        <f>IF(M4_Sectores!A199="","",IF(M4_Sectores!O199="","",M4_Sectores!O199))</f>
        <v/>
      </c>
      <c r="AG795" s="17" t="str">
        <f>IF(M4_Sectores!A199="","",IF(M4_Sectores!P199="","",M4_Sectores!P199))</f>
        <v/>
      </c>
      <c r="AH795" s="17" t="str">
        <f>IF(M4_Sectores!A199="","",IF(M4_Sectores!H199="","",M4_Sectores!H199))</f>
        <v/>
      </c>
      <c r="AI795" s="17" t="str">
        <f>IF(M4_Sectores!A199="","","M4_Sectores!199")</f>
        <v/>
      </c>
      <c r="AJ795" s="17" t="str">
        <f>IF(M4_Sectores!A199="","",IF(M4_Sectores!L199="","Pendiente de momento o resultado",IF(COUNTIFS(M4_Sectores!$A$9:A199,M4_Sectores!A199,M4_Sectores!$D$9:D199,M4_Sectores!D199,M4_Sectores!$H$9:H199,M4_Sectores!H199)=1,"Total del momento","Sector incluido en total")))</f>
        <v/>
      </c>
    </row>
    <row r="796" spans="1:36" ht="55.5" customHeight="1">
      <c r="A796" s="6" t="str">
        <f t="array" ref="A796">IF(792&gt;$S$1204,"",INDEX($T$5:$AJ$1204,MATCH(792,$S$5:$S$1204,0),1))</f>
        <v/>
      </c>
      <c r="B796" s="8" t="str">
        <f t="array" ref="B796">IF(792&gt;$S$1204,"",INDEX($T$5:$AJ$1204,MATCH(792,$S$5:$S$1204,0),2))</f>
        <v/>
      </c>
      <c r="C796" s="10" t="str">
        <f t="array" ref="C796">IF(792&gt;$S$1204,"",INDEX($T$5:$AJ$1204,MATCH(792,$S$5:$S$1204,0),3))</f>
        <v/>
      </c>
      <c r="D796" s="8" t="str">
        <f t="array" ref="D796">IF(792&gt;$S$1204,"",INDEX($T$5:$AJ$1204,MATCH(792,$S$5:$S$1204,0),4))</f>
        <v/>
      </c>
      <c r="E796" s="8" t="str">
        <f t="array" ref="E796">IF(792&gt;$S$1204,"",INDEX($T$5:$AJ$1204,MATCH(792,$S$5:$S$1204,0),5))</f>
        <v/>
      </c>
      <c r="F796" s="8" t="str">
        <f t="array" ref="F796">IF(792&gt;$S$1204,"",INDEX($T$5:$AJ$1204,MATCH(792,$S$5:$S$1204,0),6))</f>
        <v/>
      </c>
      <c r="G796" s="8" t="str">
        <f t="array" ref="G796">IF(792&gt;$S$1204,"",INDEX($T$5:$AJ$1204,MATCH(792,$S$5:$S$1204,0),7))</f>
        <v/>
      </c>
      <c r="H796" s="8" t="str">
        <f t="array" ref="H796">IF(792&gt;$S$1204,"",INDEX($T$5:$AJ$1204,MATCH(792,$S$5:$S$1204,0),8))</f>
        <v/>
      </c>
      <c r="I796" s="8" t="str">
        <f t="array" ref="I796">IF(792&gt;$S$1204,"",INDEX($T$5:$AJ$1204,MATCH(792,$S$5:$S$1204,0),9))</f>
        <v/>
      </c>
      <c r="J796" s="14" t="str">
        <f t="array" ref="J796">IF(792&gt;$S$1204,"",INDEX($T$5:$AJ$1204,MATCH(792,$S$5:$S$1204,0),10))</f>
        <v/>
      </c>
      <c r="K796" s="8" t="str">
        <f t="array" ref="K796">IF(792&gt;$S$1204,"",INDEX($T$5:$AJ$1204,MATCH(792,$S$5:$S$1204,0),11))</f>
        <v/>
      </c>
      <c r="L796" s="8" t="str">
        <f t="array" ref="L796">IF(792&gt;$S$1204,"",INDEX($T$5:$AJ$1204,MATCH(792,$S$5:$S$1204,0),12))</f>
        <v/>
      </c>
      <c r="M796" s="8" t="str">
        <f t="array" ref="M796">IF(792&gt;$S$1204,"",INDEX($T$5:$AJ$1204,MATCH(792,$S$5:$S$1204,0),13))</f>
        <v/>
      </c>
      <c r="N796" s="8" t="str">
        <f t="array" ref="N796">IF(792&gt;$S$1204,"",INDEX($T$5:$AJ$1204,MATCH(792,$S$5:$S$1204,0),14))</f>
        <v/>
      </c>
      <c r="O796" s="15" t="str">
        <f t="array" ref="O796">IF(792&gt;$S$1204,"",INDEX($T$5:$AJ$1204,MATCH(792,$S$5:$S$1204,0),15))</f>
        <v/>
      </c>
      <c r="P796" s="8" t="str">
        <f t="array" ref="P796">IF(792&gt;$S$1204,"",INDEX($T$5:$AJ$1204,MATCH(792,$S$5:$S$1204,0),16))</f>
        <v/>
      </c>
      <c r="Q796" s="8" t="str">
        <f t="array" ref="Q796">IF(792&gt;$S$1204,"",INDEX($T$5:$AJ$1204,MATCH(792,$S$5:$S$1204,0),17))</f>
        <v/>
      </c>
      <c r="R796" s="17"/>
      <c r="S796" s="17">
        <f>S795+IF(M4_Sectores!A200="",0,1)</f>
        <v>0</v>
      </c>
      <c r="T796" s="17" t="str">
        <f>IF(M4_Sectores!A200="","",IF(M4_Sectores!A200="","",M4_Sectores!A200))</f>
        <v/>
      </c>
      <c r="U796" s="17" t="str">
        <f>IF(M4_Sectores!A200="","",IF(M4_Sectores!Q200="","",M4_Sectores!Q200))</f>
        <v/>
      </c>
      <c r="V796" s="17" t="str">
        <f>IF(M4_Sectores!A200="","",IF(M4_Sectores!D200="","",M4_Sectores!D200))</f>
        <v/>
      </c>
      <c r="W796" s="17" t="str">
        <f>IF(M4_Sectores!A200="","",IF(M4_Sectores!B200="","",M4_Sectores!B200))</f>
        <v/>
      </c>
      <c r="X796" s="17" t="str">
        <f>IF(M4_Sectores!A200="","",IF(M4_Sectores!C200="","",M4_Sectores!C200))</f>
        <v/>
      </c>
      <c r="Y796" s="17" t="str">
        <f>IF(M4_Sectores!A200="","",IF(M4_Sectores!E200="","",M4_Sectores!E200))</f>
        <v/>
      </c>
      <c r="Z796" s="17" t="str">
        <f>IF(M4_Sectores!A200="","",IF(M4_Sectores!F200="","",M4_Sectores!F200))</f>
        <v/>
      </c>
      <c r="AA796" s="17" t="str">
        <f>IF(M4_Sectores!A200="","","M4 Sectores")</f>
        <v/>
      </c>
      <c r="AB796" s="17" t="str">
        <f>IF(M4_Sectores!A200="","",IF(M4_Sectores!G200="","",M4_Sectores!G200))</f>
        <v/>
      </c>
      <c r="AC796" s="17" t="str">
        <f>IF(M4_Sectores!A200="","",IF(COUNTIFS(M4_Sectores!$A$9:A200,M4_Sectores!A200,M4_Sectores!$D$9:D200,M4_Sectores!D200,M4_Sectores!$H$9:H200,M4_Sectores!H200)=1,IF(M4_Sectores!L200="","",M4_Sectores!L200),""))</f>
        <v/>
      </c>
      <c r="AD796" s="17" t="str">
        <f>IF(M4_Sectores!A200="","","EE")</f>
        <v/>
      </c>
      <c r="AE796" s="17" t="str">
        <f>IF(M4_Sectores!A200="","",IF(M4_Sectores!N200="","",M4_Sectores!N200))</f>
        <v/>
      </c>
      <c r="AF796" s="17" t="str">
        <f>IF(M4_Sectores!A200="","",IF(M4_Sectores!O200="","",M4_Sectores!O200))</f>
        <v/>
      </c>
      <c r="AG796" s="17" t="str">
        <f>IF(M4_Sectores!A200="","",IF(M4_Sectores!P200="","",M4_Sectores!P200))</f>
        <v/>
      </c>
      <c r="AH796" s="17" t="str">
        <f>IF(M4_Sectores!A200="","",IF(M4_Sectores!H200="","",M4_Sectores!H200))</f>
        <v/>
      </c>
      <c r="AI796" s="17" t="str">
        <f>IF(M4_Sectores!A200="","","M4_Sectores!200")</f>
        <v/>
      </c>
      <c r="AJ796" s="17" t="str">
        <f>IF(M4_Sectores!A200="","",IF(M4_Sectores!L200="","Pendiente de momento o resultado",IF(COUNTIFS(M4_Sectores!$A$9:A200,M4_Sectores!A200,M4_Sectores!$D$9:D200,M4_Sectores!D200,M4_Sectores!$H$9:H200,M4_Sectores!H200)=1,"Total del momento","Sector incluido en total")))</f>
        <v/>
      </c>
    </row>
    <row r="797" spans="1:36" ht="55.5" customHeight="1">
      <c r="A797" s="6" t="str">
        <f t="array" ref="A797">IF(793&gt;$S$1204,"",INDEX($T$5:$AJ$1204,MATCH(793,$S$5:$S$1204,0),1))</f>
        <v/>
      </c>
      <c r="B797" s="8" t="str">
        <f t="array" ref="B797">IF(793&gt;$S$1204,"",INDEX($T$5:$AJ$1204,MATCH(793,$S$5:$S$1204,0),2))</f>
        <v/>
      </c>
      <c r="C797" s="10" t="str">
        <f t="array" ref="C797">IF(793&gt;$S$1204,"",INDEX($T$5:$AJ$1204,MATCH(793,$S$5:$S$1204,0),3))</f>
        <v/>
      </c>
      <c r="D797" s="8" t="str">
        <f t="array" ref="D797">IF(793&gt;$S$1204,"",INDEX($T$5:$AJ$1204,MATCH(793,$S$5:$S$1204,0),4))</f>
        <v/>
      </c>
      <c r="E797" s="8" t="str">
        <f t="array" ref="E797">IF(793&gt;$S$1204,"",INDEX($T$5:$AJ$1204,MATCH(793,$S$5:$S$1204,0),5))</f>
        <v/>
      </c>
      <c r="F797" s="8" t="str">
        <f t="array" ref="F797">IF(793&gt;$S$1204,"",INDEX($T$5:$AJ$1204,MATCH(793,$S$5:$S$1204,0),6))</f>
        <v/>
      </c>
      <c r="G797" s="8" t="str">
        <f t="array" ref="G797">IF(793&gt;$S$1204,"",INDEX($T$5:$AJ$1204,MATCH(793,$S$5:$S$1204,0),7))</f>
        <v/>
      </c>
      <c r="H797" s="8" t="str">
        <f t="array" ref="H797">IF(793&gt;$S$1204,"",INDEX($T$5:$AJ$1204,MATCH(793,$S$5:$S$1204,0),8))</f>
        <v/>
      </c>
      <c r="I797" s="8" t="str">
        <f t="array" ref="I797">IF(793&gt;$S$1204,"",INDEX($T$5:$AJ$1204,MATCH(793,$S$5:$S$1204,0),9))</f>
        <v/>
      </c>
      <c r="J797" s="14" t="str">
        <f t="array" ref="J797">IF(793&gt;$S$1204,"",INDEX($T$5:$AJ$1204,MATCH(793,$S$5:$S$1204,0),10))</f>
        <v/>
      </c>
      <c r="K797" s="8" t="str">
        <f t="array" ref="K797">IF(793&gt;$S$1204,"",INDEX($T$5:$AJ$1204,MATCH(793,$S$5:$S$1204,0),11))</f>
        <v/>
      </c>
      <c r="L797" s="8" t="str">
        <f t="array" ref="L797">IF(793&gt;$S$1204,"",INDEX($T$5:$AJ$1204,MATCH(793,$S$5:$S$1204,0),12))</f>
        <v/>
      </c>
      <c r="M797" s="8" t="str">
        <f t="array" ref="M797">IF(793&gt;$S$1204,"",INDEX($T$5:$AJ$1204,MATCH(793,$S$5:$S$1204,0),13))</f>
        <v/>
      </c>
      <c r="N797" s="8" t="str">
        <f t="array" ref="N797">IF(793&gt;$S$1204,"",INDEX($T$5:$AJ$1204,MATCH(793,$S$5:$S$1204,0),14))</f>
        <v/>
      </c>
      <c r="O797" s="15" t="str">
        <f t="array" ref="O797">IF(793&gt;$S$1204,"",INDEX($T$5:$AJ$1204,MATCH(793,$S$5:$S$1204,0),15))</f>
        <v/>
      </c>
      <c r="P797" s="8" t="str">
        <f t="array" ref="P797">IF(793&gt;$S$1204,"",INDEX($T$5:$AJ$1204,MATCH(793,$S$5:$S$1204,0),16))</f>
        <v/>
      </c>
      <c r="Q797" s="8" t="str">
        <f t="array" ref="Q797">IF(793&gt;$S$1204,"",INDEX($T$5:$AJ$1204,MATCH(793,$S$5:$S$1204,0),17))</f>
        <v/>
      </c>
      <c r="R797" s="17"/>
      <c r="S797" s="17">
        <f>S796+IF(M4_Sectores!A201="",0,1)</f>
        <v>0</v>
      </c>
      <c r="T797" s="17" t="str">
        <f>IF(M4_Sectores!A201="","",IF(M4_Sectores!A201="","",M4_Sectores!A201))</f>
        <v/>
      </c>
      <c r="U797" s="17" t="str">
        <f>IF(M4_Sectores!A201="","",IF(M4_Sectores!Q201="","",M4_Sectores!Q201))</f>
        <v/>
      </c>
      <c r="V797" s="17" t="str">
        <f>IF(M4_Sectores!A201="","",IF(M4_Sectores!D201="","",M4_Sectores!D201))</f>
        <v/>
      </c>
      <c r="W797" s="17" t="str">
        <f>IF(M4_Sectores!A201="","",IF(M4_Sectores!B201="","",M4_Sectores!B201))</f>
        <v/>
      </c>
      <c r="X797" s="17" t="str">
        <f>IF(M4_Sectores!A201="","",IF(M4_Sectores!C201="","",M4_Sectores!C201))</f>
        <v/>
      </c>
      <c r="Y797" s="17" t="str">
        <f>IF(M4_Sectores!A201="","",IF(M4_Sectores!E201="","",M4_Sectores!E201))</f>
        <v/>
      </c>
      <c r="Z797" s="17" t="str">
        <f>IF(M4_Sectores!A201="","",IF(M4_Sectores!F201="","",M4_Sectores!F201))</f>
        <v/>
      </c>
      <c r="AA797" s="17" t="str">
        <f>IF(M4_Sectores!A201="","","M4 Sectores")</f>
        <v/>
      </c>
      <c r="AB797" s="17" t="str">
        <f>IF(M4_Sectores!A201="","",IF(M4_Sectores!G201="","",M4_Sectores!G201))</f>
        <v/>
      </c>
      <c r="AC797" s="17" t="str">
        <f>IF(M4_Sectores!A201="","",IF(COUNTIFS(M4_Sectores!$A$9:A201,M4_Sectores!A201,M4_Sectores!$D$9:D201,M4_Sectores!D201,M4_Sectores!$H$9:H201,M4_Sectores!H201)=1,IF(M4_Sectores!L201="","",M4_Sectores!L201),""))</f>
        <v/>
      </c>
      <c r="AD797" s="17" t="str">
        <f>IF(M4_Sectores!A201="","","EE")</f>
        <v/>
      </c>
      <c r="AE797" s="17" t="str">
        <f>IF(M4_Sectores!A201="","",IF(M4_Sectores!N201="","",M4_Sectores!N201))</f>
        <v/>
      </c>
      <c r="AF797" s="17" t="str">
        <f>IF(M4_Sectores!A201="","",IF(M4_Sectores!O201="","",M4_Sectores!O201))</f>
        <v/>
      </c>
      <c r="AG797" s="17" t="str">
        <f>IF(M4_Sectores!A201="","",IF(M4_Sectores!P201="","",M4_Sectores!P201))</f>
        <v/>
      </c>
      <c r="AH797" s="17" t="str">
        <f>IF(M4_Sectores!A201="","",IF(M4_Sectores!H201="","",M4_Sectores!H201))</f>
        <v/>
      </c>
      <c r="AI797" s="17" t="str">
        <f>IF(M4_Sectores!A201="","","M4_Sectores!201")</f>
        <v/>
      </c>
      <c r="AJ797" s="17" t="str">
        <f>IF(M4_Sectores!A201="","",IF(M4_Sectores!L201="","Pendiente de momento o resultado",IF(COUNTIFS(M4_Sectores!$A$9:A201,M4_Sectores!A201,M4_Sectores!$D$9:D201,M4_Sectores!D201,M4_Sectores!$H$9:H201,M4_Sectores!H201)=1,"Total del momento","Sector incluido en total")))</f>
        <v/>
      </c>
    </row>
    <row r="798" spans="1:36" ht="55.5" customHeight="1">
      <c r="A798" s="6" t="str">
        <f t="array" ref="A798">IF(794&gt;$S$1204,"",INDEX($T$5:$AJ$1204,MATCH(794,$S$5:$S$1204,0),1))</f>
        <v/>
      </c>
      <c r="B798" s="8" t="str">
        <f t="array" ref="B798">IF(794&gt;$S$1204,"",INDEX($T$5:$AJ$1204,MATCH(794,$S$5:$S$1204,0),2))</f>
        <v/>
      </c>
      <c r="C798" s="10" t="str">
        <f t="array" ref="C798">IF(794&gt;$S$1204,"",INDEX($T$5:$AJ$1204,MATCH(794,$S$5:$S$1204,0),3))</f>
        <v/>
      </c>
      <c r="D798" s="8" t="str">
        <f t="array" ref="D798">IF(794&gt;$S$1204,"",INDEX($T$5:$AJ$1204,MATCH(794,$S$5:$S$1204,0),4))</f>
        <v/>
      </c>
      <c r="E798" s="8" t="str">
        <f t="array" ref="E798">IF(794&gt;$S$1204,"",INDEX($T$5:$AJ$1204,MATCH(794,$S$5:$S$1204,0),5))</f>
        <v/>
      </c>
      <c r="F798" s="8" t="str">
        <f t="array" ref="F798">IF(794&gt;$S$1204,"",INDEX($T$5:$AJ$1204,MATCH(794,$S$5:$S$1204,0),6))</f>
        <v/>
      </c>
      <c r="G798" s="8" t="str">
        <f t="array" ref="G798">IF(794&gt;$S$1204,"",INDEX($T$5:$AJ$1204,MATCH(794,$S$5:$S$1204,0),7))</f>
        <v/>
      </c>
      <c r="H798" s="8" t="str">
        <f t="array" ref="H798">IF(794&gt;$S$1204,"",INDEX($T$5:$AJ$1204,MATCH(794,$S$5:$S$1204,0),8))</f>
        <v/>
      </c>
      <c r="I798" s="8" t="str">
        <f t="array" ref="I798">IF(794&gt;$S$1204,"",INDEX($T$5:$AJ$1204,MATCH(794,$S$5:$S$1204,0),9))</f>
        <v/>
      </c>
      <c r="J798" s="14" t="str">
        <f t="array" ref="J798">IF(794&gt;$S$1204,"",INDEX($T$5:$AJ$1204,MATCH(794,$S$5:$S$1204,0),10))</f>
        <v/>
      </c>
      <c r="K798" s="8" t="str">
        <f t="array" ref="K798">IF(794&gt;$S$1204,"",INDEX($T$5:$AJ$1204,MATCH(794,$S$5:$S$1204,0),11))</f>
        <v/>
      </c>
      <c r="L798" s="8" t="str">
        <f t="array" ref="L798">IF(794&gt;$S$1204,"",INDEX($T$5:$AJ$1204,MATCH(794,$S$5:$S$1204,0),12))</f>
        <v/>
      </c>
      <c r="M798" s="8" t="str">
        <f t="array" ref="M798">IF(794&gt;$S$1204,"",INDEX($T$5:$AJ$1204,MATCH(794,$S$5:$S$1204,0),13))</f>
        <v/>
      </c>
      <c r="N798" s="8" t="str">
        <f t="array" ref="N798">IF(794&gt;$S$1204,"",INDEX($T$5:$AJ$1204,MATCH(794,$S$5:$S$1204,0),14))</f>
        <v/>
      </c>
      <c r="O798" s="15" t="str">
        <f t="array" ref="O798">IF(794&gt;$S$1204,"",INDEX($T$5:$AJ$1204,MATCH(794,$S$5:$S$1204,0),15))</f>
        <v/>
      </c>
      <c r="P798" s="8" t="str">
        <f t="array" ref="P798">IF(794&gt;$S$1204,"",INDEX($T$5:$AJ$1204,MATCH(794,$S$5:$S$1204,0),16))</f>
        <v/>
      </c>
      <c r="Q798" s="8" t="str">
        <f t="array" ref="Q798">IF(794&gt;$S$1204,"",INDEX($T$5:$AJ$1204,MATCH(794,$S$5:$S$1204,0),17))</f>
        <v/>
      </c>
      <c r="R798" s="17"/>
      <c r="S798" s="17">
        <f>S797+IF(M4_Sectores!A202="",0,1)</f>
        <v>0</v>
      </c>
      <c r="T798" s="17" t="str">
        <f>IF(M4_Sectores!A202="","",IF(M4_Sectores!A202="","",M4_Sectores!A202))</f>
        <v/>
      </c>
      <c r="U798" s="17" t="str">
        <f>IF(M4_Sectores!A202="","",IF(M4_Sectores!Q202="","",M4_Sectores!Q202))</f>
        <v/>
      </c>
      <c r="V798" s="17" t="str">
        <f>IF(M4_Sectores!A202="","",IF(M4_Sectores!D202="","",M4_Sectores!D202))</f>
        <v/>
      </c>
      <c r="W798" s="17" t="str">
        <f>IF(M4_Sectores!A202="","",IF(M4_Sectores!B202="","",M4_Sectores!B202))</f>
        <v/>
      </c>
      <c r="X798" s="17" t="str">
        <f>IF(M4_Sectores!A202="","",IF(M4_Sectores!C202="","",M4_Sectores!C202))</f>
        <v/>
      </c>
      <c r="Y798" s="17" t="str">
        <f>IF(M4_Sectores!A202="","",IF(M4_Sectores!E202="","",M4_Sectores!E202))</f>
        <v/>
      </c>
      <c r="Z798" s="17" t="str">
        <f>IF(M4_Sectores!A202="","",IF(M4_Sectores!F202="","",M4_Sectores!F202))</f>
        <v/>
      </c>
      <c r="AA798" s="17" t="str">
        <f>IF(M4_Sectores!A202="","","M4 Sectores")</f>
        <v/>
      </c>
      <c r="AB798" s="17" t="str">
        <f>IF(M4_Sectores!A202="","",IF(M4_Sectores!G202="","",M4_Sectores!G202))</f>
        <v/>
      </c>
      <c r="AC798" s="17" t="str">
        <f>IF(M4_Sectores!A202="","",IF(COUNTIFS(M4_Sectores!$A$9:A202,M4_Sectores!A202,M4_Sectores!$D$9:D202,M4_Sectores!D202,M4_Sectores!$H$9:H202,M4_Sectores!H202)=1,IF(M4_Sectores!L202="","",M4_Sectores!L202),""))</f>
        <v/>
      </c>
      <c r="AD798" s="17" t="str">
        <f>IF(M4_Sectores!A202="","","EE")</f>
        <v/>
      </c>
      <c r="AE798" s="17" t="str">
        <f>IF(M4_Sectores!A202="","",IF(M4_Sectores!N202="","",M4_Sectores!N202))</f>
        <v/>
      </c>
      <c r="AF798" s="17" t="str">
        <f>IF(M4_Sectores!A202="","",IF(M4_Sectores!O202="","",M4_Sectores!O202))</f>
        <v/>
      </c>
      <c r="AG798" s="17" t="str">
        <f>IF(M4_Sectores!A202="","",IF(M4_Sectores!P202="","",M4_Sectores!P202))</f>
        <v/>
      </c>
      <c r="AH798" s="17" t="str">
        <f>IF(M4_Sectores!A202="","",IF(M4_Sectores!H202="","",M4_Sectores!H202))</f>
        <v/>
      </c>
      <c r="AI798" s="17" t="str">
        <f>IF(M4_Sectores!A202="","","M4_Sectores!202")</f>
        <v/>
      </c>
      <c r="AJ798" s="17" t="str">
        <f>IF(M4_Sectores!A202="","",IF(M4_Sectores!L202="","Pendiente de momento o resultado",IF(COUNTIFS(M4_Sectores!$A$9:A202,M4_Sectores!A202,M4_Sectores!$D$9:D202,M4_Sectores!D202,M4_Sectores!$H$9:H202,M4_Sectores!H202)=1,"Total del momento","Sector incluido en total")))</f>
        <v/>
      </c>
    </row>
    <row r="799" spans="1:36" ht="55.5" customHeight="1">
      <c r="A799" s="6" t="str">
        <f t="array" ref="A799">IF(795&gt;$S$1204,"",INDEX($T$5:$AJ$1204,MATCH(795,$S$5:$S$1204,0),1))</f>
        <v/>
      </c>
      <c r="B799" s="8" t="str">
        <f t="array" ref="B799">IF(795&gt;$S$1204,"",INDEX($T$5:$AJ$1204,MATCH(795,$S$5:$S$1204,0),2))</f>
        <v/>
      </c>
      <c r="C799" s="10" t="str">
        <f t="array" ref="C799">IF(795&gt;$S$1204,"",INDEX($T$5:$AJ$1204,MATCH(795,$S$5:$S$1204,0),3))</f>
        <v/>
      </c>
      <c r="D799" s="8" t="str">
        <f t="array" ref="D799">IF(795&gt;$S$1204,"",INDEX($T$5:$AJ$1204,MATCH(795,$S$5:$S$1204,0),4))</f>
        <v/>
      </c>
      <c r="E799" s="8" t="str">
        <f t="array" ref="E799">IF(795&gt;$S$1204,"",INDEX($T$5:$AJ$1204,MATCH(795,$S$5:$S$1204,0),5))</f>
        <v/>
      </c>
      <c r="F799" s="8" t="str">
        <f t="array" ref="F799">IF(795&gt;$S$1204,"",INDEX($T$5:$AJ$1204,MATCH(795,$S$5:$S$1204,0),6))</f>
        <v/>
      </c>
      <c r="G799" s="8" t="str">
        <f t="array" ref="G799">IF(795&gt;$S$1204,"",INDEX($T$5:$AJ$1204,MATCH(795,$S$5:$S$1204,0),7))</f>
        <v/>
      </c>
      <c r="H799" s="8" t="str">
        <f t="array" ref="H799">IF(795&gt;$S$1204,"",INDEX($T$5:$AJ$1204,MATCH(795,$S$5:$S$1204,0),8))</f>
        <v/>
      </c>
      <c r="I799" s="8" t="str">
        <f t="array" ref="I799">IF(795&gt;$S$1204,"",INDEX($T$5:$AJ$1204,MATCH(795,$S$5:$S$1204,0),9))</f>
        <v/>
      </c>
      <c r="J799" s="14" t="str">
        <f t="array" ref="J799">IF(795&gt;$S$1204,"",INDEX($T$5:$AJ$1204,MATCH(795,$S$5:$S$1204,0),10))</f>
        <v/>
      </c>
      <c r="K799" s="8" t="str">
        <f t="array" ref="K799">IF(795&gt;$S$1204,"",INDEX($T$5:$AJ$1204,MATCH(795,$S$5:$S$1204,0),11))</f>
        <v/>
      </c>
      <c r="L799" s="8" t="str">
        <f t="array" ref="L799">IF(795&gt;$S$1204,"",INDEX($T$5:$AJ$1204,MATCH(795,$S$5:$S$1204,0),12))</f>
        <v/>
      </c>
      <c r="M799" s="8" t="str">
        <f t="array" ref="M799">IF(795&gt;$S$1204,"",INDEX($T$5:$AJ$1204,MATCH(795,$S$5:$S$1204,0),13))</f>
        <v/>
      </c>
      <c r="N799" s="8" t="str">
        <f t="array" ref="N799">IF(795&gt;$S$1204,"",INDEX($T$5:$AJ$1204,MATCH(795,$S$5:$S$1204,0),14))</f>
        <v/>
      </c>
      <c r="O799" s="15" t="str">
        <f t="array" ref="O799">IF(795&gt;$S$1204,"",INDEX($T$5:$AJ$1204,MATCH(795,$S$5:$S$1204,0),15))</f>
        <v/>
      </c>
      <c r="P799" s="8" t="str">
        <f t="array" ref="P799">IF(795&gt;$S$1204,"",INDEX($T$5:$AJ$1204,MATCH(795,$S$5:$S$1204,0),16))</f>
        <v/>
      </c>
      <c r="Q799" s="8" t="str">
        <f t="array" ref="Q799">IF(795&gt;$S$1204,"",INDEX($T$5:$AJ$1204,MATCH(795,$S$5:$S$1204,0),17))</f>
        <v/>
      </c>
      <c r="R799" s="17"/>
      <c r="S799" s="17">
        <f>S798+IF(M4_Sectores!A203="",0,1)</f>
        <v>0</v>
      </c>
      <c r="T799" s="17" t="str">
        <f>IF(M4_Sectores!A203="","",IF(M4_Sectores!A203="","",M4_Sectores!A203))</f>
        <v/>
      </c>
      <c r="U799" s="17" t="str">
        <f>IF(M4_Sectores!A203="","",IF(M4_Sectores!Q203="","",M4_Sectores!Q203))</f>
        <v/>
      </c>
      <c r="V799" s="17" t="str">
        <f>IF(M4_Sectores!A203="","",IF(M4_Sectores!D203="","",M4_Sectores!D203))</f>
        <v/>
      </c>
      <c r="W799" s="17" t="str">
        <f>IF(M4_Sectores!A203="","",IF(M4_Sectores!B203="","",M4_Sectores!B203))</f>
        <v/>
      </c>
      <c r="X799" s="17" t="str">
        <f>IF(M4_Sectores!A203="","",IF(M4_Sectores!C203="","",M4_Sectores!C203))</f>
        <v/>
      </c>
      <c r="Y799" s="17" t="str">
        <f>IF(M4_Sectores!A203="","",IF(M4_Sectores!E203="","",M4_Sectores!E203))</f>
        <v/>
      </c>
      <c r="Z799" s="17" t="str">
        <f>IF(M4_Sectores!A203="","",IF(M4_Sectores!F203="","",M4_Sectores!F203))</f>
        <v/>
      </c>
      <c r="AA799" s="17" t="str">
        <f>IF(M4_Sectores!A203="","","M4 Sectores")</f>
        <v/>
      </c>
      <c r="AB799" s="17" t="str">
        <f>IF(M4_Sectores!A203="","",IF(M4_Sectores!G203="","",M4_Sectores!G203))</f>
        <v/>
      </c>
      <c r="AC799" s="17" t="str">
        <f>IF(M4_Sectores!A203="","",IF(COUNTIFS(M4_Sectores!$A$9:A203,M4_Sectores!A203,M4_Sectores!$D$9:D203,M4_Sectores!D203,M4_Sectores!$H$9:H203,M4_Sectores!H203)=1,IF(M4_Sectores!L203="","",M4_Sectores!L203),""))</f>
        <v/>
      </c>
      <c r="AD799" s="17" t="str">
        <f>IF(M4_Sectores!A203="","","EE")</f>
        <v/>
      </c>
      <c r="AE799" s="17" t="str">
        <f>IF(M4_Sectores!A203="","",IF(M4_Sectores!N203="","",M4_Sectores!N203))</f>
        <v/>
      </c>
      <c r="AF799" s="17" t="str">
        <f>IF(M4_Sectores!A203="","",IF(M4_Sectores!O203="","",M4_Sectores!O203))</f>
        <v/>
      </c>
      <c r="AG799" s="17" t="str">
        <f>IF(M4_Sectores!A203="","",IF(M4_Sectores!P203="","",M4_Sectores!P203))</f>
        <v/>
      </c>
      <c r="AH799" s="17" t="str">
        <f>IF(M4_Sectores!A203="","",IF(M4_Sectores!H203="","",M4_Sectores!H203))</f>
        <v/>
      </c>
      <c r="AI799" s="17" t="str">
        <f>IF(M4_Sectores!A203="","","M4_Sectores!203")</f>
        <v/>
      </c>
      <c r="AJ799" s="17" t="str">
        <f>IF(M4_Sectores!A203="","",IF(M4_Sectores!L203="","Pendiente de momento o resultado",IF(COUNTIFS(M4_Sectores!$A$9:A203,M4_Sectores!A203,M4_Sectores!$D$9:D203,M4_Sectores!D203,M4_Sectores!$H$9:H203,M4_Sectores!H203)=1,"Total del momento","Sector incluido en total")))</f>
        <v/>
      </c>
    </row>
    <row r="800" spans="1:36" ht="55.5" customHeight="1">
      <c r="A800" s="6" t="str">
        <f t="array" ref="A800">IF(796&gt;$S$1204,"",INDEX($T$5:$AJ$1204,MATCH(796,$S$5:$S$1204,0),1))</f>
        <v/>
      </c>
      <c r="B800" s="8" t="str">
        <f t="array" ref="B800">IF(796&gt;$S$1204,"",INDEX($T$5:$AJ$1204,MATCH(796,$S$5:$S$1204,0),2))</f>
        <v/>
      </c>
      <c r="C800" s="10" t="str">
        <f t="array" ref="C800">IF(796&gt;$S$1204,"",INDEX($T$5:$AJ$1204,MATCH(796,$S$5:$S$1204,0),3))</f>
        <v/>
      </c>
      <c r="D800" s="8" t="str">
        <f t="array" ref="D800">IF(796&gt;$S$1204,"",INDEX($T$5:$AJ$1204,MATCH(796,$S$5:$S$1204,0),4))</f>
        <v/>
      </c>
      <c r="E800" s="8" t="str">
        <f t="array" ref="E800">IF(796&gt;$S$1204,"",INDEX($T$5:$AJ$1204,MATCH(796,$S$5:$S$1204,0),5))</f>
        <v/>
      </c>
      <c r="F800" s="8" t="str">
        <f t="array" ref="F800">IF(796&gt;$S$1204,"",INDEX($T$5:$AJ$1204,MATCH(796,$S$5:$S$1204,0),6))</f>
        <v/>
      </c>
      <c r="G800" s="8" t="str">
        <f t="array" ref="G800">IF(796&gt;$S$1204,"",INDEX($T$5:$AJ$1204,MATCH(796,$S$5:$S$1204,0),7))</f>
        <v/>
      </c>
      <c r="H800" s="8" t="str">
        <f t="array" ref="H800">IF(796&gt;$S$1204,"",INDEX($T$5:$AJ$1204,MATCH(796,$S$5:$S$1204,0),8))</f>
        <v/>
      </c>
      <c r="I800" s="8" t="str">
        <f t="array" ref="I800">IF(796&gt;$S$1204,"",INDEX($T$5:$AJ$1204,MATCH(796,$S$5:$S$1204,0),9))</f>
        <v/>
      </c>
      <c r="J800" s="14" t="str">
        <f t="array" ref="J800">IF(796&gt;$S$1204,"",INDEX($T$5:$AJ$1204,MATCH(796,$S$5:$S$1204,0),10))</f>
        <v/>
      </c>
      <c r="K800" s="8" t="str">
        <f t="array" ref="K800">IF(796&gt;$S$1204,"",INDEX($T$5:$AJ$1204,MATCH(796,$S$5:$S$1204,0),11))</f>
        <v/>
      </c>
      <c r="L800" s="8" t="str">
        <f t="array" ref="L800">IF(796&gt;$S$1204,"",INDEX($T$5:$AJ$1204,MATCH(796,$S$5:$S$1204,0),12))</f>
        <v/>
      </c>
      <c r="M800" s="8" t="str">
        <f t="array" ref="M800">IF(796&gt;$S$1204,"",INDEX($T$5:$AJ$1204,MATCH(796,$S$5:$S$1204,0),13))</f>
        <v/>
      </c>
      <c r="N800" s="8" t="str">
        <f t="array" ref="N800">IF(796&gt;$S$1204,"",INDEX($T$5:$AJ$1204,MATCH(796,$S$5:$S$1204,0),14))</f>
        <v/>
      </c>
      <c r="O800" s="15" t="str">
        <f t="array" ref="O800">IF(796&gt;$S$1204,"",INDEX($T$5:$AJ$1204,MATCH(796,$S$5:$S$1204,0),15))</f>
        <v/>
      </c>
      <c r="P800" s="8" t="str">
        <f t="array" ref="P800">IF(796&gt;$S$1204,"",INDEX($T$5:$AJ$1204,MATCH(796,$S$5:$S$1204,0),16))</f>
        <v/>
      </c>
      <c r="Q800" s="8" t="str">
        <f t="array" ref="Q800">IF(796&gt;$S$1204,"",INDEX($T$5:$AJ$1204,MATCH(796,$S$5:$S$1204,0),17))</f>
        <v/>
      </c>
      <c r="R800" s="17"/>
      <c r="S800" s="17">
        <f>S799+IF(M4_Sectores!A204="",0,1)</f>
        <v>0</v>
      </c>
      <c r="T800" s="17" t="str">
        <f>IF(M4_Sectores!A204="","",IF(M4_Sectores!A204="","",M4_Sectores!A204))</f>
        <v/>
      </c>
      <c r="U800" s="17" t="str">
        <f>IF(M4_Sectores!A204="","",IF(M4_Sectores!Q204="","",M4_Sectores!Q204))</f>
        <v/>
      </c>
      <c r="V800" s="17" t="str">
        <f>IF(M4_Sectores!A204="","",IF(M4_Sectores!D204="","",M4_Sectores!D204))</f>
        <v/>
      </c>
      <c r="W800" s="17" t="str">
        <f>IF(M4_Sectores!A204="","",IF(M4_Sectores!B204="","",M4_Sectores!B204))</f>
        <v/>
      </c>
      <c r="X800" s="17" t="str">
        <f>IF(M4_Sectores!A204="","",IF(M4_Sectores!C204="","",M4_Sectores!C204))</f>
        <v/>
      </c>
      <c r="Y800" s="17" t="str">
        <f>IF(M4_Sectores!A204="","",IF(M4_Sectores!E204="","",M4_Sectores!E204))</f>
        <v/>
      </c>
      <c r="Z800" s="17" t="str">
        <f>IF(M4_Sectores!A204="","",IF(M4_Sectores!F204="","",M4_Sectores!F204))</f>
        <v/>
      </c>
      <c r="AA800" s="17" t="str">
        <f>IF(M4_Sectores!A204="","","M4 Sectores")</f>
        <v/>
      </c>
      <c r="AB800" s="17" t="str">
        <f>IF(M4_Sectores!A204="","",IF(M4_Sectores!G204="","",M4_Sectores!G204))</f>
        <v/>
      </c>
      <c r="AC800" s="17" t="str">
        <f>IF(M4_Sectores!A204="","",IF(COUNTIFS(M4_Sectores!$A$9:A204,M4_Sectores!A204,M4_Sectores!$D$9:D204,M4_Sectores!D204,M4_Sectores!$H$9:H204,M4_Sectores!H204)=1,IF(M4_Sectores!L204="","",M4_Sectores!L204),""))</f>
        <v/>
      </c>
      <c r="AD800" s="17" t="str">
        <f>IF(M4_Sectores!A204="","","EE")</f>
        <v/>
      </c>
      <c r="AE800" s="17" t="str">
        <f>IF(M4_Sectores!A204="","",IF(M4_Sectores!N204="","",M4_Sectores!N204))</f>
        <v/>
      </c>
      <c r="AF800" s="17" t="str">
        <f>IF(M4_Sectores!A204="","",IF(M4_Sectores!O204="","",M4_Sectores!O204))</f>
        <v/>
      </c>
      <c r="AG800" s="17" t="str">
        <f>IF(M4_Sectores!A204="","",IF(M4_Sectores!P204="","",M4_Sectores!P204))</f>
        <v/>
      </c>
      <c r="AH800" s="17" t="str">
        <f>IF(M4_Sectores!A204="","",IF(M4_Sectores!H204="","",M4_Sectores!H204))</f>
        <v/>
      </c>
      <c r="AI800" s="17" t="str">
        <f>IF(M4_Sectores!A204="","","M4_Sectores!204")</f>
        <v/>
      </c>
      <c r="AJ800" s="17" t="str">
        <f>IF(M4_Sectores!A204="","",IF(M4_Sectores!L204="","Pendiente de momento o resultado",IF(COUNTIFS(M4_Sectores!$A$9:A204,M4_Sectores!A204,M4_Sectores!$D$9:D204,M4_Sectores!D204,M4_Sectores!$H$9:H204,M4_Sectores!H204)=1,"Total del momento","Sector incluido en total")))</f>
        <v/>
      </c>
    </row>
    <row r="801" spans="1:36" ht="55.5" customHeight="1">
      <c r="A801" s="6" t="str">
        <f t="array" ref="A801">IF(797&gt;$S$1204,"",INDEX($T$5:$AJ$1204,MATCH(797,$S$5:$S$1204,0),1))</f>
        <v/>
      </c>
      <c r="B801" s="8" t="str">
        <f t="array" ref="B801">IF(797&gt;$S$1204,"",INDEX($T$5:$AJ$1204,MATCH(797,$S$5:$S$1204,0),2))</f>
        <v/>
      </c>
      <c r="C801" s="10" t="str">
        <f t="array" ref="C801">IF(797&gt;$S$1204,"",INDEX($T$5:$AJ$1204,MATCH(797,$S$5:$S$1204,0),3))</f>
        <v/>
      </c>
      <c r="D801" s="8" t="str">
        <f t="array" ref="D801">IF(797&gt;$S$1204,"",INDEX($T$5:$AJ$1204,MATCH(797,$S$5:$S$1204,0),4))</f>
        <v/>
      </c>
      <c r="E801" s="8" t="str">
        <f t="array" ref="E801">IF(797&gt;$S$1204,"",INDEX($T$5:$AJ$1204,MATCH(797,$S$5:$S$1204,0),5))</f>
        <v/>
      </c>
      <c r="F801" s="8" t="str">
        <f t="array" ref="F801">IF(797&gt;$S$1204,"",INDEX($T$5:$AJ$1204,MATCH(797,$S$5:$S$1204,0),6))</f>
        <v/>
      </c>
      <c r="G801" s="8" t="str">
        <f t="array" ref="G801">IF(797&gt;$S$1204,"",INDEX($T$5:$AJ$1204,MATCH(797,$S$5:$S$1204,0),7))</f>
        <v/>
      </c>
      <c r="H801" s="8" t="str">
        <f t="array" ref="H801">IF(797&gt;$S$1204,"",INDEX($T$5:$AJ$1204,MATCH(797,$S$5:$S$1204,0),8))</f>
        <v/>
      </c>
      <c r="I801" s="8" t="str">
        <f t="array" ref="I801">IF(797&gt;$S$1204,"",INDEX($T$5:$AJ$1204,MATCH(797,$S$5:$S$1204,0),9))</f>
        <v/>
      </c>
      <c r="J801" s="14" t="str">
        <f t="array" ref="J801">IF(797&gt;$S$1204,"",INDEX($T$5:$AJ$1204,MATCH(797,$S$5:$S$1204,0),10))</f>
        <v/>
      </c>
      <c r="K801" s="8" t="str">
        <f t="array" ref="K801">IF(797&gt;$S$1204,"",INDEX($T$5:$AJ$1204,MATCH(797,$S$5:$S$1204,0),11))</f>
        <v/>
      </c>
      <c r="L801" s="8" t="str">
        <f t="array" ref="L801">IF(797&gt;$S$1204,"",INDEX($T$5:$AJ$1204,MATCH(797,$S$5:$S$1204,0),12))</f>
        <v/>
      </c>
      <c r="M801" s="8" t="str">
        <f t="array" ref="M801">IF(797&gt;$S$1204,"",INDEX($T$5:$AJ$1204,MATCH(797,$S$5:$S$1204,0),13))</f>
        <v/>
      </c>
      <c r="N801" s="8" t="str">
        <f t="array" ref="N801">IF(797&gt;$S$1204,"",INDEX($T$5:$AJ$1204,MATCH(797,$S$5:$S$1204,0),14))</f>
        <v/>
      </c>
      <c r="O801" s="15" t="str">
        <f t="array" ref="O801">IF(797&gt;$S$1204,"",INDEX($T$5:$AJ$1204,MATCH(797,$S$5:$S$1204,0),15))</f>
        <v/>
      </c>
      <c r="P801" s="8" t="str">
        <f t="array" ref="P801">IF(797&gt;$S$1204,"",INDEX($T$5:$AJ$1204,MATCH(797,$S$5:$S$1204,0),16))</f>
        <v/>
      </c>
      <c r="Q801" s="8" t="str">
        <f t="array" ref="Q801">IF(797&gt;$S$1204,"",INDEX($T$5:$AJ$1204,MATCH(797,$S$5:$S$1204,0),17))</f>
        <v/>
      </c>
      <c r="R801" s="17"/>
      <c r="S801" s="17">
        <f>S800+IF(M4_Sectores!A205="",0,1)</f>
        <v>0</v>
      </c>
      <c r="T801" s="17" t="str">
        <f>IF(M4_Sectores!A205="","",IF(M4_Sectores!A205="","",M4_Sectores!A205))</f>
        <v/>
      </c>
      <c r="U801" s="17" t="str">
        <f>IF(M4_Sectores!A205="","",IF(M4_Sectores!Q205="","",M4_Sectores!Q205))</f>
        <v/>
      </c>
      <c r="V801" s="17" t="str">
        <f>IF(M4_Sectores!A205="","",IF(M4_Sectores!D205="","",M4_Sectores!D205))</f>
        <v/>
      </c>
      <c r="W801" s="17" t="str">
        <f>IF(M4_Sectores!A205="","",IF(M4_Sectores!B205="","",M4_Sectores!B205))</f>
        <v/>
      </c>
      <c r="X801" s="17" t="str">
        <f>IF(M4_Sectores!A205="","",IF(M4_Sectores!C205="","",M4_Sectores!C205))</f>
        <v/>
      </c>
      <c r="Y801" s="17" t="str">
        <f>IF(M4_Sectores!A205="","",IF(M4_Sectores!E205="","",M4_Sectores!E205))</f>
        <v/>
      </c>
      <c r="Z801" s="17" t="str">
        <f>IF(M4_Sectores!A205="","",IF(M4_Sectores!F205="","",M4_Sectores!F205))</f>
        <v/>
      </c>
      <c r="AA801" s="17" t="str">
        <f>IF(M4_Sectores!A205="","","M4 Sectores")</f>
        <v/>
      </c>
      <c r="AB801" s="17" t="str">
        <f>IF(M4_Sectores!A205="","",IF(M4_Sectores!G205="","",M4_Sectores!G205))</f>
        <v/>
      </c>
      <c r="AC801" s="17" t="str">
        <f>IF(M4_Sectores!A205="","",IF(COUNTIFS(M4_Sectores!$A$9:A205,M4_Sectores!A205,M4_Sectores!$D$9:D205,M4_Sectores!D205,M4_Sectores!$H$9:H205,M4_Sectores!H205)=1,IF(M4_Sectores!L205="","",M4_Sectores!L205),""))</f>
        <v/>
      </c>
      <c r="AD801" s="17" t="str">
        <f>IF(M4_Sectores!A205="","","EE")</f>
        <v/>
      </c>
      <c r="AE801" s="17" t="str">
        <f>IF(M4_Sectores!A205="","",IF(M4_Sectores!N205="","",M4_Sectores!N205))</f>
        <v/>
      </c>
      <c r="AF801" s="17" t="str">
        <f>IF(M4_Sectores!A205="","",IF(M4_Sectores!O205="","",M4_Sectores!O205))</f>
        <v/>
      </c>
      <c r="AG801" s="17" t="str">
        <f>IF(M4_Sectores!A205="","",IF(M4_Sectores!P205="","",M4_Sectores!P205))</f>
        <v/>
      </c>
      <c r="AH801" s="17" t="str">
        <f>IF(M4_Sectores!A205="","",IF(M4_Sectores!H205="","",M4_Sectores!H205))</f>
        <v/>
      </c>
      <c r="AI801" s="17" t="str">
        <f>IF(M4_Sectores!A205="","","M4_Sectores!205")</f>
        <v/>
      </c>
      <c r="AJ801" s="17" t="str">
        <f>IF(M4_Sectores!A205="","",IF(M4_Sectores!L205="","Pendiente de momento o resultado",IF(COUNTIFS(M4_Sectores!$A$9:A205,M4_Sectores!A205,M4_Sectores!$D$9:D205,M4_Sectores!D205,M4_Sectores!$H$9:H205,M4_Sectores!H205)=1,"Total del momento","Sector incluido en total")))</f>
        <v/>
      </c>
    </row>
    <row r="802" spans="1:36" ht="55.5" customHeight="1">
      <c r="A802" s="6" t="str">
        <f t="array" ref="A802">IF(798&gt;$S$1204,"",INDEX($T$5:$AJ$1204,MATCH(798,$S$5:$S$1204,0),1))</f>
        <v/>
      </c>
      <c r="B802" s="8" t="str">
        <f t="array" ref="B802">IF(798&gt;$S$1204,"",INDEX($T$5:$AJ$1204,MATCH(798,$S$5:$S$1204,0),2))</f>
        <v/>
      </c>
      <c r="C802" s="10" t="str">
        <f t="array" ref="C802">IF(798&gt;$S$1204,"",INDEX($T$5:$AJ$1204,MATCH(798,$S$5:$S$1204,0),3))</f>
        <v/>
      </c>
      <c r="D802" s="8" t="str">
        <f t="array" ref="D802">IF(798&gt;$S$1204,"",INDEX($T$5:$AJ$1204,MATCH(798,$S$5:$S$1204,0),4))</f>
        <v/>
      </c>
      <c r="E802" s="8" t="str">
        <f t="array" ref="E802">IF(798&gt;$S$1204,"",INDEX($T$5:$AJ$1204,MATCH(798,$S$5:$S$1204,0),5))</f>
        <v/>
      </c>
      <c r="F802" s="8" t="str">
        <f t="array" ref="F802">IF(798&gt;$S$1204,"",INDEX($T$5:$AJ$1204,MATCH(798,$S$5:$S$1204,0),6))</f>
        <v/>
      </c>
      <c r="G802" s="8" t="str">
        <f t="array" ref="G802">IF(798&gt;$S$1204,"",INDEX($T$5:$AJ$1204,MATCH(798,$S$5:$S$1204,0),7))</f>
        <v/>
      </c>
      <c r="H802" s="8" t="str">
        <f t="array" ref="H802">IF(798&gt;$S$1204,"",INDEX($T$5:$AJ$1204,MATCH(798,$S$5:$S$1204,0),8))</f>
        <v/>
      </c>
      <c r="I802" s="8" t="str">
        <f t="array" ref="I802">IF(798&gt;$S$1204,"",INDEX($T$5:$AJ$1204,MATCH(798,$S$5:$S$1204,0),9))</f>
        <v/>
      </c>
      <c r="J802" s="14" t="str">
        <f t="array" ref="J802">IF(798&gt;$S$1204,"",INDEX($T$5:$AJ$1204,MATCH(798,$S$5:$S$1204,0),10))</f>
        <v/>
      </c>
      <c r="K802" s="8" t="str">
        <f t="array" ref="K802">IF(798&gt;$S$1204,"",INDEX($T$5:$AJ$1204,MATCH(798,$S$5:$S$1204,0),11))</f>
        <v/>
      </c>
      <c r="L802" s="8" t="str">
        <f t="array" ref="L802">IF(798&gt;$S$1204,"",INDEX($T$5:$AJ$1204,MATCH(798,$S$5:$S$1204,0),12))</f>
        <v/>
      </c>
      <c r="M802" s="8" t="str">
        <f t="array" ref="M802">IF(798&gt;$S$1204,"",INDEX($T$5:$AJ$1204,MATCH(798,$S$5:$S$1204,0),13))</f>
        <v/>
      </c>
      <c r="N802" s="8" t="str">
        <f t="array" ref="N802">IF(798&gt;$S$1204,"",INDEX($T$5:$AJ$1204,MATCH(798,$S$5:$S$1204,0),14))</f>
        <v/>
      </c>
      <c r="O802" s="15" t="str">
        <f t="array" ref="O802">IF(798&gt;$S$1204,"",INDEX($T$5:$AJ$1204,MATCH(798,$S$5:$S$1204,0),15))</f>
        <v/>
      </c>
      <c r="P802" s="8" t="str">
        <f t="array" ref="P802">IF(798&gt;$S$1204,"",INDEX($T$5:$AJ$1204,MATCH(798,$S$5:$S$1204,0),16))</f>
        <v/>
      </c>
      <c r="Q802" s="8" t="str">
        <f t="array" ref="Q802">IF(798&gt;$S$1204,"",INDEX($T$5:$AJ$1204,MATCH(798,$S$5:$S$1204,0),17))</f>
        <v/>
      </c>
      <c r="R802" s="17"/>
      <c r="S802" s="17">
        <f>S801+IF(M4_Sectores!A206="",0,1)</f>
        <v>0</v>
      </c>
      <c r="T802" s="17" t="str">
        <f>IF(M4_Sectores!A206="","",IF(M4_Sectores!A206="","",M4_Sectores!A206))</f>
        <v/>
      </c>
      <c r="U802" s="17" t="str">
        <f>IF(M4_Sectores!A206="","",IF(M4_Sectores!Q206="","",M4_Sectores!Q206))</f>
        <v/>
      </c>
      <c r="V802" s="17" t="str">
        <f>IF(M4_Sectores!A206="","",IF(M4_Sectores!D206="","",M4_Sectores!D206))</f>
        <v/>
      </c>
      <c r="W802" s="17" t="str">
        <f>IF(M4_Sectores!A206="","",IF(M4_Sectores!B206="","",M4_Sectores!B206))</f>
        <v/>
      </c>
      <c r="X802" s="17" t="str">
        <f>IF(M4_Sectores!A206="","",IF(M4_Sectores!C206="","",M4_Sectores!C206))</f>
        <v/>
      </c>
      <c r="Y802" s="17" t="str">
        <f>IF(M4_Sectores!A206="","",IF(M4_Sectores!E206="","",M4_Sectores!E206))</f>
        <v/>
      </c>
      <c r="Z802" s="17" t="str">
        <f>IF(M4_Sectores!A206="","",IF(M4_Sectores!F206="","",M4_Sectores!F206))</f>
        <v/>
      </c>
      <c r="AA802" s="17" t="str">
        <f>IF(M4_Sectores!A206="","","M4 Sectores")</f>
        <v/>
      </c>
      <c r="AB802" s="17" t="str">
        <f>IF(M4_Sectores!A206="","",IF(M4_Sectores!G206="","",M4_Sectores!G206))</f>
        <v/>
      </c>
      <c r="AC802" s="17" t="str">
        <f>IF(M4_Sectores!A206="","",IF(COUNTIFS(M4_Sectores!$A$9:A206,M4_Sectores!A206,M4_Sectores!$D$9:D206,M4_Sectores!D206,M4_Sectores!$H$9:H206,M4_Sectores!H206)=1,IF(M4_Sectores!L206="","",M4_Sectores!L206),""))</f>
        <v/>
      </c>
      <c r="AD802" s="17" t="str">
        <f>IF(M4_Sectores!A206="","","EE")</f>
        <v/>
      </c>
      <c r="AE802" s="17" t="str">
        <f>IF(M4_Sectores!A206="","",IF(M4_Sectores!N206="","",M4_Sectores!N206))</f>
        <v/>
      </c>
      <c r="AF802" s="17" t="str">
        <f>IF(M4_Sectores!A206="","",IF(M4_Sectores!O206="","",M4_Sectores!O206))</f>
        <v/>
      </c>
      <c r="AG802" s="17" t="str">
        <f>IF(M4_Sectores!A206="","",IF(M4_Sectores!P206="","",M4_Sectores!P206))</f>
        <v/>
      </c>
      <c r="AH802" s="17" t="str">
        <f>IF(M4_Sectores!A206="","",IF(M4_Sectores!H206="","",M4_Sectores!H206))</f>
        <v/>
      </c>
      <c r="AI802" s="17" t="str">
        <f>IF(M4_Sectores!A206="","","M4_Sectores!206")</f>
        <v/>
      </c>
      <c r="AJ802" s="17" t="str">
        <f>IF(M4_Sectores!A206="","",IF(M4_Sectores!L206="","Pendiente de momento o resultado",IF(COUNTIFS(M4_Sectores!$A$9:A206,M4_Sectores!A206,M4_Sectores!$D$9:D206,M4_Sectores!D206,M4_Sectores!$H$9:H206,M4_Sectores!H206)=1,"Total del momento","Sector incluido en total")))</f>
        <v/>
      </c>
    </row>
    <row r="803" spans="1:36" ht="55.5" customHeight="1">
      <c r="A803" s="6" t="str">
        <f t="array" ref="A803">IF(799&gt;$S$1204,"",INDEX($T$5:$AJ$1204,MATCH(799,$S$5:$S$1204,0),1))</f>
        <v/>
      </c>
      <c r="B803" s="8" t="str">
        <f t="array" ref="B803">IF(799&gt;$S$1204,"",INDEX($T$5:$AJ$1204,MATCH(799,$S$5:$S$1204,0),2))</f>
        <v/>
      </c>
      <c r="C803" s="10" t="str">
        <f t="array" ref="C803">IF(799&gt;$S$1204,"",INDEX($T$5:$AJ$1204,MATCH(799,$S$5:$S$1204,0),3))</f>
        <v/>
      </c>
      <c r="D803" s="8" t="str">
        <f t="array" ref="D803">IF(799&gt;$S$1204,"",INDEX($T$5:$AJ$1204,MATCH(799,$S$5:$S$1204,0),4))</f>
        <v/>
      </c>
      <c r="E803" s="8" t="str">
        <f t="array" ref="E803">IF(799&gt;$S$1204,"",INDEX($T$5:$AJ$1204,MATCH(799,$S$5:$S$1204,0),5))</f>
        <v/>
      </c>
      <c r="F803" s="8" t="str">
        <f t="array" ref="F803">IF(799&gt;$S$1204,"",INDEX($T$5:$AJ$1204,MATCH(799,$S$5:$S$1204,0),6))</f>
        <v/>
      </c>
      <c r="G803" s="8" t="str">
        <f t="array" ref="G803">IF(799&gt;$S$1204,"",INDEX($T$5:$AJ$1204,MATCH(799,$S$5:$S$1204,0),7))</f>
        <v/>
      </c>
      <c r="H803" s="8" t="str">
        <f t="array" ref="H803">IF(799&gt;$S$1204,"",INDEX($T$5:$AJ$1204,MATCH(799,$S$5:$S$1204,0),8))</f>
        <v/>
      </c>
      <c r="I803" s="8" t="str">
        <f t="array" ref="I803">IF(799&gt;$S$1204,"",INDEX($T$5:$AJ$1204,MATCH(799,$S$5:$S$1204,0),9))</f>
        <v/>
      </c>
      <c r="J803" s="14" t="str">
        <f t="array" ref="J803">IF(799&gt;$S$1204,"",INDEX($T$5:$AJ$1204,MATCH(799,$S$5:$S$1204,0),10))</f>
        <v/>
      </c>
      <c r="K803" s="8" t="str">
        <f t="array" ref="K803">IF(799&gt;$S$1204,"",INDEX($T$5:$AJ$1204,MATCH(799,$S$5:$S$1204,0),11))</f>
        <v/>
      </c>
      <c r="L803" s="8" t="str">
        <f t="array" ref="L803">IF(799&gt;$S$1204,"",INDEX($T$5:$AJ$1204,MATCH(799,$S$5:$S$1204,0),12))</f>
        <v/>
      </c>
      <c r="M803" s="8" t="str">
        <f t="array" ref="M803">IF(799&gt;$S$1204,"",INDEX($T$5:$AJ$1204,MATCH(799,$S$5:$S$1204,0),13))</f>
        <v/>
      </c>
      <c r="N803" s="8" t="str">
        <f t="array" ref="N803">IF(799&gt;$S$1204,"",INDEX($T$5:$AJ$1204,MATCH(799,$S$5:$S$1204,0),14))</f>
        <v/>
      </c>
      <c r="O803" s="15" t="str">
        <f t="array" ref="O803">IF(799&gt;$S$1204,"",INDEX($T$5:$AJ$1204,MATCH(799,$S$5:$S$1204,0),15))</f>
        <v/>
      </c>
      <c r="P803" s="8" t="str">
        <f t="array" ref="P803">IF(799&gt;$S$1204,"",INDEX($T$5:$AJ$1204,MATCH(799,$S$5:$S$1204,0),16))</f>
        <v/>
      </c>
      <c r="Q803" s="8" t="str">
        <f t="array" ref="Q803">IF(799&gt;$S$1204,"",INDEX($T$5:$AJ$1204,MATCH(799,$S$5:$S$1204,0),17))</f>
        <v/>
      </c>
      <c r="R803" s="17"/>
      <c r="S803" s="17">
        <f>S802+IF(M4_Sectores!A207="",0,1)</f>
        <v>0</v>
      </c>
      <c r="T803" s="17" t="str">
        <f>IF(M4_Sectores!A207="","",IF(M4_Sectores!A207="","",M4_Sectores!A207))</f>
        <v/>
      </c>
      <c r="U803" s="17" t="str">
        <f>IF(M4_Sectores!A207="","",IF(M4_Sectores!Q207="","",M4_Sectores!Q207))</f>
        <v/>
      </c>
      <c r="V803" s="17" t="str">
        <f>IF(M4_Sectores!A207="","",IF(M4_Sectores!D207="","",M4_Sectores!D207))</f>
        <v/>
      </c>
      <c r="W803" s="17" t="str">
        <f>IF(M4_Sectores!A207="","",IF(M4_Sectores!B207="","",M4_Sectores!B207))</f>
        <v/>
      </c>
      <c r="X803" s="17" t="str">
        <f>IF(M4_Sectores!A207="","",IF(M4_Sectores!C207="","",M4_Sectores!C207))</f>
        <v/>
      </c>
      <c r="Y803" s="17" t="str">
        <f>IF(M4_Sectores!A207="","",IF(M4_Sectores!E207="","",M4_Sectores!E207))</f>
        <v/>
      </c>
      <c r="Z803" s="17" t="str">
        <f>IF(M4_Sectores!A207="","",IF(M4_Sectores!F207="","",M4_Sectores!F207))</f>
        <v/>
      </c>
      <c r="AA803" s="17" t="str">
        <f>IF(M4_Sectores!A207="","","M4 Sectores")</f>
        <v/>
      </c>
      <c r="AB803" s="17" t="str">
        <f>IF(M4_Sectores!A207="","",IF(M4_Sectores!G207="","",M4_Sectores!G207))</f>
        <v/>
      </c>
      <c r="AC803" s="17" t="str">
        <f>IF(M4_Sectores!A207="","",IF(COUNTIFS(M4_Sectores!$A$9:A207,M4_Sectores!A207,M4_Sectores!$D$9:D207,M4_Sectores!D207,M4_Sectores!$H$9:H207,M4_Sectores!H207)=1,IF(M4_Sectores!L207="","",M4_Sectores!L207),""))</f>
        <v/>
      </c>
      <c r="AD803" s="17" t="str">
        <f>IF(M4_Sectores!A207="","","EE")</f>
        <v/>
      </c>
      <c r="AE803" s="17" t="str">
        <f>IF(M4_Sectores!A207="","",IF(M4_Sectores!N207="","",M4_Sectores!N207))</f>
        <v/>
      </c>
      <c r="AF803" s="17" t="str">
        <f>IF(M4_Sectores!A207="","",IF(M4_Sectores!O207="","",M4_Sectores!O207))</f>
        <v/>
      </c>
      <c r="AG803" s="17" t="str">
        <f>IF(M4_Sectores!A207="","",IF(M4_Sectores!P207="","",M4_Sectores!P207))</f>
        <v/>
      </c>
      <c r="AH803" s="17" t="str">
        <f>IF(M4_Sectores!A207="","",IF(M4_Sectores!H207="","",M4_Sectores!H207))</f>
        <v/>
      </c>
      <c r="AI803" s="17" t="str">
        <f>IF(M4_Sectores!A207="","","M4_Sectores!207")</f>
        <v/>
      </c>
      <c r="AJ803" s="17" t="str">
        <f>IF(M4_Sectores!A207="","",IF(M4_Sectores!L207="","Pendiente de momento o resultado",IF(COUNTIFS(M4_Sectores!$A$9:A207,M4_Sectores!A207,M4_Sectores!$D$9:D207,M4_Sectores!D207,M4_Sectores!$H$9:H207,M4_Sectores!H207)=1,"Total del momento","Sector incluido en total")))</f>
        <v/>
      </c>
    </row>
    <row r="804" spans="1:36" ht="55.5" customHeight="1">
      <c r="A804" s="6" t="str">
        <f t="array" ref="A804">IF(800&gt;$S$1204,"",INDEX($T$5:$AJ$1204,MATCH(800,$S$5:$S$1204,0),1))</f>
        <v/>
      </c>
      <c r="B804" s="8" t="str">
        <f t="array" ref="B804">IF(800&gt;$S$1204,"",INDEX($T$5:$AJ$1204,MATCH(800,$S$5:$S$1204,0),2))</f>
        <v/>
      </c>
      <c r="C804" s="10" t="str">
        <f t="array" ref="C804">IF(800&gt;$S$1204,"",INDEX($T$5:$AJ$1204,MATCH(800,$S$5:$S$1204,0),3))</f>
        <v/>
      </c>
      <c r="D804" s="8" t="str">
        <f t="array" ref="D804">IF(800&gt;$S$1204,"",INDEX($T$5:$AJ$1204,MATCH(800,$S$5:$S$1204,0),4))</f>
        <v/>
      </c>
      <c r="E804" s="8" t="str">
        <f t="array" ref="E804">IF(800&gt;$S$1204,"",INDEX($T$5:$AJ$1204,MATCH(800,$S$5:$S$1204,0),5))</f>
        <v/>
      </c>
      <c r="F804" s="8" t="str">
        <f t="array" ref="F804">IF(800&gt;$S$1204,"",INDEX($T$5:$AJ$1204,MATCH(800,$S$5:$S$1204,0),6))</f>
        <v/>
      </c>
      <c r="G804" s="8" t="str">
        <f t="array" ref="G804">IF(800&gt;$S$1204,"",INDEX($T$5:$AJ$1204,MATCH(800,$S$5:$S$1204,0),7))</f>
        <v/>
      </c>
      <c r="H804" s="8" t="str">
        <f t="array" ref="H804">IF(800&gt;$S$1204,"",INDEX($T$5:$AJ$1204,MATCH(800,$S$5:$S$1204,0),8))</f>
        <v/>
      </c>
      <c r="I804" s="8" t="str">
        <f t="array" ref="I804">IF(800&gt;$S$1204,"",INDEX($T$5:$AJ$1204,MATCH(800,$S$5:$S$1204,0),9))</f>
        <v/>
      </c>
      <c r="J804" s="14" t="str">
        <f t="array" ref="J804">IF(800&gt;$S$1204,"",INDEX($T$5:$AJ$1204,MATCH(800,$S$5:$S$1204,0),10))</f>
        <v/>
      </c>
      <c r="K804" s="8" t="str">
        <f t="array" ref="K804">IF(800&gt;$S$1204,"",INDEX($T$5:$AJ$1204,MATCH(800,$S$5:$S$1204,0),11))</f>
        <v/>
      </c>
      <c r="L804" s="8" t="str">
        <f t="array" ref="L804">IF(800&gt;$S$1204,"",INDEX($T$5:$AJ$1204,MATCH(800,$S$5:$S$1204,0),12))</f>
        <v/>
      </c>
      <c r="M804" s="8" t="str">
        <f t="array" ref="M804">IF(800&gt;$S$1204,"",INDEX($T$5:$AJ$1204,MATCH(800,$S$5:$S$1204,0),13))</f>
        <v/>
      </c>
      <c r="N804" s="8" t="str">
        <f t="array" ref="N804">IF(800&gt;$S$1204,"",INDEX($T$5:$AJ$1204,MATCH(800,$S$5:$S$1204,0),14))</f>
        <v/>
      </c>
      <c r="O804" s="15" t="str">
        <f t="array" ref="O804">IF(800&gt;$S$1204,"",INDEX($T$5:$AJ$1204,MATCH(800,$S$5:$S$1204,0),15))</f>
        <v/>
      </c>
      <c r="P804" s="8" t="str">
        <f t="array" ref="P804">IF(800&gt;$S$1204,"",INDEX($T$5:$AJ$1204,MATCH(800,$S$5:$S$1204,0),16))</f>
        <v/>
      </c>
      <c r="Q804" s="8" t="str">
        <f t="array" ref="Q804">IF(800&gt;$S$1204,"",INDEX($T$5:$AJ$1204,MATCH(800,$S$5:$S$1204,0),17))</f>
        <v/>
      </c>
      <c r="R804" s="17"/>
      <c r="S804" s="17">
        <f>S803+IF(M4_Sectores!A208="",0,1)</f>
        <v>0</v>
      </c>
      <c r="T804" s="17" t="str">
        <f>IF(M4_Sectores!A208="","",IF(M4_Sectores!A208="","",M4_Sectores!A208))</f>
        <v/>
      </c>
      <c r="U804" s="17" t="str">
        <f>IF(M4_Sectores!A208="","",IF(M4_Sectores!Q208="","",M4_Sectores!Q208))</f>
        <v/>
      </c>
      <c r="V804" s="17" t="str">
        <f>IF(M4_Sectores!A208="","",IF(M4_Sectores!D208="","",M4_Sectores!D208))</f>
        <v/>
      </c>
      <c r="W804" s="17" t="str">
        <f>IF(M4_Sectores!A208="","",IF(M4_Sectores!B208="","",M4_Sectores!B208))</f>
        <v/>
      </c>
      <c r="X804" s="17" t="str">
        <f>IF(M4_Sectores!A208="","",IF(M4_Sectores!C208="","",M4_Sectores!C208))</f>
        <v/>
      </c>
      <c r="Y804" s="17" t="str">
        <f>IF(M4_Sectores!A208="","",IF(M4_Sectores!E208="","",M4_Sectores!E208))</f>
        <v/>
      </c>
      <c r="Z804" s="17" t="str">
        <f>IF(M4_Sectores!A208="","",IF(M4_Sectores!F208="","",M4_Sectores!F208))</f>
        <v/>
      </c>
      <c r="AA804" s="17" t="str">
        <f>IF(M4_Sectores!A208="","","M4 Sectores")</f>
        <v/>
      </c>
      <c r="AB804" s="17" t="str">
        <f>IF(M4_Sectores!A208="","",IF(M4_Sectores!G208="","",M4_Sectores!G208))</f>
        <v/>
      </c>
      <c r="AC804" s="17" t="str">
        <f>IF(M4_Sectores!A208="","",IF(COUNTIFS(M4_Sectores!$A$9:A208,M4_Sectores!A208,M4_Sectores!$D$9:D208,M4_Sectores!D208,M4_Sectores!$H$9:H208,M4_Sectores!H208)=1,IF(M4_Sectores!L208="","",M4_Sectores!L208),""))</f>
        <v/>
      </c>
      <c r="AD804" s="17" t="str">
        <f>IF(M4_Sectores!A208="","","EE")</f>
        <v/>
      </c>
      <c r="AE804" s="17" t="str">
        <f>IF(M4_Sectores!A208="","",IF(M4_Sectores!N208="","",M4_Sectores!N208))</f>
        <v/>
      </c>
      <c r="AF804" s="17" t="str">
        <f>IF(M4_Sectores!A208="","",IF(M4_Sectores!O208="","",M4_Sectores!O208))</f>
        <v/>
      </c>
      <c r="AG804" s="17" t="str">
        <f>IF(M4_Sectores!A208="","",IF(M4_Sectores!P208="","",M4_Sectores!P208))</f>
        <v/>
      </c>
      <c r="AH804" s="17" t="str">
        <f>IF(M4_Sectores!A208="","",IF(M4_Sectores!H208="","",M4_Sectores!H208))</f>
        <v/>
      </c>
      <c r="AI804" s="17" t="str">
        <f>IF(M4_Sectores!A208="","","M4_Sectores!208")</f>
        <v/>
      </c>
      <c r="AJ804" s="17" t="str">
        <f>IF(M4_Sectores!A208="","",IF(M4_Sectores!L208="","Pendiente de momento o resultado",IF(COUNTIFS(M4_Sectores!$A$9:A208,M4_Sectores!A208,M4_Sectores!$D$9:D208,M4_Sectores!D208,M4_Sectores!$H$9:H208,M4_Sectores!H208)=1,"Total del momento","Sector incluido en total")))</f>
        <v/>
      </c>
    </row>
    <row r="805" spans="1:36" ht="55.5" customHeight="1">
      <c r="A805" s="6" t="str">
        <f t="array" ref="A805">IF(801&gt;$S$1204,"",INDEX($T$5:$AJ$1204,MATCH(801,$S$5:$S$1204,0),1))</f>
        <v/>
      </c>
      <c r="B805" s="8" t="str">
        <f t="array" ref="B805">IF(801&gt;$S$1204,"",INDEX($T$5:$AJ$1204,MATCH(801,$S$5:$S$1204,0),2))</f>
        <v/>
      </c>
      <c r="C805" s="10" t="str">
        <f t="array" ref="C805">IF(801&gt;$S$1204,"",INDEX($T$5:$AJ$1204,MATCH(801,$S$5:$S$1204,0),3))</f>
        <v/>
      </c>
      <c r="D805" s="8" t="str">
        <f t="array" ref="D805">IF(801&gt;$S$1204,"",INDEX($T$5:$AJ$1204,MATCH(801,$S$5:$S$1204,0),4))</f>
        <v/>
      </c>
      <c r="E805" s="8" t="str">
        <f t="array" ref="E805">IF(801&gt;$S$1204,"",INDEX($T$5:$AJ$1204,MATCH(801,$S$5:$S$1204,0),5))</f>
        <v/>
      </c>
      <c r="F805" s="8" t="str">
        <f t="array" ref="F805">IF(801&gt;$S$1204,"",INDEX($T$5:$AJ$1204,MATCH(801,$S$5:$S$1204,0),6))</f>
        <v/>
      </c>
      <c r="G805" s="8" t="str">
        <f t="array" ref="G805">IF(801&gt;$S$1204,"",INDEX($T$5:$AJ$1204,MATCH(801,$S$5:$S$1204,0),7))</f>
        <v/>
      </c>
      <c r="H805" s="8" t="str">
        <f t="array" ref="H805">IF(801&gt;$S$1204,"",INDEX($T$5:$AJ$1204,MATCH(801,$S$5:$S$1204,0),8))</f>
        <v/>
      </c>
      <c r="I805" s="8" t="str">
        <f t="array" ref="I805">IF(801&gt;$S$1204,"",INDEX($T$5:$AJ$1204,MATCH(801,$S$5:$S$1204,0),9))</f>
        <v/>
      </c>
      <c r="J805" s="14" t="str">
        <f t="array" ref="J805">IF(801&gt;$S$1204,"",INDEX($T$5:$AJ$1204,MATCH(801,$S$5:$S$1204,0),10))</f>
        <v/>
      </c>
      <c r="K805" s="8" t="str">
        <f t="array" ref="K805">IF(801&gt;$S$1204,"",INDEX($T$5:$AJ$1204,MATCH(801,$S$5:$S$1204,0),11))</f>
        <v/>
      </c>
      <c r="L805" s="8" t="str">
        <f t="array" ref="L805">IF(801&gt;$S$1204,"",INDEX($T$5:$AJ$1204,MATCH(801,$S$5:$S$1204,0),12))</f>
        <v/>
      </c>
      <c r="M805" s="8" t="str">
        <f t="array" ref="M805">IF(801&gt;$S$1204,"",INDEX($T$5:$AJ$1204,MATCH(801,$S$5:$S$1204,0),13))</f>
        <v/>
      </c>
      <c r="N805" s="8" t="str">
        <f t="array" ref="N805">IF(801&gt;$S$1204,"",INDEX($T$5:$AJ$1204,MATCH(801,$S$5:$S$1204,0),14))</f>
        <v/>
      </c>
      <c r="O805" s="15" t="str">
        <f t="array" ref="O805">IF(801&gt;$S$1204,"",INDEX($T$5:$AJ$1204,MATCH(801,$S$5:$S$1204,0),15))</f>
        <v/>
      </c>
      <c r="P805" s="8" t="str">
        <f t="array" ref="P805">IF(801&gt;$S$1204,"",INDEX($T$5:$AJ$1204,MATCH(801,$S$5:$S$1204,0),16))</f>
        <v/>
      </c>
      <c r="Q805" s="8" t="str">
        <f t="array" ref="Q805">IF(801&gt;$S$1204,"",INDEX($T$5:$AJ$1204,MATCH(801,$S$5:$S$1204,0),17))</f>
        <v/>
      </c>
      <c r="R805" s="17"/>
      <c r="S805" s="17">
        <f>S804+IF(M5_Ocupacion!A10="",0,1)</f>
        <v>0</v>
      </c>
      <c r="T805" s="17" t="str">
        <f>IF(M5_Ocupacion!A10="","",IF(M5_Ocupacion!A10="","",M5_Ocupacion!A10))</f>
        <v/>
      </c>
      <c r="U805" s="17" t="str">
        <f>IF(M5_Ocupacion!A10="","",IF(M5_Ocupacion!R10="","",M5_Ocupacion!R10))</f>
        <v/>
      </c>
      <c r="V805" s="17" t="str">
        <f>IF(M5_Ocupacion!A10="","",IF(M5_Ocupacion!D10="","",M5_Ocupacion!D10))</f>
        <v/>
      </c>
      <c r="W805" s="17" t="str">
        <f>IF(M5_Ocupacion!A10="","",IF(M5_Ocupacion!B10="","",M5_Ocupacion!B10))</f>
        <v/>
      </c>
      <c r="X805" s="17" t="str">
        <f>IF(M5_Ocupacion!A10="","",IF(M5_Ocupacion!C10="","",M5_Ocupacion!C10))</f>
        <v/>
      </c>
      <c r="Y805" s="17" t="str">
        <f>IF(M5_Ocupacion!A10="","",IF(M5_Ocupacion!E10="","",M5_Ocupacion!E10))</f>
        <v/>
      </c>
      <c r="Z805" s="17" t="str">
        <f>IF(M5_Ocupacion!A10="","",IF(M5_Ocupacion!F10="","",M5_Ocupacion!F10))</f>
        <v/>
      </c>
      <c r="AA805" s="17" t="str">
        <f>IF(M5_Ocupacion!A10="","","M5 Ocupación")</f>
        <v/>
      </c>
      <c r="AB805" s="17" t="str">
        <f>IF(M5_Ocupacion!A10="","",IF(M5_Ocupacion!G10="","",M5_Ocupacion!G10))</f>
        <v/>
      </c>
      <c r="AC805" s="17" t="str">
        <f>IF(M5_Ocupacion!A10="","",IF(COUNTIFS(M5_Ocupacion!$A$10:A10,M5_Ocupacion!A10,M5_Ocupacion!$D$10:D10,M5_Ocupacion!D10)=1,IF(M5_Ocupacion!M10="","",M5_Ocupacion!M10),""))</f>
        <v/>
      </c>
      <c r="AD805" s="17" t="str">
        <f>IF(M5_Ocupacion!A10="","","MO")</f>
        <v/>
      </c>
      <c r="AE805" s="17" t="str">
        <f>IF(M5_Ocupacion!A10="","",IF(M5_Ocupacion!O10="","",M5_Ocupacion!O10))</f>
        <v/>
      </c>
      <c r="AF805" s="17" t="str">
        <f>IF(M5_Ocupacion!A10="","",IF(M5_Ocupacion!P10="","",M5_Ocupacion!P10))</f>
        <v/>
      </c>
      <c r="AG805" s="17" t="str">
        <f>IF(M5_Ocupacion!A10="","",IF(M5_Ocupacion!Q10="","",M5_Ocupacion!Q10))</f>
        <v/>
      </c>
      <c r="AH805" s="17" t="str">
        <f>IF(M5_Ocupacion!A10="","",IF(M5_Ocupacion!J10="","",M5_Ocupacion!J10))</f>
        <v/>
      </c>
      <c r="AI805" s="17" t="str">
        <f>IF(M5_Ocupacion!A10="","","M5_Ocupacion!10")</f>
        <v/>
      </c>
      <c r="AJ805" s="17" t="str">
        <f>IF(M5_Ocupacion!A10="","",IF(M5_Ocupacion!M10="","Pendiente de medición completa",IF(COUNTIFS(M5_Ocupacion!$A$10:A10,M5_Ocupacion!A10,M5_Ocupacion!$D$10:D10,M5_Ocupacion!D10)=1,"Promedio de la actividad y fecha","Observación incluida en promedio")))</f>
        <v/>
      </c>
    </row>
    <row r="806" spans="1:36" ht="55.5" customHeight="1">
      <c r="A806" s="6" t="str">
        <f t="array" ref="A806">IF(802&gt;$S$1204,"",INDEX($T$5:$AJ$1204,MATCH(802,$S$5:$S$1204,0),1))</f>
        <v/>
      </c>
      <c r="B806" s="8" t="str">
        <f t="array" ref="B806">IF(802&gt;$S$1204,"",INDEX($T$5:$AJ$1204,MATCH(802,$S$5:$S$1204,0),2))</f>
        <v/>
      </c>
      <c r="C806" s="10" t="str">
        <f t="array" ref="C806">IF(802&gt;$S$1204,"",INDEX($T$5:$AJ$1204,MATCH(802,$S$5:$S$1204,0),3))</f>
        <v/>
      </c>
      <c r="D806" s="8" t="str">
        <f t="array" ref="D806">IF(802&gt;$S$1204,"",INDEX($T$5:$AJ$1204,MATCH(802,$S$5:$S$1204,0),4))</f>
        <v/>
      </c>
      <c r="E806" s="8" t="str">
        <f t="array" ref="E806">IF(802&gt;$S$1204,"",INDEX($T$5:$AJ$1204,MATCH(802,$S$5:$S$1204,0),5))</f>
        <v/>
      </c>
      <c r="F806" s="8" t="str">
        <f t="array" ref="F806">IF(802&gt;$S$1204,"",INDEX($T$5:$AJ$1204,MATCH(802,$S$5:$S$1204,0),6))</f>
        <v/>
      </c>
      <c r="G806" s="8" t="str">
        <f t="array" ref="G806">IF(802&gt;$S$1204,"",INDEX($T$5:$AJ$1204,MATCH(802,$S$5:$S$1204,0),7))</f>
        <v/>
      </c>
      <c r="H806" s="8" t="str">
        <f t="array" ref="H806">IF(802&gt;$S$1204,"",INDEX($T$5:$AJ$1204,MATCH(802,$S$5:$S$1204,0),8))</f>
        <v/>
      </c>
      <c r="I806" s="8" t="str">
        <f t="array" ref="I806">IF(802&gt;$S$1204,"",INDEX($T$5:$AJ$1204,MATCH(802,$S$5:$S$1204,0),9))</f>
        <v/>
      </c>
      <c r="J806" s="14" t="str">
        <f t="array" ref="J806">IF(802&gt;$S$1204,"",INDEX($T$5:$AJ$1204,MATCH(802,$S$5:$S$1204,0),10))</f>
        <v/>
      </c>
      <c r="K806" s="8" t="str">
        <f t="array" ref="K806">IF(802&gt;$S$1204,"",INDEX($T$5:$AJ$1204,MATCH(802,$S$5:$S$1204,0),11))</f>
        <v/>
      </c>
      <c r="L806" s="8" t="str">
        <f t="array" ref="L806">IF(802&gt;$S$1204,"",INDEX($T$5:$AJ$1204,MATCH(802,$S$5:$S$1204,0),12))</f>
        <v/>
      </c>
      <c r="M806" s="8" t="str">
        <f t="array" ref="M806">IF(802&gt;$S$1204,"",INDEX($T$5:$AJ$1204,MATCH(802,$S$5:$S$1204,0),13))</f>
        <v/>
      </c>
      <c r="N806" s="8" t="str">
        <f t="array" ref="N806">IF(802&gt;$S$1204,"",INDEX($T$5:$AJ$1204,MATCH(802,$S$5:$S$1204,0),14))</f>
        <v/>
      </c>
      <c r="O806" s="15" t="str">
        <f t="array" ref="O806">IF(802&gt;$S$1204,"",INDEX($T$5:$AJ$1204,MATCH(802,$S$5:$S$1204,0),15))</f>
        <v/>
      </c>
      <c r="P806" s="8" t="str">
        <f t="array" ref="P806">IF(802&gt;$S$1204,"",INDEX($T$5:$AJ$1204,MATCH(802,$S$5:$S$1204,0),16))</f>
        <v/>
      </c>
      <c r="Q806" s="8" t="str">
        <f t="array" ref="Q806">IF(802&gt;$S$1204,"",INDEX($T$5:$AJ$1204,MATCH(802,$S$5:$S$1204,0),17))</f>
        <v/>
      </c>
      <c r="R806" s="17"/>
      <c r="S806" s="17">
        <f>S805+IF(M5_Ocupacion!A11="",0,1)</f>
        <v>0</v>
      </c>
      <c r="T806" s="17" t="str">
        <f>IF(M5_Ocupacion!A11="","",IF(M5_Ocupacion!A11="","",M5_Ocupacion!A11))</f>
        <v/>
      </c>
      <c r="U806" s="17" t="str">
        <f>IF(M5_Ocupacion!A11="","",IF(M5_Ocupacion!R11="","",M5_Ocupacion!R11))</f>
        <v/>
      </c>
      <c r="V806" s="17" t="str">
        <f>IF(M5_Ocupacion!A11="","",IF(M5_Ocupacion!D11="","",M5_Ocupacion!D11))</f>
        <v/>
      </c>
      <c r="W806" s="17" t="str">
        <f>IF(M5_Ocupacion!A11="","",IF(M5_Ocupacion!B11="","",M5_Ocupacion!B11))</f>
        <v/>
      </c>
      <c r="X806" s="17" t="str">
        <f>IF(M5_Ocupacion!A11="","",IF(M5_Ocupacion!C11="","",M5_Ocupacion!C11))</f>
        <v/>
      </c>
      <c r="Y806" s="17" t="str">
        <f>IF(M5_Ocupacion!A11="","",IF(M5_Ocupacion!E11="","",M5_Ocupacion!E11))</f>
        <v/>
      </c>
      <c r="Z806" s="17" t="str">
        <f>IF(M5_Ocupacion!A11="","",IF(M5_Ocupacion!F11="","",M5_Ocupacion!F11))</f>
        <v/>
      </c>
      <c r="AA806" s="17" t="str">
        <f>IF(M5_Ocupacion!A11="","","M5 Ocupación")</f>
        <v/>
      </c>
      <c r="AB806" s="17" t="str">
        <f>IF(M5_Ocupacion!A11="","",IF(M5_Ocupacion!G11="","",M5_Ocupacion!G11))</f>
        <v/>
      </c>
      <c r="AC806" s="17" t="str">
        <f>IF(M5_Ocupacion!A11="","",IF(COUNTIFS(M5_Ocupacion!$A$10:A11,M5_Ocupacion!A11,M5_Ocupacion!$D$10:D11,M5_Ocupacion!D11)=1,IF(M5_Ocupacion!M11="","",M5_Ocupacion!M11),""))</f>
        <v/>
      </c>
      <c r="AD806" s="17" t="str">
        <f>IF(M5_Ocupacion!A11="","","MO")</f>
        <v/>
      </c>
      <c r="AE806" s="17" t="str">
        <f>IF(M5_Ocupacion!A11="","",IF(M5_Ocupacion!O11="","",M5_Ocupacion!O11))</f>
        <v/>
      </c>
      <c r="AF806" s="17" t="str">
        <f>IF(M5_Ocupacion!A11="","",IF(M5_Ocupacion!P11="","",M5_Ocupacion!P11))</f>
        <v/>
      </c>
      <c r="AG806" s="17" t="str">
        <f>IF(M5_Ocupacion!A11="","",IF(M5_Ocupacion!Q11="","",M5_Ocupacion!Q11))</f>
        <v/>
      </c>
      <c r="AH806" s="17" t="str">
        <f>IF(M5_Ocupacion!A11="","",IF(M5_Ocupacion!J11="","",M5_Ocupacion!J11))</f>
        <v/>
      </c>
      <c r="AI806" s="17" t="str">
        <f>IF(M5_Ocupacion!A11="","","M5_Ocupacion!11")</f>
        <v/>
      </c>
      <c r="AJ806" s="17" t="str">
        <f>IF(M5_Ocupacion!A11="","",IF(M5_Ocupacion!M11="","Pendiente de medición completa",IF(COUNTIFS(M5_Ocupacion!$A$10:A11,M5_Ocupacion!A11,M5_Ocupacion!$D$10:D11,M5_Ocupacion!D11)=1,"Promedio de la actividad y fecha","Observación incluida en promedio")))</f>
        <v/>
      </c>
    </row>
    <row r="807" spans="1:36" ht="55.5" customHeight="1">
      <c r="A807" s="6" t="str">
        <f t="array" ref="A807">IF(803&gt;$S$1204,"",INDEX($T$5:$AJ$1204,MATCH(803,$S$5:$S$1204,0),1))</f>
        <v/>
      </c>
      <c r="B807" s="8" t="str">
        <f t="array" ref="B807">IF(803&gt;$S$1204,"",INDEX($T$5:$AJ$1204,MATCH(803,$S$5:$S$1204,0),2))</f>
        <v/>
      </c>
      <c r="C807" s="10" t="str">
        <f t="array" ref="C807">IF(803&gt;$S$1204,"",INDEX($T$5:$AJ$1204,MATCH(803,$S$5:$S$1204,0),3))</f>
        <v/>
      </c>
      <c r="D807" s="8" t="str">
        <f t="array" ref="D807">IF(803&gt;$S$1204,"",INDEX($T$5:$AJ$1204,MATCH(803,$S$5:$S$1204,0),4))</f>
        <v/>
      </c>
      <c r="E807" s="8" t="str">
        <f t="array" ref="E807">IF(803&gt;$S$1204,"",INDEX($T$5:$AJ$1204,MATCH(803,$S$5:$S$1204,0),5))</f>
        <v/>
      </c>
      <c r="F807" s="8" t="str">
        <f t="array" ref="F807">IF(803&gt;$S$1204,"",INDEX($T$5:$AJ$1204,MATCH(803,$S$5:$S$1204,0),6))</f>
        <v/>
      </c>
      <c r="G807" s="8" t="str">
        <f t="array" ref="G807">IF(803&gt;$S$1204,"",INDEX($T$5:$AJ$1204,MATCH(803,$S$5:$S$1204,0),7))</f>
        <v/>
      </c>
      <c r="H807" s="8" t="str">
        <f t="array" ref="H807">IF(803&gt;$S$1204,"",INDEX($T$5:$AJ$1204,MATCH(803,$S$5:$S$1204,0),8))</f>
        <v/>
      </c>
      <c r="I807" s="8" t="str">
        <f t="array" ref="I807">IF(803&gt;$S$1204,"",INDEX($T$5:$AJ$1204,MATCH(803,$S$5:$S$1204,0),9))</f>
        <v/>
      </c>
      <c r="J807" s="14" t="str">
        <f t="array" ref="J807">IF(803&gt;$S$1204,"",INDEX($T$5:$AJ$1204,MATCH(803,$S$5:$S$1204,0),10))</f>
        <v/>
      </c>
      <c r="K807" s="8" t="str">
        <f t="array" ref="K807">IF(803&gt;$S$1204,"",INDEX($T$5:$AJ$1204,MATCH(803,$S$5:$S$1204,0),11))</f>
        <v/>
      </c>
      <c r="L807" s="8" t="str">
        <f t="array" ref="L807">IF(803&gt;$S$1204,"",INDEX($T$5:$AJ$1204,MATCH(803,$S$5:$S$1204,0),12))</f>
        <v/>
      </c>
      <c r="M807" s="8" t="str">
        <f t="array" ref="M807">IF(803&gt;$S$1204,"",INDEX($T$5:$AJ$1204,MATCH(803,$S$5:$S$1204,0),13))</f>
        <v/>
      </c>
      <c r="N807" s="8" t="str">
        <f t="array" ref="N807">IF(803&gt;$S$1204,"",INDEX($T$5:$AJ$1204,MATCH(803,$S$5:$S$1204,0),14))</f>
        <v/>
      </c>
      <c r="O807" s="15" t="str">
        <f t="array" ref="O807">IF(803&gt;$S$1204,"",INDEX($T$5:$AJ$1204,MATCH(803,$S$5:$S$1204,0),15))</f>
        <v/>
      </c>
      <c r="P807" s="8" t="str">
        <f t="array" ref="P807">IF(803&gt;$S$1204,"",INDEX($T$5:$AJ$1204,MATCH(803,$S$5:$S$1204,0),16))</f>
        <v/>
      </c>
      <c r="Q807" s="8" t="str">
        <f t="array" ref="Q807">IF(803&gt;$S$1204,"",INDEX($T$5:$AJ$1204,MATCH(803,$S$5:$S$1204,0),17))</f>
        <v/>
      </c>
      <c r="R807" s="17"/>
      <c r="S807" s="17">
        <f>S806+IF(M5_Ocupacion!A12="",0,1)</f>
        <v>0</v>
      </c>
      <c r="T807" s="17" t="str">
        <f>IF(M5_Ocupacion!A12="","",IF(M5_Ocupacion!A12="","",M5_Ocupacion!A12))</f>
        <v/>
      </c>
      <c r="U807" s="17" t="str">
        <f>IF(M5_Ocupacion!A12="","",IF(M5_Ocupacion!R12="","",M5_Ocupacion!R12))</f>
        <v/>
      </c>
      <c r="V807" s="17" t="str">
        <f>IF(M5_Ocupacion!A12="","",IF(M5_Ocupacion!D12="","",M5_Ocupacion!D12))</f>
        <v/>
      </c>
      <c r="W807" s="17" t="str">
        <f>IF(M5_Ocupacion!A12="","",IF(M5_Ocupacion!B12="","",M5_Ocupacion!B12))</f>
        <v/>
      </c>
      <c r="X807" s="17" t="str">
        <f>IF(M5_Ocupacion!A12="","",IF(M5_Ocupacion!C12="","",M5_Ocupacion!C12))</f>
        <v/>
      </c>
      <c r="Y807" s="17" t="str">
        <f>IF(M5_Ocupacion!A12="","",IF(M5_Ocupacion!E12="","",M5_Ocupacion!E12))</f>
        <v/>
      </c>
      <c r="Z807" s="17" t="str">
        <f>IF(M5_Ocupacion!A12="","",IF(M5_Ocupacion!F12="","",M5_Ocupacion!F12))</f>
        <v/>
      </c>
      <c r="AA807" s="17" t="str">
        <f>IF(M5_Ocupacion!A12="","","M5 Ocupación")</f>
        <v/>
      </c>
      <c r="AB807" s="17" t="str">
        <f>IF(M5_Ocupacion!A12="","",IF(M5_Ocupacion!G12="","",M5_Ocupacion!G12))</f>
        <v/>
      </c>
      <c r="AC807" s="17" t="str">
        <f>IF(M5_Ocupacion!A12="","",IF(COUNTIFS(M5_Ocupacion!$A$10:A12,M5_Ocupacion!A12,M5_Ocupacion!$D$10:D12,M5_Ocupacion!D12)=1,IF(M5_Ocupacion!M12="","",M5_Ocupacion!M12),""))</f>
        <v/>
      </c>
      <c r="AD807" s="17" t="str">
        <f>IF(M5_Ocupacion!A12="","","MO")</f>
        <v/>
      </c>
      <c r="AE807" s="17" t="str">
        <f>IF(M5_Ocupacion!A12="","",IF(M5_Ocupacion!O12="","",M5_Ocupacion!O12))</f>
        <v/>
      </c>
      <c r="AF807" s="17" t="str">
        <f>IF(M5_Ocupacion!A12="","",IF(M5_Ocupacion!P12="","",M5_Ocupacion!P12))</f>
        <v/>
      </c>
      <c r="AG807" s="17" t="str">
        <f>IF(M5_Ocupacion!A12="","",IF(M5_Ocupacion!Q12="","",M5_Ocupacion!Q12))</f>
        <v/>
      </c>
      <c r="AH807" s="17" t="str">
        <f>IF(M5_Ocupacion!A12="","",IF(M5_Ocupacion!J12="","",M5_Ocupacion!J12))</f>
        <v/>
      </c>
      <c r="AI807" s="17" t="str">
        <f>IF(M5_Ocupacion!A12="","","M5_Ocupacion!12")</f>
        <v/>
      </c>
      <c r="AJ807" s="17" t="str">
        <f>IF(M5_Ocupacion!A12="","",IF(M5_Ocupacion!M12="","Pendiente de medición completa",IF(COUNTIFS(M5_Ocupacion!$A$10:A12,M5_Ocupacion!A12,M5_Ocupacion!$D$10:D12,M5_Ocupacion!D12)=1,"Promedio de la actividad y fecha","Observación incluida en promedio")))</f>
        <v/>
      </c>
    </row>
    <row r="808" spans="1:36" ht="55.5" customHeight="1">
      <c r="A808" s="6" t="str">
        <f t="array" ref="A808">IF(804&gt;$S$1204,"",INDEX($T$5:$AJ$1204,MATCH(804,$S$5:$S$1204,0),1))</f>
        <v/>
      </c>
      <c r="B808" s="8" t="str">
        <f t="array" ref="B808">IF(804&gt;$S$1204,"",INDEX($T$5:$AJ$1204,MATCH(804,$S$5:$S$1204,0),2))</f>
        <v/>
      </c>
      <c r="C808" s="10" t="str">
        <f t="array" ref="C808">IF(804&gt;$S$1204,"",INDEX($T$5:$AJ$1204,MATCH(804,$S$5:$S$1204,0),3))</f>
        <v/>
      </c>
      <c r="D808" s="8" t="str">
        <f t="array" ref="D808">IF(804&gt;$S$1204,"",INDEX($T$5:$AJ$1204,MATCH(804,$S$5:$S$1204,0),4))</f>
        <v/>
      </c>
      <c r="E808" s="8" t="str">
        <f t="array" ref="E808">IF(804&gt;$S$1204,"",INDEX($T$5:$AJ$1204,MATCH(804,$S$5:$S$1204,0),5))</f>
        <v/>
      </c>
      <c r="F808" s="8" t="str">
        <f t="array" ref="F808">IF(804&gt;$S$1204,"",INDEX($T$5:$AJ$1204,MATCH(804,$S$5:$S$1204,0),6))</f>
        <v/>
      </c>
      <c r="G808" s="8" t="str">
        <f t="array" ref="G808">IF(804&gt;$S$1204,"",INDEX($T$5:$AJ$1204,MATCH(804,$S$5:$S$1204,0),7))</f>
        <v/>
      </c>
      <c r="H808" s="8" t="str">
        <f t="array" ref="H808">IF(804&gt;$S$1204,"",INDEX($T$5:$AJ$1204,MATCH(804,$S$5:$S$1204,0),8))</f>
        <v/>
      </c>
      <c r="I808" s="8" t="str">
        <f t="array" ref="I808">IF(804&gt;$S$1204,"",INDEX($T$5:$AJ$1204,MATCH(804,$S$5:$S$1204,0),9))</f>
        <v/>
      </c>
      <c r="J808" s="14" t="str">
        <f t="array" ref="J808">IF(804&gt;$S$1204,"",INDEX($T$5:$AJ$1204,MATCH(804,$S$5:$S$1204,0),10))</f>
        <v/>
      </c>
      <c r="K808" s="8" t="str">
        <f t="array" ref="K808">IF(804&gt;$S$1204,"",INDEX($T$5:$AJ$1204,MATCH(804,$S$5:$S$1204,0),11))</f>
        <v/>
      </c>
      <c r="L808" s="8" t="str">
        <f t="array" ref="L808">IF(804&gt;$S$1204,"",INDEX($T$5:$AJ$1204,MATCH(804,$S$5:$S$1204,0),12))</f>
        <v/>
      </c>
      <c r="M808" s="8" t="str">
        <f t="array" ref="M808">IF(804&gt;$S$1204,"",INDEX($T$5:$AJ$1204,MATCH(804,$S$5:$S$1204,0),13))</f>
        <v/>
      </c>
      <c r="N808" s="8" t="str">
        <f t="array" ref="N808">IF(804&gt;$S$1204,"",INDEX($T$5:$AJ$1204,MATCH(804,$S$5:$S$1204,0),14))</f>
        <v/>
      </c>
      <c r="O808" s="15" t="str">
        <f t="array" ref="O808">IF(804&gt;$S$1204,"",INDEX($T$5:$AJ$1204,MATCH(804,$S$5:$S$1204,0),15))</f>
        <v/>
      </c>
      <c r="P808" s="8" t="str">
        <f t="array" ref="P808">IF(804&gt;$S$1204,"",INDEX($T$5:$AJ$1204,MATCH(804,$S$5:$S$1204,0),16))</f>
        <v/>
      </c>
      <c r="Q808" s="8" t="str">
        <f t="array" ref="Q808">IF(804&gt;$S$1204,"",INDEX($T$5:$AJ$1204,MATCH(804,$S$5:$S$1204,0),17))</f>
        <v/>
      </c>
      <c r="R808" s="17"/>
      <c r="S808" s="17">
        <f>S807+IF(M5_Ocupacion!A13="",0,1)</f>
        <v>0</v>
      </c>
      <c r="T808" s="17" t="str">
        <f>IF(M5_Ocupacion!A13="","",IF(M5_Ocupacion!A13="","",M5_Ocupacion!A13))</f>
        <v/>
      </c>
      <c r="U808" s="17" t="str">
        <f>IF(M5_Ocupacion!A13="","",IF(M5_Ocupacion!R13="","",M5_Ocupacion!R13))</f>
        <v/>
      </c>
      <c r="V808" s="17" t="str">
        <f>IF(M5_Ocupacion!A13="","",IF(M5_Ocupacion!D13="","",M5_Ocupacion!D13))</f>
        <v/>
      </c>
      <c r="W808" s="17" t="str">
        <f>IF(M5_Ocupacion!A13="","",IF(M5_Ocupacion!B13="","",M5_Ocupacion!B13))</f>
        <v/>
      </c>
      <c r="X808" s="17" t="str">
        <f>IF(M5_Ocupacion!A13="","",IF(M5_Ocupacion!C13="","",M5_Ocupacion!C13))</f>
        <v/>
      </c>
      <c r="Y808" s="17" t="str">
        <f>IF(M5_Ocupacion!A13="","",IF(M5_Ocupacion!E13="","",M5_Ocupacion!E13))</f>
        <v/>
      </c>
      <c r="Z808" s="17" t="str">
        <f>IF(M5_Ocupacion!A13="","",IF(M5_Ocupacion!F13="","",M5_Ocupacion!F13))</f>
        <v/>
      </c>
      <c r="AA808" s="17" t="str">
        <f>IF(M5_Ocupacion!A13="","","M5 Ocupación")</f>
        <v/>
      </c>
      <c r="AB808" s="17" t="str">
        <f>IF(M5_Ocupacion!A13="","",IF(M5_Ocupacion!G13="","",M5_Ocupacion!G13))</f>
        <v/>
      </c>
      <c r="AC808" s="17" t="str">
        <f>IF(M5_Ocupacion!A13="","",IF(COUNTIFS(M5_Ocupacion!$A$10:A13,M5_Ocupacion!A13,M5_Ocupacion!$D$10:D13,M5_Ocupacion!D13)=1,IF(M5_Ocupacion!M13="","",M5_Ocupacion!M13),""))</f>
        <v/>
      </c>
      <c r="AD808" s="17" t="str">
        <f>IF(M5_Ocupacion!A13="","","MO")</f>
        <v/>
      </c>
      <c r="AE808" s="17" t="str">
        <f>IF(M5_Ocupacion!A13="","",IF(M5_Ocupacion!O13="","",M5_Ocupacion!O13))</f>
        <v/>
      </c>
      <c r="AF808" s="17" t="str">
        <f>IF(M5_Ocupacion!A13="","",IF(M5_Ocupacion!P13="","",M5_Ocupacion!P13))</f>
        <v/>
      </c>
      <c r="AG808" s="17" t="str">
        <f>IF(M5_Ocupacion!A13="","",IF(M5_Ocupacion!Q13="","",M5_Ocupacion!Q13))</f>
        <v/>
      </c>
      <c r="AH808" s="17" t="str">
        <f>IF(M5_Ocupacion!A13="","",IF(M5_Ocupacion!J13="","",M5_Ocupacion!J13))</f>
        <v/>
      </c>
      <c r="AI808" s="17" t="str">
        <f>IF(M5_Ocupacion!A13="","","M5_Ocupacion!13")</f>
        <v/>
      </c>
      <c r="AJ808" s="17" t="str">
        <f>IF(M5_Ocupacion!A13="","",IF(M5_Ocupacion!M13="","Pendiente de medición completa",IF(COUNTIFS(M5_Ocupacion!$A$10:A13,M5_Ocupacion!A13,M5_Ocupacion!$D$10:D13,M5_Ocupacion!D13)=1,"Promedio de la actividad y fecha","Observación incluida en promedio")))</f>
        <v/>
      </c>
    </row>
    <row r="809" spans="1:36" ht="55.5" customHeight="1">
      <c r="A809" s="6" t="str">
        <f t="array" ref="A809">IF(805&gt;$S$1204,"",INDEX($T$5:$AJ$1204,MATCH(805,$S$5:$S$1204,0),1))</f>
        <v/>
      </c>
      <c r="B809" s="8" t="str">
        <f t="array" ref="B809">IF(805&gt;$S$1204,"",INDEX($T$5:$AJ$1204,MATCH(805,$S$5:$S$1204,0),2))</f>
        <v/>
      </c>
      <c r="C809" s="10" t="str">
        <f t="array" ref="C809">IF(805&gt;$S$1204,"",INDEX($T$5:$AJ$1204,MATCH(805,$S$5:$S$1204,0),3))</f>
        <v/>
      </c>
      <c r="D809" s="8" t="str">
        <f t="array" ref="D809">IF(805&gt;$S$1204,"",INDEX($T$5:$AJ$1204,MATCH(805,$S$5:$S$1204,0),4))</f>
        <v/>
      </c>
      <c r="E809" s="8" t="str">
        <f t="array" ref="E809">IF(805&gt;$S$1204,"",INDEX($T$5:$AJ$1204,MATCH(805,$S$5:$S$1204,0),5))</f>
        <v/>
      </c>
      <c r="F809" s="8" t="str">
        <f t="array" ref="F809">IF(805&gt;$S$1204,"",INDEX($T$5:$AJ$1204,MATCH(805,$S$5:$S$1204,0),6))</f>
        <v/>
      </c>
      <c r="G809" s="8" t="str">
        <f t="array" ref="G809">IF(805&gt;$S$1204,"",INDEX($T$5:$AJ$1204,MATCH(805,$S$5:$S$1204,0),7))</f>
        <v/>
      </c>
      <c r="H809" s="8" t="str">
        <f t="array" ref="H809">IF(805&gt;$S$1204,"",INDEX($T$5:$AJ$1204,MATCH(805,$S$5:$S$1204,0),8))</f>
        <v/>
      </c>
      <c r="I809" s="8" t="str">
        <f t="array" ref="I809">IF(805&gt;$S$1204,"",INDEX($T$5:$AJ$1204,MATCH(805,$S$5:$S$1204,0),9))</f>
        <v/>
      </c>
      <c r="J809" s="14" t="str">
        <f t="array" ref="J809">IF(805&gt;$S$1204,"",INDEX($T$5:$AJ$1204,MATCH(805,$S$5:$S$1204,0),10))</f>
        <v/>
      </c>
      <c r="K809" s="8" t="str">
        <f t="array" ref="K809">IF(805&gt;$S$1204,"",INDEX($T$5:$AJ$1204,MATCH(805,$S$5:$S$1204,0),11))</f>
        <v/>
      </c>
      <c r="L809" s="8" t="str">
        <f t="array" ref="L809">IF(805&gt;$S$1204,"",INDEX($T$5:$AJ$1204,MATCH(805,$S$5:$S$1204,0),12))</f>
        <v/>
      </c>
      <c r="M809" s="8" t="str">
        <f t="array" ref="M809">IF(805&gt;$S$1204,"",INDEX($T$5:$AJ$1204,MATCH(805,$S$5:$S$1204,0),13))</f>
        <v/>
      </c>
      <c r="N809" s="8" t="str">
        <f t="array" ref="N809">IF(805&gt;$S$1204,"",INDEX($T$5:$AJ$1204,MATCH(805,$S$5:$S$1204,0),14))</f>
        <v/>
      </c>
      <c r="O809" s="15" t="str">
        <f t="array" ref="O809">IF(805&gt;$S$1204,"",INDEX($T$5:$AJ$1204,MATCH(805,$S$5:$S$1204,0),15))</f>
        <v/>
      </c>
      <c r="P809" s="8" t="str">
        <f t="array" ref="P809">IF(805&gt;$S$1204,"",INDEX($T$5:$AJ$1204,MATCH(805,$S$5:$S$1204,0),16))</f>
        <v/>
      </c>
      <c r="Q809" s="8" t="str">
        <f t="array" ref="Q809">IF(805&gt;$S$1204,"",INDEX($T$5:$AJ$1204,MATCH(805,$S$5:$S$1204,0),17))</f>
        <v/>
      </c>
      <c r="R809" s="17"/>
      <c r="S809" s="17">
        <f>S808+IF(M5_Ocupacion!A14="",0,1)</f>
        <v>0</v>
      </c>
      <c r="T809" s="17" t="str">
        <f>IF(M5_Ocupacion!A14="","",IF(M5_Ocupacion!A14="","",M5_Ocupacion!A14))</f>
        <v/>
      </c>
      <c r="U809" s="17" t="str">
        <f>IF(M5_Ocupacion!A14="","",IF(M5_Ocupacion!R14="","",M5_Ocupacion!R14))</f>
        <v/>
      </c>
      <c r="V809" s="17" t="str">
        <f>IF(M5_Ocupacion!A14="","",IF(M5_Ocupacion!D14="","",M5_Ocupacion!D14))</f>
        <v/>
      </c>
      <c r="W809" s="17" t="str">
        <f>IF(M5_Ocupacion!A14="","",IF(M5_Ocupacion!B14="","",M5_Ocupacion!B14))</f>
        <v/>
      </c>
      <c r="X809" s="17" t="str">
        <f>IF(M5_Ocupacion!A14="","",IF(M5_Ocupacion!C14="","",M5_Ocupacion!C14))</f>
        <v/>
      </c>
      <c r="Y809" s="17" t="str">
        <f>IF(M5_Ocupacion!A14="","",IF(M5_Ocupacion!E14="","",M5_Ocupacion!E14))</f>
        <v/>
      </c>
      <c r="Z809" s="17" t="str">
        <f>IF(M5_Ocupacion!A14="","",IF(M5_Ocupacion!F14="","",M5_Ocupacion!F14))</f>
        <v/>
      </c>
      <c r="AA809" s="17" t="str">
        <f>IF(M5_Ocupacion!A14="","","M5 Ocupación")</f>
        <v/>
      </c>
      <c r="AB809" s="17" t="str">
        <f>IF(M5_Ocupacion!A14="","",IF(M5_Ocupacion!G14="","",M5_Ocupacion!G14))</f>
        <v/>
      </c>
      <c r="AC809" s="17" t="str">
        <f>IF(M5_Ocupacion!A14="","",IF(COUNTIFS(M5_Ocupacion!$A$10:A14,M5_Ocupacion!A14,M5_Ocupacion!$D$10:D14,M5_Ocupacion!D14)=1,IF(M5_Ocupacion!M14="","",M5_Ocupacion!M14),""))</f>
        <v/>
      </c>
      <c r="AD809" s="17" t="str">
        <f>IF(M5_Ocupacion!A14="","","MO")</f>
        <v/>
      </c>
      <c r="AE809" s="17" t="str">
        <f>IF(M5_Ocupacion!A14="","",IF(M5_Ocupacion!O14="","",M5_Ocupacion!O14))</f>
        <v/>
      </c>
      <c r="AF809" s="17" t="str">
        <f>IF(M5_Ocupacion!A14="","",IF(M5_Ocupacion!P14="","",M5_Ocupacion!P14))</f>
        <v/>
      </c>
      <c r="AG809" s="17" t="str">
        <f>IF(M5_Ocupacion!A14="","",IF(M5_Ocupacion!Q14="","",M5_Ocupacion!Q14))</f>
        <v/>
      </c>
      <c r="AH809" s="17" t="str">
        <f>IF(M5_Ocupacion!A14="","",IF(M5_Ocupacion!J14="","",M5_Ocupacion!J14))</f>
        <v/>
      </c>
      <c r="AI809" s="17" t="str">
        <f>IF(M5_Ocupacion!A14="","","M5_Ocupacion!14")</f>
        <v/>
      </c>
      <c r="AJ809" s="17" t="str">
        <f>IF(M5_Ocupacion!A14="","",IF(M5_Ocupacion!M14="","Pendiente de medición completa",IF(COUNTIFS(M5_Ocupacion!$A$10:A14,M5_Ocupacion!A14,M5_Ocupacion!$D$10:D14,M5_Ocupacion!D14)=1,"Promedio de la actividad y fecha","Observación incluida en promedio")))</f>
        <v/>
      </c>
    </row>
    <row r="810" spans="1:36" ht="55.5" customHeight="1">
      <c r="A810" s="6" t="str">
        <f t="array" ref="A810">IF(806&gt;$S$1204,"",INDEX($T$5:$AJ$1204,MATCH(806,$S$5:$S$1204,0),1))</f>
        <v/>
      </c>
      <c r="B810" s="8" t="str">
        <f t="array" ref="B810">IF(806&gt;$S$1204,"",INDEX($T$5:$AJ$1204,MATCH(806,$S$5:$S$1204,0),2))</f>
        <v/>
      </c>
      <c r="C810" s="10" t="str">
        <f t="array" ref="C810">IF(806&gt;$S$1204,"",INDEX($T$5:$AJ$1204,MATCH(806,$S$5:$S$1204,0),3))</f>
        <v/>
      </c>
      <c r="D810" s="8" t="str">
        <f t="array" ref="D810">IF(806&gt;$S$1204,"",INDEX($T$5:$AJ$1204,MATCH(806,$S$5:$S$1204,0),4))</f>
        <v/>
      </c>
      <c r="E810" s="8" t="str">
        <f t="array" ref="E810">IF(806&gt;$S$1204,"",INDEX($T$5:$AJ$1204,MATCH(806,$S$5:$S$1204,0),5))</f>
        <v/>
      </c>
      <c r="F810" s="8" t="str">
        <f t="array" ref="F810">IF(806&gt;$S$1204,"",INDEX($T$5:$AJ$1204,MATCH(806,$S$5:$S$1204,0),6))</f>
        <v/>
      </c>
      <c r="G810" s="8" t="str">
        <f t="array" ref="G810">IF(806&gt;$S$1204,"",INDEX($T$5:$AJ$1204,MATCH(806,$S$5:$S$1204,0),7))</f>
        <v/>
      </c>
      <c r="H810" s="8" t="str">
        <f t="array" ref="H810">IF(806&gt;$S$1204,"",INDEX($T$5:$AJ$1204,MATCH(806,$S$5:$S$1204,0),8))</f>
        <v/>
      </c>
      <c r="I810" s="8" t="str">
        <f t="array" ref="I810">IF(806&gt;$S$1204,"",INDEX($T$5:$AJ$1204,MATCH(806,$S$5:$S$1204,0),9))</f>
        <v/>
      </c>
      <c r="J810" s="14" t="str">
        <f t="array" ref="J810">IF(806&gt;$S$1204,"",INDEX($T$5:$AJ$1204,MATCH(806,$S$5:$S$1204,0),10))</f>
        <v/>
      </c>
      <c r="K810" s="8" t="str">
        <f t="array" ref="K810">IF(806&gt;$S$1204,"",INDEX($T$5:$AJ$1204,MATCH(806,$S$5:$S$1204,0),11))</f>
        <v/>
      </c>
      <c r="L810" s="8" t="str">
        <f t="array" ref="L810">IF(806&gt;$S$1204,"",INDEX($T$5:$AJ$1204,MATCH(806,$S$5:$S$1204,0),12))</f>
        <v/>
      </c>
      <c r="M810" s="8" t="str">
        <f t="array" ref="M810">IF(806&gt;$S$1204,"",INDEX($T$5:$AJ$1204,MATCH(806,$S$5:$S$1204,0),13))</f>
        <v/>
      </c>
      <c r="N810" s="8" t="str">
        <f t="array" ref="N810">IF(806&gt;$S$1204,"",INDEX($T$5:$AJ$1204,MATCH(806,$S$5:$S$1204,0),14))</f>
        <v/>
      </c>
      <c r="O810" s="15" t="str">
        <f t="array" ref="O810">IF(806&gt;$S$1204,"",INDEX($T$5:$AJ$1204,MATCH(806,$S$5:$S$1204,0),15))</f>
        <v/>
      </c>
      <c r="P810" s="8" t="str">
        <f t="array" ref="P810">IF(806&gt;$S$1204,"",INDEX($T$5:$AJ$1204,MATCH(806,$S$5:$S$1204,0),16))</f>
        <v/>
      </c>
      <c r="Q810" s="8" t="str">
        <f t="array" ref="Q810">IF(806&gt;$S$1204,"",INDEX($T$5:$AJ$1204,MATCH(806,$S$5:$S$1204,0),17))</f>
        <v/>
      </c>
      <c r="R810" s="17"/>
      <c r="S810" s="17">
        <f>S809+IF(M5_Ocupacion!A15="",0,1)</f>
        <v>0</v>
      </c>
      <c r="T810" s="17" t="str">
        <f>IF(M5_Ocupacion!A15="","",IF(M5_Ocupacion!A15="","",M5_Ocupacion!A15))</f>
        <v/>
      </c>
      <c r="U810" s="17" t="str">
        <f>IF(M5_Ocupacion!A15="","",IF(M5_Ocupacion!R15="","",M5_Ocupacion!R15))</f>
        <v/>
      </c>
      <c r="V810" s="17" t="str">
        <f>IF(M5_Ocupacion!A15="","",IF(M5_Ocupacion!D15="","",M5_Ocupacion!D15))</f>
        <v/>
      </c>
      <c r="W810" s="17" t="str">
        <f>IF(M5_Ocupacion!A15="","",IF(M5_Ocupacion!B15="","",M5_Ocupacion!B15))</f>
        <v/>
      </c>
      <c r="X810" s="17" t="str">
        <f>IF(M5_Ocupacion!A15="","",IF(M5_Ocupacion!C15="","",M5_Ocupacion!C15))</f>
        <v/>
      </c>
      <c r="Y810" s="17" t="str">
        <f>IF(M5_Ocupacion!A15="","",IF(M5_Ocupacion!E15="","",M5_Ocupacion!E15))</f>
        <v/>
      </c>
      <c r="Z810" s="17" t="str">
        <f>IF(M5_Ocupacion!A15="","",IF(M5_Ocupacion!F15="","",M5_Ocupacion!F15))</f>
        <v/>
      </c>
      <c r="AA810" s="17" t="str">
        <f>IF(M5_Ocupacion!A15="","","M5 Ocupación")</f>
        <v/>
      </c>
      <c r="AB810" s="17" t="str">
        <f>IF(M5_Ocupacion!A15="","",IF(M5_Ocupacion!G15="","",M5_Ocupacion!G15))</f>
        <v/>
      </c>
      <c r="AC810" s="17" t="str">
        <f>IF(M5_Ocupacion!A15="","",IF(COUNTIFS(M5_Ocupacion!$A$10:A15,M5_Ocupacion!A15,M5_Ocupacion!$D$10:D15,M5_Ocupacion!D15)=1,IF(M5_Ocupacion!M15="","",M5_Ocupacion!M15),""))</f>
        <v/>
      </c>
      <c r="AD810" s="17" t="str">
        <f>IF(M5_Ocupacion!A15="","","MO")</f>
        <v/>
      </c>
      <c r="AE810" s="17" t="str">
        <f>IF(M5_Ocupacion!A15="","",IF(M5_Ocupacion!O15="","",M5_Ocupacion!O15))</f>
        <v/>
      </c>
      <c r="AF810" s="17" t="str">
        <f>IF(M5_Ocupacion!A15="","",IF(M5_Ocupacion!P15="","",M5_Ocupacion!P15))</f>
        <v/>
      </c>
      <c r="AG810" s="17" t="str">
        <f>IF(M5_Ocupacion!A15="","",IF(M5_Ocupacion!Q15="","",M5_Ocupacion!Q15))</f>
        <v/>
      </c>
      <c r="AH810" s="17" t="str">
        <f>IF(M5_Ocupacion!A15="","",IF(M5_Ocupacion!J15="","",M5_Ocupacion!J15))</f>
        <v/>
      </c>
      <c r="AI810" s="17" t="str">
        <f>IF(M5_Ocupacion!A15="","","M5_Ocupacion!15")</f>
        <v/>
      </c>
      <c r="AJ810" s="17" t="str">
        <f>IF(M5_Ocupacion!A15="","",IF(M5_Ocupacion!M15="","Pendiente de medición completa",IF(COUNTIFS(M5_Ocupacion!$A$10:A15,M5_Ocupacion!A15,M5_Ocupacion!$D$10:D15,M5_Ocupacion!D15)=1,"Promedio de la actividad y fecha","Observación incluida en promedio")))</f>
        <v/>
      </c>
    </row>
    <row r="811" spans="1:36" ht="55.5" customHeight="1">
      <c r="A811" s="6" t="str">
        <f t="array" ref="A811">IF(807&gt;$S$1204,"",INDEX($T$5:$AJ$1204,MATCH(807,$S$5:$S$1204,0),1))</f>
        <v/>
      </c>
      <c r="B811" s="8" t="str">
        <f t="array" ref="B811">IF(807&gt;$S$1204,"",INDEX($T$5:$AJ$1204,MATCH(807,$S$5:$S$1204,0),2))</f>
        <v/>
      </c>
      <c r="C811" s="10" t="str">
        <f t="array" ref="C811">IF(807&gt;$S$1204,"",INDEX($T$5:$AJ$1204,MATCH(807,$S$5:$S$1204,0),3))</f>
        <v/>
      </c>
      <c r="D811" s="8" t="str">
        <f t="array" ref="D811">IF(807&gt;$S$1204,"",INDEX($T$5:$AJ$1204,MATCH(807,$S$5:$S$1204,0),4))</f>
        <v/>
      </c>
      <c r="E811" s="8" t="str">
        <f t="array" ref="E811">IF(807&gt;$S$1204,"",INDEX($T$5:$AJ$1204,MATCH(807,$S$5:$S$1204,0),5))</f>
        <v/>
      </c>
      <c r="F811" s="8" t="str">
        <f t="array" ref="F811">IF(807&gt;$S$1204,"",INDEX($T$5:$AJ$1204,MATCH(807,$S$5:$S$1204,0),6))</f>
        <v/>
      </c>
      <c r="G811" s="8" t="str">
        <f t="array" ref="G811">IF(807&gt;$S$1204,"",INDEX($T$5:$AJ$1204,MATCH(807,$S$5:$S$1204,0),7))</f>
        <v/>
      </c>
      <c r="H811" s="8" t="str">
        <f t="array" ref="H811">IF(807&gt;$S$1204,"",INDEX($T$5:$AJ$1204,MATCH(807,$S$5:$S$1204,0),8))</f>
        <v/>
      </c>
      <c r="I811" s="8" t="str">
        <f t="array" ref="I811">IF(807&gt;$S$1204,"",INDEX($T$5:$AJ$1204,MATCH(807,$S$5:$S$1204,0),9))</f>
        <v/>
      </c>
      <c r="J811" s="14" t="str">
        <f t="array" ref="J811">IF(807&gt;$S$1204,"",INDEX($T$5:$AJ$1204,MATCH(807,$S$5:$S$1204,0),10))</f>
        <v/>
      </c>
      <c r="K811" s="8" t="str">
        <f t="array" ref="K811">IF(807&gt;$S$1204,"",INDEX($T$5:$AJ$1204,MATCH(807,$S$5:$S$1204,0),11))</f>
        <v/>
      </c>
      <c r="L811" s="8" t="str">
        <f t="array" ref="L811">IF(807&gt;$S$1204,"",INDEX($T$5:$AJ$1204,MATCH(807,$S$5:$S$1204,0),12))</f>
        <v/>
      </c>
      <c r="M811" s="8" t="str">
        <f t="array" ref="M811">IF(807&gt;$S$1204,"",INDEX($T$5:$AJ$1204,MATCH(807,$S$5:$S$1204,0),13))</f>
        <v/>
      </c>
      <c r="N811" s="8" t="str">
        <f t="array" ref="N811">IF(807&gt;$S$1204,"",INDEX($T$5:$AJ$1204,MATCH(807,$S$5:$S$1204,0),14))</f>
        <v/>
      </c>
      <c r="O811" s="15" t="str">
        <f t="array" ref="O811">IF(807&gt;$S$1204,"",INDEX($T$5:$AJ$1204,MATCH(807,$S$5:$S$1204,0),15))</f>
        <v/>
      </c>
      <c r="P811" s="8" t="str">
        <f t="array" ref="P811">IF(807&gt;$S$1204,"",INDEX($T$5:$AJ$1204,MATCH(807,$S$5:$S$1204,0),16))</f>
        <v/>
      </c>
      <c r="Q811" s="8" t="str">
        <f t="array" ref="Q811">IF(807&gt;$S$1204,"",INDEX($T$5:$AJ$1204,MATCH(807,$S$5:$S$1204,0),17))</f>
        <v/>
      </c>
      <c r="R811" s="17"/>
      <c r="S811" s="17">
        <f>S810+IF(M5_Ocupacion!A16="",0,1)</f>
        <v>0</v>
      </c>
      <c r="T811" s="17" t="str">
        <f>IF(M5_Ocupacion!A16="","",IF(M5_Ocupacion!A16="","",M5_Ocupacion!A16))</f>
        <v/>
      </c>
      <c r="U811" s="17" t="str">
        <f>IF(M5_Ocupacion!A16="","",IF(M5_Ocupacion!R16="","",M5_Ocupacion!R16))</f>
        <v/>
      </c>
      <c r="V811" s="17" t="str">
        <f>IF(M5_Ocupacion!A16="","",IF(M5_Ocupacion!D16="","",M5_Ocupacion!D16))</f>
        <v/>
      </c>
      <c r="W811" s="17" t="str">
        <f>IF(M5_Ocupacion!A16="","",IF(M5_Ocupacion!B16="","",M5_Ocupacion!B16))</f>
        <v/>
      </c>
      <c r="X811" s="17" t="str">
        <f>IF(M5_Ocupacion!A16="","",IF(M5_Ocupacion!C16="","",M5_Ocupacion!C16))</f>
        <v/>
      </c>
      <c r="Y811" s="17" t="str">
        <f>IF(M5_Ocupacion!A16="","",IF(M5_Ocupacion!E16="","",M5_Ocupacion!E16))</f>
        <v/>
      </c>
      <c r="Z811" s="17" t="str">
        <f>IF(M5_Ocupacion!A16="","",IF(M5_Ocupacion!F16="","",M5_Ocupacion!F16))</f>
        <v/>
      </c>
      <c r="AA811" s="17" t="str">
        <f>IF(M5_Ocupacion!A16="","","M5 Ocupación")</f>
        <v/>
      </c>
      <c r="AB811" s="17" t="str">
        <f>IF(M5_Ocupacion!A16="","",IF(M5_Ocupacion!G16="","",M5_Ocupacion!G16))</f>
        <v/>
      </c>
      <c r="AC811" s="17" t="str">
        <f>IF(M5_Ocupacion!A16="","",IF(COUNTIFS(M5_Ocupacion!$A$10:A16,M5_Ocupacion!A16,M5_Ocupacion!$D$10:D16,M5_Ocupacion!D16)=1,IF(M5_Ocupacion!M16="","",M5_Ocupacion!M16),""))</f>
        <v/>
      </c>
      <c r="AD811" s="17" t="str">
        <f>IF(M5_Ocupacion!A16="","","MO")</f>
        <v/>
      </c>
      <c r="AE811" s="17" t="str">
        <f>IF(M5_Ocupacion!A16="","",IF(M5_Ocupacion!O16="","",M5_Ocupacion!O16))</f>
        <v/>
      </c>
      <c r="AF811" s="17" t="str">
        <f>IF(M5_Ocupacion!A16="","",IF(M5_Ocupacion!P16="","",M5_Ocupacion!P16))</f>
        <v/>
      </c>
      <c r="AG811" s="17" t="str">
        <f>IF(M5_Ocupacion!A16="","",IF(M5_Ocupacion!Q16="","",M5_Ocupacion!Q16))</f>
        <v/>
      </c>
      <c r="AH811" s="17" t="str">
        <f>IF(M5_Ocupacion!A16="","",IF(M5_Ocupacion!J16="","",M5_Ocupacion!J16))</f>
        <v/>
      </c>
      <c r="AI811" s="17" t="str">
        <f>IF(M5_Ocupacion!A16="","","M5_Ocupacion!16")</f>
        <v/>
      </c>
      <c r="AJ811" s="17" t="str">
        <f>IF(M5_Ocupacion!A16="","",IF(M5_Ocupacion!M16="","Pendiente de medición completa",IF(COUNTIFS(M5_Ocupacion!$A$10:A16,M5_Ocupacion!A16,M5_Ocupacion!$D$10:D16,M5_Ocupacion!D16)=1,"Promedio de la actividad y fecha","Observación incluida en promedio")))</f>
        <v/>
      </c>
    </row>
    <row r="812" spans="1:36" ht="55.5" customHeight="1">
      <c r="A812" s="6" t="str">
        <f t="array" ref="A812">IF(808&gt;$S$1204,"",INDEX($T$5:$AJ$1204,MATCH(808,$S$5:$S$1204,0),1))</f>
        <v/>
      </c>
      <c r="B812" s="8" t="str">
        <f t="array" ref="B812">IF(808&gt;$S$1204,"",INDEX($T$5:$AJ$1204,MATCH(808,$S$5:$S$1204,0),2))</f>
        <v/>
      </c>
      <c r="C812" s="10" t="str">
        <f t="array" ref="C812">IF(808&gt;$S$1204,"",INDEX($T$5:$AJ$1204,MATCH(808,$S$5:$S$1204,0),3))</f>
        <v/>
      </c>
      <c r="D812" s="8" t="str">
        <f t="array" ref="D812">IF(808&gt;$S$1204,"",INDEX($T$5:$AJ$1204,MATCH(808,$S$5:$S$1204,0),4))</f>
        <v/>
      </c>
      <c r="E812" s="8" t="str">
        <f t="array" ref="E812">IF(808&gt;$S$1204,"",INDEX($T$5:$AJ$1204,MATCH(808,$S$5:$S$1204,0),5))</f>
        <v/>
      </c>
      <c r="F812" s="8" t="str">
        <f t="array" ref="F812">IF(808&gt;$S$1204,"",INDEX($T$5:$AJ$1204,MATCH(808,$S$5:$S$1204,0),6))</f>
        <v/>
      </c>
      <c r="G812" s="8" t="str">
        <f t="array" ref="G812">IF(808&gt;$S$1204,"",INDEX($T$5:$AJ$1204,MATCH(808,$S$5:$S$1204,0),7))</f>
        <v/>
      </c>
      <c r="H812" s="8" t="str">
        <f t="array" ref="H812">IF(808&gt;$S$1204,"",INDEX($T$5:$AJ$1204,MATCH(808,$S$5:$S$1204,0),8))</f>
        <v/>
      </c>
      <c r="I812" s="8" t="str">
        <f t="array" ref="I812">IF(808&gt;$S$1204,"",INDEX($T$5:$AJ$1204,MATCH(808,$S$5:$S$1204,0),9))</f>
        <v/>
      </c>
      <c r="J812" s="14" t="str">
        <f t="array" ref="J812">IF(808&gt;$S$1204,"",INDEX($T$5:$AJ$1204,MATCH(808,$S$5:$S$1204,0),10))</f>
        <v/>
      </c>
      <c r="K812" s="8" t="str">
        <f t="array" ref="K812">IF(808&gt;$S$1204,"",INDEX($T$5:$AJ$1204,MATCH(808,$S$5:$S$1204,0),11))</f>
        <v/>
      </c>
      <c r="L812" s="8" t="str">
        <f t="array" ref="L812">IF(808&gt;$S$1204,"",INDEX($T$5:$AJ$1204,MATCH(808,$S$5:$S$1204,0),12))</f>
        <v/>
      </c>
      <c r="M812" s="8" t="str">
        <f t="array" ref="M812">IF(808&gt;$S$1204,"",INDEX($T$5:$AJ$1204,MATCH(808,$S$5:$S$1204,0),13))</f>
        <v/>
      </c>
      <c r="N812" s="8" t="str">
        <f t="array" ref="N812">IF(808&gt;$S$1204,"",INDEX($T$5:$AJ$1204,MATCH(808,$S$5:$S$1204,0),14))</f>
        <v/>
      </c>
      <c r="O812" s="15" t="str">
        <f t="array" ref="O812">IF(808&gt;$S$1204,"",INDEX($T$5:$AJ$1204,MATCH(808,$S$5:$S$1204,0),15))</f>
        <v/>
      </c>
      <c r="P812" s="8" t="str">
        <f t="array" ref="P812">IF(808&gt;$S$1204,"",INDEX($T$5:$AJ$1204,MATCH(808,$S$5:$S$1204,0),16))</f>
        <v/>
      </c>
      <c r="Q812" s="8" t="str">
        <f t="array" ref="Q812">IF(808&gt;$S$1204,"",INDEX($T$5:$AJ$1204,MATCH(808,$S$5:$S$1204,0),17))</f>
        <v/>
      </c>
      <c r="R812" s="17"/>
      <c r="S812" s="17">
        <f>S811+IF(M5_Ocupacion!A17="",0,1)</f>
        <v>0</v>
      </c>
      <c r="T812" s="17" t="str">
        <f>IF(M5_Ocupacion!A17="","",IF(M5_Ocupacion!A17="","",M5_Ocupacion!A17))</f>
        <v/>
      </c>
      <c r="U812" s="17" t="str">
        <f>IF(M5_Ocupacion!A17="","",IF(M5_Ocupacion!R17="","",M5_Ocupacion!R17))</f>
        <v/>
      </c>
      <c r="V812" s="17" t="str">
        <f>IF(M5_Ocupacion!A17="","",IF(M5_Ocupacion!D17="","",M5_Ocupacion!D17))</f>
        <v/>
      </c>
      <c r="W812" s="17" t="str">
        <f>IF(M5_Ocupacion!A17="","",IF(M5_Ocupacion!B17="","",M5_Ocupacion!B17))</f>
        <v/>
      </c>
      <c r="X812" s="17" t="str">
        <f>IF(M5_Ocupacion!A17="","",IF(M5_Ocupacion!C17="","",M5_Ocupacion!C17))</f>
        <v/>
      </c>
      <c r="Y812" s="17" t="str">
        <f>IF(M5_Ocupacion!A17="","",IF(M5_Ocupacion!E17="","",M5_Ocupacion!E17))</f>
        <v/>
      </c>
      <c r="Z812" s="17" t="str">
        <f>IF(M5_Ocupacion!A17="","",IF(M5_Ocupacion!F17="","",M5_Ocupacion!F17))</f>
        <v/>
      </c>
      <c r="AA812" s="17" t="str">
        <f>IF(M5_Ocupacion!A17="","","M5 Ocupación")</f>
        <v/>
      </c>
      <c r="AB812" s="17" t="str">
        <f>IF(M5_Ocupacion!A17="","",IF(M5_Ocupacion!G17="","",M5_Ocupacion!G17))</f>
        <v/>
      </c>
      <c r="AC812" s="17" t="str">
        <f>IF(M5_Ocupacion!A17="","",IF(COUNTIFS(M5_Ocupacion!$A$10:A17,M5_Ocupacion!A17,M5_Ocupacion!$D$10:D17,M5_Ocupacion!D17)=1,IF(M5_Ocupacion!M17="","",M5_Ocupacion!M17),""))</f>
        <v/>
      </c>
      <c r="AD812" s="17" t="str">
        <f>IF(M5_Ocupacion!A17="","","MO")</f>
        <v/>
      </c>
      <c r="AE812" s="17" t="str">
        <f>IF(M5_Ocupacion!A17="","",IF(M5_Ocupacion!O17="","",M5_Ocupacion!O17))</f>
        <v/>
      </c>
      <c r="AF812" s="17" t="str">
        <f>IF(M5_Ocupacion!A17="","",IF(M5_Ocupacion!P17="","",M5_Ocupacion!P17))</f>
        <v/>
      </c>
      <c r="AG812" s="17" t="str">
        <f>IF(M5_Ocupacion!A17="","",IF(M5_Ocupacion!Q17="","",M5_Ocupacion!Q17))</f>
        <v/>
      </c>
      <c r="AH812" s="17" t="str">
        <f>IF(M5_Ocupacion!A17="","",IF(M5_Ocupacion!J17="","",M5_Ocupacion!J17))</f>
        <v/>
      </c>
      <c r="AI812" s="17" t="str">
        <f>IF(M5_Ocupacion!A17="","","M5_Ocupacion!17")</f>
        <v/>
      </c>
      <c r="AJ812" s="17" t="str">
        <f>IF(M5_Ocupacion!A17="","",IF(M5_Ocupacion!M17="","Pendiente de medición completa",IF(COUNTIFS(M5_Ocupacion!$A$10:A17,M5_Ocupacion!A17,M5_Ocupacion!$D$10:D17,M5_Ocupacion!D17)=1,"Promedio de la actividad y fecha","Observación incluida en promedio")))</f>
        <v/>
      </c>
    </row>
    <row r="813" spans="1:36" ht="55.5" customHeight="1">
      <c r="A813" s="6" t="str">
        <f t="array" ref="A813">IF(809&gt;$S$1204,"",INDEX($T$5:$AJ$1204,MATCH(809,$S$5:$S$1204,0),1))</f>
        <v/>
      </c>
      <c r="B813" s="8" t="str">
        <f t="array" ref="B813">IF(809&gt;$S$1204,"",INDEX($T$5:$AJ$1204,MATCH(809,$S$5:$S$1204,0),2))</f>
        <v/>
      </c>
      <c r="C813" s="10" t="str">
        <f t="array" ref="C813">IF(809&gt;$S$1204,"",INDEX($T$5:$AJ$1204,MATCH(809,$S$5:$S$1204,0),3))</f>
        <v/>
      </c>
      <c r="D813" s="8" t="str">
        <f t="array" ref="D813">IF(809&gt;$S$1204,"",INDEX($T$5:$AJ$1204,MATCH(809,$S$5:$S$1204,0),4))</f>
        <v/>
      </c>
      <c r="E813" s="8" t="str">
        <f t="array" ref="E813">IF(809&gt;$S$1204,"",INDEX($T$5:$AJ$1204,MATCH(809,$S$5:$S$1204,0),5))</f>
        <v/>
      </c>
      <c r="F813" s="8" t="str">
        <f t="array" ref="F813">IF(809&gt;$S$1204,"",INDEX($T$5:$AJ$1204,MATCH(809,$S$5:$S$1204,0),6))</f>
        <v/>
      </c>
      <c r="G813" s="8" t="str">
        <f t="array" ref="G813">IF(809&gt;$S$1204,"",INDEX($T$5:$AJ$1204,MATCH(809,$S$5:$S$1204,0),7))</f>
        <v/>
      </c>
      <c r="H813" s="8" t="str">
        <f t="array" ref="H813">IF(809&gt;$S$1204,"",INDEX($T$5:$AJ$1204,MATCH(809,$S$5:$S$1204,0),8))</f>
        <v/>
      </c>
      <c r="I813" s="8" t="str">
        <f t="array" ref="I813">IF(809&gt;$S$1204,"",INDEX($T$5:$AJ$1204,MATCH(809,$S$5:$S$1204,0),9))</f>
        <v/>
      </c>
      <c r="J813" s="14" t="str">
        <f t="array" ref="J813">IF(809&gt;$S$1204,"",INDEX($T$5:$AJ$1204,MATCH(809,$S$5:$S$1204,0),10))</f>
        <v/>
      </c>
      <c r="K813" s="8" t="str">
        <f t="array" ref="K813">IF(809&gt;$S$1204,"",INDEX($T$5:$AJ$1204,MATCH(809,$S$5:$S$1204,0),11))</f>
        <v/>
      </c>
      <c r="L813" s="8" t="str">
        <f t="array" ref="L813">IF(809&gt;$S$1204,"",INDEX($T$5:$AJ$1204,MATCH(809,$S$5:$S$1204,0),12))</f>
        <v/>
      </c>
      <c r="M813" s="8" t="str">
        <f t="array" ref="M813">IF(809&gt;$S$1204,"",INDEX($T$5:$AJ$1204,MATCH(809,$S$5:$S$1204,0),13))</f>
        <v/>
      </c>
      <c r="N813" s="8" t="str">
        <f t="array" ref="N813">IF(809&gt;$S$1204,"",INDEX($T$5:$AJ$1204,MATCH(809,$S$5:$S$1204,0),14))</f>
        <v/>
      </c>
      <c r="O813" s="15" t="str">
        <f t="array" ref="O813">IF(809&gt;$S$1204,"",INDEX($T$5:$AJ$1204,MATCH(809,$S$5:$S$1204,0),15))</f>
        <v/>
      </c>
      <c r="P813" s="8" t="str">
        <f t="array" ref="P813">IF(809&gt;$S$1204,"",INDEX($T$5:$AJ$1204,MATCH(809,$S$5:$S$1204,0),16))</f>
        <v/>
      </c>
      <c r="Q813" s="8" t="str">
        <f t="array" ref="Q813">IF(809&gt;$S$1204,"",INDEX($T$5:$AJ$1204,MATCH(809,$S$5:$S$1204,0),17))</f>
        <v/>
      </c>
      <c r="R813" s="17"/>
      <c r="S813" s="17">
        <f>S812+IF(M5_Ocupacion!A18="",0,1)</f>
        <v>0</v>
      </c>
      <c r="T813" s="17" t="str">
        <f>IF(M5_Ocupacion!A18="","",IF(M5_Ocupacion!A18="","",M5_Ocupacion!A18))</f>
        <v/>
      </c>
      <c r="U813" s="17" t="str">
        <f>IF(M5_Ocupacion!A18="","",IF(M5_Ocupacion!R18="","",M5_Ocupacion!R18))</f>
        <v/>
      </c>
      <c r="V813" s="17" t="str">
        <f>IF(M5_Ocupacion!A18="","",IF(M5_Ocupacion!D18="","",M5_Ocupacion!D18))</f>
        <v/>
      </c>
      <c r="W813" s="17" t="str">
        <f>IF(M5_Ocupacion!A18="","",IF(M5_Ocupacion!B18="","",M5_Ocupacion!B18))</f>
        <v/>
      </c>
      <c r="X813" s="17" t="str">
        <f>IF(M5_Ocupacion!A18="","",IF(M5_Ocupacion!C18="","",M5_Ocupacion!C18))</f>
        <v/>
      </c>
      <c r="Y813" s="17" t="str">
        <f>IF(M5_Ocupacion!A18="","",IF(M5_Ocupacion!E18="","",M5_Ocupacion!E18))</f>
        <v/>
      </c>
      <c r="Z813" s="17" t="str">
        <f>IF(M5_Ocupacion!A18="","",IF(M5_Ocupacion!F18="","",M5_Ocupacion!F18))</f>
        <v/>
      </c>
      <c r="AA813" s="17" t="str">
        <f>IF(M5_Ocupacion!A18="","","M5 Ocupación")</f>
        <v/>
      </c>
      <c r="AB813" s="17" t="str">
        <f>IF(M5_Ocupacion!A18="","",IF(M5_Ocupacion!G18="","",M5_Ocupacion!G18))</f>
        <v/>
      </c>
      <c r="AC813" s="17" t="str">
        <f>IF(M5_Ocupacion!A18="","",IF(COUNTIFS(M5_Ocupacion!$A$10:A18,M5_Ocupacion!A18,M5_Ocupacion!$D$10:D18,M5_Ocupacion!D18)=1,IF(M5_Ocupacion!M18="","",M5_Ocupacion!M18),""))</f>
        <v/>
      </c>
      <c r="AD813" s="17" t="str">
        <f>IF(M5_Ocupacion!A18="","","MO")</f>
        <v/>
      </c>
      <c r="AE813" s="17" t="str">
        <f>IF(M5_Ocupacion!A18="","",IF(M5_Ocupacion!O18="","",M5_Ocupacion!O18))</f>
        <v/>
      </c>
      <c r="AF813" s="17" t="str">
        <f>IF(M5_Ocupacion!A18="","",IF(M5_Ocupacion!P18="","",M5_Ocupacion!P18))</f>
        <v/>
      </c>
      <c r="AG813" s="17" t="str">
        <f>IF(M5_Ocupacion!A18="","",IF(M5_Ocupacion!Q18="","",M5_Ocupacion!Q18))</f>
        <v/>
      </c>
      <c r="AH813" s="17" t="str">
        <f>IF(M5_Ocupacion!A18="","",IF(M5_Ocupacion!J18="","",M5_Ocupacion!J18))</f>
        <v/>
      </c>
      <c r="AI813" s="17" t="str">
        <f>IF(M5_Ocupacion!A18="","","M5_Ocupacion!18")</f>
        <v/>
      </c>
      <c r="AJ813" s="17" t="str">
        <f>IF(M5_Ocupacion!A18="","",IF(M5_Ocupacion!M18="","Pendiente de medición completa",IF(COUNTIFS(M5_Ocupacion!$A$10:A18,M5_Ocupacion!A18,M5_Ocupacion!$D$10:D18,M5_Ocupacion!D18)=1,"Promedio de la actividad y fecha","Observación incluida en promedio")))</f>
        <v/>
      </c>
    </row>
    <row r="814" spans="1:36" ht="55.5" customHeight="1">
      <c r="A814" s="6" t="str">
        <f t="array" ref="A814">IF(810&gt;$S$1204,"",INDEX($T$5:$AJ$1204,MATCH(810,$S$5:$S$1204,0),1))</f>
        <v/>
      </c>
      <c r="B814" s="8" t="str">
        <f t="array" ref="B814">IF(810&gt;$S$1204,"",INDEX($T$5:$AJ$1204,MATCH(810,$S$5:$S$1204,0),2))</f>
        <v/>
      </c>
      <c r="C814" s="10" t="str">
        <f t="array" ref="C814">IF(810&gt;$S$1204,"",INDEX($T$5:$AJ$1204,MATCH(810,$S$5:$S$1204,0),3))</f>
        <v/>
      </c>
      <c r="D814" s="8" t="str">
        <f t="array" ref="D814">IF(810&gt;$S$1204,"",INDEX($T$5:$AJ$1204,MATCH(810,$S$5:$S$1204,0),4))</f>
        <v/>
      </c>
      <c r="E814" s="8" t="str">
        <f t="array" ref="E814">IF(810&gt;$S$1204,"",INDEX($T$5:$AJ$1204,MATCH(810,$S$5:$S$1204,0),5))</f>
        <v/>
      </c>
      <c r="F814" s="8" t="str">
        <f t="array" ref="F814">IF(810&gt;$S$1204,"",INDEX($T$5:$AJ$1204,MATCH(810,$S$5:$S$1204,0),6))</f>
        <v/>
      </c>
      <c r="G814" s="8" t="str">
        <f t="array" ref="G814">IF(810&gt;$S$1204,"",INDEX($T$5:$AJ$1204,MATCH(810,$S$5:$S$1204,0),7))</f>
        <v/>
      </c>
      <c r="H814" s="8" t="str">
        <f t="array" ref="H814">IF(810&gt;$S$1204,"",INDEX($T$5:$AJ$1204,MATCH(810,$S$5:$S$1204,0),8))</f>
        <v/>
      </c>
      <c r="I814" s="8" t="str">
        <f t="array" ref="I814">IF(810&gt;$S$1204,"",INDEX($T$5:$AJ$1204,MATCH(810,$S$5:$S$1204,0),9))</f>
        <v/>
      </c>
      <c r="J814" s="14" t="str">
        <f t="array" ref="J814">IF(810&gt;$S$1204,"",INDEX($T$5:$AJ$1204,MATCH(810,$S$5:$S$1204,0),10))</f>
        <v/>
      </c>
      <c r="K814" s="8" t="str">
        <f t="array" ref="K814">IF(810&gt;$S$1204,"",INDEX($T$5:$AJ$1204,MATCH(810,$S$5:$S$1204,0),11))</f>
        <v/>
      </c>
      <c r="L814" s="8" t="str">
        <f t="array" ref="L814">IF(810&gt;$S$1204,"",INDEX($T$5:$AJ$1204,MATCH(810,$S$5:$S$1204,0),12))</f>
        <v/>
      </c>
      <c r="M814" s="8" t="str">
        <f t="array" ref="M814">IF(810&gt;$S$1204,"",INDEX($T$5:$AJ$1204,MATCH(810,$S$5:$S$1204,0),13))</f>
        <v/>
      </c>
      <c r="N814" s="8" t="str">
        <f t="array" ref="N814">IF(810&gt;$S$1204,"",INDEX($T$5:$AJ$1204,MATCH(810,$S$5:$S$1204,0),14))</f>
        <v/>
      </c>
      <c r="O814" s="15" t="str">
        <f t="array" ref="O814">IF(810&gt;$S$1204,"",INDEX($T$5:$AJ$1204,MATCH(810,$S$5:$S$1204,0),15))</f>
        <v/>
      </c>
      <c r="P814" s="8" t="str">
        <f t="array" ref="P814">IF(810&gt;$S$1204,"",INDEX($T$5:$AJ$1204,MATCH(810,$S$5:$S$1204,0),16))</f>
        <v/>
      </c>
      <c r="Q814" s="8" t="str">
        <f t="array" ref="Q814">IF(810&gt;$S$1204,"",INDEX($T$5:$AJ$1204,MATCH(810,$S$5:$S$1204,0),17))</f>
        <v/>
      </c>
      <c r="R814" s="17"/>
      <c r="S814" s="17">
        <f>S813+IF(M5_Ocupacion!A19="",0,1)</f>
        <v>0</v>
      </c>
      <c r="T814" s="17" t="str">
        <f>IF(M5_Ocupacion!A19="","",IF(M5_Ocupacion!A19="","",M5_Ocupacion!A19))</f>
        <v/>
      </c>
      <c r="U814" s="17" t="str">
        <f>IF(M5_Ocupacion!A19="","",IF(M5_Ocupacion!R19="","",M5_Ocupacion!R19))</f>
        <v/>
      </c>
      <c r="V814" s="17" t="str">
        <f>IF(M5_Ocupacion!A19="","",IF(M5_Ocupacion!D19="","",M5_Ocupacion!D19))</f>
        <v/>
      </c>
      <c r="W814" s="17" t="str">
        <f>IF(M5_Ocupacion!A19="","",IF(M5_Ocupacion!B19="","",M5_Ocupacion!B19))</f>
        <v/>
      </c>
      <c r="X814" s="17" t="str">
        <f>IF(M5_Ocupacion!A19="","",IF(M5_Ocupacion!C19="","",M5_Ocupacion!C19))</f>
        <v/>
      </c>
      <c r="Y814" s="17" t="str">
        <f>IF(M5_Ocupacion!A19="","",IF(M5_Ocupacion!E19="","",M5_Ocupacion!E19))</f>
        <v/>
      </c>
      <c r="Z814" s="17" t="str">
        <f>IF(M5_Ocupacion!A19="","",IF(M5_Ocupacion!F19="","",M5_Ocupacion!F19))</f>
        <v/>
      </c>
      <c r="AA814" s="17" t="str">
        <f>IF(M5_Ocupacion!A19="","","M5 Ocupación")</f>
        <v/>
      </c>
      <c r="AB814" s="17" t="str">
        <f>IF(M5_Ocupacion!A19="","",IF(M5_Ocupacion!G19="","",M5_Ocupacion!G19))</f>
        <v/>
      </c>
      <c r="AC814" s="17" t="str">
        <f>IF(M5_Ocupacion!A19="","",IF(COUNTIFS(M5_Ocupacion!$A$10:A19,M5_Ocupacion!A19,M5_Ocupacion!$D$10:D19,M5_Ocupacion!D19)=1,IF(M5_Ocupacion!M19="","",M5_Ocupacion!M19),""))</f>
        <v/>
      </c>
      <c r="AD814" s="17" t="str">
        <f>IF(M5_Ocupacion!A19="","","MO")</f>
        <v/>
      </c>
      <c r="AE814" s="17" t="str">
        <f>IF(M5_Ocupacion!A19="","",IF(M5_Ocupacion!O19="","",M5_Ocupacion!O19))</f>
        <v/>
      </c>
      <c r="AF814" s="17" t="str">
        <f>IF(M5_Ocupacion!A19="","",IF(M5_Ocupacion!P19="","",M5_Ocupacion!P19))</f>
        <v/>
      </c>
      <c r="AG814" s="17" t="str">
        <f>IF(M5_Ocupacion!A19="","",IF(M5_Ocupacion!Q19="","",M5_Ocupacion!Q19))</f>
        <v/>
      </c>
      <c r="AH814" s="17" t="str">
        <f>IF(M5_Ocupacion!A19="","",IF(M5_Ocupacion!J19="","",M5_Ocupacion!J19))</f>
        <v/>
      </c>
      <c r="AI814" s="17" t="str">
        <f>IF(M5_Ocupacion!A19="","","M5_Ocupacion!19")</f>
        <v/>
      </c>
      <c r="AJ814" s="17" t="str">
        <f>IF(M5_Ocupacion!A19="","",IF(M5_Ocupacion!M19="","Pendiente de medición completa",IF(COUNTIFS(M5_Ocupacion!$A$10:A19,M5_Ocupacion!A19,M5_Ocupacion!$D$10:D19,M5_Ocupacion!D19)=1,"Promedio de la actividad y fecha","Observación incluida en promedio")))</f>
        <v/>
      </c>
    </row>
    <row r="815" spans="1:36" ht="55.5" customHeight="1">
      <c r="A815" s="6" t="str">
        <f t="array" ref="A815">IF(811&gt;$S$1204,"",INDEX($T$5:$AJ$1204,MATCH(811,$S$5:$S$1204,0),1))</f>
        <v/>
      </c>
      <c r="B815" s="8" t="str">
        <f t="array" ref="B815">IF(811&gt;$S$1204,"",INDEX($T$5:$AJ$1204,MATCH(811,$S$5:$S$1204,0),2))</f>
        <v/>
      </c>
      <c r="C815" s="10" t="str">
        <f t="array" ref="C815">IF(811&gt;$S$1204,"",INDEX($T$5:$AJ$1204,MATCH(811,$S$5:$S$1204,0),3))</f>
        <v/>
      </c>
      <c r="D815" s="8" t="str">
        <f t="array" ref="D815">IF(811&gt;$S$1204,"",INDEX($T$5:$AJ$1204,MATCH(811,$S$5:$S$1204,0),4))</f>
        <v/>
      </c>
      <c r="E815" s="8" t="str">
        <f t="array" ref="E815">IF(811&gt;$S$1204,"",INDEX($T$5:$AJ$1204,MATCH(811,$S$5:$S$1204,0),5))</f>
        <v/>
      </c>
      <c r="F815" s="8" t="str">
        <f t="array" ref="F815">IF(811&gt;$S$1204,"",INDEX($T$5:$AJ$1204,MATCH(811,$S$5:$S$1204,0),6))</f>
        <v/>
      </c>
      <c r="G815" s="8" t="str">
        <f t="array" ref="G815">IF(811&gt;$S$1204,"",INDEX($T$5:$AJ$1204,MATCH(811,$S$5:$S$1204,0),7))</f>
        <v/>
      </c>
      <c r="H815" s="8" t="str">
        <f t="array" ref="H815">IF(811&gt;$S$1204,"",INDEX($T$5:$AJ$1204,MATCH(811,$S$5:$S$1204,0),8))</f>
        <v/>
      </c>
      <c r="I815" s="8" t="str">
        <f t="array" ref="I815">IF(811&gt;$S$1204,"",INDEX($T$5:$AJ$1204,MATCH(811,$S$5:$S$1204,0),9))</f>
        <v/>
      </c>
      <c r="J815" s="14" t="str">
        <f t="array" ref="J815">IF(811&gt;$S$1204,"",INDEX($T$5:$AJ$1204,MATCH(811,$S$5:$S$1204,0),10))</f>
        <v/>
      </c>
      <c r="K815" s="8" t="str">
        <f t="array" ref="K815">IF(811&gt;$S$1204,"",INDEX($T$5:$AJ$1204,MATCH(811,$S$5:$S$1204,0),11))</f>
        <v/>
      </c>
      <c r="L815" s="8" t="str">
        <f t="array" ref="L815">IF(811&gt;$S$1204,"",INDEX($T$5:$AJ$1204,MATCH(811,$S$5:$S$1204,0),12))</f>
        <v/>
      </c>
      <c r="M815" s="8" t="str">
        <f t="array" ref="M815">IF(811&gt;$S$1204,"",INDEX($T$5:$AJ$1204,MATCH(811,$S$5:$S$1204,0),13))</f>
        <v/>
      </c>
      <c r="N815" s="8" t="str">
        <f t="array" ref="N815">IF(811&gt;$S$1204,"",INDEX($T$5:$AJ$1204,MATCH(811,$S$5:$S$1204,0),14))</f>
        <v/>
      </c>
      <c r="O815" s="15" t="str">
        <f t="array" ref="O815">IF(811&gt;$S$1204,"",INDEX($T$5:$AJ$1204,MATCH(811,$S$5:$S$1204,0),15))</f>
        <v/>
      </c>
      <c r="P815" s="8" t="str">
        <f t="array" ref="P815">IF(811&gt;$S$1204,"",INDEX($T$5:$AJ$1204,MATCH(811,$S$5:$S$1204,0),16))</f>
        <v/>
      </c>
      <c r="Q815" s="8" t="str">
        <f t="array" ref="Q815">IF(811&gt;$S$1204,"",INDEX($T$5:$AJ$1204,MATCH(811,$S$5:$S$1204,0),17))</f>
        <v/>
      </c>
      <c r="R815" s="17"/>
      <c r="S815" s="17">
        <f>S814+IF(M5_Ocupacion!A20="",0,1)</f>
        <v>0</v>
      </c>
      <c r="T815" s="17" t="str">
        <f>IF(M5_Ocupacion!A20="","",IF(M5_Ocupacion!A20="","",M5_Ocupacion!A20))</f>
        <v/>
      </c>
      <c r="U815" s="17" t="str">
        <f>IF(M5_Ocupacion!A20="","",IF(M5_Ocupacion!R20="","",M5_Ocupacion!R20))</f>
        <v/>
      </c>
      <c r="V815" s="17" t="str">
        <f>IF(M5_Ocupacion!A20="","",IF(M5_Ocupacion!D20="","",M5_Ocupacion!D20))</f>
        <v/>
      </c>
      <c r="W815" s="17" t="str">
        <f>IF(M5_Ocupacion!A20="","",IF(M5_Ocupacion!B20="","",M5_Ocupacion!B20))</f>
        <v/>
      </c>
      <c r="X815" s="17" t="str">
        <f>IF(M5_Ocupacion!A20="","",IF(M5_Ocupacion!C20="","",M5_Ocupacion!C20))</f>
        <v/>
      </c>
      <c r="Y815" s="17" t="str">
        <f>IF(M5_Ocupacion!A20="","",IF(M5_Ocupacion!E20="","",M5_Ocupacion!E20))</f>
        <v/>
      </c>
      <c r="Z815" s="17" t="str">
        <f>IF(M5_Ocupacion!A20="","",IF(M5_Ocupacion!F20="","",M5_Ocupacion!F20))</f>
        <v/>
      </c>
      <c r="AA815" s="17" t="str">
        <f>IF(M5_Ocupacion!A20="","","M5 Ocupación")</f>
        <v/>
      </c>
      <c r="AB815" s="17" t="str">
        <f>IF(M5_Ocupacion!A20="","",IF(M5_Ocupacion!G20="","",M5_Ocupacion!G20))</f>
        <v/>
      </c>
      <c r="AC815" s="17" t="str">
        <f>IF(M5_Ocupacion!A20="","",IF(COUNTIFS(M5_Ocupacion!$A$10:A20,M5_Ocupacion!A20,M5_Ocupacion!$D$10:D20,M5_Ocupacion!D20)=1,IF(M5_Ocupacion!M20="","",M5_Ocupacion!M20),""))</f>
        <v/>
      </c>
      <c r="AD815" s="17" t="str">
        <f>IF(M5_Ocupacion!A20="","","MO")</f>
        <v/>
      </c>
      <c r="AE815" s="17" t="str">
        <f>IF(M5_Ocupacion!A20="","",IF(M5_Ocupacion!O20="","",M5_Ocupacion!O20))</f>
        <v/>
      </c>
      <c r="AF815" s="17" t="str">
        <f>IF(M5_Ocupacion!A20="","",IF(M5_Ocupacion!P20="","",M5_Ocupacion!P20))</f>
        <v/>
      </c>
      <c r="AG815" s="17" t="str">
        <f>IF(M5_Ocupacion!A20="","",IF(M5_Ocupacion!Q20="","",M5_Ocupacion!Q20))</f>
        <v/>
      </c>
      <c r="AH815" s="17" t="str">
        <f>IF(M5_Ocupacion!A20="","",IF(M5_Ocupacion!J20="","",M5_Ocupacion!J20))</f>
        <v/>
      </c>
      <c r="AI815" s="17" t="str">
        <f>IF(M5_Ocupacion!A20="","","M5_Ocupacion!20")</f>
        <v/>
      </c>
      <c r="AJ815" s="17" t="str">
        <f>IF(M5_Ocupacion!A20="","",IF(M5_Ocupacion!M20="","Pendiente de medición completa",IF(COUNTIFS(M5_Ocupacion!$A$10:A20,M5_Ocupacion!A20,M5_Ocupacion!$D$10:D20,M5_Ocupacion!D20)=1,"Promedio de la actividad y fecha","Observación incluida en promedio")))</f>
        <v/>
      </c>
    </row>
    <row r="816" spans="1:36" ht="55.5" customHeight="1">
      <c r="A816" s="6" t="str">
        <f t="array" ref="A816">IF(812&gt;$S$1204,"",INDEX($T$5:$AJ$1204,MATCH(812,$S$5:$S$1204,0),1))</f>
        <v/>
      </c>
      <c r="B816" s="8" t="str">
        <f t="array" ref="B816">IF(812&gt;$S$1204,"",INDEX($T$5:$AJ$1204,MATCH(812,$S$5:$S$1204,0),2))</f>
        <v/>
      </c>
      <c r="C816" s="10" t="str">
        <f t="array" ref="C816">IF(812&gt;$S$1204,"",INDEX($T$5:$AJ$1204,MATCH(812,$S$5:$S$1204,0),3))</f>
        <v/>
      </c>
      <c r="D816" s="8" t="str">
        <f t="array" ref="D816">IF(812&gt;$S$1204,"",INDEX($T$5:$AJ$1204,MATCH(812,$S$5:$S$1204,0),4))</f>
        <v/>
      </c>
      <c r="E816" s="8" t="str">
        <f t="array" ref="E816">IF(812&gt;$S$1204,"",INDEX($T$5:$AJ$1204,MATCH(812,$S$5:$S$1204,0),5))</f>
        <v/>
      </c>
      <c r="F816" s="8" t="str">
        <f t="array" ref="F816">IF(812&gt;$S$1204,"",INDEX($T$5:$AJ$1204,MATCH(812,$S$5:$S$1204,0),6))</f>
        <v/>
      </c>
      <c r="G816" s="8" t="str">
        <f t="array" ref="G816">IF(812&gt;$S$1204,"",INDEX($T$5:$AJ$1204,MATCH(812,$S$5:$S$1204,0),7))</f>
        <v/>
      </c>
      <c r="H816" s="8" t="str">
        <f t="array" ref="H816">IF(812&gt;$S$1204,"",INDEX($T$5:$AJ$1204,MATCH(812,$S$5:$S$1204,0),8))</f>
        <v/>
      </c>
      <c r="I816" s="8" t="str">
        <f t="array" ref="I816">IF(812&gt;$S$1204,"",INDEX($T$5:$AJ$1204,MATCH(812,$S$5:$S$1204,0),9))</f>
        <v/>
      </c>
      <c r="J816" s="14" t="str">
        <f t="array" ref="J816">IF(812&gt;$S$1204,"",INDEX($T$5:$AJ$1204,MATCH(812,$S$5:$S$1204,0),10))</f>
        <v/>
      </c>
      <c r="K816" s="8" t="str">
        <f t="array" ref="K816">IF(812&gt;$S$1204,"",INDEX($T$5:$AJ$1204,MATCH(812,$S$5:$S$1204,0),11))</f>
        <v/>
      </c>
      <c r="L816" s="8" t="str">
        <f t="array" ref="L816">IF(812&gt;$S$1204,"",INDEX($T$5:$AJ$1204,MATCH(812,$S$5:$S$1204,0),12))</f>
        <v/>
      </c>
      <c r="M816" s="8" t="str">
        <f t="array" ref="M816">IF(812&gt;$S$1204,"",INDEX($T$5:$AJ$1204,MATCH(812,$S$5:$S$1204,0),13))</f>
        <v/>
      </c>
      <c r="N816" s="8" t="str">
        <f t="array" ref="N816">IF(812&gt;$S$1204,"",INDEX($T$5:$AJ$1204,MATCH(812,$S$5:$S$1204,0),14))</f>
        <v/>
      </c>
      <c r="O816" s="15" t="str">
        <f t="array" ref="O816">IF(812&gt;$S$1204,"",INDEX($T$5:$AJ$1204,MATCH(812,$S$5:$S$1204,0),15))</f>
        <v/>
      </c>
      <c r="P816" s="8" t="str">
        <f t="array" ref="P816">IF(812&gt;$S$1204,"",INDEX($T$5:$AJ$1204,MATCH(812,$S$5:$S$1204,0),16))</f>
        <v/>
      </c>
      <c r="Q816" s="8" t="str">
        <f t="array" ref="Q816">IF(812&gt;$S$1204,"",INDEX($T$5:$AJ$1204,MATCH(812,$S$5:$S$1204,0),17))</f>
        <v/>
      </c>
      <c r="R816" s="17"/>
      <c r="S816" s="17">
        <f>S815+IF(M5_Ocupacion!A21="",0,1)</f>
        <v>0</v>
      </c>
      <c r="T816" s="17" t="str">
        <f>IF(M5_Ocupacion!A21="","",IF(M5_Ocupacion!A21="","",M5_Ocupacion!A21))</f>
        <v/>
      </c>
      <c r="U816" s="17" t="str">
        <f>IF(M5_Ocupacion!A21="","",IF(M5_Ocupacion!R21="","",M5_Ocupacion!R21))</f>
        <v/>
      </c>
      <c r="V816" s="17" t="str">
        <f>IF(M5_Ocupacion!A21="","",IF(M5_Ocupacion!D21="","",M5_Ocupacion!D21))</f>
        <v/>
      </c>
      <c r="W816" s="17" t="str">
        <f>IF(M5_Ocupacion!A21="","",IF(M5_Ocupacion!B21="","",M5_Ocupacion!B21))</f>
        <v/>
      </c>
      <c r="X816" s="17" t="str">
        <f>IF(M5_Ocupacion!A21="","",IF(M5_Ocupacion!C21="","",M5_Ocupacion!C21))</f>
        <v/>
      </c>
      <c r="Y816" s="17" t="str">
        <f>IF(M5_Ocupacion!A21="","",IF(M5_Ocupacion!E21="","",M5_Ocupacion!E21))</f>
        <v/>
      </c>
      <c r="Z816" s="17" t="str">
        <f>IF(M5_Ocupacion!A21="","",IF(M5_Ocupacion!F21="","",M5_Ocupacion!F21))</f>
        <v/>
      </c>
      <c r="AA816" s="17" t="str">
        <f>IF(M5_Ocupacion!A21="","","M5 Ocupación")</f>
        <v/>
      </c>
      <c r="AB816" s="17" t="str">
        <f>IF(M5_Ocupacion!A21="","",IF(M5_Ocupacion!G21="","",M5_Ocupacion!G21))</f>
        <v/>
      </c>
      <c r="AC816" s="17" t="str">
        <f>IF(M5_Ocupacion!A21="","",IF(COUNTIFS(M5_Ocupacion!$A$10:A21,M5_Ocupacion!A21,M5_Ocupacion!$D$10:D21,M5_Ocupacion!D21)=1,IF(M5_Ocupacion!M21="","",M5_Ocupacion!M21),""))</f>
        <v/>
      </c>
      <c r="AD816" s="17" t="str">
        <f>IF(M5_Ocupacion!A21="","","MO")</f>
        <v/>
      </c>
      <c r="AE816" s="17" t="str">
        <f>IF(M5_Ocupacion!A21="","",IF(M5_Ocupacion!O21="","",M5_Ocupacion!O21))</f>
        <v/>
      </c>
      <c r="AF816" s="17" t="str">
        <f>IF(M5_Ocupacion!A21="","",IF(M5_Ocupacion!P21="","",M5_Ocupacion!P21))</f>
        <v/>
      </c>
      <c r="AG816" s="17" t="str">
        <f>IF(M5_Ocupacion!A21="","",IF(M5_Ocupacion!Q21="","",M5_Ocupacion!Q21))</f>
        <v/>
      </c>
      <c r="AH816" s="17" t="str">
        <f>IF(M5_Ocupacion!A21="","",IF(M5_Ocupacion!J21="","",M5_Ocupacion!J21))</f>
        <v/>
      </c>
      <c r="AI816" s="17" t="str">
        <f>IF(M5_Ocupacion!A21="","","M5_Ocupacion!21")</f>
        <v/>
      </c>
      <c r="AJ816" s="17" t="str">
        <f>IF(M5_Ocupacion!A21="","",IF(M5_Ocupacion!M21="","Pendiente de medición completa",IF(COUNTIFS(M5_Ocupacion!$A$10:A21,M5_Ocupacion!A21,M5_Ocupacion!$D$10:D21,M5_Ocupacion!D21)=1,"Promedio de la actividad y fecha","Observación incluida en promedio")))</f>
        <v/>
      </c>
    </row>
    <row r="817" spans="1:36" ht="55.5" customHeight="1">
      <c r="A817" s="6" t="str">
        <f t="array" ref="A817">IF(813&gt;$S$1204,"",INDEX($T$5:$AJ$1204,MATCH(813,$S$5:$S$1204,0),1))</f>
        <v/>
      </c>
      <c r="B817" s="8" t="str">
        <f t="array" ref="B817">IF(813&gt;$S$1204,"",INDEX($T$5:$AJ$1204,MATCH(813,$S$5:$S$1204,0),2))</f>
        <v/>
      </c>
      <c r="C817" s="10" t="str">
        <f t="array" ref="C817">IF(813&gt;$S$1204,"",INDEX($T$5:$AJ$1204,MATCH(813,$S$5:$S$1204,0),3))</f>
        <v/>
      </c>
      <c r="D817" s="8" t="str">
        <f t="array" ref="D817">IF(813&gt;$S$1204,"",INDEX($T$5:$AJ$1204,MATCH(813,$S$5:$S$1204,0),4))</f>
        <v/>
      </c>
      <c r="E817" s="8" t="str">
        <f t="array" ref="E817">IF(813&gt;$S$1204,"",INDEX($T$5:$AJ$1204,MATCH(813,$S$5:$S$1204,0),5))</f>
        <v/>
      </c>
      <c r="F817" s="8" t="str">
        <f t="array" ref="F817">IF(813&gt;$S$1204,"",INDEX($T$5:$AJ$1204,MATCH(813,$S$5:$S$1204,0),6))</f>
        <v/>
      </c>
      <c r="G817" s="8" t="str">
        <f t="array" ref="G817">IF(813&gt;$S$1204,"",INDEX($T$5:$AJ$1204,MATCH(813,$S$5:$S$1204,0),7))</f>
        <v/>
      </c>
      <c r="H817" s="8" t="str">
        <f t="array" ref="H817">IF(813&gt;$S$1204,"",INDEX($T$5:$AJ$1204,MATCH(813,$S$5:$S$1204,0),8))</f>
        <v/>
      </c>
      <c r="I817" s="8" t="str">
        <f t="array" ref="I817">IF(813&gt;$S$1204,"",INDEX($T$5:$AJ$1204,MATCH(813,$S$5:$S$1204,0),9))</f>
        <v/>
      </c>
      <c r="J817" s="14" t="str">
        <f t="array" ref="J817">IF(813&gt;$S$1204,"",INDEX($T$5:$AJ$1204,MATCH(813,$S$5:$S$1204,0),10))</f>
        <v/>
      </c>
      <c r="K817" s="8" t="str">
        <f t="array" ref="K817">IF(813&gt;$S$1204,"",INDEX($T$5:$AJ$1204,MATCH(813,$S$5:$S$1204,0),11))</f>
        <v/>
      </c>
      <c r="L817" s="8" t="str">
        <f t="array" ref="L817">IF(813&gt;$S$1204,"",INDEX($T$5:$AJ$1204,MATCH(813,$S$5:$S$1204,0),12))</f>
        <v/>
      </c>
      <c r="M817" s="8" t="str">
        <f t="array" ref="M817">IF(813&gt;$S$1204,"",INDEX($T$5:$AJ$1204,MATCH(813,$S$5:$S$1204,0),13))</f>
        <v/>
      </c>
      <c r="N817" s="8" t="str">
        <f t="array" ref="N817">IF(813&gt;$S$1204,"",INDEX($T$5:$AJ$1204,MATCH(813,$S$5:$S$1204,0),14))</f>
        <v/>
      </c>
      <c r="O817" s="15" t="str">
        <f t="array" ref="O817">IF(813&gt;$S$1204,"",INDEX($T$5:$AJ$1204,MATCH(813,$S$5:$S$1204,0),15))</f>
        <v/>
      </c>
      <c r="P817" s="8" t="str">
        <f t="array" ref="P817">IF(813&gt;$S$1204,"",INDEX($T$5:$AJ$1204,MATCH(813,$S$5:$S$1204,0),16))</f>
        <v/>
      </c>
      <c r="Q817" s="8" t="str">
        <f t="array" ref="Q817">IF(813&gt;$S$1204,"",INDEX($T$5:$AJ$1204,MATCH(813,$S$5:$S$1204,0),17))</f>
        <v/>
      </c>
      <c r="R817" s="17"/>
      <c r="S817" s="17">
        <f>S816+IF(M5_Ocupacion!A22="",0,1)</f>
        <v>0</v>
      </c>
      <c r="T817" s="17" t="str">
        <f>IF(M5_Ocupacion!A22="","",IF(M5_Ocupacion!A22="","",M5_Ocupacion!A22))</f>
        <v/>
      </c>
      <c r="U817" s="17" t="str">
        <f>IF(M5_Ocupacion!A22="","",IF(M5_Ocupacion!R22="","",M5_Ocupacion!R22))</f>
        <v/>
      </c>
      <c r="V817" s="17" t="str">
        <f>IF(M5_Ocupacion!A22="","",IF(M5_Ocupacion!D22="","",M5_Ocupacion!D22))</f>
        <v/>
      </c>
      <c r="W817" s="17" t="str">
        <f>IF(M5_Ocupacion!A22="","",IF(M5_Ocupacion!B22="","",M5_Ocupacion!B22))</f>
        <v/>
      </c>
      <c r="X817" s="17" t="str">
        <f>IF(M5_Ocupacion!A22="","",IF(M5_Ocupacion!C22="","",M5_Ocupacion!C22))</f>
        <v/>
      </c>
      <c r="Y817" s="17" t="str">
        <f>IF(M5_Ocupacion!A22="","",IF(M5_Ocupacion!E22="","",M5_Ocupacion!E22))</f>
        <v/>
      </c>
      <c r="Z817" s="17" t="str">
        <f>IF(M5_Ocupacion!A22="","",IF(M5_Ocupacion!F22="","",M5_Ocupacion!F22))</f>
        <v/>
      </c>
      <c r="AA817" s="17" t="str">
        <f>IF(M5_Ocupacion!A22="","","M5 Ocupación")</f>
        <v/>
      </c>
      <c r="AB817" s="17" t="str">
        <f>IF(M5_Ocupacion!A22="","",IF(M5_Ocupacion!G22="","",M5_Ocupacion!G22))</f>
        <v/>
      </c>
      <c r="AC817" s="17" t="str">
        <f>IF(M5_Ocupacion!A22="","",IF(COUNTIFS(M5_Ocupacion!$A$10:A22,M5_Ocupacion!A22,M5_Ocupacion!$D$10:D22,M5_Ocupacion!D22)=1,IF(M5_Ocupacion!M22="","",M5_Ocupacion!M22),""))</f>
        <v/>
      </c>
      <c r="AD817" s="17" t="str">
        <f>IF(M5_Ocupacion!A22="","","MO")</f>
        <v/>
      </c>
      <c r="AE817" s="17" t="str">
        <f>IF(M5_Ocupacion!A22="","",IF(M5_Ocupacion!O22="","",M5_Ocupacion!O22))</f>
        <v/>
      </c>
      <c r="AF817" s="17" t="str">
        <f>IF(M5_Ocupacion!A22="","",IF(M5_Ocupacion!P22="","",M5_Ocupacion!P22))</f>
        <v/>
      </c>
      <c r="AG817" s="17" t="str">
        <f>IF(M5_Ocupacion!A22="","",IF(M5_Ocupacion!Q22="","",M5_Ocupacion!Q22))</f>
        <v/>
      </c>
      <c r="AH817" s="17" t="str">
        <f>IF(M5_Ocupacion!A22="","",IF(M5_Ocupacion!J22="","",M5_Ocupacion!J22))</f>
        <v/>
      </c>
      <c r="AI817" s="17" t="str">
        <f>IF(M5_Ocupacion!A22="","","M5_Ocupacion!22")</f>
        <v/>
      </c>
      <c r="AJ817" s="17" t="str">
        <f>IF(M5_Ocupacion!A22="","",IF(M5_Ocupacion!M22="","Pendiente de medición completa",IF(COUNTIFS(M5_Ocupacion!$A$10:A22,M5_Ocupacion!A22,M5_Ocupacion!$D$10:D22,M5_Ocupacion!D22)=1,"Promedio de la actividad y fecha","Observación incluida en promedio")))</f>
        <v/>
      </c>
    </row>
    <row r="818" spans="1:36" ht="55.5" customHeight="1">
      <c r="A818" s="6" t="str">
        <f t="array" ref="A818">IF(814&gt;$S$1204,"",INDEX($T$5:$AJ$1204,MATCH(814,$S$5:$S$1204,0),1))</f>
        <v/>
      </c>
      <c r="B818" s="8" t="str">
        <f t="array" ref="B818">IF(814&gt;$S$1204,"",INDEX($T$5:$AJ$1204,MATCH(814,$S$5:$S$1204,0),2))</f>
        <v/>
      </c>
      <c r="C818" s="10" t="str">
        <f t="array" ref="C818">IF(814&gt;$S$1204,"",INDEX($T$5:$AJ$1204,MATCH(814,$S$5:$S$1204,0),3))</f>
        <v/>
      </c>
      <c r="D818" s="8" t="str">
        <f t="array" ref="D818">IF(814&gt;$S$1204,"",INDEX($T$5:$AJ$1204,MATCH(814,$S$5:$S$1204,0),4))</f>
        <v/>
      </c>
      <c r="E818" s="8" t="str">
        <f t="array" ref="E818">IF(814&gt;$S$1204,"",INDEX($T$5:$AJ$1204,MATCH(814,$S$5:$S$1204,0),5))</f>
        <v/>
      </c>
      <c r="F818" s="8" t="str">
        <f t="array" ref="F818">IF(814&gt;$S$1204,"",INDEX($T$5:$AJ$1204,MATCH(814,$S$5:$S$1204,0),6))</f>
        <v/>
      </c>
      <c r="G818" s="8" t="str">
        <f t="array" ref="G818">IF(814&gt;$S$1204,"",INDEX($T$5:$AJ$1204,MATCH(814,$S$5:$S$1204,0),7))</f>
        <v/>
      </c>
      <c r="H818" s="8" t="str">
        <f t="array" ref="H818">IF(814&gt;$S$1204,"",INDEX($T$5:$AJ$1204,MATCH(814,$S$5:$S$1204,0),8))</f>
        <v/>
      </c>
      <c r="I818" s="8" t="str">
        <f t="array" ref="I818">IF(814&gt;$S$1204,"",INDEX($T$5:$AJ$1204,MATCH(814,$S$5:$S$1204,0),9))</f>
        <v/>
      </c>
      <c r="J818" s="14" t="str">
        <f t="array" ref="J818">IF(814&gt;$S$1204,"",INDEX($T$5:$AJ$1204,MATCH(814,$S$5:$S$1204,0),10))</f>
        <v/>
      </c>
      <c r="K818" s="8" t="str">
        <f t="array" ref="K818">IF(814&gt;$S$1204,"",INDEX($T$5:$AJ$1204,MATCH(814,$S$5:$S$1204,0),11))</f>
        <v/>
      </c>
      <c r="L818" s="8" t="str">
        <f t="array" ref="L818">IF(814&gt;$S$1204,"",INDEX($T$5:$AJ$1204,MATCH(814,$S$5:$S$1204,0),12))</f>
        <v/>
      </c>
      <c r="M818" s="8" t="str">
        <f t="array" ref="M818">IF(814&gt;$S$1204,"",INDEX($T$5:$AJ$1204,MATCH(814,$S$5:$S$1204,0),13))</f>
        <v/>
      </c>
      <c r="N818" s="8" t="str">
        <f t="array" ref="N818">IF(814&gt;$S$1204,"",INDEX($T$5:$AJ$1204,MATCH(814,$S$5:$S$1204,0),14))</f>
        <v/>
      </c>
      <c r="O818" s="15" t="str">
        <f t="array" ref="O818">IF(814&gt;$S$1204,"",INDEX($T$5:$AJ$1204,MATCH(814,$S$5:$S$1204,0),15))</f>
        <v/>
      </c>
      <c r="P818" s="8" t="str">
        <f t="array" ref="P818">IF(814&gt;$S$1204,"",INDEX($T$5:$AJ$1204,MATCH(814,$S$5:$S$1204,0),16))</f>
        <v/>
      </c>
      <c r="Q818" s="8" t="str">
        <f t="array" ref="Q818">IF(814&gt;$S$1204,"",INDEX($T$5:$AJ$1204,MATCH(814,$S$5:$S$1204,0),17))</f>
        <v/>
      </c>
      <c r="R818" s="17"/>
      <c r="S818" s="17">
        <f>S817+IF(M5_Ocupacion!A23="",0,1)</f>
        <v>0</v>
      </c>
      <c r="T818" s="17" t="str">
        <f>IF(M5_Ocupacion!A23="","",IF(M5_Ocupacion!A23="","",M5_Ocupacion!A23))</f>
        <v/>
      </c>
      <c r="U818" s="17" t="str">
        <f>IF(M5_Ocupacion!A23="","",IF(M5_Ocupacion!R23="","",M5_Ocupacion!R23))</f>
        <v/>
      </c>
      <c r="V818" s="17" t="str">
        <f>IF(M5_Ocupacion!A23="","",IF(M5_Ocupacion!D23="","",M5_Ocupacion!D23))</f>
        <v/>
      </c>
      <c r="W818" s="17" t="str">
        <f>IF(M5_Ocupacion!A23="","",IF(M5_Ocupacion!B23="","",M5_Ocupacion!B23))</f>
        <v/>
      </c>
      <c r="X818" s="17" t="str">
        <f>IF(M5_Ocupacion!A23="","",IF(M5_Ocupacion!C23="","",M5_Ocupacion!C23))</f>
        <v/>
      </c>
      <c r="Y818" s="17" t="str">
        <f>IF(M5_Ocupacion!A23="","",IF(M5_Ocupacion!E23="","",M5_Ocupacion!E23))</f>
        <v/>
      </c>
      <c r="Z818" s="17" t="str">
        <f>IF(M5_Ocupacion!A23="","",IF(M5_Ocupacion!F23="","",M5_Ocupacion!F23))</f>
        <v/>
      </c>
      <c r="AA818" s="17" t="str">
        <f>IF(M5_Ocupacion!A23="","","M5 Ocupación")</f>
        <v/>
      </c>
      <c r="AB818" s="17" t="str">
        <f>IF(M5_Ocupacion!A23="","",IF(M5_Ocupacion!G23="","",M5_Ocupacion!G23))</f>
        <v/>
      </c>
      <c r="AC818" s="17" t="str">
        <f>IF(M5_Ocupacion!A23="","",IF(COUNTIFS(M5_Ocupacion!$A$10:A23,M5_Ocupacion!A23,M5_Ocupacion!$D$10:D23,M5_Ocupacion!D23)=1,IF(M5_Ocupacion!M23="","",M5_Ocupacion!M23),""))</f>
        <v/>
      </c>
      <c r="AD818" s="17" t="str">
        <f>IF(M5_Ocupacion!A23="","","MO")</f>
        <v/>
      </c>
      <c r="AE818" s="17" t="str">
        <f>IF(M5_Ocupacion!A23="","",IF(M5_Ocupacion!O23="","",M5_Ocupacion!O23))</f>
        <v/>
      </c>
      <c r="AF818" s="17" t="str">
        <f>IF(M5_Ocupacion!A23="","",IF(M5_Ocupacion!P23="","",M5_Ocupacion!P23))</f>
        <v/>
      </c>
      <c r="AG818" s="17" t="str">
        <f>IF(M5_Ocupacion!A23="","",IF(M5_Ocupacion!Q23="","",M5_Ocupacion!Q23))</f>
        <v/>
      </c>
      <c r="AH818" s="17" t="str">
        <f>IF(M5_Ocupacion!A23="","",IF(M5_Ocupacion!J23="","",M5_Ocupacion!J23))</f>
        <v/>
      </c>
      <c r="AI818" s="17" t="str">
        <f>IF(M5_Ocupacion!A23="","","M5_Ocupacion!23")</f>
        <v/>
      </c>
      <c r="AJ818" s="17" t="str">
        <f>IF(M5_Ocupacion!A23="","",IF(M5_Ocupacion!M23="","Pendiente de medición completa",IF(COUNTIFS(M5_Ocupacion!$A$10:A23,M5_Ocupacion!A23,M5_Ocupacion!$D$10:D23,M5_Ocupacion!D23)=1,"Promedio de la actividad y fecha","Observación incluida en promedio")))</f>
        <v/>
      </c>
    </row>
    <row r="819" spans="1:36" ht="55.5" customHeight="1">
      <c r="A819" s="6" t="str">
        <f t="array" ref="A819">IF(815&gt;$S$1204,"",INDEX($T$5:$AJ$1204,MATCH(815,$S$5:$S$1204,0),1))</f>
        <v/>
      </c>
      <c r="B819" s="8" t="str">
        <f t="array" ref="B819">IF(815&gt;$S$1204,"",INDEX($T$5:$AJ$1204,MATCH(815,$S$5:$S$1204,0),2))</f>
        <v/>
      </c>
      <c r="C819" s="10" t="str">
        <f t="array" ref="C819">IF(815&gt;$S$1204,"",INDEX($T$5:$AJ$1204,MATCH(815,$S$5:$S$1204,0),3))</f>
        <v/>
      </c>
      <c r="D819" s="8" t="str">
        <f t="array" ref="D819">IF(815&gt;$S$1204,"",INDEX($T$5:$AJ$1204,MATCH(815,$S$5:$S$1204,0),4))</f>
        <v/>
      </c>
      <c r="E819" s="8" t="str">
        <f t="array" ref="E819">IF(815&gt;$S$1204,"",INDEX($T$5:$AJ$1204,MATCH(815,$S$5:$S$1204,0),5))</f>
        <v/>
      </c>
      <c r="F819" s="8" t="str">
        <f t="array" ref="F819">IF(815&gt;$S$1204,"",INDEX($T$5:$AJ$1204,MATCH(815,$S$5:$S$1204,0),6))</f>
        <v/>
      </c>
      <c r="G819" s="8" t="str">
        <f t="array" ref="G819">IF(815&gt;$S$1204,"",INDEX($T$5:$AJ$1204,MATCH(815,$S$5:$S$1204,0),7))</f>
        <v/>
      </c>
      <c r="H819" s="8" t="str">
        <f t="array" ref="H819">IF(815&gt;$S$1204,"",INDEX($T$5:$AJ$1204,MATCH(815,$S$5:$S$1204,0),8))</f>
        <v/>
      </c>
      <c r="I819" s="8" t="str">
        <f t="array" ref="I819">IF(815&gt;$S$1204,"",INDEX($T$5:$AJ$1204,MATCH(815,$S$5:$S$1204,0),9))</f>
        <v/>
      </c>
      <c r="J819" s="14" t="str">
        <f t="array" ref="J819">IF(815&gt;$S$1204,"",INDEX($T$5:$AJ$1204,MATCH(815,$S$5:$S$1204,0),10))</f>
        <v/>
      </c>
      <c r="K819" s="8" t="str">
        <f t="array" ref="K819">IF(815&gt;$S$1204,"",INDEX($T$5:$AJ$1204,MATCH(815,$S$5:$S$1204,0),11))</f>
        <v/>
      </c>
      <c r="L819" s="8" t="str">
        <f t="array" ref="L819">IF(815&gt;$S$1204,"",INDEX($T$5:$AJ$1204,MATCH(815,$S$5:$S$1204,0),12))</f>
        <v/>
      </c>
      <c r="M819" s="8" t="str">
        <f t="array" ref="M819">IF(815&gt;$S$1204,"",INDEX($T$5:$AJ$1204,MATCH(815,$S$5:$S$1204,0),13))</f>
        <v/>
      </c>
      <c r="N819" s="8" t="str">
        <f t="array" ref="N819">IF(815&gt;$S$1204,"",INDEX($T$5:$AJ$1204,MATCH(815,$S$5:$S$1204,0),14))</f>
        <v/>
      </c>
      <c r="O819" s="15" t="str">
        <f t="array" ref="O819">IF(815&gt;$S$1204,"",INDEX($T$5:$AJ$1204,MATCH(815,$S$5:$S$1204,0),15))</f>
        <v/>
      </c>
      <c r="P819" s="8" t="str">
        <f t="array" ref="P819">IF(815&gt;$S$1204,"",INDEX($T$5:$AJ$1204,MATCH(815,$S$5:$S$1204,0),16))</f>
        <v/>
      </c>
      <c r="Q819" s="8" t="str">
        <f t="array" ref="Q819">IF(815&gt;$S$1204,"",INDEX($T$5:$AJ$1204,MATCH(815,$S$5:$S$1204,0),17))</f>
        <v/>
      </c>
      <c r="R819" s="17"/>
      <c r="S819" s="17">
        <f>S818+IF(M5_Ocupacion!A24="",0,1)</f>
        <v>0</v>
      </c>
      <c r="T819" s="17" t="str">
        <f>IF(M5_Ocupacion!A24="","",IF(M5_Ocupacion!A24="","",M5_Ocupacion!A24))</f>
        <v/>
      </c>
      <c r="U819" s="17" t="str">
        <f>IF(M5_Ocupacion!A24="","",IF(M5_Ocupacion!R24="","",M5_Ocupacion!R24))</f>
        <v/>
      </c>
      <c r="V819" s="17" t="str">
        <f>IF(M5_Ocupacion!A24="","",IF(M5_Ocupacion!D24="","",M5_Ocupacion!D24))</f>
        <v/>
      </c>
      <c r="W819" s="17" t="str">
        <f>IF(M5_Ocupacion!A24="","",IF(M5_Ocupacion!B24="","",M5_Ocupacion!B24))</f>
        <v/>
      </c>
      <c r="X819" s="17" t="str">
        <f>IF(M5_Ocupacion!A24="","",IF(M5_Ocupacion!C24="","",M5_Ocupacion!C24))</f>
        <v/>
      </c>
      <c r="Y819" s="17" t="str">
        <f>IF(M5_Ocupacion!A24="","",IF(M5_Ocupacion!E24="","",M5_Ocupacion!E24))</f>
        <v/>
      </c>
      <c r="Z819" s="17" t="str">
        <f>IF(M5_Ocupacion!A24="","",IF(M5_Ocupacion!F24="","",M5_Ocupacion!F24))</f>
        <v/>
      </c>
      <c r="AA819" s="17" t="str">
        <f>IF(M5_Ocupacion!A24="","","M5 Ocupación")</f>
        <v/>
      </c>
      <c r="AB819" s="17" t="str">
        <f>IF(M5_Ocupacion!A24="","",IF(M5_Ocupacion!G24="","",M5_Ocupacion!G24))</f>
        <v/>
      </c>
      <c r="AC819" s="17" t="str">
        <f>IF(M5_Ocupacion!A24="","",IF(COUNTIFS(M5_Ocupacion!$A$10:A24,M5_Ocupacion!A24,M5_Ocupacion!$D$10:D24,M5_Ocupacion!D24)=1,IF(M5_Ocupacion!M24="","",M5_Ocupacion!M24),""))</f>
        <v/>
      </c>
      <c r="AD819" s="17" t="str">
        <f>IF(M5_Ocupacion!A24="","","MO")</f>
        <v/>
      </c>
      <c r="AE819" s="17" t="str">
        <f>IF(M5_Ocupacion!A24="","",IF(M5_Ocupacion!O24="","",M5_Ocupacion!O24))</f>
        <v/>
      </c>
      <c r="AF819" s="17" t="str">
        <f>IF(M5_Ocupacion!A24="","",IF(M5_Ocupacion!P24="","",M5_Ocupacion!P24))</f>
        <v/>
      </c>
      <c r="AG819" s="17" t="str">
        <f>IF(M5_Ocupacion!A24="","",IF(M5_Ocupacion!Q24="","",M5_Ocupacion!Q24))</f>
        <v/>
      </c>
      <c r="AH819" s="17" t="str">
        <f>IF(M5_Ocupacion!A24="","",IF(M5_Ocupacion!J24="","",M5_Ocupacion!J24))</f>
        <v/>
      </c>
      <c r="AI819" s="17" t="str">
        <f>IF(M5_Ocupacion!A24="","","M5_Ocupacion!24")</f>
        <v/>
      </c>
      <c r="AJ819" s="17" t="str">
        <f>IF(M5_Ocupacion!A24="","",IF(M5_Ocupacion!M24="","Pendiente de medición completa",IF(COUNTIFS(M5_Ocupacion!$A$10:A24,M5_Ocupacion!A24,M5_Ocupacion!$D$10:D24,M5_Ocupacion!D24)=1,"Promedio de la actividad y fecha","Observación incluida en promedio")))</f>
        <v/>
      </c>
    </row>
    <row r="820" spans="1:36" ht="55.5" customHeight="1">
      <c r="A820" s="6" t="str">
        <f t="array" ref="A820">IF(816&gt;$S$1204,"",INDEX($T$5:$AJ$1204,MATCH(816,$S$5:$S$1204,0),1))</f>
        <v/>
      </c>
      <c r="B820" s="8" t="str">
        <f t="array" ref="B820">IF(816&gt;$S$1204,"",INDEX($T$5:$AJ$1204,MATCH(816,$S$5:$S$1204,0),2))</f>
        <v/>
      </c>
      <c r="C820" s="10" t="str">
        <f t="array" ref="C820">IF(816&gt;$S$1204,"",INDEX($T$5:$AJ$1204,MATCH(816,$S$5:$S$1204,0),3))</f>
        <v/>
      </c>
      <c r="D820" s="8" t="str">
        <f t="array" ref="D820">IF(816&gt;$S$1204,"",INDEX($T$5:$AJ$1204,MATCH(816,$S$5:$S$1204,0),4))</f>
        <v/>
      </c>
      <c r="E820" s="8" t="str">
        <f t="array" ref="E820">IF(816&gt;$S$1204,"",INDEX($T$5:$AJ$1204,MATCH(816,$S$5:$S$1204,0),5))</f>
        <v/>
      </c>
      <c r="F820" s="8" t="str">
        <f t="array" ref="F820">IF(816&gt;$S$1204,"",INDEX($T$5:$AJ$1204,MATCH(816,$S$5:$S$1204,0),6))</f>
        <v/>
      </c>
      <c r="G820" s="8" t="str">
        <f t="array" ref="G820">IF(816&gt;$S$1204,"",INDEX($T$5:$AJ$1204,MATCH(816,$S$5:$S$1204,0),7))</f>
        <v/>
      </c>
      <c r="H820" s="8" t="str">
        <f t="array" ref="H820">IF(816&gt;$S$1204,"",INDEX($T$5:$AJ$1204,MATCH(816,$S$5:$S$1204,0),8))</f>
        <v/>
      </c>
      <c r="I820" s="8" t="str">
        <f t="array" ref="I820">IF(816&gt;$S$1204,"",INDEX($T$5:$AJ$1204,MATCH(816,$S$5:$S$1204,0),9))</f>
        <v/>
      </c>
      <c r="J820" s="14" t="str">
        <f t="array" ref="J820">IF(816&gt;$S$1204,"",INDEX($T$5:$AJ$1204,MATCH(816,$S$5:$S$1204,0),10))</f>
        <v/>
      </c>
      <c r="K820" s="8" t="str">
        <f t="array" ref="K820">IF(816&gt;$S$1204,"",INDEX($T$5:$AJ$1204,MATCH(816,$S$5:$S$1204,0),11))</f>
        <v/>
      </c>
      <c r="L820" s="8" t="str">
        <f t="array" ref="L820">IF(816&gt;$S$1204,"",INDEX($T$5:$AJ$1204,MATCH(816,$S$5:$S$1204,0),12))</f>
        <v/>
      </c>
      <c r="M820" s="8" t="str">
        <f t="array" ref="M820">IF(816&gt;$S$1204,"",INDEX($T$5:$AJ$1204,MATCH(816,$S$5:$S$1204,0),13))</f>
        <v/>
      </c>
      <c r="N820" s="8" t="str">
        <f t="array" ref="N820">IF(816&gt;$S$1204,"",INDEX($T$5:$AJ$1204,MATCH(816,$S$5:$S$1204,0),14))</f>
        <v/>
      </c>
      <c r="O820" s="15" t="str">
        <f t="array" ref="O820">IF(816&gt;$S$1204,"",INDEX($T$5:$AJ$1204,MATCH(816,$S$5:$S$1204,0),15))</f>
        <v/>
      </c>
      <c r="P820" s="8" t="str">
        <f t="array" ref="P820">IF(816&gt;$S$1204,"",INDEX($T$5:$AJ$1204,MATCH(816,$S$5:$S$1204,0),16))</f>
        <v/>
      </c>
      <c r="Q820" s="8" t="str">
        <f t="array" ref="Q820">IF(816&gt;$S$1204,"",INDEX($T$5:$AJ$1204,MATCH(816,$S$5:$S$1204,0),17))</f>
        <v/>
      </c>
      <c r="R820" s="17"/>
      <c r="S820" s="17">
        <f>S819+IF(M5_Ocupacion!A25="",0,1)</f>
        <v>0</v>
      </c>
      <c r="T820" s="17" t="str">
        <f>IF(M5_Ocupacion!A25="","",IF(M5_Ocupacion!A25="","",M5_Ocupacion!A25))</f>
        <v/>
      </c>
      <c r="U820" s="17" t="str">
        <f>IF(M5_Ocupacion!A25="","",IF(M5_Ocupacion!R25="","",M5_Ocupacion!R25))</f>
        <v/>
      </c>
      <c r="V820" s="17" t="str">
        <f>IF(M5_Ocupacion!A25="","",IF(M5_Ocupacion!D25="","",M5_Ocupacion!D25))</f>
        <v/>
      </c>
      <c r="W820" s="17" t="str">
        <f>IF(M5_Ocupacion!A25="","",IF(M5_Ocupacion!B25="","",M5_Ocupacion!B25))</f>
        <v/>
      </c>
      <c r="X820" s="17" t="str">
        <f>IF(M5_Ocupacion!A25="","",IF(M5_Ocupacion!C25="","",M5_Ocupacion!C25))</f>
        <v/>
      </c>
      <c r="Y820" s="17" t="str">
        <f>IF(M5_Ocupacion!A25="","",IF(M5_Ocupacion!E25="","",M5_Ocupacion!E25))</f>
        <v/>
      </c>
      <c r="Z820" s="17" t="str">
        <f>IF(M5_Ocupacion!A25="","",IF(M5_Ocupacion!F25="","",M5_Ocupacion!F25))</f>
        <v/>
      </c>
      <c r="AA820" s="17" t="str">
        <f>IF(M5_Ocupacion!A25="","","M5 Ocupación")</f>
        <v/>
      </c>
      <c r="AB820" s="17" t="str">
        <f>IF(M5_Ocupacion!A25="","",IF(M5_Ocupacion!G25="","",M5_Ocupacion!G25))</f>
        <v/>
      </c>
      <c r="AC820" s="17" t="str">
        <f>IF(M5_Ocupacion!A25="","",IF(COUNTIFS(M5_Ocupacion!$A$10:A25,M5_Ocupacion!A25,M5_Ocupacion!$D$10:D25,M5_Ocupacion!D25)=1,IF(M5_Ocupacion!M25="","",M5_Ocupacion!M25),""))</f>
        <v/>
      </c>
      <c r="AD820" s="17" t="str">
        <f>IF(M5_Ocupacion!A25="","","MO")</f>
        <v/>
      </c>
      <c r="AE820" s="17" t="str">
        <f>IF(M5_Ocupacion!A25="","",IF(M5_Ocupacion!O25="","",M5_Ocupacion!O25))</f>
        <v/>
      </c>
      <c r="AF820" s="17" t="str">
        <f>IF(M5_Ocupacion!A25="","",IF(M5_Ocupacion!P25="","",M5_Ocupacion!P25))</f>
        <v/>
      </c>
      <c r="AG820" s="17" t="str">
        <f>IF(M5_Ocupacion!A25="","",IF(M5_Ocupacion!Q25="","",M5_Ocupacion!Q25))</f>
        <v/>
      </c>
      <c r="AH820" s="17" t="str">
        <f>IF(M5_Ocupacion!A25="","",IF(M5_Ocupacion!J25="","",M5_Ocupacion!J25))</f>
        <v/>
      </c>
      <c r="AI820" s="17" t="str">
        <f>IF(M5_Ocupacion!A25="","","M5_Ocupacion!25")</f>
        <v/>
      </c>
      <c r="AJ820" s="17" t="str">
        <f>IF(M5_Ocupacion!A25="","",IF(M5_Ocupacion!M25="","Pendiente de medición completa",IF(COUNTIFS(M5_Ocupacion!$A$10:A25,M5_Ocupacion!A25,M5_Ocupacion!$D$10:D25,M5_Ocupacion!D25)=1,"Promedio de la actividad y fecha","Observación incluida en promedio")))</f>
        <v/>
      </c>
    </row>
    <row r="821" spans="1:36" ht="55.5" customHeight="1">
      <c r="A821" s="6" t="str">
        <f t="array" ref="A821">IF(817&gt;$S$1204,"",INDEX($T$5:$AJ$1204,MATCH(817,$S$5:$S$1204,0),1))</f>
        <v/>
      </c>
      <c r="B821" s="8" t="str">
        <f t="array" ref="B821">IF(817&gt;$S$1204,"",INDEX($T$5:$AJ$1204,MATCH(817,$S$5:$S$1204,0),2))</f>
        <v/>
      </c>
      <c r="C821" s="10" t="str">
        <f t="array" ref="C821">IF(817&gt;$S$1204,"",INDEX($T$5:$AJ$1204,MATCH(817,$S$5:$S$1204,0),3))</f>
        <v/>
      </c>
      <c r="D821" s="8" t="str">
        <f t="array" ref="D821">IF(817&gt;$S$1204,"",INDEX($T$5:$AJ$1204,MATCH(817,$S$5:$S$1204,0),4))</f>
        <v/>
      </c>
      <c r="E821" s="8" t="str">
        <f t="array" ref="E821">IF(817&gt;$S$1204,"",INDEX($T$5:$AJ$1204,MATCH(817,$S$5:$S$1204,0),5))</f>
        <v/>
      </c>
      <c r="F821" s="8" t="str">
        <f t="array" ref="F821">IF(817&gt;$S$1204,"",INDEX($T$5:$AJ$1204,MATCH(817,$S$5:$S$1204,0),6))</f>
        <v/>
      </c>
      <c r="G821" s="8" t="str">
        <f t="array" ref="G821">IF(817&gt;$S$1204,"",INDEX($T$5:$AJ$1204,MATCH(817,$S$5:$S$1204,0),7))</f>
        <v/>
      </c>
      <c r="H821" s="8" t="str">
        <f t="array" ref="H821">IF(817&gt;$S$1204,"",INDEX($T$5:$AJ$1204,MATCH(817,$S$5:$S$1204,0),8))</f>
        <v/>
      </c>
      <c r="I821" s="8" t="str">
        <f t="array" ref="I821">IF(817&gt;$S$1204,"",INDEX($T$5:$AJ$1204,MATCH(817,$S$5:$S$1204,0),9))</f>
        <v/>
      </c>
      <c r="J821" s="14" t="str">
        <f t="array" ref="J821">IF(817&gt;$S$1204,"",INDEX($T$5:$AJ$1204,MATCH(817,$S$5:$S$1204,0),10))</f>
        <v/>
      </c>
      <c r="K821" s="8" t="str">
        <f t="array" ref="K821">IF(817&gt;$S$1204,"",INDEX($T$5:$AJ$1204,MATCH(817,$S$5:$S$1204,0),11))</f>
        <v/>
      </c>
      <c r="L821" s="8" t="str">
        <f t="array" ref="L821">IF(817&gt;$S$1204,"",INDEX($T$5:$AJ$1204,MATCH(817,$S$5:$S$1204,0),12))</f>
        <v/>
      </c>
      <c r="M821" s="8" t="str">
        <f t="array" ref="M821">IF(817&gt;$S$1204,"",INDEX($T$5:$AJ$1204,MATCH(817,$S$5:$S$1204,0),13))</f>
        <v/>
      </c>
      <c r="N821" s="8" t="str">
        <f t="array" ref="N821">IF(817&gt;$S$1204,"",INDEX($T$5:$AJ$1204,MATCH(817,$S$5:$S$1204,0),14))</f>
        <v/>
      </c>
      <c r="O821" s="15" t="str">
        <f t="array" ref="O821">IF(817&gt;$S$1204,"",INDEX($T$5:$AJ$1204,MATCH(817,$S$5:$S$1204,0),15))</f>
        <v/>
      </c>
      <c r="P821" s="8" t="str">
        <f t="array" ref="P821">IF(817&gt;$S$1204,"",INDEX($T$5:$AJ$1204,MATCH(817,$S$5:$S$1204,0),16))</f>
        <v/>
      </c>
      <c r="Q821" s="8" t="str">
        <f t="array" ref="Q821">IF(817&gt;$S$1204,"",INDEX($T$5:$AJ$1204,MATCH(817,$S$5:$S$1204,0),17))</f>
        <v/>
      </c>
      <c r="R821" s="17"/>
      <c r="S821" s="17">
        <f>S820+IF(M5_Ocupacion!A26="",0,1)</f>
        <v>0</v>
      </c>
      <c r="T821" s="17" t="str">
        <f>IF(M5_Ocupacion!A26="","",IF(M5_Ocupacion!A26="","",M5_Ocupacion!A26))</f>
        <v/>
      </c>
      <c r="U821" s="17" t="str">
        <f>IF(M5_Ocupacion!A26="","",IF(M5_Ocupacion!R26="","",M5_Ocupacion!R26))</f>
        <v/>
      </c>
      <c r="V821" s="17" t="str">
        <f>IF(M5_Ocupacion!A26="","",IF(M5_Ocupacion!D26="","",M5_Ocupacion!D26))</f>
        <v/>
      </c>
      <c r="W821" s="17" t="str">
        <f>IF(M5_Ocupacion!A26="","",IF(M5_Ocupacion!B26="","",M5_Ocupacion!B26))</f>
        <v/>
      </c>
      <c r="X821" s="17" t="str">
        <f>IF(M5_Ocupacion!A26="","",IF(M5_Ocupacion!C26="","",M5_Ocupacion!C26))</f>
        <v/>
      </c>
      <c r="Y821" s="17" t="str">
        <f>IF(M5_Ocupacion!A26="","",IF(M5_Ocupacion!E26="","",M5_Ocupacion!E26))</f>
        <v/>
      </c>
      <c r="Z821" s="17" t="str">
        <f>IF(M5_Ocupacion!A26="","",IF(M5_Ocupacion!F26="","",M5_Ocupacion!F26))</f>
        <v/>
      </c>
      <c r="AA821" s="17" t="str">
        <f>IF(M5_Ocupacion!A26="","","M5 Ocupación")</f>
        <v/>
      </c>
      <c r="AB821" s="17" t="str">
        <f>IF(M5_Ocupacion!A26="","",IF(M5_Ocupacion!G26="","",M5_Ocupacion!G26))</f>
        <v/>
      </c>
      <c r="AC821" s="17" t="str">
        <f>IF(M5_Ocupacion!A26="","",IF(COUNTIFS(M5_Ocupacion!$A$10:A26,M5_Ocupacion!A26,M5_Ocupacion!$D$10:D26,M5_Ocupacion!D26)=1,IF(M5_Ocupacion!M26="","",M5_Ocupacion!M26),""))</f>
        <v/>
      </c>
      <c r="AD821" s="17" t="str">
        <f>IF(M5_Ocupacion!A26="","","MO")</f>
        <v/>
      </c>
      <c r="AE821" s="17" t="str">
        <f>IF(M5_Ocupacion!A26="","",IF(M5_Ocupacion!O26="","",M5_Ocupacion!O26))</f>
        <v/>
      </c>
      <c r="AF821" s="17" t="str">
        <f>IF(M5_Ocupacion!A26="","",IF(M5_Ocupacion!P26="","",M5_Ocupacion!P26))</f>
        <v/>
      </c>
      <c r="AG821" s="17" t="str">
        <f>IF(M5_Ocupacion!A26="","",IF(M5_Ocupacion!Q26="","",M5_Ocupacion!Q26))</f>
        <v/>
      </c>
      <c r="AH821" s="17" t="str">
        <f>IF(M5_Ocupacion!A26="","",IF(M5_Ocupacion!J26="","",M5_Ocupacion!J26))</f>
        <v/>
      </c>
      <c r="AI821" s="17" t="str">
        <f>IF(M5_Ocupacion!A26="","","M5_Ocupacion!26")</f>
        <v/>
      </c>
      <c r="AJ821" s="17" t="str">
        <f>IF(M5_Ocupacion!A26="","",IF(M5_Ocupacion!M26="","Pendiente de medición completa",IF(COUNTIFS(M5_Ocupacion!$A$10:A26,M5_Ocupacion!A26,M5_Ocupacion!$D$10:D26,M5_Ocupacion!D26)=1,"Promedio de la actividad y fecha","Observación incluida en promedio")))</f>
        <v/>
      </c>
    </row>
    <row r="822" spans="1:36" ht="55.5" customHeight="1">
      <c r="A822" s="6" t="str">
        <f t="array" ref="A822">IF(818&gt;$S$1204,"",INDEX($T$5:$AJ$1204,MATCH(818,$S$5:$S$1204,0),1))</f>
        <v/>
      </c>
      <c r="B822" s="8" t="str">
        <f t="array" ref="B822">IF(818&gt;$S$1204,"",INDEX($T$5:$AJ$1204,MATCH(818,$S$5:$S$1204,0),2))</f>
        <v/>
      </c>
      <c r="C822" s="10" t="str">
        <f t="array" ref="C822">IF(818&gt;$S$1204,"",INDEX($T$5:$AJ$1204,MATCH(818,$S$5:$S$1204,0),3))</f>
        <v/>
      </c>
      <c r="D822" s="8" t="str">
        <f t="array" ref="D822">IF(818&gt;$S$1204,"",INDEX($T$5:$AJ$1204,MATCH(818,$S$5:$S$1204,0),4))</f>
        <v/>
      </c>
      <c r="E822" s="8" t="str">
        <f t="array" ref="E822">IF(818&gt;$S$1204,"",INDEX($T$5:$AJ$1204,MATCH(818,$S$5:$S$1204,0),5))</f>
        <v/>
      </c>
      <c r="F822" s="8" t="str">
        <f t="array" ref="F822">IF(818&gt;$S$1204,"",INDEX($T$5:$AJ$1204,MATCH(818,$S$5:$S$1204,0),6))</f>
        <v/>
      </c>
      <c r="G822" s="8" t="str">
        <f t="array" ref="G822">IF(818&gt;$S$1204,"",INDEX($T$5:$AJ$1204,MATCH(818,$S$5:$S$1204,0),7))</f>
        <v/>
      </c>
      <c r="H822" s="8" t="str">
        <f t="array" ref="H822">IF(818&gt;$S$1204,"",INDEX($T$5:$AJ$1204,MATCH(818,$S$5:$S$1204,0),8))</f>
        <v/>
      </c>
      <c r="I822" s="8" t="str">
        <f t="array" ref="I822">IF(818&gt;$S$1204,"",INDEX($T$5:$AJ$1204,MATCH(818,$S$5:$S$1204,0),9))</f>
        <v/>
      </c>
      <c r="J822" s="14" t="str">
        <f t="array" ref="J822">IF(818&gt;$S$1204,"",INDEX($T$5:$AJ$1204,MATCH(818,$S$5:$S$1204,0),10))</f>
        <v/>
      </c>
      <c r="K822" s="8" t="str">
        <f t="array" ref="K822">IF(818&gt;$S$1204,"",INDEX($T$5:$AJ$1204,MATCH(818,$S$5:$S$1204,0),11))</f>
        <v/>
      </c>
      <c r="L822" s="8" t="str">
        <f t="array" ref="L822">IF(818&gt;$S$1204,"",INDEX($T$5:$AJ$1204,MATCH(818,$S$5:$S$1204,0),12))</f>
        <v/>
      </c>
      <c r="M822" s="8" t="str">
        <f t="array" ref="M822">IF(818&gt;$S$1204,"",INDEX($T$5:$AJ$1204,MATCH(818,$S$5:$S$1204,0),13))</f>
        <v/>
      </c>
      <c r="N822" s="8" t="str">
        <f t="array" ref="N822">IF(818&gt;$S$1204,"",INDEX($T$5:$AJ$1204,MATCH(818,$S$5:$S$1204,0),14))</f>
        <v/>
      </c>
      <c r="O822" s="15" t="str">
        <f t="array" ref="O822">IF(818&gt;$S$1204,"",INDEX($T$5:$AJ$1204,MATCH(818,$S$5:$S$1204,0),15))</f>
        <v/>
      </c>
      <c r="P822" s="8" t="str">
        <f t="array" ref="P822">IF(818&gt;$S$1204,"",INDEX($T$5:$AJ$1204,MATCH(818,$S$5:$S$1204,0),16))</f>
        <v/>
      </c>
      <c r="Q822" s="8" t="str">
        <f t="array" ref="Q822">IF(818&gt;$S$1204,"",INDEX($T$5:$AJ$1204,MATCH(818,$S$5:$S$1204,0),17))</f>
        <v/>
      </c>
      <c r="R822" s="17"/>
      <c r="S822" s="17">
        <f>S821+IF(M5_Ocupacion!A27="",0,1)</f>
        <v>0</v>
      </c>
      <c r="T822" s="17" t="str">
        <f>IF(M5_Ocupacion!A27="","",IF(M5_Ocupacion!A27="","",M5_Ocupacion!A27))</f>
        <v/>
      </c>
      <c r="U822" s="17" t="str">
        <f>IF(M5_Ocupacion!A27="","",IF(M5_Ocupacion!R27="","",M5_Ocupacion!R27))</f>
        <v/>
      </c>
      <c r="V822" s="17" t="str">
        <f>IF(M5_Ocupacion!A27="","",IF(M5_Ocupacion!D27="","",M5_Ocupacion!D27))</f>
        <v/>
      </c>
      <c r="W822" s="17" t="str">
        <f>IF(M5_Ocupacion!A27="","",IF(M5_Ocupacion!B27="","",M5_Ocupacion!B27))</f>
        <v/>
      </c>
      <c r="X822" s="17" t="str">
        <f>IF(M5_Ocupacion!A27="","",IF(M5_Ocupacion!C27="","",M5_Ocupacion!C27))</f>
        <v/>
      </c>
      <c r="Y822" s="17" t="str">
        <f>IF(M5_Ocupacion!A27="","",IF(M5_Ocupacion!E27="","",M5_Ocupacion!E27))</f>
        <v/>
      </c>
      <c r="Z822" s="17" t="str">
        <f>IF(M5_Ocupacion!A27="","",IF(M5_Ocupacion!F27="","",M5_Ocupacion!F27))</f>
        <v/>
      </c>
      <c r="AA822" s="17" t="str">
        <f>IF(M5_Ocupacion!A27="","","M5 Ocupación")</f>
        <v/>
      </c>
      <c r="AB822" s="17" t="str">
        <f>IF(M5_Ocupacion!A27="","",IF(M5_Ocupacion!G27="","",M5_Ocupacion!G27))</f>
        <v/>
      </c>
      <c r="AC822" s="17" t="str">
        <f>IF(M5_Ocupacion!A27="","",IF(COUNTIFS(M5_Ocupacion!$A$10:A27,M5_Ocupacion!A27,M5_Ocupacion!$D$10:D27,M5_Ocupacion!D27)=1,IF(M5_Ocupacion!M27="","",M5_Ocupacion!M27),""))</f>
        <v/>
      </c>
      <c r="AD822" s="17" t="str">
        <f>IF(M5_Ocupacion!A27="","","MO")</f>
        <v/>
      </c>
      <c r="AE822" s="17" t="str">
        <f>IF(M5_Ocupacion!A27="","",IF(M5_Ocupacion!O27="","",M5_Ocupacion!O27))</f>
        <v/>
      </c>
      <c r="AF822" s="17" t="str">
        <f>IF(M5_Ocupacion!A27="","",IF(M5_Ocupacion!P27="","",M5_Ocupacion!P27))</f>
        <v/>
      </c>
      <c r="AG822" s="17" t="str">
        <f>IF(M5_Ocupacion!A27="","",IF(M5_Ocupacion!Q27="","",M5_Ocupacion!Q27))</f>
        <v/>
      </c>
      <c r="AH822" s="17" t="str">
        <f>IF(M5_Ocupacion!A27="","",IF(M5_Ocupacion!J27="","",M5_Ocupacion!J27))</f>
        <v/>
      </c>
      <c r="AI822" s="17" t="str">
        <f>IF(M5_Ocupacion!A27="","","M5_Ocupacion!27")</f>
        <v/>
      </c>
      <c r="AJ822" s="17" t="str">
        <f>IF(M5_Ocupacion!A27="","",IF(M5_Ocupacion!M27="","Pendiente de medición completa",IF(COUNTIFS(M5_Ocupacion!$A$10:A27,M5_Ocupacion!A27,M5_Ocupacion!$D$10:D27,M5_Ocupacion!D27)=1,"Promedio de la actividad y fecha","Observación incluida en promedio")))</f>
        <v/>
      </c>
    </row>
    <row r="823" spans="1:36" ht="55.5" customHeight="1">
      <c r="A823" s="6" t="str">
        <f t="array" ref="A823">IF(819&gt;$S$1204,"",INDEX($T$5:$AJ$1204,MATCH(819,$S$5:$S$1204,0),1))</f>
        <v/>
      </c>
      <c r="B823" s="8" t="str">
        <f t="array" ref="B823">IF(819&gt;$S$1204,"",INDEX($T$5:$AJ$1204,MATCH(819,$S$5:$S$1204,0),2))</f>
        <v/>
      </c>
      <c r="C823" s="10" t="str">
        <f t="array" ref="C823">IF(819&gt;$S$1204,"",INDEX($T$5:$AJ$1204,MATCH(819,$S$5:$S$1204,0),3))</f>
        <v/>
      </c>
      <c r="D823" s="8" t="str">
        <f t="array" ref="D823">IF(819&gt;$S$1204,"",INDEX($T$5:$AJ$1204,MATCH(819,$S$5:$S$1204,0),4))</f>
        <v/>
      </c>
      <c r="E823" s="8" t="str">
        <f t="array" ref="E823">IF(819&gt;$S$1204,"",INDEX($T$5:$AJ$1204,MATCH(819,$S$5:$S$1204,0),5))</f>
        <v/>
      </c>
      <c r="F823" s="8" t="str">
        <f t="array" ref="F823">IF(819&gt;$S$1204,"",INDEX($T$5:$AJ$1204,MATCH(819,$S$5:$S$1204,0),6))</f>
        <v/>
      </c>
      <c r="G823" s="8" t="str">
        <f t="array" ref="G823">IF(819&gt;$S$1204,"",INDEX($T$5:$AJ$1204,MATCH(819,$S$5:$S$1204,0),7))</f>
        <v/>
      </c>
      <c r="H823" s="8" t="str">
        <f t="array" ref="H823">IF(819&gt;$S$1204,"",INDEX($T$5:$AJ$1204,MATCH(819,$S$5:$S$1204,0),8))</f>
        <v/>
      </c>
      <c r="I823" s="8" t="str">
        <f t="array" ref="I823">IF(819&gt;$S$1204,"",INDEX($T$5:$AJ$1204,MATCH(819,$S$5:$S$1204,0),9))</f>
        <v/>
      </c>
      <c r="J823" s="14" t="str">
        <f t="array" ref="J823">IF(819&gt;$S$1204,"",INDEX($T$5:$AJ$1204,MATCH(819,$S$5:$S$1204,0),10))</f>
        <v/>
      </c>
      <c r="K823" s="8" t="str">
        <f t="array" ref="K823">IF(819&gt;$S$1204,"",INDEX($T$5:$AJ$1204,MATCH(819,$S$5:$S$1204,0),11))</f>
        <v/>
      </c>
      <c r="L823" s="8" t="str">
        <f t="array" ref="L823">IF(819&gt;$S$1204,"",INDEX($T$5:$AJ$1204,MATCH(819,$S$5:$S$1204,0),12))</f>
        <v/>
      </c>
      <c r="M823" s="8" t="str">
        <f t="array" ref="M823">IF(819&gt;$S$1204,"",INDEX($T$5:$AJ$1204,MATCH(819,$S$5:$S$1204,0),13))</f>
        <v/>
      </c>
      <c r="N823" s="8" t="str">
        <f t="array" ref="N823">IF(819&gt;$S$1204,"",INDEX($T$5:$AJ$1204,MATCH(819,$S$5:$S$1204,0),14))</f>
        <v/>
      </c>
      <c r="O823" s="15" t="str">
        <f t="array" ref="O823">IF(819&gt;$S$1204,"",INDEX($T$5:$AJ$1204,MATCH(819,$S$5:$S$1204,0),15))</f>
        <v/>
      </c>
      <c r="P823" s="8" t="str">
        <f t="array" ref="P823">IF(819&gt;$S$1204,"",INDEX($T$5:$AJ$1204,MATCH(819,$S$5:$S$1204,0),16))</f>
        <v/>
      </c>
      <c r="Q823" s="8" t="str">
        <f t="array" ref="Q823">IF(819&gt;$S$1204,"",INDEX($T$5:$AJ$1204,MATCH(819,$S$5:$S$1204,0),17))</f>
        <v/>
      </c>
      <c r="R823" s="17"/>
      <c r="S823" s="17">
        <f>S822+IF(M5_Ocupacion!A28="",0,1)</f>
        <v>0</v>
      </c>
      <c r="T823" s="17" t="str">
        <f>IF(M5_Ocupacion!A28="","",IF(M5_Ocupacion!A28="","",M5_Ocupacion!A28))</f>
        <v/>
      </c>
      <c r="U823" s="17" t="str">
        <f>IF(M5_Ocupacion!A28="","",IF(M5_Ocupacion!R28="","",M5_Ocupacion!R28))</f>
        <v/>
      </c>
      <c r="V823" s="17" t="str">
        <f>IF(M5_Ocupacion!A28="","",IF(M5_Ocupacion!D28="","",M5_Ocupacion!D28))</f>
        <v/>
      </c>
      <c r="W823" s="17" t="str">
        <f>IF(M5_Ocupacion!A28="","",IF(M5_Ocupacion!B28="","",M5_Ocupacion!B28))</f>
        <v/>
      </c>
      <c r="X823" s="17" t="str">
        <f>IF(M5_Ocupacion!A28="","",IF(M5_Ocupacion!C28="","",M5_Ocupacion!C28))</f>
        <v/>
      </c>
      <c r="Y823" s="17" t="str">
        <f>IF(M5_Ocupacion!A28="","",IF(M5_Ocupacion!E28="","",M5_Ocupacion!E28))</f>
        <v/>
      </c>
      <c r="Z823" s="17" t="str">
        <f>IF(M5_Ocupacion!A28="","",IF(M5_Ocupacion!F28="","",M5_Ocupacion!F28))</f>
        <v/>
      </c>
      <c r="AA823" s="17" t="str">
        <f>IF(M5_Ocupacion!A28="","","M5 Ocupación")</f>
        <v/>
      </c>
      <c r="AB823" s="17" t="str">
        <f>IF(M5_Ocupacion!A28="","",IF(M5_Ocupacion!G28="","",M5_Ocupacion!G28))</f>
        <v/>
      </c>
      <c r="AC823" s="17" t="str">
        <f>IF(M5_Ocupacion!A28="","",IF(COUNTIFS(M5_Ocupacion!$A$10:A28,M5_Ocupacion!A28,M5_Ocupacion!$D$10:D28,M5_Ocupacion!D28)=1,IF(M5_Ocupacion!M28="","",M5_Ocupacion!M28),""))</f>
        <v/>
      </c>
      <c r="AD823" s="17" t="str">
        <f>IF(M5_Ocupacion!A28="","","MO")</f>
        <v/>
      </c>
      <c r="AE823" s="17" t="str">
        <f>IF(M5_Ocupacion!A28="","",IF(M5_Ocupacion!O28="","",M5_Ocupacion!O28))</f>
        <v/>
      </c>
      <c r="AF823" s="17" t="str">
        <f>IF(M5_Ocupacion!A28="","",IF(M5_Ocupacion!P28="","",M5_Ocupacion!P28))</f>
        <v/>
      </c>
      <c r="AG823" s="17" t="str">
        <f>IF(M5_Ocupacion!A28="","",IF(M5_Ocupacion!Q28="","",M5_Ocupacion!Q28))</f>
        <v/>
      </c>
      <c r="AH823" s="17" t="str">
        <f>IF(M5_Ocupacion!A28="","",IF(M5_Ocupacion!J28="","",M5_Ocupacion!J28))</f>
        <v/>
      </c>
      <c r="AI823" s="17" t="str">
        <f>IF(M5_Ocupacion!A28="","","M5_Ocupacion!28")</f>
        <v/>
      </c>
      <c r="AJ823" s="17" t="str">
        <f>IF(M5_Ocupacion!A28="","",IF(M5_Ocupacion!M28="","Pendiente de medición completa",IF(COUNTIFS(M5_Ocupacion!$A$10:A28,M5_Ocupacion!A28,M5_Ocupacion!$D$10:D28,M5_Ocupacion!D28)=1,"Promedio de la actividad y fecha","Observación incluida en promedio")))</f>
        <v/>
      </c>
    </row>
    <row r="824" spans="1:36" ht="55.5" customHeight="1">
      <c r="A824" s="6" t="str">
        <f t="array" ref="A824">IF(820&gt;$S$1204,"",INDEX($T$5:$AJ$1204,MATCH(820,$S$5:$S$1204,0),1))</f>
        <v/>
      </c>
      <c r="B824" s="8" t="str">
        <f t="array" ref="B824">IF(820&gt;$S$1204,"",INDEX($T$5:$AJ$1204,MATCH(820,$S$5:$S$1204,0),2))</f>
        <v/>
      </c>
      <c r="C824" s="10" t="str">
        <f t="array" ref="C824">IF(820&gt;$S$1204,"",INDEX($T$5:$AJ$1204,MATCH(820,$S$5:$S$1204,0),3))</f>
        <v/>
      </c>
      <c r="D824" s="8" t="str">
        <f t="array" ref="D824">IF(820&gt;$S$1204,"",INDEX($T$5:$AJ$1204,MATCH(820,$S$5:$S$1204,0),4))</f>
        <v/>
      </c>
      <c r="E824" s="8" t="str">
        <f t="array" ref="E824">IF(820&gt;$S$1204,"",INDEX($T$5:$AJ$1204,MATCH(820,$S$5:$S$1204,0),5))</f>
        <v/>
      </c>
      <c r="F824" s="8" t="str">
        <f t="array" ref="F824">IF(820&gt;$S$1204,"",INDEX($T$5:$AJ$1204,MATCH(820,$S$5:$S$1204,0),6))</f>
        <v/>
      </c>
      <c r="G824" s="8" t="str">
        <f t="array" ref="G824">IF(820&gt;$S$1204,"",INDEX($T$5:$AJ$1204,MATCH(820,$S$5:$S$1204,0),7))</f>
        <v/>
      </c>
      <c r="H824" s="8" t="str">
        <f t="array" ref="H824">IF(820&gt;$S$1204,"",INDEX($T$5:$AJ$1204,MATCH(820,$S$5:$S$1204,0),8))</f>
        <v/>
      </c>
      <c r="I824" s="8" t="str">
        <f t="array" ref="I824">IF(820&gt;$S$1204,"",INDEX($T$5:$AJ$1204,MATCH(820,$S$5:$S$1204,0),9))</f>
        <v/>
      </c>
      <c r="J824" s="14" t="str">
        <f t="array" ref="J824">IF(820&gt;$S$1204,"",INDEX($T$5:$AJ$1204,MATCH(820,$S$5:$S$1204,0),10))</f>
        <v/>
      </c>
      <c r="K824" s="8" t="str">
        <f t="array" ref="K824">IF(820&gt;$S$1204,"",INDEX($T$5:$AJ$1204,MATCH(820,$S$5:$S$1204,0),11))</f>
        <v/>
      </c>
      <c r="L824" s="8" t="str">
        <f t="array" ref="L824">IF(820&gt;$S$1204,"",INDEX($T$5:$AJ$1204,MATCH(820,$S$5:$S$1204,0),12))</f>
        <v/>
      </c>
      <c r="M824" s="8" t="str">
        <f t="array" ref="M824">IF(820&gt;$S$1204,"",INDEX($T$5:$AJ$1204,MATCH(820,$S$5:$S$1204,0),13))</f>
        <v/>
      </c>
      <c r="N824" s="8" t="str">
        <f t="array" ref="N824">IF(820&gt;$S$1204,"",INDEX($T$5:$AJ$1204,MATCH(820,$S$5:$S$1204,0),14))</f>
        <v/>
      </c>
      <c r="O824" s="15" t="str">
        <f t="array" ref="O824">IF(820&gt;$S$1204,"",INDEX($T$5:$AJ$1204,MATCH(820,$S$5:$S$1204,0),15))</f>
        <v/>
      </c>
      <c r="P824" s="8" t="str">
        <f t="array" ref="P824">IF(820&gt;$S$1204,"",INDEX($T$5:$AJ$1204,MATCH(820,$S$5:$S$1204,0),16))</f>
        <v/>
      </c>
      <c r="Q824" s="8" t="str">
        <f t="array" ref="Q824">IF(820&gt;$S$1204,"",INDEX($T$5:$AJ$1204,MATCH(820,$S$5:$S$1204,0),17))</f>
        <v/>
      </c>
      <c r="R824" s="17"/>
      <c r="S824" s="17">
        <f>S823+IF(M5_Ocupacion!A29="",0,1)</f>
        <v>0</v>
      </c>
      <c r="T824" s="17" t="str">
        <f>IF(M5_Ocupacion!A29="","",IF(M5_Ocupacion!A29="","",M5_Ocupacion!A29))</f>
        <v/>
      </c>
      <c r="U824" s="17" t="str">
        <f>IF(M5_Ocupacion!A29="","",IF(M5_Ocupacion!R29="","",M5_Ocupacion!R29))</f>
        <v/>
      </c>
      <c r="V824" s="17" t="str">
        <f>IF(M5_Ocupacion!A29="","",IF(M5_Ocupacion!D29="","",M5_Ocupacion!D29))</f>
        <v/>
      </c>
      <c r="W824" s="17" t="str">
        <f>IF(M5_Ocupacion!A29="","",IF(M5_Ocupacion!B29="","",M5_Ocupacion!B29))</f>
        <v/>
      </c>
      <c r="X824" s="17" t="str">
        <f>IF(M5_Ocupacion!A29="","",IF(M5_Ocupacion!C29="","",M5_Ocupacion!C29))</f>
        <v/>
      </c>
      <c r="Y824" s="17" t="str">
        <f>IF(M5_Ocupacion!A29="","",IF(M5_Ocupacion!E29="","",M5_Ocupacion!E29))</f>
        <v/>
      </c>
      <c r="Z824" s="17" t="str">
        <f>IF(M5_Ocupacion!A29="","",IF(M5_Ocupacion!F29="","",M5_Ocupacion!F29))</f>
        <v/>
      </c>
      <c r="AA824" s="17" t="str">
        <f>IF(M5_Ocupacion!A29="","","M5 Ocupación")</f>
        <v/>
      </c>
      <c r="AB824" s="17" t="str">
        <f>IF(M5_Ocupacion!A29="","",IF(M5_Ocupacion!G29="","",M5_Ocupacion!G29))</f>
        <v/>
      </c>
      <c r="AC824" s="17" t="str">
        <f>IF(M5_Ocupacion!A29="","",IF(COUNTIFS(M5_Ocupacion!$A$10:A29,M5_Ocupacion!A29,M5_Ocupacion!$D$10:D29,M5_Ocupacion!D29)=1,IF(M5_Ocupacion!M29="","",M5_Ocupacion!M29),""))</f>
        <v/>
      </c>
      <c r="AD824" s="17" t="str">
        <f>IF(M5_Ocupacion!A29="","","MO")</f>
        <v/>
      </c>
      <c r="AE824" s="17" t="str">
        <f>IF(M5_Ocupacion!A29="","",IF(M5_Ocupacion!O29="","",M5_Ocupacion!O29))</f>
        <v/>
      </c>
      <c r="AF824" s="17" t="str">
        <f>IF(M5_Ocupacion!A29="","",IF(M5_Ocupacion!P29="","",M5_Ocupacion!P29))</f>
        <v/>
      </c>
      <c r="AG824" s="17" t="str">
        <f>IF(M5_Ocupacion!A29="","",IF(M5_Ocupacion!Q29="","",M5_Ocupacion!Q29))</f>
        <v/>
      </c>
      <c r="AH824" s="17" t="str">
        <f>IF(M5_Ocupacion!A29="","",IF(M5_Ocupacion!J29="","",M5_Ocupacion!J29))</f>
        <v/>
      </c>
      <c r="AI824" s="17" t="str">
        <f>IF(M5_Ocupacion!A29="","","M5_Ocupacion!29")</f>
        <v/>
      </c>
      <c r="AJ824" s="17" t="str">
        <f>IF(M5_Ocupacion!A29="","",IF(M5_Ocupacion!M29="","Pendiente de medición completa",IF(COUNTIFS(M5_Ocupacion!$A$10:A29,M5_Ocupacion!A29,M5_Ocupacion!$D$10:D29,M5_Ocupacion!D29)=1,"Promedio de la actividad y fecha","Observación incluida en promedio")))</f>
        <v/>
      </c>
    </row>
    <row r="825" spans="1:36" ht="55.5" customHeight="1">
      <c r="A825" s="6" t="str">
        <f t="array" ref="A825">IF(821&gt;$S$1204,"",INDEX($T$5:$AJ$1204,MATCH(821,$S$5:$S$1204,0),1))</f>
        <v/>
      </c>
      <c r="B825" s="8" t="str">
        <f t="array" ref="B825">IF(821&gt;$S$1204,"",INDEX($T$5:$AJ$1204,MATCH(821,$S$5:$S$1204,0),2))</f>
        <v/>
      </c>
      <c r="C825" s="10" t="str">
        <f t="array" ref="C825">IF(821&gt;$S$1204,"",INDEX($T$5:$AJ$1204,MATCH(821,$S$5:$S$1204,0),3))</f>
        <v/>
      </c>
      <c r="D825" s="8" t="str">
        <f t="array" ref="D825">IF(821&gt;$S$1204,"",INDEX($T$5:$AJ$1204,MATCH(821,$S$5:$S$1204,0),4))</f>
        <v/>
      </c>
      <c r="E825" s="8" t="str">
        <f t="array" ref="E825">IF(821&gt;$S$1204,"",INDEX($T$5:$AJ$1204,MATCH(821,$S$5:$S$1204,0),5))</f>
        <v/>
      </c>
      <c r="F825" s="8" t="str">
        <f t="array" ref="F825">IF(821&gt;$S$1204,"",INDEX($T$5:$AJ$1204,MATCH(821,$S$5:$S$1204,0),6))</f>
        <v/>
      </c>
      <c r="G825" s="8" t="str">
        <f t="array" ref="G825">IF(821&gt;$S$1204,"",INDEX($T$5:$AJ$1204,MATCH(821,$S$5:$S$1204,0),7))</f>
        <v/>
      </c>
      <c r="H825" s="8" t="str">
        <f t="array" ref="H825">IF(821&gt;$S$1204,"",INDEX($T$5:$AJ$1204,MATCH(821,$S$5:$S$1204,0),8))</f>
        <v/>
      </c>
      <c r="I825" s="8" t="str">
        <f t="array" ref="I825">IF(821&gt;$S$1204,"",INDEX($T$5:$AJ$1204,MATCH(821,$S$5:$S$1204,0),9))</f>
        <v/>
      </c>
      <c r="J825" s="14" t="str">
        <f t="array" ref="J825">IF(821&gt;$S$1204,"",INDEX($T$5:$AJ$1204,MATCH(821,$S$5:$S$1204,0),10))</f>
        <v/>
      </c>
      <c r="K825" s="8" t="str">
        <f t="array" ref="K825">IF(821&gt;$S$1204,"",INDEX($T$5:$AJ$1204,MATCH(821,$S$5:$S$1204,0),11))</f>
        <v/>
      </c>
      <c r="L825" s="8" t="str">
        <f t="array" ref="L825">IF(821&gt;$S$1204,"",INDEX($T$5:$AJ$1204,MATCH(821,$S$5:$S$1204,0),12))</f>
        <v/>
      </c>
      <c r="M825" s="8" t="str">
        <f t="array" ref="M825">IF(821&gt;$S$1204,"",INDEX($T$5:$AJ$1204,MATCH(821,$S$5:$S$1204,0),13))</f>
        <v/>
      </c>
      <c r="N825" s="8" t="str">
        <f t="array" ref="N825">IF(821&gt;$S$1204,"",INDEX($T$5:$AJ$1204,MATCH(821,$S$5:$S$1204,0),14))</f>
        <v/>
      </c>
      <c r="O825" s="15" t="str">
        <f t="array" ref="O825">IF(821&gt;$S$1204,"",INDEX($T$5:$AJ$1204,MATCH(821,$S$5:$S$1204,0),15))</f>
        <v/>
      </c>
      <c r="P825" s="8" t="str">
        <f t="array" ref="P825">IF(821&gt;$S$1204,"",INDEX($T$5:$AJ$1204,MATCH(821,$S$5:$S$1204,0),16))</f>
        <v/>
      </c>
      <c r="Q825" s="8" t="str">
        <f t="array" ref="Q825">IF(821&gt;$S$1204,"",INDEX($T$5:$AJ$1204,MATCH(821,$S$5:$S$1204,0),17))</f>
        <v/>
      </c>
      <c r="R825" s="17"/>
      <c r="S825" s="17">
        <f>S824+IF(M5_Ocupacion!A30="",0,1)</f>
        <v>0</v>
      </c>
      <c r="T825" s="17" t="str">
        <f>IF(M5_Ocupacion!A30="","",IF(M5_Ocupacion!A30="","",M5_Ocupacion!A30))</f>
        <v/>
      </c>
      <c r="U825" s="17" t="str">
        <f>IF(M5_Ocupacion!A30="","",IF(M5_Ocupacion!R30="","",M5_Ocupacion!R30))</f>
        <v/>
      </c>
      <c r="V825" s="17" t="str">
        <f>IF(M5_Ocupacion!A30="","",IF(M5_Ocupacion!D30="","",M5_Ocupacion!D30))</f>
        <v/>
      </c>
      <c r="W825" s="17" t="str">
        <f>IF(M5_Ocupacion!A30="","",IF(M5_Ocupacion!B30="","",M5_Ocupacion!B30))</f>
        <v/>
      </c>
      <c r="X825" s="17" t="str">
        <f>IF(M5_Ocupacion!A30="","",IF(M5_Ocupacion!C30="","",M5_Ocupacion!C30))</f>
        <v/>
      </c>
      <c r="Y825" s="17" t="str">
        <f>IF(M5_Ocupacion!A30="","",IF(M5_Ocupacion!E30="","",M5_Ocupacion!E30))</f>
        <v/>
      </c>
      <c r="Z825" s="17" t="str">
        <f>IF(M5_Ocupacion!A30="","",IF(M5_Ocupacion!F30="","",M5_Ocupacion!F30))</f>
        <v/>
      </c>
      <c r="AA825" s="17" t="str">
        <f>IF(M5_Ocupacion!A30="","","M5 Ocupación")</f>
        <v/>
      </c>
      <c r="AB825" s="17" t="str">
        <f>IF(M5_Ocupacion!A30="","",IF(M5_Ocupacion!G30="","",M5_Ocupacion!G30))</f>
        <v/>
      </c>
      <c r="AC825" s="17" t="str">
        <f>IF(M5_Ocupacion!A30="","",IF(COUNTIFS(M5_Ocupacion!$A$10:A30,M5_Ocupacion!A30,M5_Ocupacion!$D$10:D30,M5_Ocupacion!D30)=1,IF(M5_Ocupacion!M30="","",M5_Ocupacion!M30),""))</f>
        <v/>
      </c>
      <c r="AD825" s="17" t="str">
        <f>IF(M5_Ocupacion!A30="","","MO")</f>
        <v/>
      </c>
      <c r="AE825" s="17" t="str">
        <f>IF(M5_Ocupacion!A30="","",IF(M5_Ocupacion!O30="","",M5_Ocupacion!O30))</f>
        <v/>
      </c>
      <c r="AF825" s="17" t="str">
        <f>IF(M5_Ocupacion!A30="","",IF(M5_Ocupacion!P30="","",M5_Ocupacion!P30))</f>
        <v/>
      </c>
      <c r="AG825" s="17" t="str">
        <f>IF(M5_Ocupacion!A30="","",IF(M5_Ocupacion!Q30="","",M5_Ocupacion!Q30))</f>
        <v/>
      </c>
      <c r="AH825" s="17" t="str">
        <f>IF(M5_Ocupacion!A30="","",IF(M5_Ocupacion!J30="","",M5_Ocupacion!J30))</f>
        <v/>
      </c>
      <c r="AI825" s="17" t="str">
        <f>IF(M5_Ocupacion!A30="","","M5_Ocupacion!30")</f>
        <v/>
      </c>
      <c r="AJ825" s="17" t="str">
        <f>IF(M5_Ocupacion!A30="","",IF(M5_Ocupacion!M30="","Pendiente de medición completa",IF(COUNTIFS(M5_Ocupacion!$A$10:A30,M5_Ocupacion!A30,M5_Ocupacion!$D$10:D30,M5_Ocupacion!D30)=1,"Promedio de la actividad y fecha","Observación incluida en promedio")))</f>
        <v/>
      </c>
    </row>
    <row r="826" spans="1:36" ht="55.5" customHeight="1">
      <c r="A826" s="6" t="str">
        <f t="array" ref="A826">IF(822&gt;$S$1204,"",INDEX($T$5:$AJ$1204,MATCH(822,$S$5:$S$1204,0),1))</f>
        <v/>
      </c>
      <c r="B826" s="8" t="str">
        <f t="array" ref="B826">IF(822&gt;$S$1204,"",INDEX($T$5:$AJ$1204,MATCH(822,$S$5:$S$1204,0),2))</f>
        <v/>
      </c>
      <c r="C826" s="10" t="str">
        <f t="array" ref="C826">IF(822&gt;$S$1204,"",INDEX($T$5:$AJ$1204,MATCH(822,$S$5:$S$1204,0),3))</f>
        <v/>
      </c>
      <c r="D826" s="8" t="str">
        <f t="array" ref="D826">IF(822&gt;$S$1204,"",INDEX($T$5:$AJ$1204,MATCH(822,$S$5:$S$1204,0),4))</f>
        <v/>
      </c>
      <c r="E826" s="8" t="str">
        <f t="array" ref="E826">IF(822&gt;$S$1204,"",INDEX($T$5:$AJ$1204,MATCH(822,$S$5:$S$1204,0),5))</f>
        <v/>
      </c>
      <c r="F826" s="8" t="str">
        <f t="array" ref="F826">IF(822&gt;$S$1204,"",INDEX($T$5:$AJ$1204,MATCH(822,$S$5:$S$1204,0),6))</f>
        <v/>
      </c>
      <c r="G826" s="8" t="str">
        <f t="array" ref="G826">IF(822&gt;$S$1204,"",INDEX($T$5:$AJ$1204,MATCH(822,$S$5:$S$1204,0),7))</f>
        <v/>
      </c>
      <c r="H826" s="8" t="str">
        <f t="array" ref="H826">IF(822&gt;$S$1204,"",INDEX($T$5:$AJ$1204,MATCH(822,$S$5:$S$1204,0),8))</f>
        <v/>
      </c>
      <c r="I826" s="8" t="str">
        <f t="array" ref="I826">IF(822&gt;$S$1204,"",INDEX($T$5:$AJ$1204,MATCH(822,$S$5:$S$1204,0),9))</f>
        <v/>
      </c>
      <c r="J826" s="14" t="str">
        <f t="array" ref="J826">IF(822&gt;$S$1204,"",INDEX($T$5:$AJ$1204,MATCH(822,$S$5:$S$1204,0),10))</f>
        <v/>
      </c>
      <c r="K826" s="8" t="str">
        <f t="array" ref="K826">IF(822&gt;$S$1204,"",INDEX($T$5:$AJ$1204,MATCH(822,$S$5:$S$1204,0),11))</f>
        <v/>
      </c>
      <c r="L826" s="8" t="str">
        <f t="array" ref="L826">IF(822&gt;$S$1204,"",INDEX($T$5:$AJ$1204,MATCH(822,$S$5:$S$1204,0),12))</f>
        <v/>
      </c>
      <c r="M826" s="8" t="str">
        <f t="array" ref="M826">IF(822&gt;$S$1204,"",INDEX($T$5:$AJ$1204,MATCH(822,$S$5:$S$1204,0),13))</f>
        <v/>
      </c>
      <c r="N826" s="8" t="str">
        <f t="array" ref="N826">IF(822&gt;$S$1204,"",INDEX($T$5:$AJ$1204,MATCH(822,$S$5:$S$1204,0),14))</f>
        <v/>
      </c>
      <c r="O826" s="15" t="str">
        <f t="array" ref="O826">IF(822&gt;$S$1204,"",INDEX($T$5:$AJ$1204,MATCH(822,$S$5:$S$1204,0),15))</f>
        <v/>
      </c>
      <c r="P826" s="8" t="str">
        <f t="array" ref="P826">IF(822&gt;$S$1204,"",INDEX($T$5:$AJ$1204,MATCH(822,$S$5:$S$1204,0),16))</f>
        <v/>
      </c>
      <c r="Q826" s="8" t="str">
        <f t="array" ref="Q826">IF(822&gt;$S$1204,"",INDEX($T$5:$AJ$1204,MATCH(822,$S$5:$S$1204,0),17))</f>
        <v/>
      </c>
      <c r="R826" s="17"/>
      <c r="S826" s="17">
        <f>S825+IF(M5_Ocupacion!A31="",0,1)</f>
        <v>0</v>
      </c>
      <c r="T826" s="17" t="str">
        <f>IF(M5_Ocupacion!A31="","",IF(M5_Ocupacion!A31="","",M5_Ocupacion!A31))</f>
        <v/>
      </c>
      <c r="U826" s="17" t="str">
        <f>IF(M5_Ocupacion!A31="","",IF(M5_Ocupacion!R31="","",M5_Ocupacion!R31))</f>
        <v/>
      </c>
      <c r="V826" s="17" t="str">
        <f>IF(M5_Ocupacion!A31="","",IF(M5_Ocupacion!D31="","",M5_Ocupacion!D31))</f>
        <v/>
      </c>
      <c r="W826" s="17" t="str">
        <f>IF(M5_Ocupacion!A31="","",IF(M5_Ocupacion!B31="","",M5_Ocupacion!B31))</f>
        <v/>
      </c>
      <c r="X826" s="17" t="str">
        <f>IF(M5_Ocupacion!A31="","",IF(M5_Ocupacion!C31="","",M5_Ocupacion!C31))</f>
        <v/>
      </c>
      <c r="Y826" s="17" t="str">
        <f>IF(M5_Ocupacion!A31="","",IF(M5_Ocupacion!E31="","",M5_Ocupacion!E31))</f>
        <v/>
      </c>
      <c r="Z826" s="17" t="str">
        <f>IF(M5_Ocupacion!A31="","",IF(M5_Ocupacion!F31="","",M5_Ocupacion!F31))</f>
        <v/>
      </c>
      <c r="AA826" s="17" t="str">
        <f>IF(M5_Ocupacion!A31="","","M5 Ocupación")</f>
        <v/>
      </c>
      <c r="AB826" s="17" t="str">
        <f>IF(M5_Ocupacion!A31="","",IF(M5_Ocupacion!G31="","",M5_Ocupacion!G31))</f>
        <v/>
      </c>
      <c r="AC826" s="17" t="str">
        <f>IF(M5_Ocupacion!A31="","",IF(COUNTIFS(M5_Ocupacion!$A$10:A31,M5_Ocupacion!A31,M5_Ocupacion!$D$10:D31,M5_Ocupacion!D31)=1,IF(M5_Ocupacion!M31="","",M5_Ocupacion!M31),""))</f>
        <v/>
      </c>
      <c r="AD826" s="17" t="str">
        <f>IF(M5_Ocupacion!A31="","","MO")</f>
        <v/>
      </c>
      <c r="AE826" s="17" t="str">
        <f>IF(M5_Ocupacion!A31="","",IF(M5_Ocupacion!O31="","",M5_Ocupacion!O31))</f>
        <v/>
      </c>
      <c r="AF826" s="17" t="str">
        <f>IF(M5_Ocupacion!A31="","",IF(M5_Ocupacion!P31="","",M5_Ocupacion!P31))</f>
        <v/>
      </c>
      <c r="AG826" s="17" t="str">
        <f>IF(M5_Ocupacion!A31="","",IF(M5_Ocupacion!Q31="","",M5_Ocupacion!Q31))</f>
        <v/>
      </c>
      <c r="AH826" s="17" t="str">
        <f>IF(M5_Ocupacion!A31="","",IF(M5_Ocupacion!J31="","",M5_Ocupacion!J31))</f>
        <v/>
      </c>
      <c r="AI826" s="17" t="str">
        <f>IF(M5_Ocupacion!A31="","","M5_Ocupacion!31")</f>
        <v/>
      </c>
      <c r="AJ826" s="17" t="str">
        <f>IF(M5_Ocupacion!A31="","",IF(M5_Ocupacion!M31="","Pendiente de medición completa",IF(COUNTIFS(M5_Ocupacion!$A$10:A31,M5_Ocupacion!A31,M5_Ocupacion!$D$10:D31,M5_Ocupacion!D31)=1,"Promedio de la actividad y fecha","Observación incluida en promedio")))</f>
        <v/>
      </c>
    </row>
    <row r="827" spans="1:36" ht="55.5" customHeight="1">
      <c r="A827" s="6" t="str">
        <f t="array" ref="A827">IF(823&gt;$S$1204,"",INDEX($T$5:$AJ$1204,MATCH(823,$S$5:$S$1204,0),1))</f>
        <v/>
      </c>
      <c r="B827" s="8" t="str">
        <f t="array" ref="B827">IF(823&gt;$S$1204,"",INDEX($T$5:$AJ$1204,MATCH(823,$S$5:$S$1204,0),2))</f>
        <v/>
      </c>
      <c r="C827" s="10" t="str">
        <f t="array" ref="C827">IF(823&gt;$S$1204,"",INDEX($T$5:$AJ$1204,MATCH(823,$S$5:$S$1204,0),3))</f>
        <v/>
      </c>
      <c r="D827" s="8" t="str">
        <f t="array" ref="D827">IF(823&gt;$S$1204,"",INDEX($T$5:$AJ$1204,MATCH(823,$S$5:$S$1204,0),4))</f>
        <v/>
      </c>
      <c r="E827" s="8" t="str">
        <f t="array" ref="E827">IF(823&gt;$S$1204,"",INDEX($T$5:$AJ$1204,MATCH(823,$S$5:$S$1204,0),5))</f>
        <v/>
      </c>
      <c r="F827" s="8" t="str">
        <f t="array" ref="F827">IF(823&gt;$S$1204,"",INDEX($T$5:$AJ$1204,MATCH(823,$S$5:$S$1204,0),6))</f>
        <v/>
      </c>
      <c r="G827" s="8" t="str">
        <f t="array" ref="G827">IF(823&gt;$S$1204,"",INDEX($T$5:$AJ$1204,MATCH(823,$S$5:$S$1204,0),7))</f>
        <v/>
      </c>
      <c r="H827" s="8" t="str">
        <f t="array" ref="H827">IF(823&gt;$S$1204,"",INDEX($T$5:$AJ$1204,MATCH(823,$S$5:$S$1204,0),8))</f>
        <v/>
      </c>
      <c r="I827" s="8" t="str">
        <f t="array" ref="I827">IF(823&gt;$S$1204,"",INDEX($T$5:$AJ$1204,MATCH(823,$S$5:$S$1204,0),9))</f>
        <v/>
      </c>
      <c r="J827" s="14" t="str">
        <f t="array" ref="J827">IF(823&gt;$S$1204,"",INDEX($T$5:$AJ$1204,MATCH(823,$S$5:$S$1204,0),10))</f>
        <v/>
      </c>
      <c r="K827" s="8" t="str">
        <f t="array" ref="K827">IF(823&gt;$S$1204,"",INDEX($T$5:$AJ$1204,MATCH(823,$S$5:$S$1204,0),11))</f>
        <v/>
      </c>
      <c r="L827" s="8" t="str">
        <f t="array" ref="L827">IF(823&gt;$S$1204,"",INDEX($T$5:$AJ$1204,MATCH(823,$S$5:$S$1204,0),12))</f>
        <v/>
      </c>
      <c r="M827" s="8" t="str">
        <f t="array" ref="M827">IF(823&gt;$S$1204,"",INDEX($T$5:$AJ$1204,MATCH(823,$S$5:$S$1204,0),13))</f>
        <v/>
      </c>
      <c r="N827" s="8" t="str">
        <f t="array" ref="N827">IF(823&gt;$S$1204,"",INDEX($T$5:$AJ$1204,MATCH(823,$S$5:$S$1204,0),14))</f>
        <v/>
      </c>
      <c r="O827" s="15" t="str">
        <f t="array" ref="O827">IF(823&gt;$S$1204,"",INDEX($T$5:$AJ$1204,MATCH(823,$S$5:$S$1204,0),15))</f>
        <v/>
      </c>
      <c r="P827" s="8" t="str">
        <f t="array" ref="P827">IF(823&gt;$S$1204,"",INDEX($T$5:$AJ$1204,MATCH(823,$S$5:$S$1204,0),16))</f>
        <v/>
      </c>
      <c r="Q827" s="8" t="str">
        <f t="array" ref="Q827">IF(823&gt;$S$1204,"",INDEX($T$5:$AJ$1204,MATCH(823,$S$5:$S$1204,0),17))</f>
        <v/>
      </c>
      <c r="R827" s="17"/>
      <c r="S827" s="17">
        <f>S826+IF(M5_Ocupacion!A32="",0,1)</f>
        <v>0</v>
      </c>
      <c r="T827" s="17" t="str">
        <f>IF(M5_Ocupacion!A32="","",IF(M5_Ocupacion!A32="","",M5_Ocupacion!A32))</f>
        <v/>
      </c>
      <c r="U827" s="17" t="str">
        <f>IF(M5_Ocupacion!A32="","",IF(M5_Ocupacion!R32="","",M5_Ocupacion!R32))</f>
        <v/>
      </c>
      <c r="V827" s="17" t="str">
        <f>IF(M5_Ocupacion!A32="","",IF(M5_Ocupacion!D32="","",M5_Ocupacion!D32))</f>
        <v/>
      </c>
      <c r="W827" s="17" t="str">
        <f>IF(M5_Ocupacion!A32="","",IF(M5_Ocupacion!B32="","",M5_Ocupacion!B32))</f>
        <v/>
      </c>
      <c r="X827" s="17" t="str">
        <f>IF(M5_Ocupacion!A32="","",IF(M5_Ocupacion!C32="","",M5_Ocupacion!C32))</f>
        <v/>
      </c>
      <c r="Y827" s="17" t="str">
        <f>IF(M5_Ocupacion!A32="","",IF(M5_Ocupacion!E32="","",M5_Ocupacion!E32))</f>
        <v/>
      </c>
      <c r="Z827" s="17" t="str">
        <f>IF(M5_Ocupacion!A32="","",IF(M5_Ocupacion!F32="","",M5_Ocupacion!F32))</f>
        <v/>
      </c>
      <c r="AA827" s="17" t="str">
        <f>IF(M5_Ocupacion!A32="","","M5 Ocupación")</f>
        <v/>
      </c>
      <c r="AB827" s="17" t="str">
        <f>IF(M5_Ocupacion!A32="","",IF(M5_Ocupacion!G32="","",M5_Ocupacion!G32))</f>
        <v/>
      </c>
      <c r="AC827" s="17" t="str">
        <f>IF(M5_Ocupacion!A32="","",IF(COUNTIFS(M5_Ocupacion!$A$10:A32,M5_Ocupacion!A32,M5_Ocupacion!$D$10:D32,M5_Ocupacion!D32)=1,IF(M5_Ocupacion!M32="","",M5_Ocupacion!M32),""))</f>
        <v/>
      </c>
      <c r="AD827" s="17" t="str">
        <f>IF(M5_Ocupacion!A32="","","MO")</f>
        <v/>
      </c>
      <c r="AE827" s="17" t="str">
        <f>IF(M5_Ocupacion!A32="","",IF(M5_Ocupacion!O32="","",M5_Ocupacion!O32))</f>
        <v/>
      </c>
      <c r="AF827" s="17" t="str">
        <f>IF(M5_Ocupacion!A32="","",IF(M5_Ocupacion!P32="","",M5_Ocupacion!P32))</f>
        <v/>
      </c>
      <c r="AG827" s="17" t="str">
        <f>IF(M5_Ocupacion!A32="","",IF(M5_Ocupacion!Q32="","",M5_Ocupacion!Q32))</f>
        <v/>
      </c>
      <c r="AH827" s="17" t="str">
        <f>IF(M5_Ocupacion!A32="","",IF(M5_Ocupacion!J32="","",M5_Ocupacion!J32))</f>
        <v/>
      </c>
      <c r="AI827" s="17" t="str">
        <f>IF(M5_Ocupacion!A32="","","M5_Ocupacion!32")</f>
        <v/>
      </c>
      <c r="AJ827" s="17" t="str">
        <f>IF(M5_Ocupacion!A32="","",IF(M5_Ocupacion!M32="","Pendiente de medición completa",IF(COUNTIFS(M5_Ocupacion!$A$10:A32,M5_Ocupacion!A32,M5_Ocupacion!$D$10:D32,M5_Ocupacion!D32)=1,"Promedio de la actividad y fecha","Observación incluida en promedio")))</f>
        <v/>
      </c>
    </row>
    <row r="828" spans="1:36" ht="55.5" customHeight="1">
      <c r="A828" s="6" t="str">
        <f t="array" ref="A828">IF(824&gt;$S$1204,"",INDEX($T$5:$AJ$1204,MATCH(824,$S$5:$S$1204,0),1))</f>
        <v/>
      </c>
      <c r="B828" s="8" t="str">
        <f t="array" ref="B828">IF(824&gt;$S$1204,"",INDEX($T$5:$AJ$1204,MATCH(824,$S$5:$S$1204,0),2))</f>
        <v/>
      </c>
      <c r="C828" s="10" t="str">
        <f t="array" ref="C828">IF(824&gt;$S$1204,"",INDEX($T$5:$AJ$1204,MATCH(824,$S$5:$S$1204,0),3))</f>
        <v/>
      </c>
      <c r="D828" s="8" t="str">
        <f t="array" ref="D828">IF(824&gt;$S$1204,"",INDEX($T$5:$AJ$1204,MATCH(824,$S$5:$S$1204,0),4))</f>
        <v/>
      </c>
      <c r="E828" s="8" t="str">
        <f t="array" ref="E828">IF(824&gt;$S$1204,"",INDEX($T$5:$AJ$1204,MATCH(824,$S$5:$S$1204,0),5))</f>
        <v/>
      </c>
      <c r="F828" s="8" t="str">
        <f t="array" ref="F828">IF(824&gt;$S$1204,"",INDEX($T$5:$AJ$1204,MATCH(824,$S$5:$S$1204,0),6))</f>
        <v/>
      </c>
      <c r="G828" s="8" t="str">
        <f t="array" ref="G828">IF(824&gt;$S$1204,"",INDEX($T$5:$AJ$1204,MATCH(824,$S$5:$S$1204,0),7))</f>
        <v/>
      </c>
      <c r="H828" s="8" t="str">
        <f t="array" ref="H828">IF(824&gt;$S$1204,"",INDEX($T$5:$AJ$1204,MATCH(824,$S$5:$S$1204,0),8))</f>
        <v/>
      </c>
      <c r="I828" s="8" t="str">
        <f t="array" ref="I828">IF(824&gt;$S$1204,"",INDEX($T$5:$AJ$1204,MATCH(824,$S$5:$S$1204,0),9))</f>
        <v/>
      </c>
      <c r="J828" s="14" t="str">
        <f t="array" ref="J828">IF(824&gt;$S$1204,"",INDEX($T$5:$AJ$1204,MATCH(824,$S$5:$S$1204,0),10))</f>
        <v/>
      </c>
      <c r="K828" s="8" t="str">
        <f t="array" ref="K828">IF(824&gt;$S$1204,"",INDEX($T$5:$AJ$1204,MATCH(824,$S$5:$S$1204,0),11))</f>
        <v/>
      </c>
      <c r="L828" s="8" t="str">
        <f t="array" ref="L828">IF(824&gt;$S$1204,"",INDEX($T$5:$AJ$1204,MATCH(824,$S$5:$S$1204,0),12))</f>
        <v/>
      </c>
      <c r="M828" s="8" t="str">
        <f t="array" ref="M828">IF(824&gt;$S$1204,"",INDEX($T$5:$AJ$1204,MATCH(824,$S$5:$S$1204,0),13))</f>
        <v/>
      </c>
      <c r="N828" s="8" t="str">
        <f t="array" ref="N828">IF(824&gt;$S$1204,"",INDEX($T$5:$AJ$1204,MATCH(824,$S$5:$S$1204,0),14))</f>
        <v/>
      </c>
      <c r="O828" s="15" t="str">
        <f t="array" ref="O828">IF(824&gt;$S$1204,"",INDEX($T$5:$AJ$1204,MATCH(824,$S$5:$S$1204,0),15))</f>
        <v/>
      </c>
      <c r="P828" s="8" t="str">
        <f t="array" ref="P828">IF(824&gt;$S$1204,"",INDEX($T$5:$AJ$1204,MATCH(824,$S$5:$S$1204,0),16))</f>
        <v/>
      </c>
      <c r="Q828" s="8" t="str">
        <f t="array" ref="Q828">IF(824&gt;$S$1204,"",INDEX($T$5:$AJ$1204,MATCH(824,$S$5:$S$1204,0),17))</f>
        <v/>
      </c>
      <c r="R828" s="17"/>
      <c r="S828" s="17">
        <f>S827+IF(M5_Ocupacion!A33="",0,1)</f>
        <v>0</v>
      </c>
      <c r="T828" s="17" t="str">
        <f>IF(M5_Ocupacion!A33="","",IF(M5_Ocupacion!A33="","",M5_Ocupacion!A33))</f>
        <v/>
      </c>
      <c r="U828" s="17" t="str">
        <f>IF(M5_Ocupacion!A33="","",IF(M5_Ocupacion!R33="","",M5_Ocupacion!R33))</f>
        <v/>
      </c>
      <c r="V828" s="17" t="str">
        <f>IF(M5_Ocupacion!A33="","",IF(M5_Ocupacion!D33="","",M5_Ocupacion!D33))</f>
        <v/>
      </c>
      <c r="W828" s="17" t="str">
        <f>IF(M5_Ocupacion!A33="","",IF(M5_Ocupacion!B33="","",M5_Ocupacion!B33))</f>
        <v/>
      </c>
      <c r="X828" s="17" t="str">
        <f>IF(M5_Ocupacion!A33="","",IF(M5_Ocupacion!C33="","",M5_Ocupacion!C33))</f>
        <v/>
      </c>
      <c r="Y828" s="17" t="str">
        <f>IF(M5_Ocupacion!A33="","",IF(M5_Ocupacion!E33="","",M5_Ocupacion!E33))</f>
        <v/>
      </c>
      <c r="Z828" s="17" t="str">
        <f>IF(M5_Ocupacion!A33="","",IF(M5_Ocupacion!F33="","",M5_Ocupacion!F33))</f>
        <v/>
      </c>
      <c r="AA828" s="17" t="str">
        <f>IF(M5_Ocupacion!A33="","","M5 Ocupación")</f>
        <v/>
      </c>
      <c r="AB828" s="17" t="str">
        <f>IF(M5_Ocupacion!A33="","",IF(M5_Ocupacion!G33="","",M5_Ocupacion!G33))</f>
        <v/>
      </c>
      <c r="AC828" s="17" t="str">
        <f>IF(M5_Ocupacion!A33="","",IF(COUNTIFS(M5_Ocupacion!$A$10:A33,M5_Ocupacion!A33,M5_Ocupacion!$D$10:D33,M5_Ocupacion!D33)=1,IF(M5_Ocupacion!M33="","",M5_Ocupacion!M33),""))</f>
        <v/>
      </c>
      <c r="AD828" s="17" t="str">
        <f>IF(M5_Ocupacion!A33="","","MO")</f>
        <v/>
      </c>
      <c r="AE828" s="17" t="str">
        <f>IF(M5_Ocupacion!A33="","",IF(M5_Ocupacion!O33="","",M5_Ocupacion!O33))</f>
        <v/>
      </c>
      <c r="AF828" s="17" t="str">
        <f>IF(M5_Ocupacion!A33="","",IF(M5_Ocupacion!P33="","",M5_Ocupacion!P33))</f>
        <v/>
      </c>
      <c r="AG828" s="17" t="str">
        <f>IF(M5_Ocupacion!A33="","",IF(M5_Ocupacion!Q33="","",M5_Ocupacion!Q33))</f>
        <v/>
      </c>
      <c r="AH828" s="17" t="str">
        <f>IF(M5_Ocupacion!A33="","",IF(M5_Ocupacion!J33="","",M5_Ocupacion!J33))</f>
        <v/>
      </c>
      <c r="AI828" s="17" t="str">
        <f>IF(M5_Ocupacion!A33="","","M5_Ocupacion!33")</f>
        <v/>
      </c>
      <c r="AJ828" s="17" t="str">
        <f>IF(M5_Ocupacion!A33="","",IF(M5_Ocupacion!M33="","Pendiente de medición completa",IF(COUNTIFS(M5_Ocupacion!$A$10:A33,M5_Ocupacion!A33,M5_Ocupacion!$D$10:D33,M5_Ocupacion!D33)=1,"Promedio de la actividad y fecha","Observación incluida en promedio")))</f>
        <v/>
      </c>
    </row>
    <row r="829" spans="1:36" ht="55.5" customHeight="1">
      <c r="A829" s="6" t="str">
        <f t="array" ref="A829">IF(825&gt;$S$1204,"",INDEX($T$5:$AJ$1204,MATCH(825,$S$5:$S$1204,0),1))</f>
        <v/>
      </c>
      <c r="B829" s="8" t="str">
        <f t="array" ref="B829">IF(825&gt;$S$1204,"",INDEX($T$5:$AJ$1204,MATCH(825,$S$5:$S$1204,0),2))</f>
        <v/>
      </c>
      <c r="C829" s="10" t="str">
        <f t="array" ref="C829">IF(825&gt;$S$1204,"",INDEX($T$5:$AJ$1204,MATCH(825,$S$5:$S$1204,0),3))</f>
        <v/>
      </c>
      <c r="D829" s="8" t="str">
        <f t="array" ref="D829">IF(825&gt;$S$1204,"",INDEX($T$5:$AJ$1204,MATCH(825,$S$5:$S$1204,0),4))</f>
        <v/>
      </c>
      <c r="E829" s="8" t="str">
        <f t="array" ref="E829">IF(825&gt;$S$1204,"",INDEX($T$5:$AJ$1204,MATCH(825,$S$5:$S$1204,0),5))</f>
        <v/>
      </c>
      <c r="F829" s="8" t="str">
        <f t="array" ref="F829">IF(825&gt;$S$1204,"",INDEX($T$5:$AJ$1204,MATCH(825,$S$5:$S$1204,0),6))</f>
        <v/>
      </c>
      <c r="G829" s="8" t="str">
        <f t="array" ref="G829">IF(825&gt;$S$1204,"",INDEX($T$5:$AJ$1204,MATCH(825,$S$5:$S$1204,0),7))</f>
        <v/>
      </c>
      <c r="H829" s="8" t="str">
        <f t="array" ref="H829">IF(825&gt;$S$1204,"",INDEX($T$5:$AJ$1204,MATCH(825,$S$5:$S$1204,0),8))</f>
        <v/>
      </c>
      <c r="I829" s="8" t="str">
        <f t="array" ref="I829">IF(825&gt;$S$1204,"",INDEX($T$5:$AJ$1204,MATCH(825,$S$5:$S$1204,0),9))</f>
        <v/>
      </c>
      <c r="J829" s="14" t="str">
        <f t="array" ref="J829">IF(825&gt;$S$1204,"",INDEX($T$5:$AJ$1204,MATCH(825,$S$5:$S$1204,0),10))</f>
        <v/>
      </c>
      <c r="K829" s="8" t="str">
        <f t="array" ref="K829">IF(825&gt;$S$1204,"",INDEX($T$5:$AJ$1204,MATCH(825,$S$5:$S$1204,0),11))</f>
        <v/>
      </c>
      <c r="L829" s="8" t="str">
        <f t="array" ref="L829">IF(825&gt;$S$1204,"",INDEX($T$5:$AJ$1204,MATCH(825,$S$5:$S$1204,0),12))</f>
        <v/>
      </c>
      <c r="M829" s="8" t="str">
        <f t="array" ref="M829">IF(825&gt;$S$1204,"",INDEX($T$5:$AJ$1204,MATCH(825,$S$5:$S$1204,0),13))</f>
        <v/>
      </c>
      <c r="N829" s="8" t="str">
        <f t="array" ref="N829">IF(825&gt;$S$1204,"",INDEX($T$5:$AJ$1204,MATCH(825,$S$5:$S$1204,0),14))</f>
        <v/>
      </c>
      <c r="O829" s="15" t="str">
        <f t="array" ref="O829">IF(825&gt;$S$1204,"",INDEX($T$5:$AJ$1204,MATCH(825,$S$5:$S$1204,0),15))</f>
        <v/>
      </c>
      <c r="P829" s="8" t="str">
        <f t="array" ref="P829">IF(825&gt;$S$1204,"",INDEX($T$5:$AJ$1204,MATCH(825,$S$5:$S$1204,0),16))</f>
        <v/>
      </c>
      <c r="Q829" s="8" t="str">
        <f t="array" ref="Q829">IF(825&gt;$S$1204,"",INDEX($T$5:$AJ$1204,MATCH(825,$S$5:$S$1204,0),17))</f>
        <v/>
      </c>
      <c r="R829" s="17"/>
      <c r="S829" s="17">
        <f>S828+IF(M5_Ocupacion!A34="",0,1)</f>
        <v>0</v>
      </c>
      <c r="T829" s="17" t="str">
        <f>IF(M5_Ocupacion!A34="","",IF(M5_Ocupacion!A34="","",M5_Ocupacion!A34))</f>
        <v/>
      </c>
      <c r="U829" s="17" t="str">
        <f>IF(M5_Ocupacion!A34="","",IF(M5_Ocupacion!R34="","",M5_Ocupacion!R34))</f>
        <v/>
      </c>
      <c r="V829" s="17" t="str">
        <f>IF(M5_Ocupacion!A34="","",IF(M5_Ocupacion!D34="","",M5_Ocupacion!D34))</f>
        <v/>
      </c>
      <c r="W829" s="17" t="str">
        <f>IF(M5_Ocupacion!A34="","",IF(M5_Ocupacion!B34="","",M5_Ocupacion!B34))</f>
        <v/>
      </c>
      <c r="X829" s="17" t="str">
        <f>IF(M5_Ocupacion!A34="","",IF(M5_Ocupacion!C34="","",M5_Ocupacion!C34))</f>
        <v/>
      </c>
      <c r="Y829" s="17" t="str">
        <f>IF(M5_Ocupacion!A34="","",IF(M5_Ocupacion!E34="","",M5_Ocupacion!E34))</f>
        <v/>
      </c>
      <c r="Z829" s="17" t="str">
        <f>IF(M5_Ocupacion!A34="","",IF(M5_Ocupacion!F34="","",M5_Ocupacion!F34))</f>
        <v/>
      </c>
      <c r="AA829" s="17" t="str">
        <f>IF(M5_Ocupacion!A34="","","M5 Ocupación")</f>
        <v/>
      </c>
      <c r="AB829" s="17" t="str">
        <f>IF(M5_Ocupacion!A34="","",IF(M5_Ocupacion!G34="","",M5_Ocupacion!G34))</f>
        <v/>
      </c>
      <c r="AC829" s="17" t="str">
        <f>IF(M5_Ocupacion!A34="","",IF(COUNTIFS(M5_Ocupacion!$A$10:A34,M5_Ocupacion!A34,M5_Ocupacion!$D$10:D34,M5_Ocupacion!D34)=1,IF(M5_Ocupacion!M34="","",M5_Ocupacion!M34),""))</f>
        <v/>
      </c>
      <c r="AD829" s="17" t="str">
        <f>IF(M5_Ocupacion!A34="","","MO")</f>
        <v/>
      </c>
      <c r="AE829" s="17" t="str">
        <f>IF(M5_Ocupacion!A34="","",IF(M5_Ocupacion!O34="","",M5_Ocupacion!O34))</f>
        <v/>
      </c>
      <c r="AF829" s="17" t="str">
        <f>IF(M5_Ocupacion!A34="","",IF(M5_Ocupacion!P34="","",M5_Ocupacion!P34))</f>
        <v/>
      </c>
      <c r="AG829" s="17" t="str">
        <f>IF(M5_Ocupacion!A34="","",IF(M5_Ocupacion!Q34="","",M5_Ocupacion!Q34))</f>
        <v/>
      </c>
      <c r="AH829" s="17" t="str">
        <f>IF(M5_Ocupacion!A34="","",IF(M5_Ocupacion!J34="","",M5_Ocupacion!J34))</f>
        <v/>
      </c>
      <c r="AI829" s="17" t="str">
        <f>IF(M5_Ocupacion!A34="","","M5_Ocupacion!34")</f>
        <v/>
      </c>
      <c r="AJ829" s="17" t="str">
        <f>IF(M5_Ocupacion!A34="","",IF(M5_Ocupacion!M34="","Pendiente de medición completa",IF(COUNTIFS(M5_Ocupacion!$A$10:A34,M5_Ocupacion!A34,M5_Ocupacion!$D$10:D34,M5_Ocupacion!D34)=1,"Promedio de la actividad y fecha","Observación incluida en promedio")))</f>
        <v/>
      </c>
    </row>
    <row r="830" spans="1:36" ht="55.5" customHeight="1">
      <c r="A830" s="6" t="str">
        <f t="array" ref="A830">IF(826&gt;$S$1204,"",INDEX($T$5:$AJ$1204,MATCH(826,$S$5:$S$1204,0),1))</f>
        <v/>
      </c>
      <c r="B830" s="8" t="str">
        <f t="array" ref="B830">IF(826&gt;$S$1204,"",INDEX($T$5:$AJ$1204,MATCH(826,$S$5:$S$1204,0),2))</f>
        <v/>
      </c>
      <c r="C830" s="10" t="str">
        <f t="array" ref="C830">IF(826&gt;$S$1204,"",INDEX($T$5:$AJ$1204,MATCH(826,$S$5:$S$1204,0),3))</f>
        <v/>
      </c>
      <c r="D830" s="8" t="str">
        <f t="array" ref="D830">IF(826&gt;$S$1204,"",INDEX($T$5:$AJ$1204,MATCH(826,$S$5:$S$1204,0),4))</f>
        <v/>
      </c>
      <c r="E830" s="8" t="str">
        <f t="array" ref="E830">IF(826&gt;$S$1204,"",INDEX($T$5:$AJ$1204,MATCH(826,$S$5:$S$1204,0),5))</f>
        <v/>
      </c>
      <c r="F830" s="8" t="str">
        <f t="array" ref="F830">IF(826&gt;$S$1204,"",INDEX($T$5:$AJ$1204,MATCH(826,$S$5:$S$1204,0),6))</f>
        <v/>
      </c>
      <c r="G830" s="8" t="str">
        <f t="array" ref="G830">IF(826&gt;$S$1204,"",INDEX($T$5:$AJ$1204,MATCH(826,$S$5:$S$1204,0),7))</f>
        <v/>
      </c>
      <c r="H830" s="8" t="str">
        <f t="array" ref="H830">IF(826&gt;$S$1204,"",INDEX($T$5:$AJ$1204,MATCH(826,$S$5:$S$1204,0),8))</f>
        <v/>
      </c>
      <c r="I830" s="8" t="str">
        <f t="array" ref="I830">IF(826&gt;$S$1204,"",INDEX($T$5:$AJ$1204,MATCH(826,$S$5:$S$1204,0),9))</f>
        <v/>
      </c>
      <c r="J830" s="14" t="str">
        <f t="array" ref="J830">IF(826&gt;$S$1204,"",INDEX($T$5:$AJ$1204,MATCH(826,$S$5:$S$1204,0),10))</f>
        <v/>
      </c>
      <c r="K830" s="8" t="str">
        <f t="array" ref="K830">IF(826&gt;$S$1204,"",INDEX($T$5:$AJ$1204,MATCH(826,$S$5:$S$1204,0),11))</f>
        <v/>
      </c>
      <c r="L830" s="8" t="str">
        <f t="array" ref="L830">IF(826&gt;$S$1204,"",INDEX($T$5:$AJ$1204,MATCH(826,$S$5:$S$1204,0),12))</f>
        <v/>
      </c>
      <c r="M830" s="8" t="str">
        <f t="array" ref="M830">IF(826&gt;$S$1204,"",INDEX($T$5:$AJ$1204,MATCH(826,$S$5:$S$1204,0),13))</f>
        <v/>
      </c>
      <c r="N830" s="8" t="str">
        <f t="array" ref="N830">IF(826&gt;$S$1204,"",INDEX($T$5:$AJ$1204,MATCH(826,$S$5:$S$1204,0),14))</f>
        <v/>
      </c>
      <c r="O830" s="15" t="str">
        <f t="array" ref="O830">IF(826&gt;$S$1204,"",INDEX($T$5:$AJ$1204,MATCH(826,$S$5:$S$1204,0),15))</f>
        <v/>
      </c>
      <c r="P830" s="8" t="str">
        <f t="array" ref="P830">IF(826&gt;$S$1204,"",INDEX($T$5:$AJ$1204,MATCH(826,$S$5:$S$1204,0),16))</f>
        <v/>
      </c>
      <c r="Q830" s="8" t="str">
        <f t="array" ref="Q830">IF(826&gt;$S$1204,"",INDEX($T$5:$AJ$1204,MATCH(826,$S$5:$S$1204,0),17))</f>
        <v/>
      </c>
      <c r="R830" s="17"/>
      <c r="S830" s="17">
        <f>S829+IF(M5_Ocupacion!A35="",0,1)</f>
        <v>0</v>
      </c>
      <c r="T830" s="17" t="str">
        <f>IF(M5_Ocupacion!A35="","",IF(M5_Ocupacion!A35="","",M5_Ocupacion!A35))</f>
        <v/>
      </c>
      <c r="U830" s="17" t="str">
        <f>IF(M5_Ocupacion!A35="","",IF(M5_Ocupacion!R35="","",M5_Ocupacion!R35))</f>
        <v/>
      </c>
      <c r="V830" s="17" t="str">
        <f>IF(M5_Ocupacion!A35="","",IF(M5_Ocupacion!D35="","",M5_Ocupacion!D35))</f>
        <v/>
      </c>
      <c r="W830" s="17" t="str">
        <f>IF(M5_Ocupacion!A35="","",IF(M5_Ocupacion!B35="","",M5_Ocupacion!B35))</f>
        <v/>
      </c>
      <c r="X830" s="17" t="str">
        <f>IF(M5_Ocupacion!A35="","",IF(M5_Ocupacion!C35="","",M5_Ocupacion!C35))</f>
        <v/>
      </c>
      <c r="Y830" s="17" t="str">
        <f>IF(M5_Ocupacion!A35="","",IF(M5_Ocupacion!E35="","",M5_Ocupacion!E35))</f>
        <v/>
      </c>
      <c r="Z830" s="17" t="str">
        <f>IF(M5_Ocupacion!A35="","",IF(M5_Ocupacion!F35="","",M5_Ocupacion!F35))</f>
        <v/>
      </c>
      <c r="AA830" s="17" t="str">
        <f>IF(M5_Ocupacion!A35="","","M5 Ocupación")</f>
        <v/>
      </c>
      <c r="AB830" s="17" t="str">
        <f>IF(M5_Ocupacion!A35="","",IF(M5_Ocupacion!G35="","",M5_Ocupacion!G35))</f>
        <v/>
      </c>
      <c r="AC830" s="17" t="str">
        <f>IF(M5_Ocupacion!A35="","",IF(COUNTIFS(M5_Ocupacion!$A$10:A35,M5_Ocupacion!A35,M5_Ocupacion!$D$10:D35,M5_Ocupacion!D35)=1,IF(M5_Ocupacion!M35="","",M5_Ocupacion!M35),""))</f>
        <v/>
      </c>
      <c r="AD830" s="17" t="str">
        <f>IF(M5_Ocupacion!A35="","","MO")</f>
        <v/>
      </c>
      <c r="AE830" s="17" t="str">
        <f>IF(M5_Ocupacion!A35="","",IF(M5_Ocupacion!O35="","",M5_Ocupacion!O35))</f>
        <v/>
      </c>
      <c r="AF830" s="17" t="str">
        <f>IF(M5_Ocupacion!A35="","",IF(M5_Ocupacion!P35="","",M5_Ocupacion!P35))</f>
        <v/>
      </c>
      <c r="AG830" s="17" t="str">
        <f>IF(M5_Ocupacion!A35="","",IF(M5_Ocupacion!Q35="","",M5_Ocupacion!Q35))</f>
        <v/>
      </c>
      <c r="AH830" s="17" t="str">
        <f>IF(M5_Ocupacion!A35="","",IF(M5_Ocupacion!J35="","",M5_Ocupacion!J35))</f>
        <v/>
      </c>
      <c r="AI830" s="17" t="str">
        <f>IF(M5_Ocupacion!A35="","","M5_Ocupacion!35")</f>
        <v/>
      </c>
      <c r="AJ830" s="17" t="str">
        <f>IF(M5_Ocupacion!A35="","",IF(M5_Ocupacion!M35="","Pendiente de medición completa",IF(COUNTIFS(M5_Ocupacion!$A$10:A35,M5_Ocupacion!A35,M5_Ocupacion!$D$10:D35,M5_Ocupacion!D35)=1,"Promedio de la actividad y fecha","Observación incluida en promedio")))</f>
        <v/>
      </c>
    </row>
    <row r="831" spans="1:36" ht="55.5" customHeight="1">
      <c r="A831" s="6" t="str">
        <f t="array" ref="A831">IF(827&gt;$S$1204,"",INDEX($T$5:$AJ$1204,MATCH(827,$S$5:$S$1204,0),1))</f>
        <v/>
      </c>
      <c r="B831" s="8" t="str">
        <f t="array" ref="B831">IF(827&gt;$S$1204,"",INDEX($T$5:$AJ$1204,MATCH(827,$S$5:$S$1204,0),2))</f>
        <v/>
      </c>
      <c r="C831" s="10" t="str">
        <f t="array" ref="C831">IF(827&gt;$S$1204,"",INDEX($T$5:$AJ$1204,MATCH(827,$S$5:$S$1204,0),3))</f>
        <v/>
      </c>
      <c r="D831" s="8" t="str">
        <f t="array" ref="D831">IF(827&gt;$S$1204,"",INDEX($T$5:$AJ$1204,MATCH(827,$S$5:$S$1204,0),4))</f>
        <v/>
      </c>
      <c r="E831" s="8" t="str">
        <f t="array" ref="E831">IF(827&gt;$S$1204,"",INDEX($T$5:$AJ$1204,MATCH(827,$S$5:$S$1204,0),5))</f>
        <v/>
      </c>
      <c r="F831" s="8" t="str">
        <f t="array" ref="F831">IF(827&gt;$S$1204,"",INDEX($T$5:$AJ$1204,MATCH(827,$S$5:$S$1204,0),6))</f>
        <v/>
      </c>
      <c r="G831" s="8" t="str">
        <f t="array" ref="G831">IF(827&gt;$S$1204,"",INDEX($T$5:$AJ$1204,MATCH(827,$S$5:$S$1204,0),7))</f>
        <v/>
      </c>
      <c r="H831" s="8" t="str">
        <f t="array" ref="H831">IF(827&gt;$S$1204,"",INDEX($T$5:$AJ$1204,MATCH(827,$S$5:$S$1204,0),8))</f>
        <v/>
      </c>
      <c r="I831" s="8" t="str">
        <f t="array" ref="I831">IF(827&gt;$S$1204,"",INDEX($T$5:$AJ$1204,MATCH(827,$S$5:$S$1204,0),9))</f>
        <v/>
      </c>
      <c r="J831" s="14" t="str">
        <f t="array" ref="J831">IF(827&gt;$S$1204,"",INDEX($T$5:$AJ$1204,MATCH(827,$S$5:$S$1204,0),10))</f>
        <v/>
      </c>
      <c r="K831" s="8" t="str">
        <f t="array" ref="K831">IF(827&gt;$S$1204,"",INDEX($T$5:$AJ$1204,MATCH(827,$S$5:$S$1204,0),11))</f>
        <v/>
      </c>
      <c r="L831" s="8" t="str">
        <f t="array" ref="L831">IF(827&gt;$S$1204,"",INDEX($T$5:$AJ$1204,MATCH(827,$S$5:$S$1204,0),12))</f>
        <v/>
      </c>
      <c r="M831" s="8" t="str">
        <f t="array" ref="M831">IF(827&gt;$S$1204,"",INDEX($T$5:$AJ$1204,MATCH(827,$S$5:$S$1204,0),13))</f>
        <v/>
      </c>
      <c r="N831" s="8" t="str">
        <f t="array" ref="N831">IF(827&gt;$S$1204,"",INDEX($T$5:$AJ$1204,MATCH(827,$S$5:$S$1204,0),14))</f>
        <v/>
      </c>
      <c r="O831" s="15" t="str">
        <f t="array" ref="O831">IF(827&gt;$S$1204,"",INDEX($T$5:$AJ$1204,MATCH(827,$S$5:$S$1204,0),15))</f>
        <v/>
      </c>
      <c r="P831" s="8" t="str">
        <f t="array" ref="P831">IF(827&gt;$S$1204,"",INDEX($T$5:$AJ$1204,MATCH(827,$S$5:$S$1204,0),16))</f>
        <v/>
      </c>
      <c r="Q831" s="8" t="str">
        <f t="array" ref="Q831">IF(827&gt;$S$1204,"",INDEX($T$5:$AJ$1204,MATCH(827,$S$5:$S$1204,0),17))</f>
        <v/>
      </c>
      <c r="R831" s="17"/>
      <c r="S831" s="17">
        <f>S830+IF(M5_Ocupacion!A36="",0,1)</f>
        <v>0</v>
      </c>
      <c r="T831" s="17" t="str">
        <f>IF(M5_Ocupacion!A36="","",IF(M5_Ocupacion!A36="","",M5_Ocupacion!A36))</f>
        <v/>
      </c>
      <c r="U831" s="17" t="str">
        <f>IF(M5_Ocupacion!A36="","",IF(M5_Ocupacion!R36="","",M5_Ocupacion!R36))</f>
        <v/>
      </c>
      <c r="V831" s="17" t="str">
        <f>IF(M5_Ocupacion!A36="","",IF(M5_Ocupacion!D36="","",M5_Ocupacion!D36))</f>
        <v/>
      </c>
      <c r="W831" s="17" t="str">
        <f>IF(M5_Ocupacion!A36="","",IF(M5_Ocupacion!B36="","",M5_Ocupacion!B36))</f>
        <v/>
      </c>
      <c r="X831" s="17" t="str">
        <f>IF(M5_Ocupacion!A36="","",IF(M5_Ocupacion!C36="","",M5_Ocupacion!C36))</f>
        <v/>
      </c>
      <c r="Y831" s="17" t="str">
        <f>IF(M5_Ocupacion!A36="","",IF(M5_Ocupacion!E36="","",M5_Ocupacion!E36))</f>
        <v/>
      </c>
      <c r="Z831" s="17" t="str">
        <f>IF(M5_Ocupacion!A36="","",IF(M5_Ocupacion!F36="","",M5_Ocupacion!F36))</f>
        <v/>
      </c>
      <c r="AA831" s="17" t="str">
        <f>IF(M5_Ocupacion!A36="","","M5 Ocupación")</f>
        <v/>
      </c>
      <c r="AB831" s="17" t="str">
        <f>IF(M5_Ocupacion!A36="","",IF(M5_Ocupacion!G36="","",M5_Ocupacion!G36))</f>
        <v/>
      </c>
      <c r="AC831" s="17" t="str">
        <f>IF(M5_Ocupacion!A36="","",IF(COUNTIFS(M5_Ocupacion!$A$10:A36,M5_Ocupacion!A36,M5_Ocupacion!$D$10:D36,M5_Ocupacion!D36)=1,IF(M5_Ocupacion!M36="","",M5_Ocupacion!M36),""))</f>
        <v/>
      </c>
      <c r="AD831" s="17" t="str">
        <f>IF(M5_Ocupacion!A36="","","MO")</f>
        <v/>
      </c>
      <c r="AE831" s="17" t="str">
        <f>IF(M5_Ocupacion!A36="","",IF(M5_Ocupacion!O36="","",M5_Ocupacion!O36))</f>
        <v/>
      </c>
      <c r="AF831" s="17" t="str">
        <f>IF(M5_Ocupacion!A36="","",IF(M5_Ocupacion!P36="","",M5_Ocupacion!P36))</f>
        <v/>
      </c>
      <c r="AG831" s="17" t="str">
        <f>IF(M5_Ocupacion!A36="","",IF(M5_Ocupacion!Q36="","",M5_Ocupacion!Q36))</f>
        <v/>
      </c>
      <c r="AH831" s="17" t="str">
        <f>IF(M5_Ocupacion!A36="","",IF(M5_Ocupacion!J36="","",M5_Ocupacion!J36))</f>
        <v/>
      </c>
      <c r="AI831" s="17" t="str">
        <f>IF(M5_Ocupacion!A36="","","M5_Ocupacion!36")</f>
        <v/>
      </c>
      <c r="AJ831" s="17" t="str">
        <f>IF(M5_Ocupacion!A36="","",IF(M5_Ocupacion!M36="","Pendiente de medición completa",IF(COUNTIFS(M5_Ocupacion!$A$10:A36,M5_Ocupacion!A36,M5_Ocupacion!$D$10:D36,M5_Ocupacion!D36)=1,"Promedio de la actividad y fecha","Observación incluida en promedio")))</f>
        <v/>
      </c>
    </row>
    <row r="832" spans="1:36" ht="55.5" customHeight="1">
      <c r="A832" s="6" t="str">
        <f t="array" ref="A832">IF(828&gt;$S$1204,"",INDEX($T$5:$AJ$1204,MATCH(828,$S$5:$S$1204,0),1))</f>
        <v/>
      </c>
      <c r="B832" s="8" t="str">
        <f t="array" ref="B832">IF(828&gt;$S$1204,"",INDEX($T$5:$AJ$1204,MATCH(828,$S$5:$S$1204,0),2))</f>
        <v/>
      </c>
      <c r="C832" s="10" t="str">
        <f t="array" ref="C832">IF(828&gt;$S$1204,"",INDEX($T$5:$AJ$1204,MATCH(828,$S$5:$S$1204,0),3))</f>
        <v/>
      </c>
      <c r="D832" s="8" t="str">
        <f t="array" ref="D832">IF(828&gt;$S$1204,"",INDEX($T$5:$AJ$1204,MATCH(828,$S$5:$S$1204,0),4))</f>
        <v/>
      </c>
      <c r="E832" s="8" t="str">
        <f t="array" ref="E832">IF(828&gt;$S$1204,"",INDEX($T$5:$AJ$1204,MATCH(828,$S$5:$S$1204,0),5))</f>
        <v/>
      </c>
      <c r="F832" s="8" t="str">
        <f t="array" ref="F832">IF(828&gt;$S$1204,"",INDEX($T$5:$AJ$1204,MATCH(828,$S$5:$S$1204,0),6))</f>
        <v/>
      </c>
      <c r="G832" s="8" t="str">
        <f t="array" ref="G832">IF(828&gt;$S$1204,"",INDEX($T$5:$AJ$1204,MATCH(828,$S$5:$S$1204,0),7))</f>
        <v/>
      </c>
      <c r="H832" s="8" t="str">
        <f t="array" ref="H832">IF(828&gt;$S$1204,"",INDEX($T$5:$AJ$1204,MATCH(828,$S$5:$S$1204,0),8))</f>
        <v/>
      </c>
      <c r="I832" s="8" t="str">
        <f t="array" ref="I832">IF(828&gt;$S$1204,"",INDEX($T$5:$AJ$1204,MATCH(828,$S$5:$S$1204,0),9))</f>
        <v/>
      </c>
      <c r="J832" s="14" t="str">
        <f t="array" ref="J832">IF(828&gt;$S$1204,"",INDEX($T$5:$AJ$1204,MATCH(828,$S$5:$S$1204,0),10))</f>
        <v/>
      </c>
      <c r="K832" s="8" t="str">
        <f t="array" ref="K832">IF(828&gt;$S$1204,"",INDEX($T$5:$AJ$1204,MATCH(828,$S$5:$S$1204,0),11))</f>
        <v/>
      </c>
      <c r="L832" s="8" t="str">
        <f t="array" ref="L832">IF(828&gt;$S$1204,"",INDEX($T$5:$AJ$1204,MATCH(828,$S$5:$S$1204,0),12))</f>
        <v/>
      </c>
      <c r="M832" s="8" t="str">
        <f t="array" ref="M832">IF(828&gt;$S$1204,"",INDEX($T$5:$AJ$1204,MATCH(828,$S$5:$S$1204,0),13))</f>
        <v/>
      </c>
      <c r="N832" s="8" t="str">
        <f t="array" ref="N832">IF(828&gt;$S$1204,"",INDEX($T$5:$AJ$1204,MATCH(828,$S$5:$S$1204,0),14))</f>
        <v/>
      </c>
      <c r="O832" s="15" t="str">
        <f t="array" ref="O832">IF(828&gt;$S$1204,"",INDEX($T$5:$AJ$1204,MATCH(828,$S$5:$S$1204,0),15))</f>
        <v/>
      </c>
      <c r="P832" s="8" t="str">
        <f t="array" ref="P832">IF(828&gt;$S$1204,"",INDEX($T$5:$AJ$1204,MATCH(828,$S$5:$S$1204,0),16))</f>
        <v/>
      </c>
      <c r="Q832" s="8" t="str">
        <f t="array" ref="Q832">IF(828&gt;$S$1204,"",INDEX($T$5:$AJ$1204,MATCH(828,$S$5:$S$1204,0),17))</f>
        <v/>
      </c>
      <c r="R832" s="17"/>
      <c r="S832" s="17">
        <f>S831+IF(M5_Ocupacion!A37="",0,1)</f>
        <v>0</v>
      </c>
      <c r="T832" s="17" t="str">
        <f>IF(M5_Ocupacion!A37="","",IF(M5_Ocupacion!A37="","",M5_Ocupacion!A37))</f>
        <v/>
      </c>
      <c r="U832" s="17" t="str">
        <f>IF(M5_Ocupacion!A37="","",IF(M5_Ocupacion!R37="","",M5_Ocupacion!R37))</f>
        <v/>
      </c>
      <c r="V832" s="17" t="str">
        <f>IF(M5_Ocupacion!A37="","",IF(M5_Ocupacion!D37="","",M5_Ocupacion!D37))</f>
        <v/>
      </c>
      <c r="W832" s="17" t="str">
        <f>IF(M5_Ocupacion!A37="","",IF(M5_Ocupacion!B37="","",M5_Ocupacion!B37))</f>
        <v/>
      </c>
      <c r="X832" s="17" t="str">
        <f>IF(M5_Ocupacion!A37="","",IF(M5_Ocupacion!C37="","",M5_Ocupacion!C37))</f>
        <v/>
      </c>
      <c r="Y832" s="17" t="str">
        <f>IF(M5_Ocupacion!A37="","",IF(M5_Ocupacion!E37="","",M5_Ocupacion!E37))</f>
        <v/>
      </c>
      <c r="Z832" s="17" t="str">
        <f>IF(M5_Ocupacion!A37="","",IF(M5_Ocupacion!F37="","",M5_Ocupacion!F37))</f>
        <v/>
      </c>
      <c r="AA832" s="17" t="str">
        <f>IF(M5_Ocupacion!A37="","","M5 Ocupación")</f>
        <v/>
      </c>
      <c r="AB832" s="17" t="str">
        <f>IF(M5_Ocupacion!A37="","",IF(M5_Ocupacion!G37="","",M5_Ocupacion!G37))</f>
        <v/>
      </c>
      <c r="AC832" s="17" t="str">
        <f>IF(M5_Ocupacion!A37="","",IF(COUNTIFS(M5_Ocupacion!$A$10:A37,M5_Ocupacion!A37,M5_Ocupacion!$D$10:D37,M5_Ocupacion!D37)=1,IF(M5_Ocupacion!M37="","",M5_Ocupacion!M37),""))</f>
        <v/>
      </c>
      <c r="AD832" s="17" t="str">
        <f>IF(M5_Ocupacion!A37="","","MO")</f>
        <v/>
      </c>
      <c r="AE832" s="17" t="str">
        <f>IF(M5_Ocupacion!A37="","",IF(M5_Ocupacion!O37="","",M5_Ocupacion!O37))</f>
        <v/>
      </c>
      <c r="AF832" s="17" t="str">
        <f>IF(M5_Ocupacion!A37="","",IF(M5_Ocupacion!P37="","",M5_Ocupacion!P37))</f>
        <v/>
      </c>
      <c r="AG832" s="17" t="str">
        <f>IF(M5_Ocupacion!A37="","",IF(M5_Ocupacion!Q37="","",M5_Ocupacion!Q37))</f>
        <v/>
      </c>
      <c r="AH832" s="17" t="str">
        <f>IF(M5_Ocupacion!A37="","",IF(M5_Ocupacion!J37="","",M5_Ocupacion!J37))</f>
        <v/>
      </c>
      <c r="AI832" s="17" t="str">
        <f>IF(M5_Ocupacion!A37="","","M5_Ocupacion!37")</f>
        <v/>
      </c>
      <c r="AJ832" s="17" t="str">
        <f>IF(M5_Ocupacion!A37="","",IF(M5_Ocupacion!M37="","Pendiente de medición completa",IF(COUNTIFS(M5_Ocupacion!$A$10:A37,M5_Ocupacion!A37,M5_Ocupacion!$D$10:D37,M5_Ocupacion!D37)=1,"Promedio de la actividad y fecha","Observación incluida en promedio")))</f>
        <v/>
      </c>
    </row>
    <row r="833" spans="1:36" ht="55.5" customHeight="1">
      <c r="A833" s="6" t="str">
        <f t="array" ref="A833">IF(829&gt;$S$1204,"",INDEX($T$5:$AJ$1204,MATCH(829,$S$5:$S$1204,0),1))</f>
        <v/>
      </c>
      <c r="B833" s="8" t="str">
        <f t="array" ref="B833">IF(829&gt;$S$1204,"",INDEX($T$5:$AJ$1204,MATCH(829,$S$5:$S$1204,0),2))</f>
        <v/>
      </c>
      <c r="C833" s="10" t="str">
        <f t="array" ref="C833">IF(829&gt;$S$1204,"",INDEX($T$5:$AJ$1204,MATCH(829,$S$5:$S$1204,0),3))</f>
        <v/>
      </c>
      <c r="D833" s="8" t="str">
        <f t="array" ref="D833">IF(829&gt;$S$1204,"",INDEX($T$5:$AJ$1204,MATCH(829,$S$5:$S$1204,0),4))</f>
        <v/>
      </c>
      <c r="E833" s="8" t="str">
        <f t="array" ref="E833">IF(829&gt;$S$1204,"",INDEX($T$5:$AJ$1204,MATCH(829,$S$5:$S$1204,0),5))</f>
        <v/>
      </c>
      <c r="F833" s="8" t="str">
        <f t="array" ref="F833">IF(829&gt;$S$1204,"",INDEX($T$5:$AJ$1204,MATCH(829,$S$5:$S$1204,0),6))</f>
        <v/>
      </c>
      <c r="G833" s="8" t="str">
        <f t="array" ref="G833">IF(829&gt;$S$1204,"",INDEX($T$5:$AJ$1204,MATCH(829,$S$5:$S$1204,0),7))</f>
        <v/>
      </c>
      <c r="H833" s="8" t="str">
        <f t="array" ref="H833">IF(829&gt;$S$1204,"",INDEX($T$5:$AJ$1204,MATCH(829,$S$5:$S$1204,0),8))</f>
        <v/>
      </c>
      <c r="I833" s="8" t="str">
        <f t="array" ref="I833">IF(829&gt;$S$1204,"",INDEX($T$5:$AJ$1204,MATCH(829,$S$5:$S$1204,0),9))</f>
        <v/>
      </c>
      <c r="J833" s="14" t="str">
        <f t="array" ref="J833">IF(829&gt;$S$1204,"",INDEX($T$5:$AJ$1204,MATCH(829,$S$5:$S$1204,0),10))</f>
        <v/>
      </c>
      <c r="K833" s="8" t="str">
        <f t="array" ref="K833">IF(829&gt;$S$1204,"",INDEX($T$5:$AJ$1204,MATCH(829,$S$5:$S$1204,0),11))</f>
        <v/>
      </c>
      <c r="L833" s="8" t="str">
        <f t="array" ref="L833">IF(829&gt;$S$1204,"",INDEX($T$5:$AJ$1204,MATCH(829,$S$5:$S$1204,0),12))</f>
        <v/>
      </c>
      <c r="M833" s="8" t="str">
        <f t="array" ref="M833">IF(829&gt;$S$1204,"",INDEX($T$5:$AJ$1204,MATCH(829,$S$5:$S$1204,0),13))</f>
        <v/>
      </c>
      <c r="N833" s="8" t="str">
        <f t="array" ref="N833">IF(829&gt;$S$1204,"",INDEX($T$5:$AJ$1204,MATCH(829,$S$5:$S$1204,0),14))</f>
        <v/>
      </c>
      <c r="O833" s="15" t="str">
        <f t="array" ref="O833">IF(829&gt;$S$1204,"",INDEX($T$5:$AJ$1204,MATCH(829,$S$5:$S$1204,0),15))</f>
        <v/>
      </c>
      <c r="P833" s="8" t="str">
        <f t="array" ref="P833">IF(829&gt;$S$1204,"",INDEX($T$5:$AJ$1204,MATCH(829,$S$5:$S$1204,0),16))</f>
        <v/>
      </c>
      <c r="Q833" s="8" t="str">
        <f t="array" ref="Q833">IF(829&gt;$S$1204,"",INDEX($T$5:$AJ$1204,MATCH(829,$S$5:$S$1204,0),17))</f>
        <v/>
      </c>
      <c r="R833" s="17"/>
      <c r="S833" s="17">
        <f>S832+IF(M5_Ocupacion!A38="",0,1)</f>
        <v>0</v>
      </c>
      <c r="T833" s="17" t="str">
        <f>IF(M5_Ocupacion!A38="","",IF(M5_Ocupacion!A38="","",M5_Ocupacion!A38))</f>
        <v/>
      </c>
      <c r="U833" s="17" t="str">
        <f>IF(M5_Ocupacion!A38="","",IF(M5_Ocupacion!R38="","",M5_Ocupacion!R38))</f>
        <v/>
      </c>
      <c r="V833" s="17" t="str">
        <f>IF(M5_Ocupacion!A38="","",IF(M5_Ocupacion!D38="","",M5_Ocupacion!D38))</f>
        <v/>
      </c>
      <c r="W833" s="17" t="str">
        <f>IF(M5_Ocupacion!A38="","",IF(M5_Ocupacion!B38="","",M5_Ocupacion!B38))</f>
        <v/>
      </c>
      <c r="X833" s="17" t="str">
        <f>IF(M5_Ocupacion!A38="","",IF(M5_Ocupacion!C38="","",M5_Ocupacion!C38))</f>
        <v/>
      </c>
      <c r="Y833" s="17" t="str">
        <f>IF(M5_Ocupacion!A38="","",IF(M5_Ocupacion!E38="","",M5_Ocupacion!E38))</f>
        <v/>
      </c>
      <c r="Z833" s="17" t="str">
        <f>IF(M5_Ocupacion!A38="","",IF(M5_Ocupacion!F38="","",M5_Ocupacion!F38))</f>
        <v/>
      </c>
      <c r="AA833" s="17" t="str">
        <f>IF(M5_Ocupacion!A38="","","M5 Ocupación")</f>
        <v/>
      </c>
      <c r="AB833" s="17" t="str">
        <f>IF(M5_Ocupacion!A38="","",IF(M5_Ocupacion!G38="","",M5_Ocupacion!G38))</f>
        <v/>
      </c>
      <c r="AC833" s="17" t="str">
        <f>IF(M5_Ocupacion!A38="","",IF(COUNTIFS(M5_Ocupacion!$A$10:A38,M5_Ocupacion!A38,M5_Ocupacion!$D$10:D38,M5_Ocupacion!D38)=1,IF(M5_Ocupacion!M38="","",M5_Ocupacion!M38),""))</f>
        <v/>
      </c>
      <c r="AD833" s="17" t="str">
        <f>IF(M5_Ocupacion!A38="","","MO")</f>
        <v/>
      </c>
      <c r="AE833" s="17" t="str">
        <f>IF(M5_Ocupacion!A38="","",IF(M5_Ocupacion!O38="","",M5_Ocupacion!O38))</f>
        <v/>
      </c>
      <c r="AF833" s="17" t="str">
        <f>IF(M5_Ocupacion!A38="","",IF(M5_Ocupacion!P38="","",M5_Ocupacion!P38))</f>
        <v/>
      </c>
      <c r="AG833" s="17" t="str">
        <f>IF(M5_Ocupacion!A38="","",IF(M5_Ocupacion!Q38="","",M5_Ocupacion!Q38))</f>
        <v/>
      </c>
      <c r="AH833" s="17" t="str">
        <f>IF(M5_Ocupacion!A38="","",IF(M5_Ocupacion!J38="","",M5_Ocupacion!J38))</f>
        <v/>
      </c>
      <c r="AI833" s="17" t="str">
        <f>IF(M5_Ocupacion!A38="","","M5_Ocupacion!38")</f>
        <v/>
      </c>
      <c r="AJ833" s="17" t="str">
        <f>IF(M5_Ocupacion!A38="","",IF(M5_Ocupacion!M38="","Pendiente de medición completa",IF(COUNTIFS(M5_Ocupacion!$A$10:A38,M5_Ocupacion!A38,M5_Ocupacion!$D$10:D38,M5_Ocupacion!D38)=1,"Promedio de la actividad y fecha","Observación incluida en promedio")))</f>
        <v/>
      </c>
    </row>
    <row r="834" spans="1:36" ht="55.5" customHeight="1">
      <c r="A834" s="6" t="str">
        <f t="array" ref="A834">IF(830&gt;$S$1204,"",INDEX($T$5:$AJ$1204,MATCH(830,$S$5:$S$1204,0),1))</f>
        <v/>
      </c>
      <c r="B834" s="8" t="str">
        <f t="array" ref="B834">IF(830&gt;$S$1204,"",INDEX($T$5:$AJ$1204,MATCH(830,$S$5:$S$1204,0),2))</f>
        <v/>
      </c>
      <c r="C834" s="10" t="str">
        <f t="array" ref="C834">IF(830&gt;$S$1204,"",INDEX($T$5:$AJ$1204,MATCH(830,$S$5:$S$1204,0),3))</f>
        <v/>
      </c>
      <c r="D834" s="8" t="str">
        <f t="array" ref="D834">IF(830&gt;$S$1204,"",INDEX($T$5:$AJ$1204,MATCH(830,$S$5:$S$1204,0),4))</f>
        <v/>
      </c>
      <c r="E834" s="8" t="str">
        <f t="array" ref="E834">IF(830&gt;$S$1204,"",INDEX($T$5:$AJ$1204,MATCH(830,$S$5:$S$1204,0),5))</f>
        <v/>
      </c>
      <c r="F834" s="8" t="str">
        <f t="array" ref="F834">IF(830&gt;$S$1204,"",INDEX($T$5:$AJ$1204,MATCH(830,$S$5:$S$1204,0),6))</f>
        <v/>
      </c>
      <c r="G834" s="8" t="str">
        <f t="array" ref="G834">IF(830&gt;$S$1204,"",INDEX($T$5:$AJ$1204,MATCH(830,$S$5:$S$1204,0),7))</f>
        <v/>
      </c>
      <c r="H834" s="8" t="str">
        <f t="array" ref="H834">IF(830&gt;$S$1204,"",INDEX($T$5:$AJ$1204,MATCH(830,$S$5:$S$1204,0),8))</f>
        <v/>
      </c>
      <c r="I834" s="8" t="str">
        <f t="array" ref="I834">IF(830&gt;$S$1204,"",INDEX($T$5:$AJ$1204,MATCH(830,$S$5:$S$1204,0),9))</f>
        <v/>
      </c>
      <c r="J834" s="14" t="str">
        <f t="array" ref="J834">IF(830&gt;$S$1204,"",INDEX($T$5:$AJ$1204,MATCH(830,$S$5:$S$1204,0),10))</f>
        <v/>
      </c>
      <c r="K834" s="8" t="str">
        <f t="array" ref="K834">IF(830&gt;$S$1204,"",INDEX($T$5:$AJ$1204,MATCH(830,$S$5:$S$1204,0),11))</f>
        <v/>
      </c>
      <c r="L834" s="8" t="str">
        <f t="array" ref="L834">IF(830&gt;$S$1204,"",INDEX($T$5:$AJ$1204,MATCH(830,$S$5:$S$1204,0),12))</f>
        <v/>
      </c>
      <c r="M834" s="8" t="str">
        <f t="array" ref="M834">IF(830&gt;$S$1204,"",INDEX($T$5:$AJ$1204,MATCH(830,$S$5:$S$1204,0),13))</f>
        <v/>
      </c>
      <c r="N834" s="8" t="str">
        <f t="array" ref="N834">IF(830&gt;$S$1204,"",INDEX($T$5:$AJ$1204,MATCH(830,$S$5:$S$1204,0),14))</f>
        <v/>
      </c>
      <c r="O834" s="15" t="str">
        <f t="array" ref="O834">IF(830&gt;$S$1204,"",INDEX($T$5:$AJ$1204,MATCH(830,$S$5:$S$1204,0),15))</f>
        <v/>
      </c>
      <c r="P834" s="8" t="str">
        <f t="array" ref="P834">IF(830&gt;$S$1204,"",INDEX($T$5:$AJ$1204,MATCH(830,$S$5:$S$1204,0),16))</f>
        <v/>
      </c>
      <c r="Q834" s="8" t="str">
        <f t="array" ref="Q834">IF(830&gt;$S$1204,"",INDEX($T$5:$AJ$1204,MATCH(830,$S$5:$S$1204,0),17))</f>
        <v/>
      </c>
      <c r="R834" s="17"/>
      <c r="S834" s="17">
        <f>S833+IF(M5_Ocupacion!A39="",0,1)</f>
        <v>0</v>
      </c>
      <c r="T834" s="17" t="str">
        <f>IF(M5_Ocupacion!A39="","",IF(M5_Ocupacion!A39="","",M5_Ocupacion!A39))</f>
        <v/>
      </c>
      <c r="U834" s="17" t="str">
        <f>IF(M5_Ocupacion!A39="","",IF(M5_Ocupacion!R39="","",M5_Ocupacion!R39))</f>
        <v/>
      </c>
      <c r="V834" s="17" t="str">
        <f>IF(M5_Ocupacion!A39="","",IF(M5_Ocupacion!D39="","",M5_Ocupacion!D39))</f>
        <v/>
      </c>
      <c r="W834" s="17" t="str">
        <f>IF(M5_Ocupacion!A39="","",IF(M5_Ocupacion!B39="","",M5_Ocupacion!B39))</f>
        <v/>
      </c>
      <c r="X834" s="17" t="str">
        <f>IF(M5_Ocupacion!A39="","",IF(M5_Ocupacion!C39="","",M5_Ocupacion!C39))</f>
        <v/>
      </c>
      <c r="Y834" s="17" t="str">
        <f>IF(M5_Ocupacion!A39="","",IF(M5_Ocupacion!E39="","",M5_Ocupacion!E39))</f>
        <v/>
      </c>
      <c r="Z834" s="17" t="str">
        <f>IF(M5_Ocupacion!A39="","",IF(M5_Ocupacion!F39="","",M5_Ocupacion!F39))</f>
        <v/>
      </c>
      <c r="AA834" s="17" t="str">
        <f>IF(M5_Ocupacion!A39="","","M5 Ocupación")</f>
        <v/>
      </c>
      <c r="AB834" s="17" t="str">
        <f>IF(M5_Ocupacion!A39="","",IF(M5_Ocupacion!G39="","",M5_Ocupacion!G39))</f>
        <v/>
      </c>
      <c r="AC834" s="17" t="str">
        <f>IF(M5_Ocupacion!A39="","",IF(COUNTIFS(M5_Ocupacion!$A$10:A39,M5_Ocupacion!A39,M5_Ocupacion!$D$10:D39,M5_Ocupacion!D39)=1,IF(M5_Ocupacion!M39="","",M5_Ocupacion!M39),""))</f>
        <v/>
      </c>
      <c r="AD834" s="17" t="str">
        <f>IF(M5_Ocupacion!A39="","","MO")</f>
        <v/>
      </c>
      <c r="AE834" s="17" t="str">
        <f>IF(M5_Ocupacion!A39="","",IF(M5_Ocupacion!O39="","",M5_Ocupacion!O39))</f>
        <v/>
      </c>
      <c r="AF834" s="17" t="str">
        <f>IF(M5_Ocupacion!A39="","",IF(M5_Ocupacion!P39="","",M5_Ocupacion!P39))</f>
        <v/>
      </c>
      <c r="AG834" s="17" t="str">
        <f>IF(M5_Ocupacion!A39="","",IF(M5_Ocupacion!Q39="","",M5_Ocupacion!Q39))</f>
        <v/>
      </c>
      <c r="AH834" s="17" t="str">
        <f>IF(M5_Ocupacion!A39="","",IF(M5_Ocupacion!J39="","",M5_Ocupacion!J39))</f>
        <v/>
      </c>
      <c r="AI834" s="17" t="str">
        <f>IF(M5_Ocupacion!A39="","","M5_Ocupacion!39")</f>
        <v/>
      </c>
      <c r="AJ834" s="17" t="str">
        <f>IF(M5_Ocupacion!A39="","",IF(M5_Ocupacion!M39="","Pendiente de medición completa",IF(COUNTIFS(M5_Ocupacion!$A$10:A39,M5_Ocupacion!A39,M5_Ocupacion!$D$10:D39,M5_Ocupacion!D39)=1,"Promedio de la actividad y fecha","Observación incluida en promedio")))</f>
        <v/>
      </c>
    </row>
    <row r="835" spans="1:36" ht="55.5" customHeight="1">
      <c r="A835" s="6" t="str">
        <f t="array" ref="A835">IF(831&gt;$S$1204,"",INDEX($T$5:$AJ$1204,MATCH(831,$S$5:$S$1204,0),1))</f>
        <v/>
      </c>
      <c r="B835" s="8" t="str">
        <f t="array" ref="B835">IF(831&gt;$S$1204,"",INDEX($T$5:$AJ$1204,MATCH(831,$S$5:$S$1204,0),2))</f>
        <v/>
      </c>
      <c r="C835" s="10" t="str">
        <f t="array" ref="C835">IF(831&gt;$S$1204,"",INDEX($T$5:$AJ$1204,MATCH(831,$S$5:$S$1204,0),3))</f>
        <v/>
      </c>
      <c r="D835" s="8" t="str">
        <f t="array" ref="D835">IF(831&gt;$S$1204,"",INDEX($T$5:$AJ$1204,MATCH(831,$S$5:$S$1204,0),4))</f>
        <v/>
      </c>
      <c r="E835" s="8" t="str">
        <f t="array" ref="E835">IF(831&gt;$S$1204,"",INDEX($T$5:$AJ$1204,MATCH(831,$S$5:$S$1204,0),5))</f>
        <v/>
      </c>
      <c r="F835" s="8" t="str">
        <f t="array" ref="F835">IF(831&gt;$S$1204,"",INDEX($T$5:$AJ$1204,MATCH(831,$S$5:$S$1204,0),6))</f>
        <v/>
      </c>
      <c r="G835" s="8" t="str">
        <f t="array" ref="G835">IF(831&gt;$S$1204,"",INDEX($T$5:$AJ$1204,MATCH(831,$S$5:$S$1204,0),7))</f>
        <v/>
      </c>
      <c r="H835" s="8" t="str">
        <f t="array" ref="H835">IF(831&gt;$S$1204,"",INDEX($T$5:$AJ$1204,MATCH(831,$S$5:$S$1204,0),8))</f>
        <v/>
      </c>
      <c r="I835" s="8" t="str">
        <f t="array" ref="I835">IF(831&gt;$S$1204,"",INDEX($T$5:$AJ$1204,MATCH(831,$S$5:$S$1204,0),9))</f>
        <v/>
      </c>
      <c r="J835" s="14" t="str">
        <f t="array" ref="J835">IF(831&gt;$S$1204,"",INDEX($T$5:$AJ$1204,MATCH(831,$S$5:$S$1204,0),10))</f>
        <v/>
      </c>
      <c r="K835" s="8" t="str">
        <f t="array" ref="K835">IF(831&gt;$S$1204,"",INDEX($T$5:$AJ$1204,MATCH(831,$S$5:$S$1204,0),11))</f>
        <v/>
      </c>
      <c r="L835" s="8" t="str">
        <f t="array" ref="L835">IF(831&gt;$S$1204,"",INDEX($T$5:$AJ$1204,MATCH(831,$S$5:$S$1204,0),12))</f>
        <v/>
      </c>
      <c r="M835" s="8" t="str">
        <f t="array" ref="M835">IF(831&gt;$S$1204,"",INDEX($T$5:$AJ$1204,MATCH(831,$S$5:$S$1204,0),13))</f>
        <v/>
      </c>
      <c r="N835" s="8" t="str">
        <f t="array" ref="N835">IF(831&gt;$S$1204,"",INDEX($T$5:$AJ$1204,MATCH(831,$S$5:$S$1204,0),14))</f>
        <v/>
      </c>
      <c r="O835" s="15" t="str">
        <f t="array" ref="O835">IF(831&gt;$S$1204,"",INDEX($T$5:$AJ$1204,MATCH(831,$S$5:$S$1204,0),15))</f>
        <v/>
      </c>
      <c r="P835" s="8" t="str">
        <f t="array" ref="P835">IF(831&gt;$S$1204,"",INDEX($T$5:$AJ$1204,MATCH(831,$S$5:$S$1204,0),16))</f>
        <v/>
      </c>
      <c r="Q835" s="8" t="str">
        <f t="array" ref="Q835">IF(831&gt;$S$1204,"",INDEX($T$5:$AJ$1204,MATCH(831,$S$5:$S$1204,0),17))</f>
        <v/>
      </c>
      <c r="R835" s="17"/>
      <c r="S835" s="17">
        <f>S834+IF(M5_Ocupacion!A40="",0,1)</f>
        <v>0</v>
      </c>
      <c r="T835" s="17" t="str">
        <f>IF(M5_Ocupacion!A40="","",IF(M5_Ocupacion!A40="","",M5_Ocupacion!A40))</f>
        <v/>
      </c>
      <c r="U835" s="17" t="str">
        <f>IF(M5_Ocupacion!A40="","",IF(M5_Ocupacion!R40="","",M5_Ocupacion!R40))</f>
        <v/>
      </c>
      <c r="V835" s="17" t="str">
        <f>IF(M5_Ocupacion!A40="","",IF(M5_Ocupacion!D40="","",M5_Ocupacion!D40))</f>
        <v/>
      </c>
      <c r="W835" s="17" t="str">
        <f>IF(M5_Ocupacion!A40="","",IF(M5_Ocupacion!B40="","",M5_Ocupacion!B40))</f>
        <v/>
      </c>
      <c r="X835" s="17" t="str">
        <f>IF(M5_Ocupacion!A40="","",IF(M5_Ocupacion!C40="","",M5_Ocupacion!C40))</f>
        <v/>
      </c>
      <c r="Y835" s="17" t="str">
        <f>IF(M5_Ocupacion!A40="","",IF(M5_Ocupacion!E40="","",M5_Ocupacion!E40))</f>
        <v/>
      </c>
      <c r="Z835" s="17" t="str">
        <f>IF(M5_Ocupacion!A40="","",IF(M5_Ocupacion!F40="","",M5_Ocupacion!F40))</f>
        <v/>
      </c>
      <c r="AA835" s="17" t="str">
        <f>IF(M5_Ocupacion!A40="","","M5 Ocupación")</f>
        <v/>
      </c>
      <c r="AB835" s="17" t="str">
        <f>IF(M5_Ocupacion!A40="","",IF(M5_Ocupacion!G40="","",M5_Ocupacion!G40))</f>
        <v/>
      </c>
      <c r="AC835" s="17" t="str">
        <f>IF(M5_Ocupacion!A40="","",IF(COUNTIFS(M5_Ocupacion!$A$10:A40,M5_Ocupacion!A40,M5_Ocupacion!$D$10:D40,M5_Ocupacion!D40)=1,IF(M5_Ocupacion!M40="","",M5_Ocupacion!M40),""))</f>
        <v/>
      </c>
      <c r="AD835" s="17" t="str">
        <f>IF(M5_Ocupacion!A40="","","MO")</f>
        <v/>
      </c>
      <c r="AE835" s="17" t="str">
        <f>IF(M5_Ocupacion!A40="","",IF(M5_Ocupacion!O40="","",M5_Ocupacion!O40))</f>
        <v/>
      </c>
      <c r="AF835" s="17" t="str">
        <f>IF(M5_Ocupacion!A40="","",IF(M5_Ocupacion!P40="","",M5_Ocupacion!P40))</f>
        <v/>
      </c>
      <c r="AG835" s="17" t="str">
        <f>IF(M5_Ocupacion!A40="","",IF(M5_Ocupacion!Q40="","",M5_Ocupacion!Q40))</f>
        <v/>
      </c>
      <c r="AH835" s="17" t="str">
        <f>IF(M5_Ocupacion!A40="","",IF(M5_Ocupacion!J40="","",M5_Ocupacion!J40))</f>
        <v/>
      </c>
      <c r="AI835" s="17" t="str">
        <f>IF(M5_Ocupacion!A40="","","M5_Ocupacion!40")</f>
        <v/>
      </c>
      <c r="AJ835" s="17" t="str">
        <f>IF(M5_Ocupacion!A40="","",IF(M5_Ocupacion!M40="","Pendiente de medición completa",IF(COUNTIFS(M5_Ocupacion!$A$10:A40,M5_Ocupacion!A40,M5_Ocupacion!$D$10:D40,M5_Ocupacion!D40)=1,"Promedio de la actividad y fecha","Observación incluida en promedio")))</f>
        <v/>
      </c>
    </row>
    <row r="836" spans="1:36" ht="55.5" customHeight="1">
      <c r="A836" s="6" t="str">
        <f t="array" ref="A836">IF(832&gt;$S$1204,"",INDEX($T$5:$AJ$1204,MATCH(832,$S$5:$S$1204,0),1))</f>
        <v/>
      </c>
      <c r="B836" s="8" t="str">
        <f t="array" ref="B836">IF(832&gt;$S$1204,"",INDEX($T$5:$AJ$1204,MATCH(832,$S$5:$S$1204,0),2))</f>
        <v/>
      </c>
      <c r="C836" s="10" t="str">
        <f t="array" ref="C836">IF(832&gt;$S$1204,"",INDEX($T$5:$AJ$1204,MATCH(832,$S$5:$S$1204,0),3))</f>
        <v/>
      </c>
      <c r="D836" s="8" t="str">
        <f t="array" ref="D836">IF(832&gt;$S$1204,"",INDEX($T$5:$AJ$1204,MATCH(832,$S$5:$S$1204,0),4))</f>
        <v/>
      </c>
      <c r="E836" s="8" t="str">
        <f t="array" ref="E836">IF(832&gt;$S$1204,"",INDEX($T$5:$AJ$1204,MATCH(832,$S$5:$S$1204,0),5))</f>
        <v/>
      </c>
      <c r="F836" s="8" t="str">
        <f t="array" ref="F836">IF(832&gt;$S$1204,"",INDEX($T$5:$AJ$1204,MATCH(832,$S$5:$S$1204,0),6))</f>
        <v/>
      </c>
      <c r="G836" s="8" t="str">
        <f t="array" ref="G836">IF(832&gt;$S$1204,"",INDEX($T$5:$AJ$1204,MATCH(832,$S$5:$S$1204,0),7))</f>
        <v/>
      </c>
      <c r="H836" s="8" t="str">
        <f t="array" ref="H836">IF(832&gt;$S$1204,"",INDEX($T$5:$AJ$1204,MATCH(832,$S$5:$S$1204,0),8))</f>
        <v/>
      </c>
      <c r="I836" s="8" t="str">
        <f t="array" ref="I836">IF(832&gt;$S$1204,"",INDEX($T$5:$AJ$1204,MATCH(832,$S$5:$S$1204,0),9))</f>
        <v/>
      </c>
      <c r="J836" s="14" t="str">
        <f t="array" ref="J836">IF(832&gt;$S$1204,"",INDEX($T$5:$AJ$1204,MATCH(832,$S$5:$S$1204,0),10))</f>
        <v/>
      </c>
      <c r="K836" s="8" t="str">
        <f t="array" ref="K836">IF(832&gt;$S$1204,"",INDEX($T$5:$AJ$1204,MATCH(832,$S$5:$S$1204,0),11))</f>
        <v/>
      </c>
      <c r="L836" s="8" t="str">
        <f t="array" ref="L836">IF(832&gt;$S$1204,"",INDEX($T$5:$AJ$1204,MATCH(832,$S$5:$S$1204,0),12))</f>
        <v/>
      </c>
      <c r="M836" s="8" t="str">
        <f t="array" ref="M836">IF(832&gt;$S$1204,"",INDEX($T$5:$AJ$1204,MATCH(832,$S$5:$S$1204,0),13))</f>
        <v/>
      </c>
      <c r="N836" s="8" t="str">
        <f t="array" ref="N836">IF(832&gt;$S$1204,"",INDEX($T$5:$AJ$1204,MATCH(832,$S$5:$S$1204,0),14))</f>
        <v/>
      </c>
      <c r="O836" s="15" t="str">
        <f t="array" ref="O836">IF(832&gt;$S$1204,"",INDEX($T$5:$AJ$1204,MATCH(832,$S$5:$S$1204,0),15))</f>
        <v/>
      </c>
      <c r="P836" s="8" t="str">
        <f t="array" ref="P836">IF(832&gt;$S$1204,"",INDEX($T$5:$AJ$1204,MATCH(832,$S$5:$S$1204,0),16))</f>
        <v/>
      </c>
      <c r="Q836" s="8" t="str">
        <f t="array" ref="Q836">IF(832&gt;$S$1204,"",INDEX($T$5:$AJ$1204,MATCH(832,$S$5:$S$1204,0),17))</f>
        <v/>
      </c>
      <c r="R836" s="17"/>
      <c r="S836" s="17">
        <f>S835+IF(M5_Ocupacion!A41="",0,1)</f>
        <v>0</v>
      </c>
      <c r="T836" s="17" t="str">
        <f>IF(M5_Ocupacion!A41="","",IF(M5_Ocupacion!A41="","",M5_Ocupacion!A41))</f>
        <v/>
      </c>
      <c r="U836" s="17" t="str">
        <f>IF(M5_Ocupacion!A41="","",IF(M5_Ocupacion!R41="","",M5_Ocupacion!R41))</f>
        <v/>
      </c>
      <c r="V836" s="17" t="str">
        <f>IF(M5_Ocupacion!A41="","",IF(M5_Ocupacion!D41="","",M5_Ocupacion!D41))</f>
        <v/>
      </c>
      <c r="W836" s="17" t="str">
        <f>IF(M5_Ocupacion!A41="","",IF(M5_Ocupacion!B41="","",M5_Ocupacion!B41))</f>
        <v/>
      </c>
      <c r="X836" s="17" t="str">
        <f>IF(M5_Ocupacion!A41="","",IF(M5_Ocupacion!C41="","",M5_Ocupacion!C41))</f>
        <v/>
      </c>
      <c r="Y836" s="17" t="str">
        <f>IF(M5_Ocupacion!A41="","",IF(M5_Ocupacion!E41="","",M5_Ocupacion!E41))</f>
        <v/>
      </c>
      <c r="Z836" s="17" t="str">
        <f>IF(M5_Ocupacion!A41="","",IF(M5_Ocupacion!F41="","",M5_Ocupacion!F41))</f>
        <v/>
      </c>
      <c r="AA836" s="17" t="str">
        <f>IF(M5_Ocupacion!A41="","","M5 Ocupación")</f>
        <v/>
      </c>
      <c r="AB836" s="17" t="str">
        <f>IF(M5_Ocupacion!A41="","",IF(M5_Ocupacion!G41="","",M5_Ocupacion!G41))</f>
        <v/>
      </c>
      <c r="AC836" s="17" t="str">
        <f>IF(M5_Ocupacion!A41="","",IF(COUNTIFS(M5_Ocupacion!$A$10:A41,M5_Ocupacion!A41,M5_Ocupacion!$D$10:D41,M5_Ocupacion!D41)=1,IF(M5_Ocupacion!M41="","",M5_Ocupacion!M41),""))</f>
        <v/>
      </c>
      <c r="AD836" s="17" t="str">
        <f>IF(M5_Ocupacion!A41="","","MO")</f>
        <v/>
      </c>
      <c r="AE836" s="17" t="str">
        <f>IF(M5_Ocupacion!A41="","",IF(M5_Ocupacion!O41="","",M5_Ocupacion!O41))</f>
        <v/>
      </c>
      <c r="AF836" s="17" t="str">
        <f>IF(M5_Ocupacion!A41="","",IF(M5_Ocupacion!P41="","",M5_Ocupacion!P41))</f>
        <v/>
      </c>
      <c r="AG836" s="17" t="str">
        <f>IF(M5_Ocupacion!A41="","",IF(M5_Ocupacion!Q41="","",M5_Ocupacion!Q41))</f>
        <v/>
      </c>
      <c r="AH836" s="17" t="str">
        <f>IF(M5_Ocupacion!A41="","",IF(M5_Ocupacion!J41="","",M5_Ocupacion!J41))</f>
        <v/>
      </c>
      <c r="AI836" s="17" t="str">
        <f>IF(M5_Ocupacion!A41="","","M5_Ocupacion!41")</f>
        <v/>
      </c>
      <c r="AJ836" s="17" t="str">
        <f>IF(M5_Ocupacion!A41="","",IF(M5_Ocupacion!M41="","Pendiente de medición completa",IF(COUNTIFS(M5_Ocupacion!$A$10:A41,M5_Ocupacion!A41,M5_Ocupacion!$D$10:D41,M5_Ocupacion!D41)=1,"Promedio de la actividad y fecha","Observación incluida en promedio")))</f>
        <v/>
      </c>
    </row>
    <row r="837" spans="1:36" ht="55.5" customHeight="1">
      <c r="A837" s="6" t="str">
        <f t="array" ref="A837">IF(833&gt;$S$1204,"",INDEX($T$5:$AJ$1204,MATCH(833,$S$5:$S$1204,0),1))</f>
        <v/>
      </c>
      <c r="B837" s="8" t="str">
        <f t="array" ref="B837">IF(833&gt;$S$1204,"",INDEX($T$5:$AJ$1204,MATCH(833,$S$5:$S$1204,0),2))</f>
        <v/>
      </c>
      <c r="C837" s="10" t="str">
        <f t="array" ref="C837">IF(833&gt;$S$1204,"",INDEX($T$5:$AJ$1204,MATCH(833,$S$5:$S$1204,0),3))</f>
        <v/>
      </c>
      <c r="D837" s="8" t="str">
        <f t="array" ref="D837">IF(833&gt;$S$1204,"",INDEX($T$5:$AJ$1204,MATCH(833,$S$5:$S$1204,0),4))</f>
        <v/>
      </c>
      <c r="E837" s="8" t="str">
        <f t="array" ref="E837">IF(833&gt;$S$1204,"",INDEX($T$5:$AJ$1204,MATCH(833,$S$5:$S$1204,0),5))</f>
        <v/>
      </c>
      <c r="F837" s="8" t="str">
        <f t="array" ref="F837">IF(833&gt;$S$1204,"",INDEX($T$5:$AJ$1204,MATCH(833,$S$5:$S$1204,0),6))</f>
        <v/>
      </c>
      <c r="G837" s="8" t="str">
        <f t="array" ref="G837">IF(833&gt;$S$1204,"",INDEX($T$5:$AJ$1204,MATCH(833,$S$5:$S$1204,0),7))</f>
        <v/>
      </c>
      <c r="H837" s="8" t="str">
        <f t="array" ref="H837">IF(833&gt;$S$1204,"",INDEX($T$5:$AJ$1204,MATCH(833,$S$5:$S$1204,0),8))</f>
        <v/>
      </c>
      <c r="I837" s="8" t="str">
        <f t="array" ref="I837">IF(833&gt;$S$1204,"",INDEX($T$5:$AJ$1204,MATCH(833,$S$5:$S$1204,0),9))</f>
        <v/>
      </c>
      <c r="J837" s="14" t="str">
        <f t="array" ref="J837">IF(833&gt;$S$1204,"",INDEX($T$5:$AJ$1204,MATCH(833,$S$5:$S$1204,0),10))</f>
        <v/>
      </c>
      <c r="K837" s="8" t="str">
        <f t="array" ref="K837">IF(833&gt;$S$1204,"",INDEX($T$5:$AJ$1204,MATCH(833,$S$5:$S$1204,0),11))</f>
        <v/>
      </c>
      <c r="L837" s="8" t="str">
        <f t="array" ref="L837">IF(833&gt;$S$1204,"",INDEX($T$5:$AJ$1204,MATCH(833,$S$5:$S$1204,0),12))</f>
        <v/>
      </c>
      <c r="M837" s="8" t="str">
        <f t="array" ref="M837">IF(833&gt;$S$1204,"",INDEX($T$5:$AJ$1204,MATCH(833,$S$5:$S$1204,0),13))</f>
        <v/>
      </c>
      <c r="N837" s="8" t="str">
        <f t="array" ref="N837">IF(833&gt;$S$1204,"",INDEX($T$5:$AJ$1204,MATCH(833,$S$5:$S$1204,0),14))</f>
        <v/>
      </c>
      <c r="O837" s="15" t="str">
        <f t="array" ref="O837">IF(833&gt;$S$1204,"",INDEX($T$5:$AJ$1204,MATCH(833,$S$5:$S$1204,0),15))</f>
        <v/>
      </c>
      <c r="P837" s="8" t="str">
        <f t="array" ref="P837">IF(833&gt;$S$1204,"",INDEX($T$5:$AJ$1204,MATCH(833,$S$5:$S$1204,0),16))</f>
        <v/>
      </c>
      <c r="Q837" s="8" t="str">
        <f t="array" ref="Q837">IF(833&gt;$S$1204,"",INDEX($T$5:$AJ$1204,MATCH(833,$S$5:$S$1204,0),17))</f>
        <v/>
      </c>
      <c r="R837" s="17"/>
      <c r="S837" s="17">
        <f>S836+IF(M5_Ocupacion!A42="",0,1)</f>
        <v>0</v>
      </c>
      <c r="T837" s="17" t="str">
        <f>IF(M5_Ocupacion!A42="","",IF(M5_Ocupacion!A42="","",M5_Ocupacion!A42))</f>
        <v/>
      </c>
      <c r="U837" s="17" t="str">
        <f>IF(M5_Ocupacion!A42="","",IF(M5_Ocupacion!R42="","",M5_Ocupacion!R42))</f>
        <v/>
      </c>
      <c r="V837" s="17" t="str">
        <f>IF(M5_Ocupacion!A42="","",IF(M5_Ocupacion!D42="","",M5_Ocupacion!D42))</f>
        <v/>
      </c>
      <c r="W837" s="17" t="str">
        <f>IF(M5_Ocupacion!A42="","",IF(M5_Ocupacion!B42="","",M5_Ocupacion!B42))</f>
        <v/>
      </c>
      <c r="X837" s="17" t="str">
        <f>IF(M5_Ocupacion!A42="","",IF(M5_Ocupacion!C42="","",M5_Ocupacion!C42))</f>
        <v/>
      </c>
      <c r="Y837" s="17" t="str">
        <f>IF(M5_Ocupacion!A42="","",IF(M5_Ocupacion!E42="","",M5_Ocupacion!E42))</f>
        <v/>
      </c>
      <c r="Z837" s="17" t="str">
        <f>IF(M5_Ocupacion!A42="","",IF(M5_Ocupacion!F42="","",M5_Ocupacion!F42))</f>
        <v/>
      </c>
      <c r="AA837" s="17" t="str">
        <f>IF(M5_Ocupacion!A42="","","M5 Ocupación")</f>
        <v/>
      </c>
      <c r="AB837" s="17" t="str">
        <f>IF(M5_Ocupacion!A42="","",IF(M5_Ocupacion!G42="","",M5_Ocupacion!G42))</f>
        <v/>
      </c>
      <c r="AC837" s="17" t="str">
        <f>IF(M5_Ocupacion!A42="","",IF(COUNTIFS(M5_Ocupacion!$A$10:A42,M5_Ocupacion!A42,M5_Ocupacion!$D$10:D42,M5_Ocupacion!D42)=1,IF(M5_Ocupacion!M42="","",M5_Ocupacion!M42),""))</f>
        <v/>
      </c>
      <c r="AD837" s="17" t="str">
        <f>IF(M5_Ocupacion!A42="","","MO")</f>
        <v/>
      </c>
      <c r="AE837" s="17" t="str">
        <f>IF(M5_Ocupacion!A42="","",IF(M5_Ocupacion!O42="","",M5_Ocupacion!O42))</f>
        <v/>
      </c>
      <c r="AF837" s="17" t="str">
        <f>IF(M5_Ocupacion!A42="","",IF(M5_Ocupacion!P42="","",M5_Ocupacion!P42))</f>
        <v/>
      </c>
      <c r="AG837" s="17" t="str">
        <f>IF(M5_Ocupacion!A42="","",IF(M5_Ocupacion!Q42="","",M5_Ocupacion!Q42))</f>
        <v/>
      </c>
      <c r="AH837" s="17" t="str">
        <f>IF(M5_Ocupacion!A42="","",IF(M5_Ocupacion!J42="","",M5_Ocupacion!J42))</f>
        <v/>
      </c>
      <c r="AI837" s="17" t="str">
        <f>IF(M5_Ocupacion!A42="","","M5_Ocupacion!42")</f>
        <v/>
      </c>
      <c r="AJ837" s="17" t="str">
        <f>IF(M5_Ocupacion!A42="","",IF(M5_Ocupacion!M42="","Pendiente de medición completa",IF(COUNTIFS(M5_Ocupacion!$A$10:A42,M5_Ocupacion!A42,M5_Ocupacion!$D$10:D42,M5_Ocupacion!D42)=1,"Promedio de la actividad y fecha","Observación incluida en promedio")))</f>
        <v/>
      </c>
    </row>
    <row r="838" spans="1:36" ht="55.5" customHeight="1">
      <c r="A838" s="6" t="str">
        <f t="array" ref="A838">IF(834&gt;$S$1204,"",INDEX($T$5:$AJ$1204,MATCH(834,$S$5:$S$1204,0),1))</f>
        <v/>
      </c>
      <c r="B838" s="8" t="str">
        <f t="array" ref="B838">IF(834&gt;$S$1204,"",INDEX($T$5:$AJ$1204,MATCH(834,$S$5:$S$1204,0),2))</f>
        <v/>
      </c>
      <c r="C838" s="10" t="str">
        <f t="array" ref="C838">IF(834&gt;$S$1204,"",INDEX($T$5:$AJ$1204,MATCH(834,$S$5:$S$1204,0),3))</f>
        <v/>
      </c>
      <c r="D838" s="8" t="str">
        <f t="array" ref="D838">IF(834&gt;$S$1204,"",INDEX($T$5:$AJ$1204,MATCH(834,$S$5:$S$1204,0),4))</f>
        <v/>
      </c>
      <c r="E838" s="8" t="str">
        <f t="array" ref="E838">IF(834&gt;$S$1204,"",INDEX($T$5:$AJ$1204,MATCH(834,$S$5:$S$1204,0),5))</f>
        <v/>
      </c>
      <c r="F838" s="8" t="str">
        <f t="array" ref="F838">IF(834&gt;$S$1204,"",INDEX($T$5:$AJ$1204,MATCH(834,$S$5:$S$1204,0),6))</f>
        <v/>
      </c>
      <c r="G838" s="8" t="str">
        <f t="array" ref="G838">IF(834&gt;$S$1204,"",INDEX($T$5:$AJ$1204,MATCH(834,$S$5:$S$1204,0),7))</f>
        <v/>
      </c>
      <c r="H838" s="8" t="str">
        <f t="array" ref="H838">IF(834&gt;$S$1204,"",INDEX($T$5:$AJ$1204,MATCH(834,$S$5:$S$1204,0),8))</f>
        <v/>
      </c>
      <c r="I838" s="8" t="str">
        <f t="array" ref="I838">IF(834&gt;$S$1204,"",INDEX($T$5:$AJ$1204,MATCH(834,$S$5:$S$1204,0),9))</f>
        <v/>
      </c>
      <c r="J838" s="14" t="str">
        <f t="array" ref="J838">IF(834&gt;$S$1204,"",INDEX($T$5:$AJ$1204,MATCH(834,$S$5:$S$1204,0),10))</f>
        <v/>
      </c>
      <c r="K838" s="8" t="str">
        <f t="array" ref="K838">IF(834&gt;$S$1204,"",INDEX($T$5:$AJ$1204,MATCH(834,$S$5:$S$1204,0),11))</f>
        <v/>
      </c>
      <c r="L838" s="8" t="str">
        <f t="array" ref="L838">IF(834&gt;$S$1204,"",INDEX($T$5:$AJ$1204,MATCH(834,$S$5:$S$1204,0),12))</f>
        <v/>
      </c>
      <c r="M838" s="8" t="str">
        <f t="array" ref="M838">IF(834&gt;$S$1204,"",INDEX($T$5:$AJ$1204,MATCH(834,$S$5:$S$1204,0),13))</f>
        <v/>
      </c>
      <c r="N838" s="8" t="str">
        <f t="array" ref="N838">IF(834&gt;$S$1204,"",INDEX($T$5:$AJ$1204,MATCH(834,$S$5:$S$1204,0),14))</f>
        <v/>
      </c>
      <c r="O838" s="15" t="str">
        <f t="array" ref="O838">IF(834&gt;$S$1204,"",INDEX($T$5:$AJ$1204,MATCH(834,$S$5:$S$1204,0),15))</f>
        <v/>
      </c>
      <c r="P838" s="8" t="str">
        <f t="array" ref="P838">IF(834&gt;$S$1204,"",INDEX($T$5:$AJ$1204,MATCH(834,$S$5:$S$1204,0),16))</f>
        <v/>
      </c>
      <c r="Q838" s="8" t="str">
        <f t="array" ref="Q838">IF(834&gt;$S$1204,"",INDEX($T$5:$AJ$1204,MATCH(834,$S$5:$S$1204,0),17))</f>
        <v/>
      </c>
      <c r="R838" s="17"/>
      <c r="S838" s="17">
        <f>S837+IF(M5_Ocupacion!A43="",0,1)</f>
        <v>0</v>
      </c>
      <c r="T838" s="17" t="str">
        <f>IF(M5_Ocupacion!A43="","",IF(M5_Ocupacion!A43="","",M5_Ocupacion!A43))</f>
        <v/>
      </c>
      <c r="U838" s="17" t="str">
        <f>IF(M5_Ocupacion!A43="","",IF(M5_Ocupacion!R43="","",M5_Ocupacion!R43))</f>
        <v/>
      </c>
      <c r="V838" s="17" t="str">
        <f>IF(M5_Ocupacion!A43="","",IF(M5_Ocupacion!D43="","",M5_Ocupacion!D43))</f>
        <v/>
      </c>
      <c r="W838" s="17" t="str">
        <f>IF(M5_Ocupacion!A43="","",IF(M5_Ocupacion!B43="","",M5_Ocupacion!B43))</f>
        <v/>
      </c>
      <c r="X838" s="17" t="str">
        <f>IF(M5_Ocupacion!A43="","",IF(M5_Ocupacion!C43="","",M5_Ocupacion!C43))</f>
        <v/>
      </c>
      <c r="Y838" s="17" t="str">
        <f>IF(M5_Ocupacion!A43="","",IF(M5_Ocupacion!E43="","",M5_Ocupacion!E43))</f>
        <v/>
      </c>
      <c r="Z838" s="17" t="str">
        <f>IF(M5_Ocupacion!A43="","",IF(M5_Ocupacion!F43="","",M5_Ocupacion!F43))</f>
        <v/>
      </c>
      <c r="AA838" s="17" t="str">
        <f>IF(M5_Ocupacion!A43="","","M5 Ocupación")</f>
        <v/>
      </c>
      <c r="AB838" s="17" t="str">
        <f>IF(M5_Ocupacion!A43="","",IF(M5_Ocupacion!G43="","",M5_Ocupacion!G43))</f>
        <v/>
      </c>
      <c r="AC838" s="17" t="str">
        <f>IF(M5_Ocupacion!A43="","",IF(COUNTIFS(M5_Ocupacion!$A$10:A43,M5_Ocupacion!A43,M5_Ocupacion!$D$10:D43,M5_Ocupacion!D43)=1,IF(M5_Ocupacion!M43="","",M5_Ocupacion!M43),""))</f>
        <v/>
      </c>
      <c r="AD838" s="17" t="str">
        <f>IF(M5_Ocupacion!A43="","","MO")</f>
        <v/>
      </c>
      <c r="AE838" s="17" t="str">
        <f>IF(M5_Ocupacion!A43="","",IF(M5_Ocupacion!O43="","",M5_Ocupacion!O43))</f>
        <v/>
      </c>
      <c r="AF838" s="17" t="str">
        <f>IF(M5_Ocupacion!A43="","",IF(M5_Ocupacion!P43="","",M5_Ocupacion!P43))</f>
        <v/>
      </c>
      <c r="AG838" s="17" t="str">
        <f>IF(M5_Ocupacion!A43="","",IF(M5_Ocupacion!Q43="","",M5_Ocupacion!Q43))</f>
        <v/>
      </c>
      <c r="AH838" s="17" t="str">
        <f>IF(M5_Ocupacion!A43="","",IF(M5_Ocupacion!J43="","",M5_Ocupacion!J43))</f>
        <v/>
      </c>
      <c r="AI838" s="17" t="str">
        <f>IF(M5_Ocupacion!A43="","","M5_Ocupacion!43")</f>
        <v/>
      </c>
      <c r="AJ838" s="17" t="str">
        <f>IF(M5_Ocupacion!A43="","",IF(M5_Ocupacion!M43="","Pendiente de medición completa",IF(COUNTIFS(M5_Ocupacion!$A$10:A43,M5_Ocupacion!A43,M5_Ocupacion!$D$10:D43,M5_Ocupacion!D43)=1,"Promedio de la actividad y fecha","Observación incluida en promedio")))</f>
        <v/>
      </c>
    </row>
    <row r="839" spans="1:36" ht="55.5" customHeight="1">
      <c r="A839" s="6" t="str">
        <f t="array" ref="A839">IF(835&gt;$S$1204,"",INDEX($T$5:$AJ$1204,MATCH(835,$S$5:$S$1204,0),1))</f>
        <v/>
      </c>
      <c r="B839" s="8" t="str">
        <f t="array" ref="B839">IF(835&gt;$S$1204,"",INDEX($T$5:$AJ$1204,MATCH(835,$S$5:$S$1204,0),2))</f>
        <v/>
      </c>
      <c r="C839" s="10" t="str">
        <f t="array" ref="C839">IF(835&gt;$S$1204,"",INDEX($T$5:$AJ$1204,MATCH(835,$S$5:$S$1204,0),3))</f>
        <v/>
      </c>
      <c r="D839" s="8" t="str">
        <f t="array" ref="D839">IF(835&gt;$S$1204,"",INDEX($T$5:$AJ$1204,MATCH(835,$S$5:$S$1204,0),4))</f>
        <v/>
      </c>
      <c r="E839" s="8" t="str">
        <f t="array" ref="E839">IF(835&gt;$S$1204,"",INDEX($T$5:$AJ$1204,MATCH(835,$S$5:$S$1204,0),5))</f>
        <v/>
      </c>
      <c r="F839" s="8" t="str">
        <f t="array" ref="F839">IF(835&gt;$S$1204,"",INDEX($T$5:$AJ$1204,MATCH(835,$S$5:$S$1204,0),6))</f>
        <v/>
      </c>
      <c r="G839" s="8" t="str">
        <f t="array" ref="G839">IF(835&gt;$S$1204,"",INDEX($T$5:$AJ$1204,MATCH(835,$S$5:$S$1204,0),7))</f>
        <v/>
      </c>
      <c r="H839" s="8" t="str">
        <f t="array" ref="H839">IF(835&gt;$S$1204,"",INDEX($T$5:$AJ$1204,MATCH(835,$S$5:$S$1204,0),8))</f>
        <v/>
      </c>
      <c r="I839" s="8" t="str">
        <f t="array" ref="I839">IF(835&gt;$S$1204,"",INDEX($T$5:$AJ$1204,MATCH(835,$S$5:$S$1204,0),9))</f>
        <v/>
      </c>
      <c r="J839" s="14" t="str">
        <f t="array" ref="J839">IF(835&gt;$S$1204,"",INDEX($T$5:$AJ$1204,MATCH(835,$S$5:$S$1204,0),10))</f>
        <v/>
      </c>
      <c r="K839" s="8" t="str">
        <f t="array" ref="K839">IF(835&gt;$S$1204,"",INDEX($T$5:$AJ$1204,MATCH(835,$S$5:$S$1204,0),11))</f>
        <v/>
      </c>
      <c r="L839" s="8" t="str">
        <f t="array" ref="L839">IF(835&gt;$S$1204,"",INDEX($T$5:$AJ$1204,MATCH(835,$S$5:$S$1204,0),12))</f>
        <v/>
      </c>
      <c r="M839" s="8" t="str">
        <f t="array" ref="M839">IF(835&gt;$S$1204,"",INDEX($T$5:$AJ$1204,MATCH(835,$S$5:$S$1204,0),13))</f>
        <v/>
      </c>
      <c r="N839" s="8" t="str">
        <f t="array" ref="N839">IF(835&gt;$S$1204,"",INDEX($T$5:$AJ$1204,MATCH(835,$S$5:$S$1204,0),14))</f>
        <v/>
      </c>
      <c r="O839" s="15" t="str">
        <f t="array" ref="O839">IF(835&gt;$S$1204,"",INDEX($T$5:$AJ$1204,MATCH(835,$S$5:$S$1204,0),15))</f>
        <v/>
      </c>
      <c r="P839" s="8" t="str">
        <f t="array" ref="P839">IF(835&gt;$S$1204,"",INDEX($T$5:$AJ$1204,MATCH(835,$S$5:$S$1204,0),16))</f>
        <v/>
      </c>
      <c r="Q839" s="8" t="str">
        <f t="array" ref="Q839">IF(835&gt;$S$1204,"",INDEX($T$5:$AJ$1204,MATCH(835,$S$5:$S$1204,0),17))</f>
        <v/>
      </c>
      <c r="R839" s="17"/>
      <c r="S839" s="17">
        <f>S838+IF(M5_Ocupacion!A44="",0,1)</f>
        <v>0</v>
      </c>
      <c r="T839" s="17" t="str">
        <f>IF(M5_Ocupacion!A44="","",IF(M5_Ocupacion!A44="","",M5_Ocupacion!A44))</f>
        <v/>
      </c>
      <c r="U839" s="17" t="str">
        <f>IF(M5_Ocupacion!A44="","",IF(M5_Ocupacion!R44="","",M5_Ocupacion!R44))</f>
        <v/>
      </c>
      <c r="V839" s="17" t="str">
        <f>IF(M5_Ocupacion!A44="","",IF(M5_Ocupacion!D44="","",M5_Ocupacion!D44))</f>
        <v/>
      </c>
      <c r="W839" s="17" t="str">
        <f>IF(M5_Ocupacion!A44="","",IF(M5_Ocupacion!B44="","",M5_Ocupacion!B44))</f>
        <v/>
      </c>
      <c r="X839" s="17" t="str">
        <f>IF(M5_Ocupacion!A44="","",IF(M5_Ocupacion!C44="","",M5_Ocupacion!C44))</f>
        <v/>
      </c>
      <c r="Y839" s="17" t="str">
        <f>IF(M5_Ocupacion!A44="","",IF(M5_Ocupacion!E44="","",M5_Ocupacion!E44))</f>
        <v/>
      </c>
      <c r="Z839" s="17" t="str">
        <f>IF(M5_Ocupacion!A44="","",IF(M5_Ocupacion!F44="","",M5_Ocupacion!F44))</f>
        <v/>
      </c>
      <c r="AA839" s="17" t="str">
        <f>IF(M5_Ocupacion!A44="","","M5 Ocupación")</f>
        <v/>
      </c>
      <c r="AB839" s="17" t="str">
        <f>IF(M5_Ocupacion!A44="","",IF(M5_Ocupacion!G44="","",M5_Ocupacion!G44))</f>
        <v/>
      </c>
      <c r="AC839" s="17" t="str">
        <f>IF(M5_Ocupacion!A44="","",IF(COUNTIFS(M5_Ocupacion!$A$10:A44,M5_Ocupacion!A44,M5_Ocupacion!$D$10:D44,M5_Ocupacion!D44)=1,IF(M5_Ocupacion!M44="","",M5_Ocupacion!M44),""))</f>
        <v/>
      </c>
      <c r="AD839" s="17" t="str">
        <f>IF(M5_Ocupacion!A44="","","MO")</f>
        <v/>
      </c>
      <c r="AE839" s="17" t="str">
        <f>IF(M5_Ocupacion!A44="","",IF(M5_Ocupacion!O44="","",M5_Ocupacion!O44))</f>
        <v/>
      </c>
      <c r="AF839" s="17" t="str">
        <f>IF(M5_Ocupacion!A44="","",IF(M5_Ocupacion!P44="","",M5_Ocupacion!P44))</f>
        <v/>
      </c>
      <c r="AG839" s="17" t="str">
        <f>IF(M5_Ocupacion!A44="","",IF(M5_Ocupacion!Q44="","",M5_Ocupacion!Q44))</f>
        <v/>
      </c>
      <c r="AH839" s="17" t="str">
        <f>IF(M5_Ocupacion!A44="","",IF(M5_Ocupacion!J44="","",M5_Ocupacion!J44))</f>
        <v/>
      </c>
      <c r="AI839" s="17" t="str">
        <f>IF(M5_Ocupacion!A44="","","M5_Ocupacion!44")</f>
        <v/>
      </c>
      <c r="AJ839" s="17" t="str">
        <f>IF(M5_Ocupacion!A44="","",IF(M5_Ocupacion!M44="","Pendiente de medición completa",IF(COUNTIFS(M5_Ocupacion!$A$10:A44,M5_Ocupacion!A44,M5_Ocupacion!$D$10:D44,M5_Ocupacion!D44)=1,"Promedio de la actividad y fecha","Observación incluida en promedio")))</f>
        <v/>
      </c>
    </row>
    <row r="840" spans="1:36" ht="55.5" customHeight="1">
      <c r="A840" s="6" t="str">
        <f t="array" ref="A840">IF(836&gt;$S$1204,"",INDEX($T$5:$AJ$1204,MATCH(836,$S$5:$S$1204,0),1))</f>
        <v/>
      </c>
      <c r="B840" s="8" t="str">
        <f t="array" ref="B840">IF(836&gt;$S$1204,"",INDEX($T$5:$AJ$1204,MATCH(836,$S$5:$S$1204,0),2))</f>
        <v/>
      </c>
      <c r="C840" s="10" t="str">
        <f t="array" ref="C840">IF(836&gt;$S$1204,"",INDEX($T$5:$AJ$1204,MATCH(836,$S$5:$S$1204,0),3))</f>
        <v/>
      </c>
      <c r="D840" s="8" t="str">
        <f t="array" ref="D840">IF(836&gt;$S$1204,"",INDEX($T$5:$AJ$1204,MATCH(836,$S$5:$S$1204,0),4))</f>
        <v/>
      </c>
      <c r="E840" s="8" t="str">
        <f t="array" ref="E840">IF(836&gt;$S$1204,"",INDEX($T$5:$AJ$1204,MATCH(836,$S$5:$S$1204,0),5))</f>
        <v/>
      </c>
      <c r="F840" s="8" t="str">
        <f t="array" ref="F840">IF(836&gt;$S$1204,"",INDEX($T$5:$AJ$1204,MATCH(836,$S$5:$S$1204,0),6))</f>
        <v/>
      </c>
      <c r="G840" s="8" t="str">
        <f t="array" ref="G840">IF(836&gt;$S$1204,"",INDEX($T$5:$AJ$1204,MATCH(836,$S$5:$S$1204,0),7))</f>
        <v/>
      </c>
      <c r="H840" s="8" t="str">
        <f t="array" ref="H840">IF(836&gt;$S$1204,"",INDEX($T$5:$AJ$1204,MATCH(836,$S$5:$S$1204,0),8))</f>
        <v/>
      </c>
      <c r="I840" s="8" t="str">
        <f t="array" ref="I840">IF(836&gt;$S$1204,"",INDEX($T$5:$AJ$1204,MATCH(836,$S$5:$S$1204,0),9))</f>
        <v/>
      </c>
      <c r="J840" s="14" t="str">
        <f t="array" ref="J840">IF(836&gt;$S$1204,"",INDEX($T$5:$AJ$1204,MATCH(836,$S$5:$S$1204,0),10))</f>
        <v/>
      </c>
      <c r="K840" s="8" t="str">
        <f t="array" ref="K840">IF(836&gt;$S$1204,"",INDEX($T$5:$AJ$1204,MATCH(836,$S$5:$S$1204,0),11))</f>
        <v/>
      </c>
      <c r="L840" s="8" t="str">
        <f t="array" ref="L840">IF(836&gt;$S$1204,"",INDEX($T$5:$AJ$1204,MATCH(836,$S$5:$S$1204,0),12))</f>
        <v/>
      </c>
      <c r="M840" s="8" t="str">
        <f t="array" ref="M840">IF(836&gt;$S$1204,"",INDEX($T$5:$AJ$1204,MATCH(836,$S$5:$S$1204,0),13))</f>
        <v/>
      </c>
      <c r="N840" s="8" t="str">
        <f t="array" ref="N840">IF(836&gt;$S$1204,"",INDEX($T$5:$AJ$1204,MATCH(836,$S$5:$S$1204,0),14))</f>
        <v/>
      </c>
      <c r="O840" s="15" t="str">
        <f t="array" ref="O840">IF(836&gt;$S$1204,"",INDEX($T$5:$AJ$1204,MATCH(836,$S$5:$S$1204,0),15))</f>
        <v/>
      </c>
      <c r="P840" s="8" t="str">
        <f t="array" ref="P840">IF(836&gt;$S$1204,"",INDEX($T$5:$AJ$1204,MATCH(836,$S$5:$S$1204,0),16))</f>
        <v/>
      </c>
      <c r="Q840" s="8" t="str">
        <f t="array" ref="Q840">IF(836&gt;$S$1204,"",INDEX($T$5:$AJ$1204,MATCH(836,$S$5:$S$1204,0),17))</f>
        <v/>
      </c>
      <c r="R840" s="17"/>
      <c r="S840" s="17">
        <f>S839+IF(M5_Ocupacion!A45="",0,1)</f>
        <v>0</v>
      </c>
      <c r="T840" s="17" t="str">
        <f>IF(M5_Ocupacion!A45="","",IF(M5_Ocupacion!A45="","",M5_Ocupacion!A45))</f>
        <v/>
      </c>
      <c r="U840" s="17" t="str">
        <f>IF(M5_Ocupacion!A45="","",IF(M5_Ocupacion!R45="","",M5_Ocupacion!R45))</f>
        <v/>
      </c>
      <c r="V840" s="17" t="str">
        <f>IF(M5_Ocupacion!A45="","",IF(M5_Ocupacion!D45="","",M5_Ocupacion!D45))</f>
        <v/>
      </c>
      <c r="W840" s="17" t="str">
        <f>IF(M5_Ocupacion!A45="","",IF(M5_Ocupacion!B45="","",M5_Ocupacion!B45))</f>
        <v/>
      </c>
      <c r="X840" s="17" t="str">
        <f>IF(M5_Ocupacion!A45="","",IF(M5_Ocupacion!C45="","",M5_Ocupacion!C45))</f>
        <v/>
      </c>
      <c r="Y840" s="17" t="str">
        <f>IF(M5_Ocupacion!A45="","",IF(M5_Ocupacion!E45="","",M5_Ocupacion!E45))</f>
        <v/>
      </c>
      <c r="Z840" s="17" t="str">
        <f>IF(M5_Ocupacion!A45="","",IF(M5_Ocupacion!F45="","",M5_Ocupacion!F45))</f>
        <v/>
      </c>
      <c r="AA840" s="17" t="str">
        <f>IF(M5_Ocupacion!A45="","","M5 Ocupación")</f>
        <v/>
      </c>
      <c r="AB840" s="17" t="str">
        <f>IF(M5_Ocupacion!A45="","",IF(M5_Ocupacion!G45="","",M5_Ocupacion!G45))</f>
        <v/>
      </c>
      <c r="AC840" s="17" t="str">
        <f>IF(M5_Ocupacion!A45="","",IF(COUNTIFS(M5_Ocupacion!$A$10:A45,M5_Ocupacion!A45,M5_Ocupacion!$D$10:D45,M5_Ocupacion!D45)=1,IF(M5_Ocupacion!M45="","",M5_Ocupacion!M45),""))</f>
        <v/>
      </c>
      <c r="AD840" s="17" t="str">
        <f>IF(M5_Ocupacion!A45="","","MO")</f>
        <v/>
      </c>
      <c r="AE840" s="17" t="str">
        <f>IF(M5_Ocupacion!A45="","",IF(M5_Ocupacion!O45="","",M5_Ocupacion!O45))</f>
        <v/>
      </c>
      <c r="AF840" s="17" t="str">
        <f>IF(M5_Ocupacion!A45="","",IF(M5_Ocupacion!P45="","",M5_Ocupacion!P45))</f>
        <v/>
      </c>
      <c r="AG840" s="17" t="str">
        <f>IF(M5_Ocupacion!A45="","",IF(M5_Ocupacion!Q45="","",M5_Ocupacion!Q45))</f>
        <v/>
      </c>
      <c r="AH840" s="17" t="str">
        <f>IF(M5_Ocupacion!A45="","",IF(M5_Ocupacion!J45="","",M5_Ocupacion!J45))</f>
        <v/>
      </c>
      <c r="AI840" s="17" t="str">
        <f>IF(M5_Ocupacion!A45="","","M5_Ocupacion!45")</f>
        <v/>
      </c>
      <c r="AJ840" s="17" t="str">
        <f>IF(M5_Ocupacion!A45="","",IF(M5_Ocupacion!M45="","Pendiente de medición completa",IF(COUNTIFS(M5_Ocupacion!$A$10:A45,M5_Ocupacion!A45,M5_Ocupacion!$D$10:D45,M5_Ocupacion!D45)=1,"Promedio de la actividad y fecha","Observación incluida en promedio")))</f>
        <v/>
      </c>
    </row>
    <row r="841" spans="1:36" ht="55.5" customHeight="1">
      <c r="A841" s="6" t="str">
        <f t="array" ref="A841">IF(837&gt;$S$1204,"",INDEX($T$5:$AJ$1204,MATCH(837,$S$5:$S$1204,0),1))</f>
        <v/>
      </c>
      <c r="B841" s="8" t="str">
        <f t="array" ref="B841">IF(837&gt;$S$1204,"",INDEX($T$5:$AJ$1204,MATCH(837,$S$5:$S$1204,0),2))</f>
        <v/>
      </c>
      <c r="C841" s="10" t="str">
        <f t="array" ref="C841">IF(837&gt;$S$1204,"",INDEX($T$5:$AJ$1204,MATCH(837,$S$5:$S$1204,0),3))</f>
        <v/>
      </c>
      <c r="D841" s="8" t="str">
        <f t="array" ref="D841">IF(837&gt;$S$1204,"",INDEX($T$5:$AJ$1204,MATCH(837,$S$5:$S$1204,0),4))</f>
        <v/>
      </c>
      <c r="E841" s="8" t="str">
        <f t="array" ref="E841">IF(837&gt;$S$1204,"",INDEX($T$5:$AJ$1204,MATCH(837,$S$5:$S$1204,0),5))</f>
        <v/>
      </c>
      <c r="F841" s="8" t="str">
        <f t="array" ref="F841">IF(837&gt;$S$1204,"",INDEX($T$5:$AJ$1204,MATCH(837,$S$5:$S$1204,0),6))</f>
        <v/>
      </c>
      <c r="G841" s="8" t="str">
        <f t="array" ref="G841">IF(837&gt;$S$1204,"",INDEX($T$5:$AJ$1204,MATCH(837,$S$5:$S$1204,0),7))</f>
        <v/>
      </c>
      <c r="H841" s="8" t="str">
        <f t="array" ref="H841">IF(837&gt;$S$1204,"",INDEX($T$5:$AJ$1204,MATCH(837,$S$5:$S$1204,0),8))</f>
        <v/>
      </c>
      <c r="I841" s="8" t="str">
        <f t="array" ref="I841">IF(837&gt;$S$1204,"",INDEX($T$5:$AJ$1204,MATCH(837,$S$5:$S$1204,0),9))</f>
        <v/>
      </c>
      <c r="J841" s="14" t="str">
        <f t="array" ref="J841">IF(837&gt;$S$1204,"",INDEX($T$5:$AJ$1204,MATCH(837,$S$5:$S$1204,0),10))</f>
        <v/>
      </c>
      <c r="K841" s="8" t="str">
        <f t="array" ref="K841">IF(837&gt;$S$1204,"",INDEX($T$5:$AJ$1204,MATCH(837,$S$5:$S$1204,0),11))</f>
        <v/>
      </c>
      <c r="L841" s="8" t="str">
        <f t="array" ref="L841">IF(837&gt;$S$1204,"",INDEX($T$5:$AJ$1204,MATCH(837,$S$5:$S$1204,0),12))</f>
        <v/>
      </c>
      <c r="M841" s="8" t="str">
        <f t="array" ref="M841">IF(837&gt;$S$1204,"",INDEX($T$5:$AJ$1204,MATCH(837,$S$5:$S$1204,0),13))</f>
        <v/>
      </c>
      <c r="N841" s="8" t="str">
        <f t="array" ref="N841">IF(837&gt;$S$1204,"",INDEX($T$5:$AJ$1204,MATCH(837,$S$5:$S$1204,0),14))</f>
        <v/>
      </c>
      <c r="O841" s="15" t="str">
        <f t="array" ref="O841">IF(837&gt;$S$1204,"",INDEX($T$5:$AJ$1204,MATCH(837,$S$5:$S$1204,0),15))</f>
        <v/>
      </c>
      <c r="P841" s="8" t="str">
        <f t="array" ref="P841">IF(837&gt;$S$1204,"",INDEX($T$5:$AJ$1204,MATCH(837,$S$5:$S$1204,0),16))</f>
        <v/>
      </c>
      <c r="Q841" s="8" t="str">
        <f t="array" ref="Q841">IF(837&gt;$S$1204,"",INDEX($T$5:$AJ$1204,MATCH(837,$S$5:$S$1204,0),17))</f>
        <v/>
      </c>
      <c r="R841" s="17"/>
      <c r="S841" s="17">
        <f>S840+IF(M5_Ocupacion!A46="",0,1)</f>
        <v>0</v>
      </c>
      <c r="T841" s="17" t="str">
        <f>IF(M5_Ocupacion!A46="","",IF(M5_Ocupacion!A46="","",M5_Ocupacion!A46))</f>
        <v/>
      </c>
      <c r="U841" s="17" t="str">
        <f>IF(M5_Ocupacion!A46="","",IF(M5_Ocupacion!R46="","",M5_Ocupacion!R46))</f>
        <v/>
      </c>
      <c r="V841" s="17" t="str">
        <f>IF(M5_Ocupacion!A46="","",IF(M5_Ocupacion!D46="","",M5_Ocupacion!D46))</f>
        <v/>
      </c>
      <c r="W841" s="17" t="str">
        <f>IF(M5_Ocupacion!A46="","",IF(M5_Ocupacion!B46="","",M5_Ocupacion!B46))</f>
        <v/>
      </c>
      <c r="X841" s="17" t="str">
        <f>IF(M5_Ocupacion!A46="","",IF(M5_Ocupacion!C46="","",M5_Ocupacion!C46))</f>
        <v/>
      </c>
      <c r="Y841" s="17" t="str">
        <f>IF(M5_Ocupacion!A46="","",IF(M5_Ocupacion!E46="","",M5_Ocupacion!E46))</f>
        <v/>
      </c>
      <c r="Z841" s="17" t="str">
        <f>IF(M5_Ocupacion!A46="","",IF(M5_Ocupacion!F46="","",M5_Ocupacion!F46))</f>
        <v/>
      </c>
      <c r="AA841" s="17" t="str">
        <f>IF(M5_Ocupacion!A46="","","M5 Ocupación")</f>
        <v/>
      </c>
      <c r="AB841" s="17" t="str">
        <f>IF(M5_Ocupacion!A46="","",IF(M5_Ocupacion!G46="","",M5_Ocupacion!G46))</f>
        <v/>
      </c>
      <c r="AC841" s="17" t="str">
        <f>IF(M5_Ocupacion!A46="","",IF(COUNTIFS(M5_Ocupacion!$A$10:A46,M5_Ocupacion!A46,M5_Ocupacion!$D$10:D46,M5_Ocupacion!D46)=1,IF(M5_Ocupacion!M46="","",M5_Ocupacion!M46),""))</f>
        <v/>
      </c>
      <c r="AD841" s="17" t="str">
        <f>IF(M5_Ocupacion!A46="","","MO")</f>
        <v/>
      </c>
      <c r="AE841" s="17" t="str">
        <f>IF(M5_Ocupacion!A46="","",IF(M5_Ocupacion!O46="","",M5_Ocupacion!O46))</f>
        <v/>
      </c>
      <c r="AF841" s="17" t="str">
        <f>IF(M5_Ocupacion!A46="","",IF(M5_Ocupacion!P46="","",M5_Ocupacion!P46))</f>
        <v/>
      </c>
      <c r="AG841" s="17" t="str">
        <f>IF(M5_Ocupacion!A46="","",IF(M5_Ocupacion!Q46="","",M5_Ocupacion!Q46))</f>
        <v/>
      </c>
      <c r="AH841" s="17" t="str">
        <f>IF(M5_Ocupacion!A46="","",IF(M5_Ocupacion!J46="","",M5_Ocupacion!J46))</f>
        <v/>
      </c>
      <c r="AI841" s="17" t="str">
        <f>IF(M5_Ocupacion!A46="","","M5_Ocupacion!46")</f>
        <v/>
      </c>
      <c r="AJ841" s="17" t="str">
        <f>IF(M5_Ocupacion!A46="","",IF(M5_Ocupacion!M46="","Pendiente de medición completa",IF(COUNTIFS(M5_Ocupacion!$A$10:A46,M5_Ocupacion!A46,M5_Ocupacion!$D$10:D46,M5_Ocupacion!D46)=1,"Promedio de la actividad y fecha","Observación incluida en promedio")))</f>
        <v/>
      </c>
    </row>
    <row r="842" spans="1:36" ht="55.5" customHeight="1">
      <c r="A842" s="6" t="str">
        <f t="array" ref="A842">IF(838&gt;$S$1204,"",INDEX($T$5:$AJ$1204,MATCH(838,$S$5:$S$1204,0),1))</f>
        <v/>
      </c>
      <c r="B842" s="8" t="str">
        <f t="array" ref="B842">IF(838&gt;$S$1204,"",INDEX($T$5:$AJ$1204,MATCH(838,$S$5:$S$1204,0),2))</f>
        <v/>
      </c>
      <c r="C842" s="10" t="str">
        <f t="array" ref="C842">IF(838&gt;$S$1204,"",INDEX($T$5:$AJ$1204,MATCH(838,$S$5:$S$1204,0),3))</f>
        <v/>
      </c>
      <c r="D842" s="8" t="str">
        <f t="array" ref="D842">IF(838&gt;$S$1204,"",INDEX($T$5:$AJ$1204,MATCH(838,$S$5:$S$1204,0),4))</f>
        <v/>
      </c>
      <c r="E842" s="8" t="str">
        <f t="array" ref="E842">IF(838&gt;$S$1204,"",INDEX($T$5:$AJ$1204,MATCH(838,$S$5:$S$1204,0),5))</f>
        <v/>
      </c>
      <c r="F842" s="8" t="str">
        <f t="array" ref="F842">IF(838&gt;$S$1204,"",INDEX($T$5:$AJ$1204,MATCH(838,$S$5:$S$1204,0),6))</f>
        <v/>
      </c>
      <c r="G842" s="8" t="str">
        <f t="array" ref="G842">IF(838&gt;$S$1204,"",INDEX($T$5:$AJ$1204,MATCH(838,$S$5:$S$1204,0),7))</f>
        <v/>
      </c>
      <c r="H842" s="8" t="str">
        <f t="array" ref="H842">IF(838&gt;$S$1204,"",INDEX($T$5:$AJ$1204,MATCH(838,$S$5:$S$1204,0),8))</f>
        <v/>
      </c>
      <c r="I842" s="8" t="str">
        <f t="array" ref="I842">IF(838&gt;$S$1204,"",INDEX($T$5:$AJ$1204,MATCH(838,$S$5:$S$1204,0),9))</f>
        <v/>
      </c>
      <c r="J842" s="14" t="str">
        <f t="array" ref="J842">IF(838&gt;$S$1204,"",INDEX($T$5:$AJ$1204,MATCH(838,$S$5:$S$1204,0),10))</f>
        <v/>
      </c>
      <c r="K842" s="8" t="str">
        <f t="array" ref="K842">IF(838&gt;$S$1204,"",INDEX($T$5:$AJ$1204,MATCH(838,$S$5:$S$1204,0),11))</f>
        <v/>
      </c>
      <c r="L842" s="8" t="str">
        <f t="array" ref="L842">IF(838&gt;$S$1204,"",INDEX($T$5:$AJ$1204,MATCH(838,$S$5:$S$1204,0),12))</f>
        <v/>
      </c>
      <c r="M842" s="8" t="str">
        <f t="array" ref="M842">IF(838&gt;$S$1204,"",INDEX($T$5:$AJ$1204,MATCH(838,$S$5:$S$1204,0),13))</f>
        <v/>
      </c>
      <c r="N842" s="8" t="str">
        <f t="array" ref="N842">IF(838&gt;$S$1204,"",INDEX($T$5:$AJ$1204,MATCH(838,$S$5:$S$1204,0),14))</f>
        <v/>
      </c>
      <c r="O842" s="15" t="str">
        <f t="array" ref="O842">IF(838&gt;$S$1204,"",INDEX($T$5:$AJ$1204,MATCH(838,$S$5:$S$1204,0),15))</f>
        <v/>
      </c>
      <c r="P842" s="8" t="str">
        <f t="array" ref="P842">IF(838&gt;$S$1204,"",INDEX($T$5:$AJ$1204,MATCH(838,$S$5:$S$1204,0),16))</f>
        <v/>
      </c>
      <c r="Q842" s="8" t="str">
        <f t="array" ref="Q842">IF(838&gt;$S$1204,"",INDEX($T$5:$AJ$1204,MATCH(838,$S$5:$S$1204,0),17))</f>
        <v/>
      </c>
      <c r="R842" s="17"/>
      <c r="S842" s="17">
        <f>S841+IF(M5_Ocupacion!A47="",0,1)</f>
        <v>0</v>
      </c>
      <c r="T842" s="17" t="str">
        <f>IF(M5_Ocupacion!A47="","",IF(M5_Ocupacion!A47="","",M5_Ocupacion!A47))</f>
        <v/>
      </c>
      <c r="U842" s="17" t="str">
        <f>IF(M5_Ocupacion!A47="","",IF(M5_Ocupacion!R47="","",M5_Ocupacion!R47))</f>
        <v/>
      </c>
      <c r="V842" s="17" t="str">
        <f>IF(M5_Ocupacion!A47="","",IF(M5_Ocupacion!D47="","",M5_Ocupacion!D47))</f>
        <v/>
      </c>
      <c r="W842" s="17" t="str">
        <f>IF(M5_Ocupacion!A47="","",IF(M5_Ocupacion!B47="","",M5_Ocupacion!B47))</f>
        <v/>
      </c>
      <c r="X842" s="17" t="str">
        <f>IF(M5_Ocupacion!A47="","",IF(M5_Ocupacion!C47="","",M5_Ocupacion!C47))</f>
        <v/>
      </c>
      <c r="Y842" s="17" t="str">
        <f>IF(M5_Ocupacion!A47="","",IF(M5_Ocupacion!E47="","",M5_Ocupacion!E47))</f>
        <v/>
      </c>
      <c r="Z842" s="17" t="str">
        <f>IF(M5_Ocupacion!A47="","",IF(M5_Ocupacion!F47="","",M5_Ocupacion!F47))</f>
        <v/>
      </c>
      <c r="AA842" s="17" t="str">
        <f>IF(M5_Ocupacion!A47="","","M5 Ocupación")</f>
        <v/>
      </c>
      <c r="AB842" s="17" t="str">
        <f>IF(M5_Ocupacion!A47="","",IF(M5_Ocupacion!G47="","",M5_Ocupacion!G47))</f>
        <v/>
      </c>
      <c r="AC842" s="17" t="str">
        <f>IF(M5_Ocupacion!A47="","",IF(COUNTIFS(M5_Ocupacion!$A$10:A47,M5_Ocupacion!A47,M5_Ocupacion!$D$10:D47,M5_Ocupacion!D47)=1,IF(M5_Ocupacion!M47="","",M5_Ocupacion!M47),""))</f>
        <v/>
      </c>
      <c r="AD842" s="17" t="str">
        <f>IF(M5_Ocupacion!A47="","","MO")</f>
        <v/>
      </c>
      <c r="AE842" s="17" t="str">
        <f>IF(M5_Ocupacion!A47="","",IF(M5_Ocupacion!O47="","",M5_Ocupacion!O47))</f>
        <v/>
      </c>
      <c r="AF842" s="17" t="str">
        <f>IF(M5_Ocupacion!A47="","",IF(M5_Ocupacion!P47="","",M5_Ocupacion!P47))</f>
        <v/>
      </c>
      <c r="AG842" s="17" t="str">
        <f>IF(M5_Ocupacion!A47="","",IF(M5_Ocupacion!Q47="","",M5_Ocupacion!Q47))</f>
        <v/>
      </c>
      <c r="AH842" s="17" t="str">
        <f>IF(M5_Ocupacion!A47="","",IF(M5_Ocupacion!J47="","",M5_Ocupacion!J47))</f>
        <v/>
      </c>
      <c r="AI842" s="17" t="str">
        <f>IF(M5_Ocupacion!A47="","","M5_Ocupacion!47")</f>
        <v/>
      </c>
      <c r="AJ842" s="17" t="str">
        <f>IF(M5_Ocupacion!A47="","",IF(M5_Ocupacion!M47="","Pendiente de medición completa",IF(COUNTIFS(M5_Ocupacion!$A$10:A47,M5_Ocupacion!A47,M5_Ocupacion!$D$10:D47,M5_Ocupacion!D47)=1,"Promedio de la actividad y fecha","Observación incluida en promedio")))</f>
        <v/>
      </c>
    </row>
    <row r="843" spans="1:36" ht="55.5" customHeight="1">
      <c r="A843" s="6" t="str">
        <f t="array" ref="A843">IF(839&gt;$S$1204,"",INDEX($T$5:$AJ$1204,MATCH(839,$S$5:$S$1204,0),1))</f>
        <v/>
      </c>
      <c r="B843" s="8" t="str">
        <f t="array" ref="B843">IF(839&gt;$S$1204,"",INDEX($T$5:$AJ$1204,MATCH(839,$S$5:$S$1204,0),2))</f>
        <v/>
      </c>
      <c r="C843" s="10" t="str">
        <f t="array" ref="C843">IF(839&gt;$S$1204,"",INDEX($T$5:$AJ$1204,MATCH(839,$S$5:$S$1204,0),3))</f>
        <v/>
      </c>
      <c r="D843" s="8" t="str">
        <f t="array" ref="D843">IF(839&gt;$S$1204,"",INDEX($T$5:$AJ$1204,MATCH(839,$S$5:$S$1204,0),4))</f>
        <v/>
      </c>
      <c r="E843" s="8" t="str">
        <f t="array" ref="E843">IF(839&gt;$S$1204,"",INDEX($T$5:$AJ$1204,MATCH(839,$S$5:$S$1204,0),5))</f>
        <v/>
      </c>
      <c r="F843" s="8" t="str">
        <f t="array" ref="F843">IF(839&gt;$S$1204,"",INDEX($T$5:$AJ$1204,MATCH(839,$S$5:$S$1204,0),6))</f>
        <v/>
      </c>
      <c r="G843" s="8" t="str">
        <f t="array" ref="G843">IF(839&gt;$S$1204,"",INDEX($T$5:$AJ$1204,MATCH(839,$S$5:$S$1204,0),7))</f>
        <v/>
      </c>
      <c r="H843" s="8" t="str">
        <f t="array" ref="H843">IF(839&gt;$S$1204,"",INDEX($T$5:$AJ$1204,MATCH(839,$S$5:$S$1204,0),8))</f>
        <v/>
      </c>
      <c r="I843" s="8" t="str">
        <f t="array" ref="I843">IF(839&gt;$S$1204,"",INDEX($T$5:$AJ$1204,MATCH(839,$S$5:$S$1204,0),9))</f>
        <v/>
      </c>
      <c r="J843" s="14" t="str">
        <f t="array" ref="J843">IF(839&gt;$S$1204,"",INDEX($T$5:$AJ$1204,MATCH(839,$S$5:$S$1204,0),10))</f>
        <v/>
      </c>
      <c r="K843" s="8" t="str">
        <f t="array" ref="K843">IF(839&gt;$S$1204,"",INDEX($T$5:$AJ$1204,MATCH(839,$S$5:$S$1204,0),11))</f>
        <v/>
      </c>
      <c r="L843" s="8" t="str">
        <f t="array" ref="L843">IF(839&gt;$S$1204,"",INDEX($T$5:$AJ$1204,MATCH(839,$S$5:$S$1204,0),12))</f>
        <v/>
      </c>
      <c r="M843" s="8" t="str">
        <f t="array" ref="M843">IF(839&gt;$S$1204,"",INDEX($T$5:$AJ$1204,MATCH(839,$S$5:$S$1204,0),13))</f>
        <v/>
      </c>
      <c r="N843" s="8" t="str">
        <f t="array" ref="N843">IF(839&gt;$S$1204,"",INDEX($T$5:$AJ$1204,MATCH(839,$S$5:$S$1204,0),14))</f>
        <v/>
      </c>
      <c r="O843" s="15" t="str">
        <f t="array" ref="O843">IF(839&gt;$S$1204,"",INDEX($T$5:$AJ$1204,MATCH(839,$S$5:$S$1204,0),15))</f>
        <v/>
      </c>
      <c r="P843" s="8" t="str">
        <f t="array" ref="P843">IF(839&gt;$S$1204,"",INDEX($T$5:$AJ$1204,MATCH(839,$S$5:$S$1204,0),16))</f>
        <v/>
      </c>
      <c r="Q843" s="8" t="str">
        <f t="array" ref="Q843">IF(839&gt;$S$1204,"",INDEX($T$5:$AJ$1204,MATCH(839,$S$5:$S$1204,0),17))</f>
        <v/>
      </c>
      <c r="R843" s="17"/>
      <c r="S843" s="17">
        <f>S842+IF(M5_Ocupacion!A48="",0,1)</f>
        <v>0</v>
      </c>
      <c r="T843" s="17" t="str">
        <f>IF(M5_Ocupacion!A48="","",IF(M5_Ocupacion!A48="","",M5_Ocupacion!A48))</f>
        <v/>
      </c>
      <c r="U843" s="17" t="str">
        <f>IF(M5_Ocupacion!A48="","",IF(M5_Ocupacion!R48="","",M5_Ocupacion!R48))</f>
        <v/>
      </c>
      <c r="V843" s="17" t="str">
        <f>IF(M5_Ocupacion!A48="","",IF(M5_Ocupacion!D48="","",M5_Ocupacion!D48))</f>
        <v/>
      </c>
      <c r="W843" s="17" t="str">
        <f>IF(M5_Ocupacion!A48="","",IF(M5_Ocupacion!B48="","",M5_Ocupacion!B48))</f>
        <v/>
      </c>
      <c r="X843" s="17" t="str">
        <f>IF(M5_Ocupacion!A48="","",IF(M5_Ocupacion!C48="","",M5_Ocupacion!C48))</f>
        <v/>
      </c>
      <c r="Y843" s="17" t="str">
        <f>IF(M5_Ocupacion!A48="","",IF(M5_Ocupacion!E48="","",M5_Ocupacion!E48))</f>
        <v/>
      </c>
      <c r="Z843" s="17" t="str">
        <f>IF(M5_Ocupacion!A48="","",IF(M5_Ocupacion!F48="","",M5_Ocupacion!F48))</f>
        <v/>
      </c>
      <c r="AA843" s="17" t="str">
        <f>IF(M5_Ocupacion!A48="","","M5 Ocupación")</f>
        <v/>
      </c>
      <c r="AB843" s="17" t="str">
        <f>IF(M5_Ocupacion!A48="","",IF(M5_Ocupacion!G48="","",M5_Ocupacion!G48))</f>
        <v/>
      </c>
      <c r="AC843" s="17" t="str">
        <f>IF(M5_Ocupacion!A48="","",IF(COUNTIFS(M5_Ocupacion!$A$10:A48,M5_Ocupacion!A48,M5_Ocupacion!$D$10:D48,M5_Ocupacion!D48)=1,IF(M5_Ocupacion!M48="","",M5_Ocupacion!M48),""))</f>
        <v/>
      </c>
      <c r="AD843" s="17" t="str">
        <f>IF(M5_Ocupacion!A48="","","MO")</f>
        <v/>
      </c>
      <c r="AE843" s="17" t="str">
        <f>IF(M5_Ocupacion!A48="","",IF(M5_Ocupacion!O48="","",M5_Ocupacion!O48))</f>
        <v/>
      </c>
      <c r="AF843" s="17" t="str">
        <f>IF(M5_Ocupacion!A48="","",IF(M5_Ocupacion!P48="","",M5_Ocupacion!P48))</f>
        <v/>
      </c>
      <c r="AG843" s="17" t="str">
        <f>IF(M5_Ocupacion!A48="","",IF(M5_Ocupacion!Q48="","",M5_Ocupacion!Q48))</f>
        <v/>
      </c>
      <c r="AH843" s="17" t="str">
        <f>IF(M5_Ocupacion!A48="","",IF(M5_Ocupacion!J48="","",M5_Ocupacion!J48))</f>
        <v/>
      </c>
      <c r="AI843" s="17" t="str">
        <f>IF(M5_Ocupacion!A48="","","M5_Ocupacion!48")</f>
        <v/>
      </c>
      <c r="AJ843" s="17" t="str">
        <f>IF(M5_Ocupacion!A48="","",IF(M5_Ocupacion!M48="","Pendiente de medición completa",IF(COUNTIFS(M5_Ocupacion!$A$10:A48,M5_Ocupacion!A48,M5_Ocupacion!$D$10:D48,M5_Ocupacion!D48)=1,"Promedio de la actividad y fecha","Observación incluida en promedio")))</f>
        <v/>
      </c>
    </row>
    <row r="844" spans="1:36" ht="55.5" customHeight="1">
      <c r="A844" s="6" t="str">
        <f t="array" ref="A844">IF(840&gt;$S$1204,"",INDEX($T$5:$AJ$1204,MATCH(840,$S$5:$S$1204,0),1))</f>
        <v/>
      </c>
      <c r="B844" s="8" t="str">
        <f t="array" ref="B844">IF(840&gt;$S$1204,"",INDEX($T$5:$AJ$1204,MATCH(840,$S$5:$S$1204,0),2))</f>
        <v/>
      </c>
      <c r="C844" s="10" t="str">
        <f t="array" ref="C844">IF(840&gt;$S$1204,"",INDEX($T$5:$AJ$1204,MATCH(840,$S$5:$S$1204,0),3))</f>
        <v/>
      </c>
      <c r="D844" s="8" t="str">
        <f t="array" ref="D844">IF(840&gt;$S$1204,"",INDEX($T$5:$AJ$1204,MATCH(840,$S$5:$S$1204,0),4))</f>
        <v/>
      </c>
      <c r="E844" s="8" t="str">
        <f t="array" ref="E844">IF(840&gt;$S$1204,"",INDEX($T$5:$AJ$1204,MATCH(840,$S$5:$S$1204,0),5))</f>
        <v/>
      </c>
      <c r="F844" s="8" t="str">
        <f t="array" ref="F844">IF(840&gt;$S$1204,"",INDEX($T$5:$AJ$1204,MATCH(840,$S$5:$S$1204,0),6))</f>
        <v/>
      </c>
      <c r="G844" s="8" t="str">
        <f t="array" ref="G844">IF(840&gt;$S$1204,"",INDEX($T$5:$AJ$1204,MATCH(840,$S$5:$S$1204,0),7))</f>
        <v/>
      </c>
      <c r="H844" s="8" t="str">
        <f t="array" ref="H844">IF(840&gt;$S$1204,"",INDEX($T$5:$AJ$1204,MATCH(840,$S$5:$S$1204,0),8))</f>
        <v/>
      </c>
      <c r="I844" s="8" t="str">
        <f t="array" ref="I844">IF(840&gt;$S$1204,"",INDEX($T$5:$AJ$1204,MATCH(840,$S$5:$S$1204,0),9))</f>
        <v/>
      </c>
      <c r="J844" s="14" t="str">
        <f t="array" ref="J844">IF(840&gt;$S$1204,"",INDEX($T$5:$AJ$1204,MATCH(840,$S$5:$S$1204,0),10))</f>
        <v/>
      </c>
      <c r="K844" s="8" t="str">
        <f t="array" ref="K844">IF(840&gt;$S$1204,"",INDEX($T$5:$AJ$1204,MATCH(840,$S$5:$S$1204,0),11))</f>
        <v/>
      </c>
      <c r="L844" s="8" t="str">
        <f t="array" ref="L844">IF(840&gt;$S$1204,"",INDEX($T$5:$AJ$1204,MATCH(840,$S$5:$S$1204,0),12))</f>
        <v/>
      </c>
      <c r="M844" s="8" t="str">
        <f t="array" ref="M844">IF(840&gt;$S$1204,"",INDEX($T$5:$AJ$1204,MATCH(840,$S$5:$S$1204,0),13))</f>
        <v/>
      </c>
      <c r="N844" s="8" t="str">
        <f t="array" ref="N844">IF(840&gt;$S$1204,"",INDEX($T$5:$AJ$1204,MATCH(840,$S$5:$S$1204,0),14))</f>
        <v/>
      </c>
      <c r="O844" s="15" t="str">
        <f t="array" ref="O844">IF(840&gt;$S$1204,"",INDEX($T$5:$AJ$1204,MATCH(840,$S$5:$S$1204,0),15))</f>
        <v/>
      </c>
      <c r="P844" s="8" t="str">
        <f t="array" ref="P844">IF(840&gt;$S$1204,"",INDEX($T$5:$AJ$1204,MATCH(840,$S$5:$S$1204,0),16))</f>
        <v/>
      </c>
      <c r="Q844" s="8" t="str">
        <f t="array" ref="Q844">IF(840&gt;$S$1204,"",INDEX($T$5:$AJ$1204,MATCH(840,$S$5:$S$1204,0),17))</f>
        <v/>
      </c>
      <c r="R844" s="17"/>
      <c r="S844" s="17">
        <f>S843+IF(M5_Ocupacion!A49="",0,1)</f>
        <v>0</v>
      </c>
      <c r="T844" s="17" t="str">
        <f>IF(M5_Ocupacion!A49="","",IF(M5_Ocupacion!A49="","",M5_Ocupacion!A49))</f>
        <v/>
      </c>
      <c r="U844" s="17" t="str">
        <f>IF(M5_Ocupacion!A49="","",IF(M5_Ocupacion!R49="","",M5_Ocupacion!R49))</f>
        <v/>
      </c>
      <c r="V844" s="17" t="str">
        <f>IF(M5_Ocupacion!A49="","",IF(M5_Ocupacion!D49="","",M5_Ocupacion!D49))</f>
        <v/>
      </c>
      <c r="W844" s="17" t="str">
        <f>IF(M5_Ocupacion!A49="","",IF(M5_Ocupacion!B49="","",M5_Ocupacion!B49))</f>
        <v/>
      </c>
      <c r="X844" s="17" t="str">
        <f>IF(M5_Ocupacion!A49="","",IF(M5_Ocupacion!C49="","",M5_Ocupacion!C49))</f>
        <v/>
      </c>
      <c r="Y844" s="17" t="str">
        <f>IF(M5_Ocupacion!A49="","",IF(M5_Ocupacion!E49="","",M5_Ocupacion!E49))</f>
        <v/>
      </c>
      <c r="Z844" s="17" t="str">
        <f>IF(M5_Ocupacion!A49="","",IF(M5_Ocupacion!F49="","",M5_Ocupacion!F49))</f>
        <v/>
      </c>
      <c r="AA844" s="17" t="str">
        <f>IF(M5_Ocupacion!A49="","","M5 Ocupación")</f>
        <v/>
      </c>
      <c r="AB844" s="17" t="str">
        <f>IF(M5_Ocupacion!A49="","",IF(M5_Ocupacion!G49="","",M5_Ocupacion!G49))</f>
        <v/>
      </c>
      <c r="AC844" s="17" t="str">
        <f>IF(M5_Ocupacion!A49="","",IF(COUNTIFS(M5_Ocupacion!$A$10:A49,M5_Ocupacion!A49,M5_Ocupacion!$D$10:D49,M5_Ocupacion!D49)=1,IF(M5_Ocupacion!M49="","",M5_Ocupacion!M49),""))</f>
        <v/>
      </c>
      <c r="AD844" s="17" t="str">
        <f>IF(M5_Ocupacion!A49="","","MO")</f>
        <v/>
      </c>
      <c r="AE844" s="17" t="str">
        <f>IF(M5_Ocupacion!A49="","",IF(M5_Ocupacion!O49="","",M5_Ocupacion!O49))</f>
        <v/>
      </c>
      <c r="AF844" s="17" t="str">
        <f>IF(M5_Ocupacion!A49="","",IF(M5_Ocupacion!P49="","",M5_Ocupacion!P49))</f>
        <v/>
      </c>
      <c r="AG844" s="17" t="str">
        <f>IF(M5_Ocupacion!A49="","",IF(M5_Ocupacion!Q49="","",M5_Ocupacion!Q49))</f>
        <v/>
      </c>
      <c r="AH844" s="17" t="str">
        <f>IF(M5_Ocupacion!A49="","",IF(M5_Ocupacion!J49="","",M5_Ocupacion!J49))</f>
        <v/>
      </c>
      <c r="AI844" s="17" t="str">
        <f>IF(M5_Ocupacion!A49="","","M5_Ocupacion!49")</f>
        <v/>
      </c>
      <c r="AJ844" s="17" t="str">
        <f>IF(M5_Ocupacion!A49="","",IF(M5_Ocupacion!M49="","Pendiente de medición completa",IF(COUNTIFS(M5_Ocupacion!$A$10:A49,M5_Ocupacion!A49,M5_Ocupacion!$D$10:D49,M5_Ocupacion!D49)=1,"Promedio de la actividad y fecha","Observación incluida en promedio")))</f>
        <v/>
      </c>
    </row>
    <row r="845" spans="1:36" ht="55.5" customHeight="1">
      <c r="A845" s="6" t="str">
        <f t="array" ref="A845">IF(841&gt;$S$1204,"",INDEX($T$5:$AJ$1204,MATCH(841,$S$5:$S$1204,0),1))</f>
        <v/>
      </c>
      <c r="B845" s="8" t="str">
        <f t="array" ref="B845">IF(841&gt;$S$1204,"",INDEX($T$5:$AJ$1204,MATCH(841,$S$5:$S$1204,0),2))</f>
        <v/>
      </c>
      <c r="C845" s="10" t="str">
        <f t="array" ref="C845">IF(841&gt;$S$1204,"",INDEX($T$5:$AJ$1204,MATCH(841,$S$5:$S$1204,0),3))</f>
        <v/>
      </c>
      <c r="D845" s="8" t="str">
        <f t="array" ref="D845">IF(841&gt;$S$1204,"",INDEX($T$5:$AJ$1204,MATCH(841,$S$5:$S$1204,0),4))</f>
        <v/>
      </c>
      <c r="E845" s="8" t="str">
        <f t="array" ref="E845">IF(841&gt;$S$1204,"",INDEX($T$5:$AJ$1204,MATCH(841,$S$5:$S$1204,0),5))</f>
        <v/>
      </c>
      <c r="F845" s="8" t="str">
        <f t="array" ref="F845">IF(841&gt;$S$1204,"",INDEX($T$5:$AJ$1204,MATCH(841,$S$5:$S$1204,0),6))</f>
        <v/>
      </c>
      <c r="G845" s="8" t="str">
        <f t="array" ref="G845">IF(841&gt;$S$1204,"",INDEX($T$5:$AJ$1204,MATCH(841,$S$5:$S$1204,0),7))</f>
        <v/>
      </c>
      <c r="H845" s="8" t="str">
        <f t="array" ref="H845">IF(841&gt;$S$1204,"",INDEX($T$5:$AJ$1204,MATCH(841,$S$5:$S$1204,0),8))</f>
        <v/>
      </c>
      <c r="I845" s="8" t="str">
        <f t="array" ref="I845">IF(841&gt;$S$1204,"",INDEX($T$5:$AJ$1204,MATCH(841,$S$5:$S$1204,0),9))</f>
        <v/>
      </c>
      <c r="J845" s="14" t="str">
        <f t="array" ref="J845">IF(841&gt;$S$1204,"",INDEX($T$5:$AJ$1204,MATCH(841,$S$5:$S$1204,0),10))</f>
        <v/>
      </c>
      <c r="K845" s="8" t="str">
        <f t="array" ref="K845">IF(841&gt;$S$1204,"",INDEX($T$5:$AJ$1204,MATCH(841,$S$5:$S$1204,0),11))</f>
        <v/>
      </c>
      <c r="L845" s="8" t="str">
        <f t="array" ref="L845">IF(841&gt;$S$1204,"",INDEX($T$5:$AJ$1204,MATCH(841,$S$5:$S$1204,0),12))</f>
        <v/>
      </c>
      <c r="M845" s="8" t="str">
        <f t="array" ref="M845">IF(841&gt;$S$1204,"",INDEX($T$5:$AJ$1204,MATCH(841,$S$5:$S$1204,0),13))</f>
        <v/>
      </c>
      <c r="N845" s="8" t="str">
        <f t="array" ref="N845">IF(841&gt;$S$1204,"",INDEX($T$5:$AJ$1204,MATCH(841,$S$5:$S$1204,0),14))</f>
        <v/>
      </c>
      <c r="O845" s="15" t="str">
        <f t="array" ref="O845">IF(841&gt;$S$1204,"",INDEX($T$5:$AJ$1204,MATCH(841,$S$5:$S$1204,0),15))</f>
        <v/>
      </c>
      <c r="P845" s="8" t="str">
        <f t="array" ref="P845">IF(841&gt;$S$1204,"",INDEX($T$5:$AJ$1204,MATCH(841,$S$5:$S$1204,0),16))</f>
        <v/>
      </c>
      <c r="Q845" s="8" t="str">
        <f t="array" ref="Q845">IF(841&gt;$S$1204,"",INDEX($T$5:$AJ$1204,MATCH(841,$S$5:$S$1204,0),17))</f>
        <v/>
      </c>
      <c r="R845" s="17"/>
      <c r="S845" s="17">
        <f>S844+IF(M5_Ocupacion!A50="",0,1)</f>
        <v>0</v>
      </c>
      <c r="T845" s="17" t="str">
        <f>IF(M5_Ocupacion!A50="","",IF(M5_Ocupacion!A50="","",M5_Ocupacion!A50))</f>
        <v/>
      </c>
      <c r="U845" s="17" t="str">
        <f>IF(M5_Ocupacion!A50="","",IF(M5_Ocupacion!R50="","",M5_Ocupacion!R50))</f>
        <v/>
      </c>
      <c r="V845" s="17" t="str">
        <f>IF(M5_Ocupacion!A50="","",IF(M5_Ocupacion!D50="","",M5_Ocupacion!D50))</f>
        <v/>
      </c>
      <c r="W845" s="17" t="str">
        <f>IF(M5_Ocupacion!A50="","",IF(M5_Ocupacion!B50="","",M5_Ocupacion!B50))</f>
        <v/>
      </c>
      <c r="X845" s="17" t="str">
        <f>IF(M5_Ocupacion!A50="","",IF(M5_Ocupacion!C50="","",M5_Ocupacion!C50))</f>
        <v/>
      </c>
      <c r="Y845" s="17" t="str">
        <f>IF(M5_Ocupacion!A50="","",IF(M5_Ocupacion!E50="","",M5_Ocupacion!E50))</f>
        <v/>
      </c>
      <c r="Z845" s="17" t="str">
        <f>IF(M5_Ocupacion!A50="","",IF(M5_Ocupacion!F50="","",M5_Ocupacion!F50))</f>
        <v/>
      </c>
      <c r="AA845" s="17" t="str">
        <f>IF(M5_Ocupacion!A50="","","M5 Ocupación")</f>
        <v/>
      </c>
      <c r="AB845" s="17" t="str">
        <f>IF(M5_Ocupacion!A50="","",IF(M5_Ocupacion!G50="","",M5_Ocupacion!G50))</f>
        <v/>
      </c>
      <c r="AC845" s="17" t="str">
        <f>IF(M5_Ocupacion!A50="","",IF(COUNTIFS(M5_Ocupacion!$A$10:A50,M5_Ocupacion!A50,M5_Ocupacion!$D$10:D50,M5_Ocupacion!D50)=1,IF(M5_Ocupacion!M50="","",M5_Ocupacion!M50),""))</f>
        <v/>
      </c>
      <c r="AD845" s="17" t="str">
        <f>IF(M5_Ocupacion!A50="","","MO")</f>
        <v/>
      </c>
      <c r="AE845" s="17" t="str">
        <f>IF(M5_Ocupacion!A50="","",IF(M5_Ocupacion!O50="","",M5_Ocupacion!O50))</f>
        <v/>
      </c>
      <c r="AF845" s="17" t="str">
        <f>IF(M5_Ocupacion!A50="","",IF(M5_Ocupacion!P50="","",M5_Ocupacion!P50))</f>
        <v/>
      </c>
      <c r="AG845" s="17" t="str">
        <f>IF(M5_Ocupacion!A50="","",IF(M5_Ocupacion!Q50="","",M5_Ocupacion!Q50))</f>
        <v/>
      </c>
      <c r="AH845" s="17" t="str">
        <f>IF(M5_Ocupacion!A50="","",IF(M5_Ocupacion!J50="","",M5_Ocupacion!J50))</f>
        <v/>
      </c>
      <c r="AI845" s="17" t="str">
        <f>IF(M5_Ocupacion!A50="","","M5_Ocupacion!50")</f>
        <v/>
      </c>
      <c r="AJ845" s="17" t="str">
        <f>IF(M5_Ocupacion!A50="","",IF(M5_Ocupacion!M50="","Pendiente de medición completa",IF(COUNTIFS(M5_Ocupacion!$A$10:A50,M5_Ocupacion!A50,M5_Ocupacion!$D$10:D50,M5_Ocupacion!D50)=1,"Promedio de la actividad y fecha","Observación incluida en promedio")))</f>
        <v/>
      </c>
    </row>
    <row r="846" spans="1:36" ht="55.5" customHeight="1">
      <c r="A846" s="6" t="str">
        <f t="array" ref="A846">IF(842&gt;$S$1204,"",INDEX($T$5:$AJ$1204,MATCH(842,$S$5:$S$1204,0),1))</f>
        <v/>
      </c>
      <c r="B846" s="8" t="str">
        <f t="array" ref="B846">IF(842&gt;$S$1204,"",INDEX($T$5:$AJ$1204,MATCH(842,$S$5:$S$1204,0),2))</f>
        <v/>
      </c>
      <c r="C846" s="10" t="str">
        <f t="array" ref="C846">IF(842&gt;$S$1204,"",INDEX($T$5:$AJ$1204,MATCH(842,$S$5:$S$1204,0),3))</f>
        <v/>
      </c>
      <c r="D846" s="8" t="str">
        <f t="array" ref="D846">IF(842&gt;$S$1204,"",INDEX($T$5:$AJ$1204,MATCH(842,$S$5:$S$1204,0),4))</f>
        <v/>
      </c>
      <c r="E846" s="8" t="str">
        <f t="array" ref="E846">IF(842&gt;$S$1204,"",INDEX($T$5:$AJ$1204,MATCH(842,$S$5:$S$1204,0),5))</f>
        <v/>
      </c>
      <c r="F846" s="8" t="str">
        <f t="array" ref="F846">IF(842&gt;$S$1204,"",INDEX($T$5:$AJ$1204,MATCH(842,$S$5:$S$1204,0),6))</f>
        <v/>
      </c>
      <c r="G846" s="8" t="str">
        <f t="array" ref="G846">IF(842&gt;$S$1204,"",INDEX($T$5:$AJ$1204,MATCH(842,$S$5:$S$1204,0),7))</f>
        <v/>
      </c>
      <c r="H846" s="8" t="str">
        <f t="array" ref="H846">IF(842&gt;$S$1204,"",INDEX($T$5:$AJ$1204,MATCH(842,$S$5:$S$1204,0),8))</f>
        <v/>
      </c>
      <c r="I846" s="8" t="str">
        <f t="array" ref="I846">IF(842&gt;$S$1204,"",INDEX($T$5:$AJ$1204,MATCH(842,$S$5:$S$1204,0),9))</f>
        <v/>
      </c>
      <c r="J846" s="14" t="str">
        <f t="array" ref="J846">IF(842&gt;$S$1204,"",INDEX($T$5:$AJ$1204,MATCH(842,$S$5:$S$1204,0),10))</f>
        <v/>
      </c>
      <c r="K846" s="8" t="str">
        <f t="array" ref="K846">IF(842&gt;$S$1204,"",INDEX($T$5:$AJ$1204,MATCH(842,$S$5:$S$1204,0),11))</f>
        <v/>
      </c>
      <c r="L846" s="8" t="str">
        <f t="array" ref="L846">IF(842&gt;$S$1204,"",INDEX($T$5:$AJ$1204,MATCH(842,$S$5:$S$1204,0),12))</f>
        <v/>
      </c>
      <c r="M846" s="8" t="str">
        <f t="array" ref="M846">IF(842&gt;$S$1204,"",INDEX($T$5:$AJ$1204,MATCH(842,$S$5:$S$1204,0),13))</f>
        <v/>
      </c>
      <c r="N846" s="8" t="str">
        <f t="array" ref="N846">IF(842&gt;$S$1204,"",INDEX($T$5:$AJ$1204,MATCH(842,$S$5:$S$1204,0),14))</f>
        <v/>
      </c>
      <c r="O846" s="15" t="str">
        <f t="array" ref="O846">IF(842&gt;$S$1204,"",INDEX($T$5:$AJ$1204,MATCH(842,$S$5:$S$1204,0),15))</f>
        <v/>
      </c>
      <c r="P846" s="8" t="str">
        <f t="array" ref="P846">IF(842&gt;$S$1204,"",INDEX($T$5:$AJ$1204,MATCH(842,$S$5:$S$1204,0),16))</f>
        <v/>
      </c>
      <c r="Q846" s="8" t="str">
        <f t="array" ref="Q846">IF(842&gt;$S$1204,"",INDEX($T$5:$AJ$1204,MATCH(842,$S$5:$S$1204,0),17))</f>
        <v/>
      </c>
      <c r="R846" s="17"/>
      <c r="S846" s="17">
        <f>S845+IF(M5_Ocupacion!A51="",0,1)</f>
        <v>0</v>
      </c>
      <c r="T846" s="17" t="str">
        <f>IF(M5_Ocupacion!A51="","",IF(M5_Ocupacion!A51="","",M5_Ocupacion!A51))</f>
        <v/>
      </c>
      <c r="U846" s="17" t="str">
        <f>IF(M5_Ocupacion!A51="","",IF(M5_Ocupacion!R51="","",M5_Ocupacion!R51))</f>
        <v/>
      </c>
      <c r="V846" s="17" t="str">
        <f>IF(M5_Ocupacion!A51="","",IF(M5_Ocupacion!D51="","",M5_Ocupacion!D51))</f>
        <v/>
      </c>
      <c r="W846" s="17" t="str">
        <f>IF(M5_Ocupacion!A51="","",IF(M5_Ocupacion!B51="","",M5_Ocupacion!B51))</f>
        <v/>
      </c>
      <c r="X846" s="17" t="str">
        <f>IF(M5_Ocupacion!A51="","",IF(M5_Ocupacion!C51="","",M5_Ocupacion!C51))</f>
        <v/>
      </c>
      <c r="Y846" s="17" t="str">
        <f>IF(M5_Ocupacion!A51="","",IF(M5_Ocupacion!E51="","",M5_Ocupacion!E51))</f>
        <v/>
      </c>
      <c r="Z846" s="17" t="str">
        <f>IF(M5_Ocupacion!A51="","",IF(M5_Ocupacion!F51="","",M5_Ocupacion!F51))</f>
        <v/>
      </c>
      <c r="AA846" s="17" t="str">
        <f>IF(M5_Ocupacion!A51="","","M5 Ocupación")</f>
        <v/>
      </c>
      <c r="AB846" s="17" t="str">
        <f>IF(M5_Ocupacion!A51="","",IF(M5_Ocupacion!G51="","",M5_Ocupacion!G51))</f>
        <v/>
      </c>
      <c r="AC846" s="17" t="str">
        <f>IF(M5_Ocupacion!A51="","",IF(COUNTIFS(M5_Ocupacion!$A$10:A51,M5_Ocupacion!A51,M5_Ocupacion!$D$10:D51,M5_Ocupacion!D51)=1,IF(M5_Ocupacion!M51="","",M5_Ocupacion!M51),""))</f>
        <v/>
      </c>
      <c r="AD846" s="17" t="str">
        <f>IF(M5_Ocupacion!A51="","","MO")</f>
        <v/>
      </c>
      <c r="AE846" s="17" t="str">
        <f>IF(M5_Ocupacion!A51="","",IF(M5_Ocupacion!O51="","",M5_Ocupacion!O51))</f>
        <v/>
      </c>
      <c r="AF846" s="17" t="str">
        <f>IF(M5_Ocupacion!A51="","",IF(M5_Ocupacion!P51="","",M5_Ocupacion!P51))</f>
        <v/>
      </c>
      <c r="AG846" s="17" t="str">
        <f>IF(M5_Ocupacion!A51="","",IF(M5_Ocupacion!Q51="","",M5_Ocupacion!Q51))</f>
        <v/>
      </c>
      <c r="AH846" s="17" t="str">
        <f>IF(M5_Ocupacion!A51="","",IF(M5_Ocupacion!J51="","",M5_Ocupacion!J51))</f>
        <v/>
      </c>
      <c r="AI846" s="17" t="str">
        <f>IF(M5_Ocupacion!A51="","","M5_Ocupacion!51")</f>
        <v/>
      </c>
      <c r="AJ846" s="17" t="str">
        <f>IF(M5_Ocupacion!A51="","",IF(M5_Ocupacion!M51="","Pendiente de medición completa",IF(COUNTIFS(M5_Ocupacion!$A$10:A51,M5_Ocupacion!A51,M5_Ocupacion!$D$10:D51,M5_Ocupacion!D51)=1,"Promedio de la actividad y fecha","Observación incluida en promedio")))</f>
        <v/>
      </c>
    </row>
    <row r="847" spans="1:36" ht="55.5" customHeight="1">
      <c r="A847" s="6" t="str">
        <f t="array" ref="A847">IF(843&gt;$S$1204,"",INDEX($T$5:$AJ$1204,MATCH(843,$S$5:$S$1204,0),1))</f>
        <v/>
      </c>
      <c r="B847" s="8" t="str">
        <f t="array" ref="B847">IF(843&gt;$S$1204,"",INDEX($T$5:$AJ$1204,MATCH(843,$S$5:$S$1204,0),2))</f>
        <v/>
      </c>
      <c r="C847" s="10" t="str">
        <f t="array" ref="C847">IF(843&gt;$S$1204,"",INDEX($T$5:$AJ$1204,MATCH(843,$S$5:$S$1204,0),3))</f>
        <v/>
      </c>
      <c r="D847" s="8" t="str">
        <f t="array" ref="D847">IF(843&gt;$S$1204,"",INDEX($T$5:$AJ$1204,MATCH(843,$S$5:$S$1204,0),4))</f>
        <v/>
      </c>
      <c r="E847" s="8" t="str">
        <f t="array" ref="E847">IF(843&gt;$S$1204,"",INDEX($T$5:$AJ$1204,MATCH(843,$S$5:$S$1204,0),5))</f>
        <v/>
      </c>
      <c r="F847" s="8" t="str">
        <f t="array" ref="F847">IF(843&gt;$S$1204,"",INDEX($T$5:$AJ$1204,MATCH(843,$S$5:$S$1204,0),6))</f>
        <v/>
      </c>
      <c r="G847" s="8" t="str">
        <f t="array" ref="G847">IF(843&gt;$S$1204,"",INDEX($T$5:$AJ$1204,MATCH(843,$S$5:$S$1204,0),7))</f>
        <v/>
      </c>
      <c r="H847" s="8" t="str">
        <f t="array" ref="H847">IF(843&gt;$S$1204,"",INDEX($T$5:$AJ$1204,MATCH(843,$S$5:$S$1204,0),8))</f>
        <v/>
      </c>
      <c r="I847" s="8" t="str">
        <f t="array" ref="I847">IF(843&gt;$S$1204,"",INDEX($T$5:$AJ$1204,MATCH(843,$S$5:$S$1204,0),9))</f>
        <v/>
      </c>
      <c r="J847" s="14" t="str">
        <f t="array" ref="J847">IF(843&gt;$S$1204,"",INDEX($T$5:$AJ$1204,MATCH(843,$S$5:$S$1204,0),10))</f>
        <v/>
      </c>
      <c r="K847" s="8" t="str">
        <f t="array" ref="K847">IF(843&gt;$S$1204,"",INDEX($T$5:$AJ$1204,MATCH(843,$S$5:$S$1204,0),11))</f>
        <v/>
      </c>
      <c r="L847" s="8" t="str">
        <f t="array" ref="L847">IF(843&gt;$S$1204,"",INDEX($T$5:$AJ$1204,MATCH(843,$S$5:$S$1204,0),12))</f>
        <v/>
      </c>
      <c r="M847" s="8" t="str">
        <f t="array" ref="M847">IF(843&gt;$S$1204,"",INDEX($T$5:$AJ$1204,MATCH(843,$S$5:$S$1204,0),13))</f>
        <v/>
      </c>
      <c r="N847" s="8" t="str">
        <f t="array" ref="N847">IF(843&gt;$S$1204,"",INDEX($T$5:$AJ$1204,MATCH(843,$S$5:$S$1204,0),14))</f>
        <v/>
      </c>
      <c r="O847" s="15" t="str">
        <f t="array" ref="O847">IF(843&gt;$S$1204,"",INDEX($T$5:$AJ$1204,MATCH(843,$S$5:$S$1204,0),15))</f>
        <v/>
      </c>
      <c r="P847" s="8" t="str">
        <f t="array" ref="P847">IF(843&gt;$S$1204,"",INDEX($T$5:$AJ$1204,MATCH(843,$S$5:$S$1204,0),16))</f>
        <v/>
      </c>
      <c r="Q847" s="8" t="str">
        <f t="array" ref="Q847">IF(843&gt;$S$1204,"",INDEX($T$5:$AJ$1204,MATCH(843,$S$5:$S$1204,0),17))</f>
        <v/>
      </c>
      <c r="R847" s="17"/>
      <c r="S847" s="17">
        <f>S846+IF(M5_Ocupacion!A52="",0,1)</f>
        <v>0</v>
      </c>
      <c r="T847" s="17" t="str">
        <f>IF(M5_Ocupacion!A52="","",IF(M5_Ocupacion!A52="","",M5_Ocupacion!A52))</f>
        <v/>
      </c>
      <c r="U847" s="17" t="str">
        <f>IF(M5_Ocupacion!A52="","",IF(M5_Ocupacion!R52="","",M5_Ocupacion!R52))</f>
        <v/>
      </c>
      <c r="V847" s="17" t="str">
        <f>IF(M5_Ocupacion!A52="","",IF(M5_Ocupacion!D52="","",M5_Ocupacion!D52))</f>
        <v/>
      </c>
      <c r="W847" s="17" t="str">
        <f>IF(M5_Ocupacion!A52="","",IF(M5_Ocupacion!B52="","",M5_Ocupacion!B52))</f>
        <v/>
      </c>
      <c r="X847" s="17" t="str">
        <f>IF(M5_Ocupacion!A52="","",IF(M5_Ocupacion!C52="","",M5_Ocupacion!C52))</f>
        <v/>
      </c>
      <c r="Y847" s="17" t="str">
        <f>IF(M5_Ocupacion!A52="","",IF(M5_Ocupacion!E52="","",M5_Ocupacion!E52))</f>
        <v/>
      </c>
      <c r="Z847" s="17" t="str">
        <f>IF(M5_Ocupacion!A52="","",IF(M5_Ocupacion!F52="","",M5_Ocupacion!F52))</f>
        <v/>
      </c>
      <c r="AA847" s="17" t="str">
        <f>IF(M5_Ocupacion!A52="","","M5 Ocupación")</f>
        <v/>
      </c>
      <c r="AB847" s="17" t="str">
        <f>IF(M5_Ocupacion!A52="","",IF(M5_Ocupacion!G52="","",M5_Ocupacion!G52))</f>
        <v/>
      </c>
      <c r="AC847" s="17" t="str">
        <f>IF(M5_Ocupacion!A52="","",IF(COUNTIFS(M5_Ocupacion!$A$10:A52,M5_Ocupacion!A52,M5_Ocupacion!$D$10:D52,M5_Ocupacion!D52)=1,IF(M5_Ocupacion!M52="","",M5_Ocupacion!M52),""))</f>
        <v/>
      </c>
      <c r="AD847" s="17" t="str">
        <f>IF(M5_Ocupacion!A52="","","MO")</f>
        <v/>
      </c>
      <c r="AE847" s="17" t="str">
        <f>IF(M5_Ocupacion!A52="","",IF(M5_Ocupacion!O52="","",M5_Ocupacion!O52))</f>
        <v/>
      </c>
      <c r="AF847" s="17" t="str">
        <f>IF(M5_Ocupacion!A52="","",IF(M5_Ocupacion!P52="","",M5_Ocupacion!P52))</f>
        <v/>
      </c>
      <c r="AG847" s="17" t="str">
        <f>IF(M5_Ocupacion!A52="","",IF(M5_Ocupacion!Q52="","",M5_Ocupacion!Q52))</f>
        <v/>
      </c>
      <c r="AH847" s="17" t="str">
        <f>IF(M5_Ocupacion!A52="","",IF(M5_Ocupacion!J52="","",M5_Ocupacion!J52))</f>
        <v/>
      </c>
      <c r="AI847" s="17" t="str">
        <f>IF(M5_Ocupacion!A52="","","M5_Ocupacion!52")</f>
        <v/>
      </c>
      <c r="AJ847" s="17" t="str">
        <f>IF(M5_Ocupacion!A52="","",IF(M5_Ocupacion!M52="","Pendiente de medición completa",IF(COUNTIFS(M5_Ocupacion!$A$10:A52,M5_Ocupacion!A52,M5_Ocupacion!$D$10:D52,M5_Ocupacion!D52)=1,"Promedio de la actividad y fecha","Observación incluida en promedio")))</f>
        <v/>
      </c>
    </row>
    <row r="848" spans="1:36" ht="55.5" customHeight="1">
      <c r="A848" s="6" t="str">
        <f t="array" ref="A848">IF(844&gt;$S$1204,"",INDEX($T$5:$AJ$1204,MATCH(844,$S$5:$S$1204,0),1))</f>
        <v/>
      </c>
      <c r="B848" s="8" t="str">
        <f t="array" ref="B848">IF(844&gt;$S$1204,"",INDEX($T$5:$AJ$1204,MATCH(844,$S$5:$S$1204,0),2))</f>
        <v/>
      </c>
      <c r="C848" s="10" t="str">
        <f t="array" ref="C848">IF(844&gt;$S$1204,"",INDEX($T$5:$AJ$1204,MATCH(844,$S$5:$S$1204,0),3))</f>
        <v/>
      </c>
      <c r="D848" s="8" t="str">
        <f t="array" ref="D848">IF(844&gt;$S$1204,"",INDEX($T$5:$AJ$1204,MATCH(844,$S$5:$S$1204,0),4))</f>
        <v/>
      </c>
      <c r="E848" s="8" t="str">
        <f t="array" ref="E848">IF(844&gt;$S$1204,"",INDEX($T$5:$AJ$1204,MATCH(844,$S$5:$S$1204,0),5))</f>
        <v/>
      </c>
      <c r="F848" s="8" t="str">
        <f t="array" ref="F848">IF(844&gt;$S$1204,"",INDEX($T$5:$AJ$1204,MATCH(844,$S$5:$S$1204,0),6))</f>
        <v/>
      </c>
      <c r="G848" s="8" t="str">
        <f t="array" ref="G848">IF(844&gt;$S$1204,"",INDEX($T$5:$AJ$1204,MATCH(844,$S$5:$S$1204,0),7))</f>
        <v/>
      </c>
      <c r="H848" s="8" t="str">
        <f t="array" ref="H848">IF(844&gt;$S$1204,"",INDEX($T$5:$AJ$1204,MATCH(844,$S$5:$S$1204,0),8))</f>
        <v/>
      </c>
      <c r="I848" s="8" t="str">
        <f t="array" ref="I848">IF(844&gt;$S$1204,"",INDEX($T$5:$AJ$1204,MATCH(844,$S$5:$S$1204,0),9))</f>
        <v/>
      </c>
      <c r="J848" s="14" t="str">
        <f t="array" ref="J848">IF(844&gt;$S$1204,"",INDEX($T$5:$AJ$1204,MATCH(844,$S$5:$S$1204,0),10))</f>
        <v/>
      </c>
      <c r="K848" s="8" t="str">
        <f t="array" ref="K848">IF(844&gt;$S$1204,"",INDEX($T$5:$AJ$1204,MATCH(844,$S$5:$S$1204,0),11))</f>
        <v/>
      </c>
      <c r="L848" s="8" t="str">
        <f t="array" ref="L848">IF(844&gt;$S$1204,"",INDEX($T$5:$AJ$1204,MATCH(844,$S$5:$S$1204,0),12))</f>
        <v/>
      </c>
      <c r="M848" s="8" t="str">
        <f t="array" ref="M848">IF(844&gt;$S$1204,"",INDEX($T$5:$AJ$1204,MATCH(844,$S$5:$S$1204,0),13))</f>
        <v/>
      </c>
      <c r="N848" s="8" t="str">
        <f t="array" ref="N848">IF(844&gt;$S$1204,"",INDEX($T$5:$AJ$1204,MATCH(844,$S$5:$S$1204,0),14))</f>
        <v/>
      </c>
      <c r="O848" s="15" t="str">
        <f t="array" ref="O848">IF(844&gt;$S$1204,"",INDEX($T$5:$AJ$1204,MATCH(844,$S$5:$S$1204,0),15))</f>
        <v/>
      </c>
      <c r="P848" s="8" t="str">
        <f t="array" ref="P848">IF(844&gt;$S$1204,"",INDEX($T$5:$AJ$1204,MATCH(844,$S$5:$S$1204,0),16))</f>
        <v/>
      </c>
      <c r="Q848" s="8" t="str">
        <f t="array" ref="Q848">IF(844&gt;$S$1204,"",INDEX($T$5:$AJ$1204,MATCH(844,$S$5:$S$1204,0),17))</f>
        <v/>
      </c>
      <c r="R848" s="17"/>
      <c r="S848" s="17">
        <f>S847+IF(M5_Ocupacion!A53="",0,1)</f>
        <v>0</v>
      </c>
      <c r="T848" s="17" t="str">
        <f>IF(M5_Ocupacion!A53="","",IF(M5_Ocupacion!A53="","",M5_Ocupacion!A53))</f>
        <v/>
      </c>
      <c r="U848" s="17" t="str">
        <f>IF(M5_Ocupacion!A53="","",IF(M5_Ocupacion!R53="","",M5_Ocupacion!R53))</f>
        <v/>
      </c>
      <c r="V848" s="17" t="str">
        <f>IF(M5_Ocupacion!A53="","",IF(M5_Ocupacion!D53="","",M5_Ocupacion!D53))</f>
        <v/>
      </c>
      <c r="W848" s="17" t="str">
        <f>IF(M5_Ocupacion!A53="","",IF(M5_Ocupacion!B53="","",M5_Ocupacion!B53))</f>
        <v/>
      </c>
      <c r="X848" s="17" t="str">
        <f>IF(M5_Ocupacion!A53="","",IF(M5_Ocupacion!C53="","",M5_Ocupacion!C53))</f>
        <v/>
      </c>
      <c r="Y848" s="17" t="str">
        <f>IF(M5_Ocupacion!A53="","",IF(M5_Ocupacion!E53="","",M5_Ocupacion!E53))</f>
        <v/>
      </c>
      <c r="Z848" s="17" t="str">
        <f>IF(M5_Ocupacion!A53="","",IF(M5_Ocupacion!F53="","",M5_Ocupacion!F53))</f>
        <v/>
      </c>
      <c r="AA848" s="17" t="str">
        <f>IF(M5_Ocupacion!A53="","","M5 Ocupación")</f>
        <v/>
      </c>
      <c r="AB848" s="17" t="str">
        <f>IF(M5_Ocupacion!A53="","",IF(M5_Ocupacion!G53="","",M5_Ocupacion!G53))</f>
        <v/>
      </c>
      <c r="AC848" s="17" t="str">
        <f>IF(M5_Ocupacion!A53="","",IF(COUNTIFS(M5_Ocupacion!$A$10:A53,M5_Ocupacion!A53,M5_Ocupacion!$D$10:D53,M5_Ocupacion!D53)=1,IF(M5_Ocupacion!M53="","",M5_Ocupacion!M53),""))</f>
        <v/>
      </c>
      <c r="AD848" s="17" t="str">
        <f>IF(M5_Ocupacion!A53="","","MO")</f>
        <v/>
      </c>
      <c r="AE848" s="17" t="str">
        <f>IF(M5_Ocupacion!A53="","",IF(M5_Ocupacion!O53="","",M5_Ocupacion!O53))</f>
        <v/>
      </c>
      <c r="AF848" s="17" t="str">
        <f>IF(M5_Ocupacion!A53="","",IF(M5_Ocupacion!P53="","",M5_Ocupacion!P53))</f>
        <v/>
      </c>
      <c r="AG848" s="17" t="str">
        <f>IF(M5_Ocupacion!A53="","",IF(M5_Ocupacion!Q53="","",M5_Ocupacion!Q53))</f>
        <v/>
      </c>
      <c r="AH848" s="17" t="str">
        <f>IF(M5_Ocupacion!A53="","",IF(M5_Ocupacion!J53="","",M5_Ocupacion!J53))</f>
        <v/>
      </c>
      <c r="AI848" s="17" t="str">
        <f>IF(M5_Ocupacion!A53="","","M5_Ocupacion!53")</f>
        <v/>
      </c>
      <c r="AJ848" s="17" t="str">
        <f>IF(M5_Ocupacion!A53="","",IF(M5_Ocupacion!M53="","Pendiente de medición completa",IF(COUNTIFS(M5_Ocupacion!$A$10:A53,M5_Ocupacion!A53,M5_Ocupacion!$D$10:D53,M5_Ocupacion!D53)=1,"Promedio de la actividad y fecha","Observación incluida en promedio")))</f>
        <v/>
      </c>
    </row>
    <row r="849" spans="1:36" ht="55.5" customHeight="1">
      <c r="A849" s="6" t="str">
        <f t="array" ref="A849">IF(845&gt;$S$1204,"",INDEX($T$5:$AJ$1204,MATCH(845,$S$5:$S$1204,0),1))</f>
        <v/>
      </c>
      <c r="B849" s="8" t="str">
        <f t="array" ref="B849">IF(845&gt;$S$1204,"",INDEX($T$5:$AJ$1204,MATCH(845,$S$5:$S$1204,0),2))</f>
        <v/>
      </c>
      <c r="C849" s="10" t="str">
        <f t="array" ref="C849">IF(845&gt;$S$1204,"",INDEX($T$5:$AJ$1204,MATCH(845,$S$5:$S$1204,0),3))</f>
        <v/>
      </c>
      <c r="D849" s="8" t="str">
        <f t="array" ref="D849">IF(845&gt;$S$1204,"",INDEX($T$5:$AJ$1204,MATCH(845,$S$5:$S$1204,0),4))</f>
        <v/>
      </c>
      <c r="E849" s="8" t="str">
        <f t="array" ref="E849">IF(845&gt;$S$1204,"",INDEX($T$5:$AJ$1204,MATCH(845,$S$5:$S$1204,0),5))</f>
        <v/>
      </c>
      <c r="F849" s="8" t="str">
        <f t="array" ref="F849">IF(845&gt;$S$1204,"",INDEX($T$5:$AJ$1204,MATCH(845,$S$5:$S$1204,0),6))</f>
        <v/>
      </c>
      <c r="G849" s="8" t="str">
        <f t="array" ref="G849">IF(845&gt;$S$1204,"",INDEX($T$5:$AJ$1204,MATCH(845,$S$5:$S$1204,0),7))</f>
        <v/>
      </c>
      <c r="H849" s="8" t="str">
        <f t="array" ref="H849">IF(845&gt;$S$1204,"",INDEX($T$5:$AJ$1204,MATCH(845,$S$5:$S$1204,0),8))</f>
        <v/>
      </c>
      <c r="I849" s="8" t="str">
        <f t="array" ref="I849">IF(845&gt;$S$1204,"",INDEX($T$5:$AJ$1204,MATCH(845,$S$5:$S$1204,0),9))</f>
        <v/>
      </c>
      <c r="J849" s="14" t="str">
        <f t="array" ref="J849">IF(845&gt;$S$1204,"",INDEX($T$5:$AJ$1204,MATCH(845,$S$5:$S$1204,0),10))</f>
        <v/>
      </c>
      <c r="K849" s="8" t="str">
        <f t="array" ref="K849">IF(845&gt;$S$1204,"",INDEX($T$5:$AJ$1204,MATCH(845,$S$5:$S$1204,0),11))</f>
        <v/>
      </c>
      <c r="L849" s="8" t="str">
        <f t="array" ref="L849">IF(845&gt;$S$1204,"",INDEX($T$5:$AJ$1204,MATCH(845,$S$5:$S$1204,0),12))</f>
        <v/>
      </c>
      <c r="M849" s="8" t="str">
        <f t="array" ref="M849">IF(845&gt;$S$1204,"",INDEX($T$5:$AJ$1204,MATCH(845,$S$5:$S$1204,0),13))</f>
        <v/>
      </c>
      <c r="N849" s="8" t="str">
        <f t="array" ref="N849">IF(845&gt;$S$1204,"",INDEX($T$5:$AJ$1204,MATCH(845,$S$5:$S$1204,0),14))</f>
        <v/>
      </c>
      <c r="O849" s="15" t="str">
        <f t="array" ref="O849">IF(845&gt;$S$1204,"",INDEX($T$5:$AJ$1204,MATCH(845,$S$5:$S$1204,0),15))</f>
        <v/>
      </c>
      <c r="P849" s="8" t="str">
        <f t="array" ref="P849">IF(845&gt;$S$1204,"",INDEX($T$5:$AJ$1204,MATCH(845,$S$5:$S$1204,0),16))</f>
        <v/>
      </c>
      <c r="Q849" s="8" t="str">
        <f t="array" ref="Q849">IF(845&gt;$S$1204,"",INDEX($T$5:$AJ$1204,MATCH(845,$S$5:$S$1204,0),17))</f>
        <v/>
      </c>
      <c r="R849" s="17"/>
      <c r="S849" s="17">
        <f>S848+IF(M5_Ocupacion!A54="",0,1)</f>
        <v>0</v>
      </c>
      <c r="T849" s="17" t="str">
        <f>IF(M5_Ocupacion!A54="","",IF(M5_Ocupacion!A54="","",M5_Ocupacion!A54))</f>
        <v/>
      </c>
      <c r="U849" s="17" t="str">
        <f>IF(M5_Ocupacion!A54="","",IF(M5_Ocupacion!R54="","",M5_Ocupacion!R54))</f>
        <v/>
      </c>
      <c r="V849" s="17" t="str">
        <f>IF(M5_Ocupacion!A54="","",IF(M5_Ocupacion!D54="","",M5_Ocupacion!D54))</f>
        <v/>
      </c>
      <c r="W849" s="17" t="str">
        <f>IF(M5_Ocupacion!A54="","",IF(M5_Ocupacion!B54="","",M5_Ocupacion!B54))</f>
        <v/>
      </c>
      <c r="X849" s="17" t="str">
        <f>IF(M5_Ocupacion!A54="","",IF(M5_Ocupacion!C54="","",M5_Ocupacion!C54))</f>
        <v/>
      </c>
      <c r="Y849" s="17" t="str">
        <f>IF(M5_Ocupacion!A54="","",IF(M5_Ocupacion!E54="","",M5_Ocupacion!E54))</f>
        <v/>
      </c>
      <c r="Z849" s="17" t="str">
        <f>IF(M5_Ocupacion!A54="","",IF(M5_Ocupacion!F54="","",M5_Ocupacion!F54))</f>
        <v/>
      </c>
      <c r="AA849" s="17" t="str">
        <f>IF(M5_Ocupacion!A54="","","M5 Ocupación")</f>
        <v/>
      </c>
      <c r="AB849" s="17" t="str">
        <f>IF(M5_Ocupacion!A54="","",IF(M5_Ocupacion!G54="","",M5_Ocupacion!G54))</f>
        <v/>
      </c>
      <c r="AC849" s="17" t="str">
        <f>IF(M5_Ocupacion!A54="","",IF(COUNTIFS(M5_Ocupacion!$A$10:A54,M5_Ocupacion!A54,M5_Ocupacion!$D$10:D54,M5_Ocupacion!D54)=1,IF(M5_Ocupacion!M54="","",M5_Ocupacion!M54),""))</f>
        <v/>
      </c>
      <c r="AD849" s="17" t="str">
        <f>IF(M5_Ocupacion!A54="","","MO")</f>
        <v/>
      </c>
      <c r="AE849" s="17" t="str">
        <f>IF(M5_Ocupacion!A54="","",IF(M5_Ocupacion!O54="","",M5_Ocupacion!O54))</f>
        <v/>
      </c>
      <c r="AF849" s="17" t="str">
        <f>IF(M5_Ocupacion!A54="","",IF(M5_Ocupacion!P54="","",M5_Ocupacion!P54))</f>
        <v/>
      </c>
      <c r="AG849" s="17" t="str">
        <f>IF(M5_Ocupacion!A54="","",IF(M5_Ocupacion!Q54="","",M5_Ocupacion!Q54))</f>
        <v/>
      </c>
      <c r="AH849" s="17" t="str">
        <f>IF(M5_Ocupacion!A54="","",IF(M5_Ocupacion!J54="","",M5_Ocupacion!J54))</f>
        <v/>
      </c>
      <c r="AI849" s="17" t="str">
        <f>IF(M5_Ocupacion!A54="","","M5_Ocupacion!54")</f>
        <v/>
      </c>
      <c r="AJ849" s="17" t="str">
        <f>IF(M5_Ocupacion!A54="","",IF(M5_Ocupacion!M54="","Pendiente de medición completa",IF(COUNTIFS(M5_Ocupacion!$A$10:A54,M5_Ocupacion!A54,M5_Ocupacion!$D$10:D54,M5_Ocupacion!D54)=1,"Promedio de la actividad y fecha","Observación incluida en promedio")))</f>
        <v/>
      </c>
    </row>
    <row r="850" spans="1:36" ht="55.5" customHeight="1">
      <c r="A850" s="6" t="str">
        <f t="array" ref="A850">IF(846&gt;$S$1204,"",INDEX($T$5:$AJ$1204,MATCH(846,$S$5:$S$1204,0),1))</f>
        <v/>
      </c>
      <c r="B850" s="8" t="str">
        <f t="array" ref="B850">IF(846&gt;$S$1204,"",INDEX($T$5:$AJ$1204,MATCH(846,$S$5:$S$1204,0),2))</f>
        <v/>
      </c>
      <c r="C850" s="10" t="str">
        <f t="array" ref="C850">IF(846&gt;$S$1204,"",INDEX($T$5:$AJ$1204,MATCH(846,$S$5:$S$1204,0),3))</f>
        <v/>
      </c>
      <c r="D850" s="8" t="str">
        <f t="array" ref="D850">IF(846&gt;$S$1204,"",INDEX($T$5:$AJ$1204,MATCH(846,$S$5:$S$1204,0),4))</f>
        <v/>
      </c>
      <c r="E850" s="8" t="str">
        <f t="array" ref="E850">IF(846&gt;$S$1204,"",INDEX($T$5:$AJ$1204,MATCH(846,$S$5:$S$1204,0),5))</f>
        <v/>
      </c>
      <c r="F850" s="8" t="str">
        <f t="array" ref="F850">IF(846&gt;$S$1204,"",INDEX($T$5:$AJ$1204,MATCH(846,$S$5:$S$1204,0),6))</f>
        <v/>
      </c>
      <c r="G850" s="8" t="str">
        <f t="array" ref="G850">IF(846&gt;$S$1204,"",INDEX($T$5:$AJ$1204,MATCH(846,$S$5:$S$1204,0),7))</f>
        <v/>
      </c>
      <c r="H850" s="8" t="str">
        <f t="array" ref="H850">IF(846&gt;$S$1204,"",INDEX($T$5:$AJ$1204,MATCH(846,$S$5:$S$1204,0),8))</f>
        <v/>
      </c>
      <c r="I850" s="8" t="str">
        <f t="array" ref="I850">IF(846&gt;$S$1204,"",INDEX($T$5:$AJ$1204,MATCH(846,$S$5:$S$1204,0),9))</f>
        <v/>
      </c>
      <c r="J850" s="14" t="str">
        <f t="array" ref="J850">IF(846&gt;$S$1204,"",INDEX($T$5:$AJ$1204,MATCH(846,$S$5:$S$1204,0),10))</f>
        <v/>
      </c>
      <c r="K850" s="8" t="str">
        <f t="array" ref="K850">IF(846&gt;$S$1204,"",INDEX($T$5:$AJ$1204,MATCH(846,$S$5:$S$1204,0),11))</f>
        <v/>
      </c>
      <c r="L850" s="8" t="str">
        <f t="array" ref="L850">IF(846&gt;$S$1204,"",INDEX($T$5:$AJ$1204,MATCH(846,$S$5:$S$1204,0),12))</f>
        <v/>
      </c>
      <c r="M850" s="8" t="str">
        <f t="array" ref="M850">IF(846&gt;$S$1204,"",INDEX($T$5:$AJ$1204,MATCH(846,$S$5:$S$1204,0),13))</f>
        <v/>
      </c>
      <c r="N850" s="8" t="str">
        <f t="array" ref="N850">IF(846&gt;$S$1204,"",INDEX($T$5:$AJ$1204,MATCH(846,$S$5:$S$1204,0),14))</f>
        <v/>
      </c>
      <c r="O850" s="15" t="str">
        <f t="array" ref="O850">IF(846&gt;$S$1204,"",INDEX($T$5:$AJ$1204,MATCH(846,$S$5:$S$1204,0),15))</f>
        <v/>
      </c>
      <c r="P850" s="8" t="str">
        <f t="array" ref="P850">IF(846&gt;$S$1204,"",INDEX($T$5:$AJ$1204,MATCH(846,$S$5:$S$1204,0),16))</f>
        <v/>
      </c>
      <c r="Q850" s="8" t="str">
        <f t="array" ref="Q850">IF(846&gt;$S$1204,"",INDEX($T$5:$AJ$1204,MATCH(846,$S$5:$S$1204,0),17))</f>
        <v/>
      </c>
      <c r="R850" s="17"/>
      <c r="S850" s="17">
        <f>S849+IF(M5_Ocupacion!A55="",0,1)</f>
        <v>0</v>
      </c>
      <c r="T850" s="17" t="str">
        <f>IF(M5_Ocupacion!A55="","",IF(M5_Ocupacion!A55="","",M5_Ocupacion!A55))</f>
        <v/>
      </c>
      <c r="U850" s="17" t="str">
        <f>IF(M5_Ocupacion!A55="","",IF(M5_Ocupacion!R55="","",M5_Ocupacion!R55))</f>
        <v/>
      </c>
      <c r="V850" s="17" t="str">
        <f>IF(M5_Ocupacion!A55="","",IF(M5_Ocupacion!D55="","",M5_Ocupacion!D55))</f>
        <v/>
      </c>
      <c r="W850" s="17" t="str">
        <f>IF(M5_Ocupacion!A55="","",IF(M5_Ocupacion!B55="","",M5_Ocupacion!B55))</f>
        <v/>
      </c>
      <c r="X850" s="17" t="str">
        <f>IF(M5_Ocupacion!A55="","",IF(M5_Ocupacion!C55="","",M5_Ocupacion!C55))</f>
        <v/>
      </c>
      <c r="Y850" s="17" t="str">
        <f>IF(M5_Ocupacion!A55="","",IF(M5_Ocupacion!E55="","",M5_Ocupacion!E55))</f>
        <v/>
      </c>
      <c r="Z850" s="17" t="str">
        <f>IF(M5_Ocupacion!A55="","",IF(M5_Ocupacion!F55="","",M5_Ocupacion!F55))</f>
        <v/>
      </c>
      <c r="AA850" s="17" t="str">
        <f>IF(M5_Ocupacion!A55="","","M5 Ocupación")</f>
        <v/>
      </c>
      <c r="AB850" s="17" t="str">
        <f>IF(M5_Ocupacion!A55="","",IF(M5_Ocupacion!G55="","",M5_Ocupacion!G55))</f>
        <v/>
      </c>
      <c r="AC850" s="17" t="str">
        <f>IF(M5_Ocupacion!A55="","",IF(COUNTIFS(M5_Ocupacion!$A$10:A55,M5_Ocupacion!A55,M5_Ocupacion!$D$10:D55,M5_Ocupacion!D55)=1,IF(M5_Ocupacion!M55="","",M5_Ocupacion!M55),""))</f>
        <v/>
      </c>
      <c r="AD850" s="17" t="str">
        <f>IF(M5_Ocupacion!A55="","","MO")</f>
        <v/>
      </c>
      <c r="AE850" s="17" t="str">
        <f>IF(M5_Ocupacion!A55="","",IF(M5_Ocupacion!O55="","",M5_Ocupacion!O55))</f>
        <v/>
      </c>
      <c r="AF850" s="17" t="str">
        <f>IF(M5_Ocupacion!A55="","",IF(M5_Ocupacion!P55="","",M5_Ocupacion!P55))</f>
        <v/>
      </c>
      <c r="AG850" s="17" t="str">
        <f>IF(M5_Ocupacion!A55="","",IF(M5_Ocupacion!Q55="","",M5_Ocupacion!Q55))</f>
        <v/>
      </c>
      <c r="AH850" s="17" t="str">
        <f>IF(M5_Ocupacion!A55="","",IF(M5_Ocupacion!J55="","",M5_Ocupacion!J55))</f>
        <v/>
      </c>
      <c r="AI850" s="17" t="str">
        <f>IF(M5_Ocupacion!A55="","","M5_Ocupacion!55")</f>
        <v/>
      </c>
      <c r="AJ850" s="17" t="str">
        <f>IF(M5_Ocupacion!A55="","",IF(M5_Ocupacion!M55="","Pendiente de medición completa",IF(COUNTIFS(M5_Ocupacion!$A$10:A55,M5_Ocupacion!A55,M5_Ocupacion!$D$10:D55,M5_Ocupacion!D55)=1,"Promedio de la actividad y fecha","Observación incluida en promedio")))</f>
        <v/>
      </c>
    </row>
    <row r="851" spans="1:36" ht="55.5" customHeight="1">
      <c r="A851" s="6" t="str">
        <f t="array" ref="A851">IF(847&gt;$S$1204,"",INDEX($T$5:$AJ$1204,MATCH(847,$S$5:$S$1204,0),1))</f>
        <v/>
      </c>
      <c r="B851" s="8" t="str">
        <f t="array" ref="B851">IF(847&gt;$S$1204,"",INDEX($T$5:$AJ$1204,MATCH(847,$S$5:$S$1204,0),2))</f>
        <v/>
      </c>
      <c r="C851" s="10" t="str">
        <f t="array" ref="C851">IF(847&gt;$S$1204,"",INDEX($T$5:$AJ$1204,MATCH(847,$S$5:$S$1204,0),3))</f>
        <v/>
      </c>
      <c r="D851" s="8" t="str">
        <f t="array" ref="D851">IF(847&gt;$S$1204,"",INDEX($T$5:$AJ$1204,MATCH(847,$S$5:$S$1204,0),4))</f>
        <v/>
      </c>
      <c r="E851" s="8" t="str">
        <f t="array" ref="E851">IF(847&gt;$S$1204,"",INDEX($T$5:$AJ$1204,MATCH(847,$S$5:$S$1204,0),5))</f>
        <v/>
      </c>
      <c r="F851" s="8" t="str">
        <f t="array" ref="F851">IF(847&gt;$S$1204,"",INDEX($T$5:$AJ$1204,MATCH(847,$S$5:$S$1204,0),6))</f>
        <v/>
      </c>
      <c r="G851" s="8" t="str">
        <f t="array" ref="G851">IF(847&gt;$S$1204,"",INDEX($T$5:$AJ$1204,MATCH(847,$S$5:$S$1204,0),7))</f>
        <v/>
      </c>
      <c r="H851" s="8" t="str">
        <f t="array" ref="H851">IF(847&gt;$S$1204,"",INDEX($T$5:$AJ$1204,MATCH(847,$S$5:$S$1204,0),8))</f>
        <v/>
      </c>
      <c r="I851" s="8" t="str">
        <f t="array" ref="I851">IF(847&gt;$S$1204,"",INDEX($T$5:$AJ$1204,MATCH(847,$S$5:$S$1204,0),9))</f>
        <v/>
      </c>
      <c r="J851" s="14" t="str">
        <f t="array" ref="J851">IF(847&gt;$S$1204,"",INDEX($T$5:$AJ$1204,MATCH(847,$S$5:$S$1204,0),10))</f>
        <v/>
      </c>
      <c r="K851" s="8" t="str">
        <f t="array" ref="K851">IF(847&gt;$S$1204,"",INDEX($T$5:$AJ$1204,MATCH(847,$S$5:$S$1204,0),11))</f>
        <v/>
      </c>
      <c r="L851" s="8" t="str">
        <f t="array" ref="L851">IF(847&gt;$S$1204,"",INDEX($T$5:$AJ$1204,MATCH(847,$S$5:$S$1204,0),12))</f>
        <v/>
      </c>
      <c r="M851" s="8" t="str">
        <f t="array" ref="M851">IF(847&gt;$S$1204,"",INDEX($T$5:$AJ$1204,MATCH(847,$S$5:$S$1204,0),13))</f>
        <v/>
      </c>
      <c r="N851" s="8" t="str">
        <f t="array" ref="N851">IF(847&gt;$S$1204,"",INDEX($T$5:$AJ$1204,MATCH(847,$S$5:$S$1204,0),14))</f>
        <v/>
      </c>
      <c r="O851" s="15" t="str">
        <f t="array" ref="O851">IF(847&gt;$S$1204,"",INDEX($T$5:$AJ$1204,MATCH(847,$S$5:$S$1204,0),15))</f>
        <v/>
      </c>
      <c r="P851" s="8" t="str">
        <f t="array" ref="P851">IF(847&gt;$S$1204,"",INDEX($T$5:$AJ$1204,MATCH(847,$S$5:$S$1204,0),16))</f>
        <v/>
      </c>
      <c r="Q851" s="8" t="str">
        <f t="array" ref="Q851">IF(847&gt;$S$1204,"",INDEX($T$5:$AJ$1204,MATCH(847,$S$5:$S$1204,0),17))</f>
        <v/>
      </c>
      <c r="R851" s="17"/>
      <c r="S851" s="17">
        <f>S850+IF(M5_Ocupacion!A56="",0,1)</f>
        <v>0</v>
      </c>
      <c r="T851" s="17" t="str">
        <f>IF(M5_Ocupacion!A56="","",IF(M5_Ocupacion!A56="","",M5_Ocupacion!A56))</f>
        <v/>
      </c>
      <c r="U851" s="17" t="str">
        <f>IF(M5_Ocupacion!A56="","",IF(M5_Ocupacion!R56="","",M5_Ocupacion!R56))</f>
        <v/>
      </c>
      <c r="V851" s="17" t="str">
        <f>IF(M5_Ocupacion!A56="","",IF(M5_Ocupacion!D56="","",M5_Ocupacion!D56))</f>
        <v/>
      </c>
      <c r="W851" s="17" t="str">
        <f>IF(M5_Ocupacion!A56="","",IF(M5_Ocupacion!B56="","",M5_Ocupacion!B56))</f>
        <v/>
      </c>
      <c r="X851" s="17" t="str">
        <f>IF(M5_Ocupacion!A56="","",IF(M5_Ocupacion!C56="","",M5_Ocupacion!C56))</f>
        <v/>
      </c>
      <c r="Y851" s="17" t="str">
        <f>IF(M5_Ocupacion!A56="","",IF(M5_Ocupacion!E56="","",M5_Ocupacion!E56))</f>
        <v/>
      </c>
      <c r="Z851" s="17" t="str">
        <f>IF(M5_Ocupacion!A56="","",IF(M5_Ocupacion!F56="","",M5_Ocupacion!F56))</f>
        <v/>
      </c>
      <c r="AA851" s="17" t="str">
        <f>IF(M5_Ocupacion!A56="","","M5 Ocupación")</f>
        <v/>
      </c>
      <c r="AB851" s="17" t="str">
        <f>IF(M5_Ocupacion!A56="","",IF(M5_Ocupacion!G56="","",M5_Ocupacion!G56))</f>
        <v/>
      </c>
      <c r="AC851" s="17" t="str">
        <f>IF(M5_Ocupacion!A56="","",IF(COUNTIFS(M5_Ocupacion!$A$10:A56,M5_Ocupacion!A56,M5_Ocupacion!$D$10:D56,M5_Ocupacion!D56)=1,IF(M5_Ocupacion!M56="","",M5_Ocupacion!M56),""))</f>
        <v/>
      </c>
      <c r="AD851" s="17" t="str">
        <f>IF(M5_Ocupacion!A56="","","MO")</f>
        <v/>
      </c>
      <c r="AE851" s="17" t="str">
        <f>IF(M5_Ocupacion!A56="","",IF(M5_Ocupacion!O56="","",M5_Ocupacion!O56))</f>
        <v/>
      </c>
      <c r="AF851" s="17" t="str">
        <f>IF(M5_Ocupacion!A56="","",IF(M5_Ocupacion!P56="","",M5_Ocupacion!P56))</f>
        <v/>
      </c>
      <c r="AG851" s="17" t="str">
        <f>IF(M5_Ocupacion!A56="","",IF(M5_Ocupacion!Q56="","",M5_Ocupacion!Q56))</f>
        <v/>
      </c>
      <c r="AH851" s="17" t="str">
        <f>IF(M5_Ocupacion!A56="","",IF(M5_Ocupacion!J56="","",M5_Ocupacion!J56))</f>
        <v/>
      </c>
      <c r="AI851" s="17" t="str">
        <f>IF(M5_Ocupacion!A56="","","M5_Ocupacion!56")</f>
        <v/>
      </c>
      <c r="AJ851" s="17" t="str">
        <f>IF(M5_Ocupacion!A56="","",IF(M5_Ocupacion!M56="","Pendiente de medición completa",IF(COUNTIFS(M5_Ocupacion!$A$10:A56,M5_Ocupacion!A56,M5_Ocupacion!$D$10:D56,M5_Ocupacion!D56)=1,"Promedio de la actividad y fecha","Observación incluida en promedio")))</f>
        <v/>
      </c>
    </row>
    <row r="852" spans="1:36" ht="55.5" customHeight="1">
      <c r="A852" s="6" t="str">
        <f t="array" ref="A852">IF(848&gt;$S$1204,"",INDEX($T$5:$AJ$1204,MATCH(848,$S$5:$S$1204,0),1))</f>
        <v/>
      </c>
      <c r="B852" s="8" t="str">
        <f t="array" ref="B852">IF(848&gt;$S$1204,"",INDEX($T$5:$AJ$1204,MATCH(848,$S$5:$S$1204,0),2))</f>
        <v/>
      </c>
      <c r="C852" s="10" t="str">
        <f t="array" ref="C852">IF(848&gt;$S$1204,"",INDEX($T$5:$AJ$1204,MATCH(848,$S$5:$S$1204,0),3))</f>
        <v/>
      </c>
      <c r="D852" s="8" t="str">
        <f t="array" ref="D852">IF(848&gt;$S$1204,"",INDEX($T$5:$AJ$1204,MATCH(848,$S$5:$S$1204,0),4))</f>
        <v/>
      </c>
      <c r="E852" s="8" t="str">
        <f t="array" ref="E852">IF(848&gt;$S$1204,"",INDEX($T$5:$AJ$1204,MATCH(848,$S$5:$S$1204,0),5))</f>
        <v/>
      </c>
      <c r="F852" s="8" t="str">
        <f t="array" ref="F852">IF(848&gt;$S$1204,"",INDEX($T$5:$AJ$1204,MATCH(848,$S$5:$S$1204,0),6))</f>
        <v/>
      </c>
      <c r="G852" s="8" t="str">
        <f t="array" ref="G852">IF(848&gt;$S$1204,"",INDEX($T$5:$AJ$1204,MATCH(848,$S$5:$S$1204,0),7))</f>
        <v/>
      </c>
      <c r="H852" s="8" t="str">
        <f t="array" ref="H852">IF(848&gt;$S$1204,"",INDEX($T$5:$AJ$1204,MATCH(848,$S$5:$S$1204,0),8))</f>
        <v/>
      </c>
      <c r="I852" s="8" t="str">
        <f t="array" ref="I852">IF(848&gt;$S$1204,"",INDEX($T$5:$AJ$1204,MATCH(848,$S$5:$S$1204,0),9))</f>
        <v/>
      </c>
      <c r="J852" s="14" t="str">
        <f t="array" ref="J852">IF(848&gt;$S$1204,"",INDEX($T$5:$AJ$1204,MATCH(848,$S$5:$S$1204,0),10))</f>
        <v/>
      </c>
      <c r="K852" s="8" t="str">
        <f t="array" ref="K852">IF(848&gt;$S$1204,"",INDEX($T$5:$AJ$1204,MATCH(848,$S$5:$S$1204,0),11))</f>
        <v/>
      </c>
      <c r="L852" s="8" t="str">
        <f t="array" ref="L852">IF(848&gt;$S$1204,"",INDEX($T$5:$AJ$1204,MATCH(848,$S$5:$S$1204,0),12))</f>
        <v/>
      </c>
      <c r="M852" s="8" t="str">
        <f t="array" ref="M852">IF(848&gt;$S$1204,"",INDEX($T$5:$AJ$1204,MATCH(848,$S$5:$S$1204,0),13))</f>
        <v/>
      </c>
      <c r="N852" s="8" t="str">
        <f t="array" ref="N852">IF(848&gt;$S$1204,"",INDEX($T$5:$AJ$1204,MATCH(848,$S$5:$S$1204,0),14))</f>
        <v/>
      </c>
      <c r="O852" s="15" t="str">
        <f t="array" ref="O852">IF(848&gt;$S$1204,"",INDEX($T$5:$AJ$1204,MATCH(848,$S$5:$S$1204,0),15))</f>
        <v/>
      </c>
      <c r="P852" s="8" t="str">
        <f t="array" ref="P852">IF(848&gt;$S$1204,"",INDEX($T$5:$AJ$1204,MATCH(848,$S$5:$S$1204,0),16))</f>
        <v/>
      </c>
      <c r="Q852" s="8" t="str">
        <f t="array" ref="Q852">IF(848&gt;$S$1204,"",INDEX($T$5:$AJ$1204,MATCH(848,$S$5:$S$1204,0),17))</f>
        <v/>
      </c>
      <c r="R852" s="17"/>
      <c r="S852" s="17">
        <f>S851+IF(M5_Ocupacion!A57="",0,1)</f>
        <v>0</v>
      </c>
      <c r="T852" s="17" t="str">
        <f>IF(M5_Ocupacion!A57="","",IF(M5_Ocupacion!A57="","",M5_Ocupacion!A57))</f>
        <v/>
      </c>
      <c r="U852" s="17" t="str">
        <f>IF(M5_Ocupacion!A57="","",IF(M5_Ocupacion!R57="","",M5_Ocupacion!R57))</f>
        <v/>
      </c>
      <c r="V852" s="17" t="str">
        <f>IF(M5_Ocupacion!A57="","",IF(M5_Ocupacion!D57="","",M5_Ocupacion!D57))</f>
        <v/>
      </c>
      <c r="W852" s="17" t="str">
        <f>IF(M5_Ocupacion!A57="","",IF(M5_Ocupacion!B57="","",M5_Ocupacion!B57))</f>
        <v/>
      </c>
      <c r="X852" s="17" t="str">
        <f>IF(M5_Ocupacion!A57="","",IF(M5_Ocupacion!C57="","",M5_Ocupacion!C57))</f>
        <v/>
      </c>
      <c r="Y852" s="17" t="str">
        <f>IF(M5_Ocupacion!A57="","",IF(M5_Ocupacion!E57="","",M5_Ocupacion!E57))</f>
        <v/>
      </c>
      <c r="Z852" s="17" t="str">
        <f>IF(M5_Ocupacion!A57="","",IF(M5_Ocupacion!F57="","",M5_Ocupacion!F57))</f>
        <v/>
      </c>
      <c r="AA852" s="17" t="str">
        <f>IF(M5_Ocupacion!A57="","","M5 Ocupación")</f>
        <v/>
      </c>
      <c r="AB852" s="17" t="str">
        <f>IF(M5_Ocupacion!A57="","",IF(M5_Ocupacion!G57="","",M5_Ocupacion!G57))</f>
        <v/>
      </c>
      <c r="AC852" s="17" t="str">
        <f>IF(M5_Ocupacion!A57="","",IF(COUNTIFS(M5_Ocupacion!$A$10:A57,M5_Ocupacion!A57,M5_Ocupacion!$D$10:D57,M5_Ocupacion!D57)=1,IF(M5_Ocupacion!M57="","",M5_Ocupacion!M57),""))</f>
        <v/>
      </c>
      <c r="AD852" s="17" t="str">
        <f>IF(M5_Ocupacion!A57="","","MO")</f>
        <v/>
      </c>
      <c r="AE852" s="17" t="str">
        <f>IF(M5_Ocupacion!A57="","",IF(M5_Ocupacion!O57="","",M5_Ocupacion!O57))</f>
        <v/>
      </c>
      <c r="AF852" s="17" t="str">
        <f>IF(M5_Ocupacion!A57="","",IF(M5_Ocupacion!P57="","",M5_Ocupacion!P57))</f>
        <v/>
      </c>
      <c r="AG852" s="17" t="str">
        <f>IF(M5_Ocupacion!A57="","",IF(M5_Ocupacion!Q57="","",M5_Ocupacion!Q57))</f>
        <v/>
      </c>
      <c r="AH852" s="17" t="str">
        <f>IF(M5_Ocupacion!A57="","",IF(M5_Ocupacion!J57="","",M5_Ocupacion!J57))</f>
        <v/>
      </c>
      <c r="AI852" s="17" t="str">
        <f>IF(M5_Ocupacion!A57="","","M5_Ocupacion!57")</f>
        <v/>
      </c>
      <c r="AJ852" s="17" t="str">
        <f>IF(M5_Ocupacion!A57="","",IF(M5_Ocupacion!M57="","Pendiente de medición completa",IF(COUNTIFS(M5_Ocupacion!$A$10:A57,M5_Ocupacion!A57,M5_Ocupacion!$D$10:D57,M5_Ocupacion!D57)=1,"Promedio de la actividad y fecha","Observación incluida en promedio")))</f>
        <v/>
      </c>
    </row>
    <row r="853" spans="1:36" ht="55.5" customHeight="1">
      <c r="A853" s="6" t="str">
        <f t="array" ref="A853">IF(849&gt;$S$1204,"",INDEX($T$5:$AJ$1204,MATCH(849,$S$5:$S$1204,0),1))</f>
        <v/>
      </c>
      <c r="B853" s="8" t="str">
        <f t="array" ref="B853">IF(849&gt;$S$1204,"",INDEX($T$5:$AJ$1204,MATCH(849,$S$5:$S$1204,0),2))</f>
        <v/>
      </c>
      <c r="C853" s="10" t="str">
        <f t="array" ref="C853">IF(849&gt;$S$1204,"",INDEX($T$5:$AJ$1204,MATCH(849,$S$5:$S$1204,0),3))</f>
        <v/>
      </c>
      <c r="D853" s="8" t="str">
        <f t="array" ref="D853">IF(849&gt;$S$1204,"",INDEX($T$5:$AJ$1204,MATCH(849,$S$5:$S$1204,0),4))</f>
        <v/>
      </c>
      <c r="E853" s="8" t="str">
        <f t="array" ref="E853">IF(849&gt;$S$1204,"",INDEX($T$5:$AJ$1204,MATCH(849,$S$5:$S$1204,0),5))</f>
        <v/>
      </c>
      <c r="F853" s="8" t="str">
        <f t="array" ref="F853">IF(849&gt;$S$1204,"",INDEX($T$5:$AJ$1204,MATCH(849,$S$5:$S$1204,0),6))</f>
        <v/>
      </c>
      <c r="G853" s="8" t="str">
        <f t="array" ref="G853">IF(849&gt;$S$1204,"",INDEX($T$5:$AJ$1204,MATCH(849,$S$5:$S$1204,0),7))</f>
        <v/>
      </c>
      <c r="H853" s="8" t="str">
        <f t="array" ref="H853">IF(849&gt;$S$1204,"",INDEX($T$5:$AJ$1204,MATCH(849,$S$5:$S$1204,0),8))</f>
        <v/>
      </c>
      <c r="I853" s="8" t="str">
        <f t="array" ref="I853">IF(849&gt;$S$1204,"",INDEX($T$5:$AJ$1204,MATCH(849,$S$5:$S$1204,0),9))</f>
        <v/>
      </c>
      <c r="J853" s="14" t="str">
        <f t="array" ref="J853">IF(849&gt;$S$1204,"",INDEX($T$5:$AJ$1204,MATCH(849,$S$5:$S$1204,0),10))</f>
        <v/>
      </c>
      <c r="K853" s="8" t="str">
        <f t="array" ref="K853">IF(849&gt;$S$1204,"",INDEX($T$5:$AJ$1204,MATCH(849,$S$5:$S$1204,0),11))</f>
        <v/>
      </c>
      <c r="L853" s="8" t="str">
        <f t="array" ref="L853">IF(849&gt;$S$1204,"",INDEX($T$5:$AJ$1204,MATCH(849,$S$5:$S$1204,0),12))</f>
        <v/>
      </c>
      <c r="M853" s="8" t="str">
        <f t="array" ref="M853">IF(849&gt;$S$1204,"",INDEX($T$5:$AJ$1204,MATCH(849,$S$5:$S$1204,0),13))</f>
        <v/>
      </c>
      <c r="N853" s="8" t="str">
        <f t="array" ref="N853">IF(849&gt;$S$1204,"",INDEX($T$5:$AJ$1204,MATCH(849,$S$5:$S$1204,0),14))</f>
        <v/>
      </c>
      <c r="O853" s="15" t="str">
        <f t="array" ref="O853">IF(849&gt;$S$1204,"",INDEX($T$5:$AJ$1204,MATCH(849,$S$5:$S$1204,0),15))</f>
        <v/>
      </c>
      <c r="P853" s="8" t="str">
        <f t="array" ref="P853">IF(849&gt;$S$1204,"",INDEX($T$5:$AJ$1204,MATCH(849,$S$5:$S$1204,0),16))</f>
        <v/>
      </c>
      <c r="Q853" s="8" t="str">
        <f t="array" ref="Q853">IF(849&gt;$S$1204,"",INDEX($T$5:$AJ$1204,MATCH(849,$S$5:$S$1204,0),17))</f>
        <v/>
      </c>
      <c r="R853" s="17"/>
      <c r="S853" s="17">
        <f>S852+IF(M5_Ocupacion!A58="",0,1)</f>
        <v>0</v>
      </c>
      <c r="T853" s="17" t="str">
        <f>IF(M5_Ocupacion!A58="","",IF(M5_Ocupacion!A58="","",M5_Ocupacion!A58))</f>
        <v/>
      </c>
      <c r="U853" s="17" t="str">
        <f>IF(M5_Ocupacion!A58="","",IF(M5_Ocupacion!R58="","",M5_Ocupacion!R58))</f>
        <v/>
      </c>
      <c r="V853" s="17" t="str">
        <f>IF(M5_Ocupacion!A58="","",IF(M5_Ocupacion!D58="","",M5_Ocupacion!D58))</f>
        <v/>
      </c>
      <c r="W853" s="17" t="str">
        <f>IF(M5_Ocupacion!A58="","",IF(M5_Ocupacion!B58="","",M5_Ocupacion!B58))</f>
        <v/>
      </c>
      <c r="X853" s="17" t="str">
        <f>IF(M5_Ocupacion!A58="","",IF(M5_Ocupacion!C58="","",M5_Ocupacion!C58))</f>
        <v/>
      </c>
      <c r="Y853" s="17" t="str">
        <f>IF(M5_Ocupacion!A58="","",IF(M5_Ocupacion!E58="","",M5_Ocupacion!E58))</f>
        <v/>
      </c>
      <c r="Z853" s="17" t="str">
        <f>IF(M5_Ocupacion!A58="","",IF(M5_Ocupacion!F58="","",M5_Ocupacion!F58))</f>
        <v/>
      </c>
      <c r="AA853" s="17" t="str">
        <f>IF(M5_Ocupacion!A58="","","M5 Ocupación")</f>
        <v/>
      </c>
      <c r="AB853" s="17" t="str">
        <f>IF(M5_Ocupacion!A58="","",IF(M5_Ocupacion!G58="","",M5_Ocupacion!G58))</f>
        <v/>
      </c>
      <c r="AC853" s="17" t="str">
        <f>IF(M5_Ocupacion!A58="","",IF(COUNTIFS(M5_Ocupacion!$A$10:A58,M5_Ocupacion!A58,M5_Ocupacion!$D$10:D58,M5_Ocupacion!D58)=1,IF(M5_Ocupacion!M58="","",M5_Ocupacion!M58),""))</f>
        <v/>
      </c>
      <c r="AD853" s="17" t="str">
        <f>IF(M5_Ocupacion!A58="","","MO")</f>
        <v/>
      </c>
      <c r="AE853" s="17" t="str">
        <f>IF(M5_Ocupacion!A58="","",IF(M5_Ocupacion!O58="","",M5_Ocupacion!O58))</f>
        <v/>
      </c>
      <c r="AF853" s="17" t="str">
        <f>IF(M5_Ocupacion!A58="","",IF(M5_Ocupacion!P58="","",M5_Ocupacion!P58))</f>
        <v/>
      </c>
      <c r="AG853" s="17" t="str">
        <f>IF(M5_Ocupacion!A58="","",IF(M5_Ocupacion!Q58="","",M5_Ocupacion!Q58))</f>
        <v/>
      </c>
      <c r="AH853" s="17" t="str">
        <f>IF(M5_Ocupacion!A58="","",IF(M5_Ocupacion!J58="","",M5_Ocupacion!J58))</f>
        <v/>
      </c>
      <c r="AI853" s="17" t="str">
        <f>IF(M5_Ocupacion!A58="","","M5_Ocupacion!58")</f>
        <v/>
      </c>
      <c r="AJ853" s="17" t="str">
        <f>IF(M5_Ocupacion!A58="","",IF(M5_Ocupacion!M58="","Pendiente de medición completa",IF(COUNTIFS(M5_Ocupacion!$A$10:A58,M5_Ocupacion!A58,M5_Ocupacion!$D$10:D58,M5_Ocupacion!D58)=1,"Promedio de la actividad y fecha","Observación incluida en promedio")))</f>
        <v/>
      </c>
    </row>
    <row r="854" spans="1:36" ht="55.5" customHeight="1">
      <c r="A854" s="6" t="str">
        <f t="array" ref="A854">IF(850&gt;$S$1204,"",INDEX($T$5:$AJ$1204,MATCH(850,$S$5:$S$1204,0),1))</f>
        <v/>
      </c>
      <c r="B854" s="8" t="str">
        <f t="array" ref="B854">IF(850&gt;$S$1204,"",INDEX($T$5:$AJ$1204,MATCH(850,$S$5:$S$1204,0),2))</f>
        <v/>
      </c>
      <c r="C854" s="10" t="str">
        <f t="array" ref="C854">IF(850&gt;$S$1204,"",INDEX($T$5:$AJ$1204,MATCH(850,$S$5:$S$1204,0),3))</f>
        <v/>
      </c>
      <c r="D854" s="8" t="str">
        <f t="array" ref="D854">IF(850&gt;$S$1204,"",INDEX($T$5:$AJ$1204,MATCH(850,$S$5:$S$1204,0),4))</f>
        <v/>
      </c>
      <c r="E854" s="8" t="str">
        <f t="array" ref="E854">IF(850&gt;$S$1204,"",INDEX($T$5:$AJ$1204,MATCH(850,$S$5:$S$1204,0),5))</f>
        <v/>
      </c>
      <c r="F854" s="8" t="str">
        <f t="array" ref="F854">IF(850&gt;$S$1204,"",INDEX($T$5:$AJ$1204,MATCH(850,$S$5:$S$1204,0),6))</f>
        <v/>
      </c>
      <c r="G854" s="8" t="str">
        <f t="array" ref="G854">IF(850&gt;$S$1204,"",INDEX($T$5:$AJ$1204,MATCH(850,$S$5:$S$1204,0),7))</f>
        <v/>
      </c>
      <c r="H854" s="8" t="str">
        <f t="array" ref="H854">IF(850&gt;$S$1204,"",INDEX($T$5:$AJ$1204,MATCH(850,$S$5:$S$1204,0),8))</f>
        <v/>
      </c>
      <c r="I854" s="8" t="str">
        <f t="array" ref="I854">IF(850&gt;$S$1204,"",INDEX($T$5:$AJ$1204,MATCH(850,$S$5:$S$1204,0),9))</f>
        <v/>
      </c>
      <c r="J854" s="14" t="str">
        <f t="array" ref="J854">IF(850&gt;$S$1204,"",INDEX($T$5:$AJ$1204,MATCH(850,$S$5:$S$1204,0),10))</f>
        <v/>
      </c>
      <c r="K854" s="8" t="str">
        <f t="array" ref="K854">IF(850&gt;$S$1204,"",INDEX($T$5:$AJ$1204,MATCH(850,$S$5:$S$1204,0),11))</f>
        <v/>
      </c>
      <c r="L854" s="8" t="str">
        <f t="array" ref="L854">IF(850&gt;$S$1204,"",INDEX($T$5:$AJ$1204,MATCH(850,$S$5:$S$1204,0),12))</f>
        <v/>
      </c>
      <c r="M854" s="8" t="str">
        <f t="array" ref="M854">IF(850&gt;$S$1204,"",INDEX($T$5:$AJ$1204,MATCH(850,$S$5:$S$1204,0),13))</f>
        <v/>
      </c>
      <c r="N854" s="8" t="str">
        <f t="array" ref="N854">IF(850&gt;$S$1204,"",INDEX($T$5:$AJ$1204,MATCH(850,$S$5:$S$1204,0),14))</f>
        <v/>
      </c>
      <c r="O854" s="15" t="str">
        <f t="array" ref="O854">IF(850&gt;$S$1204,"",INDEX($T$5:$AJ$1204,MATCH(850,$S$5:$S$1204,0),15))</f>
        <v/>
      </c>
      <c r="P854" s="8" t="str">
        <f t="array" ref="P854">IF(850&gt;$S$1204,"",INDEX($T$5:$AJ$1204,MATCH(850,$S$5:$S$1204,0),16))</f>
        <v/>
      </c>
      <c r="Q854" s="8" t="str">
        <f t="array" ref="Q854">IF(850&gt;$S$1204,"",INDEX($T$5:$AJ$1204,MATCH(850,$S$5:$S$1204,0),17))</f>
        <v/>
      </c>
      <c r="R854" s="17"/>
      <c r="S854" s="17">
        <f>S853+IF(M5_Ocupacion!A59="",0,1)</f>
        <v>0</v>
      </c>
      <c r="T854" s="17" t="str">
        <f>IF(M5_Ocupacion!A59="","",IF(M5_Ocupacion!A59="","",M5_Ocupacion!A59))</f>
        <v/>
      </c>
      <c r="U854" s="17" t="str">
        <f>IF(M5_Ocupacion!A59="","",IF(M5_Ocupacion!R59="","",M5_Ocupacion!R59))</f>
        <v/>
      </c>
      <c r="V854" s="17" t="str">
        <f>IF(M5_Ocupacion!A59="","",IF(M5_Ocupacion!D59="","",M5_Ocupacion!D59))</f>
        <v/>
      </c>
      <c r="W854" s="17" t="str">
        <f>IF(M5_Ocupacion!A59="","",IF(M5_Ocupacion!B59="","",M5_Ocupacion!B59))</f>
        <v/>
      </c>
      <c r="X854" s="17" t="str">
        <f>IF(M5_Ocupacion!A59="","",IF(M5_Ocupacion!C59="","",M5_Ocupacion!C59))</f>
        <v/>
      </c>
      <c r="Y854" s="17" t="str">
        <f>IF(M5_Ocupacion!A59="","",IF(M5_Ocupacion!E59="","",M5_Ocupacion!E59))</f>
        <v/>
      </c>
      <c r="Z854" s="17" t="str">
        <f>IF(M5_Ocupacion!A59="","",IF(M5_Ocupacion!F59="","",M5_Ocupacion!F59))</f>
        <v/>
      </c>
      <c r="AA854" s="17" t="str">
        <f>IF(M5_Ocupacion!A59="","","M5 Ocupación")</f>
        <v/>
      </c>
      <c r="AB854" s="17" t="str">
        <f>IF(M5_Ocupacion!A59="","",IF(M5_Ocupacion!G59="","",M5_Ocupacion!G59))</f>
        <v/>
      </c>
      <c r="AC854" s="17" t="str">
        <f>IF(M5_Ocupacion!A59="","",IF(COUNTIFS(M5_Ocupacion!$A$10:A59,M5_Ocupacion!A59,M5_Ocupacion!$D$10:D59,M5_Ocupacion!D59)=1,IF(M5_Ocupacion!M59="","",M5_Ocupacion!M59),""))</f>
        <v/>
      </c>
      <c r="AD854" s="17" t="str">
        <f>IF(M5_Ocupacion!A59="","","MO")</f>
        <v/>
      </c>
      <c r="AE854" s="17" t="str">
        <f>IF(M5_Ocupacion!A59="","",IF(M5_Ocupacion!O59="","",M5_Ocupacion!O59))</f>
        <v/>
      </c>
      <c r="AF854" s="17" t="str">
        <f>IF(M5_Ocupacion!A59="","",IF(M5_Ocupacion!P59="","",M5_Ocupacion!P59))</f>
        <v/>
      </c>
      <c r="AG854" s="17" t="str">
        <f>IF(M5_Ocupacion!A59="","",IF(M5_Ocupacion!Q59="","",M5_Ocupacion!Q59))</f>
        <v/>
      </c>
      <c r="AH854" s="17" t="str">
        <f>IF(M5_Ocupacion!A59="","",IF(M5_Ocupacion!J59="","",M5_Ocupacion!J59))</f>
        <v/>
      </c>
      <c r="AI854" s="17" t="str">
        <f>IF(M5_Ocupacion!A59="","","M5_Ocupacion!59")</f>
        <v/>
      </c>
      <c r="AJ854" s="17" t="str">
        <f>IF(M5_Ocupacion!A59="","",IF(M5_Ocupacion!M59="","Pendiente de medición completa",IF(COUNTIFS(M5_Ocupacion!$A$10:A59,M5_Ocupacion!A59,M5_Ocupacion!$D$10:D59,M5_Ocupacion!D59)=1,"Promedio de la actividad y fecha","Observación incluida en promedio")))</f>
        <v/>
      </c>
    </row>
    <row r="855" spans="1:36" ht="55.5" customHeight="1">
      <c r="A855" s="6" t="str">
        <f t="array" ref="A855">IF(851&gt;$S$1204,"",INDEX($T$5:$AJ$1204,MATCH(851,$S$5:$S$1204,0),1))</f>
        <v/>
      </c>
      <c r="B855" s="8" t="str">
        <f t="array" ref="B855">IF(851&gt;$S$1204,"",INDEX($T$5:$AJ$1204,MATCH(851,$S$5:$S$1204,0),2))</f>
        <v/>
      </c>
      <c r="C855" s="10" t="str">
        <f t="array" ref="C855">IF(851&gt;$S$1204,"",INDEX($T$5:$AJ$1204,MATCH(851,$S$5:$S$1204,0),3))</f>
        <v/>
      </c>
      <c r="D855" s="8" t="str">
        <f t="array" ref="D855">IF(851&gt;$S$1204,"",INDEX($T$5:$AJ$1204,MATCH(851,$S$5:$S$1204,0),4))</f>
        <v/>
      </c>
      <c r="E855" s="8" t="str">
        <f t="array" ref="E855">IF(851&gt;$S$1204,"",INDEX($T$5:$AJ$1204,MATCH(851,$S$5:$S$1204,0),5))</f>
        <v/>
      </c>
      <c r="F855" s="8" t="str">
        <f t="array" ref="F855">IF(851&gt;$S$1204,"",INDEX($T$5:$AJ$1204,MATCH(851,$S$5:$S$1204,0),6))</f>
        <v/>
      </c>
      <c r="G855" s="8" t="str">
        <f t="array" ref="G855">IF(851&gt;$S$1204,"",INDEX($T$5:$AJ$1204,MATCH(851,$S$5:$S$1204,0),7))</f>
        <v/>
      </c>
      <c r="H855" s="8" t="str">
        <f t="array" ref="H855">IF(851&gt;$S$1204,"",INDEX($T$5:$AJ$1204,MATCH(851,$S$5:$S$1204,0),8))</f>
        <v/>
      </c>
      <c r="I855" s="8" t="str">
        <f t="array" ref="I855">IF(851&gt;$S$1204,"",INDEX($T$5:$AJ$1204,MATCH(851,$S$5:$S$1204,0),9))</f>
        <v/>
      </c>
      <c r="J855" s="14" t="str">
        <f t="array" ref="J855">IF(851&gt;$S$1204,"",INDEX($T$5:$AJ$1204,MATCH(851,$S$5:$S$1204,0),10))</f>
        <v/>
      </c>
      <c r="K855" s="8" t="str">
        <f t="array" ref="K855">IF(851&gt;$S$1204,"",INDEX($T$5:$AJ$1204,MATCH(851,$S$5:$S$1204,0),11))</f>
        <v/>
      </c>
      <c r="L855" s="8" t="str">
        <f t="array" ref="L855">IF(851&gt;$S$1204,"",INDEX($T$5:$AJ$1204,MATCH(851,$S$5:$S$1204,0),12))</f>
        <v/>
      </c>
      <c r="M855" s="8" t="str">
        <f t="array" ref="M855">IF(851&gt;$S$1204,"",INDEX($T$5:$AJ$1204,MATCH(851,$S$5:$S$1204,0),13))</f>
        <v/>
      </c>
      <c r="N855" s="8" t="str">
        <f t="array" ref="N855">IF(851&gt;$S$1204,"",INDEX($T$5:$AJ$1204,MATCH(851,$S$5:$S$1204,0),14))</f>
        <v/>
      </c>
      <c r="O855" s="15" t="str">
        <f t="array" ref="O855">IF(851&gt;$S$1204,"",INDEX($T$5:$AJ$1204,MATCH(851,$S$5:$S$1204,0),15))</f>
        <v/>
      </c>
      <c r="P855" s="8" t="str">
        <f t="array" ref="P855">IF(851&gt;$S$1204,"",INDEX($T$5:$AJ$1204,MATCH(851,$S$5:$S$1204,0),16))</f>
        <v/>
      </c>
      <c r="Q855" s="8" t="str">
        <f t="array" ref="Q855">IF(851&gt;$S$1204,"",INDEX($T$5:$AJ$1204,MATCH(851,$S$5:$S$1204,0),17))</f>
        <v/>
      </c>
      <c r="R855" s="17"/>
      <c r="S855" s="17">
        <f>S854+IF(M5_Ocupacion!A60="",0,1)</f>
        <v>0</v>
      </c>
      <c r="T855" s="17" t="str">
        <f>IF(M5_Ocupacion!A60="","",IF(M5_Ocupacion!A60="","",M5_Ocupacion!A60))</f>
        <v/>
      </c>
      <c r="U855" s="17" t="str">
        <f>IF(M5_Ocupacion!A60="","",IF(M5_Ocupacion!R60="","",M5_Ocupacion!R60))</f>
        <v/>
      </c>
      <c r="V855" s="17" t="str">
        <f>IF(M5_Ocupacion!A60="","",IF(M5_Ocupacion!D60="","",M5_Ocupacion!D60))</f>
        <v/>
      </c>
      <c r="W855" s="17" t="str">
        <f>IF(M5_Ocupacion!A60="","",IF(M5_Ocupacion!B60="","",M5_Ocupacion!B60))</f>
        <v/>
      </c>
      <c r="X855" s="17" t="str">
        <f>IF(M5_Ocupacion!A60="","",IF(M5_Ocupacion!C60="","",M5_Ocupacion!C60))</f>
        <v/>
      </c>
      <c r="Y855" s="17" t="str">
        <f>IF(M5_Ocupacion!A60="","",IF(M5_Ocupacion!E60="","",M5_Ocupacion!E60))</f>
        <v/>
      </c>
      <c r="Z855" s="17" t="str">
        <f>IF(M5_Ocupacion!A60="","",IF(M5_Ocupacion!F60="","",M5_Ocupacion!F60))</f>
        <v/>
      </c>
      <c r="AA855" s="17" t="str">
        <f>IF(M5_Ocupacion!A60="","","M5 Ocupación")</f>
        <v/>
      </c>
      <c r="AB855" s="17" t="str">
        <f>IF(M5_Ocupacion!A60="","",IF(M5_Ocupacion!G60="","",M5_Ocupacion!G60))</f>
        <v/>
      </c>
      <c r="AC855" s="17" t="str">
        <f>IF(M5_Ocupacion!A60="","",IF(COUNTIFS(M5_Ocupacion!$A$10:A60,M5_Ocupacion!A60,M5_Ocupacion!$D$10:D60,M5_Ocupacion!D60)=1,IF(M5_Ocupacion!M60="","",M5_Ocupacion!M60),""))</f>
        <v/>
      </c>
      <c r="AD855" s="17" t="str">
        <f>IF(M5_Ocupacion!A60="","","MO")</f>
        <v/>
      </c>
      <c r="AE855" s="17" t="str">
        <f>IF(M5_Ocupacion!A60="","",IF(M5_Ocupacion!O60="","",M5_Ocupacion!O60))</f>
        <v/>
      </c>
      <c r="AF855" s="17" t="str">
        <f>IF(M5_Ocupacion!A60="","",IF(M5_Ocupacion!P60="","",M5_Ocupacion!P60))</f>
        <v/>
      </c>
      <c r="AG855" s="17" t="str">
        <f>IF(M5_Ocupacion!A60="","",IF(M5_Ocupacion!Q60="","",M5_Ocupacion!Q60))</f>
        <v/>
      </c>
      <c r="AH855" s="17" t="str">
        <f>IF(M5_Ocupacion!A60="","",IF(M5_Ocupacion!J60="","",M5_Ocupacion!J60))</f>
        <v/>
      </c>
      <c r="AI855" s="17" t="str">
        <f>IF(M5_Ocupacion!A60="","","M5_Ocupacion!60")</f>
        <v/>
      </c>
      <c r="AJ855" s="17" t="str">
        <f>IF(M5_Ocupacion!A60="","",IF(M5_Ocupacion!M60="","Pendiente de medición completa",IF(COUNTIFS(M5_Ocupacion!$A$10:A60,M5_Ocupacion!A60,M5_Ocupacion!$D$10:D60,M5_Ocupacion!D60)=1,"Promedio de la actividad y fecha","Observación incluida en promedio")))</f>
        <v/>
      </c>
    </row>
    <row r="856" spans="1:36" ht="55.5" customHeight="1">
      <c r="A856" s="6" t="str">
        <f t="array" ref="A856">IF(852&gt;$S$1204,"",INDEX($T$5:$AJ$1204,MATCH(852,$S$5:$S$1204,0),1))</f>
        <v/>
      </c>
      <c r="B856" s="8" t="str">
        <f t="array" ref="B856">IF(852&gt;$S$1204,"",INDEX($T$5:$AJ$1204,MATCH(852,$S$5:$S$1204,0),2))</f>
        <v/>
      </c>
      <c r="C856" s="10" t="str">
        <f t="array" ref="C856">IF(852&gt;$S$1204,"",INDEX($T$5:$AJ$1204,MATCH(852,$S$5:$S$1204,0),3))</f>
        <v/>
      </c>
      <c r="D856" s="8" t="str">
        <f t="array" ref="D856">IF(852&gt;$S$1204,"",INDEX($T$5:$AJ$1204,MATCH(852,$S$5:$S$1204,0),4))</f>
        <v/>
      </c>
      <c r="E856" s="8" t="str">
        <f t="array" ref="E856">IF(852&gt;$S$1204,"",INDEX($T$5:$AJ$1204,MATCH(852,$S$5:$S$1204,0),5))</f>
        <v/>
      </c>
      <c r="F856" s="8" t="str">
        <f t="array" ref="F856">IF(852&gt;$S$1204,"",INDEX($T$5:$AJ$1204,MATCH(852,$S$5:$S$1204,0),6))</f>
        <v/>
      </c>
      <c r="G856" s="8" t="str">
        <f t="array" ref="G856">IF(852&gt;$S$1204,"",INDEX($T$5:$AJ$1204,MATCH(852,$S$5:$S$1204,0),7))</f>
        <v/>
      </c>
      <c r="H856" s="8" t="str">
        <f t="array" ref="H856">IF(852&gt;$S$1204,"",INDEX($T$5:$AJ$1204,MATCH(852,$S$5:$S$1204,0),8))</f>
        <v/>
      </c>
      <c r="I856" s="8" t="str">
        <f t="array" ref="I856">IF(852&gt;$S$1204,"",INDEX($T$5:$AJ$1204,MATCH(852,$S$5:$S$1204,0),9))</f>
        <v/>
      </c>
      <c r="J856" s="14" t="str">
        <f t="array" ref="J856">IF(852&gt;$S$1204,"",INDEX($T$5:$AJ$1204,MATCH(852,$S$5:$S$1204,0),10))</f>
        <v/>
      </c>
      <c r="K856" s="8" t="str">
        <f t="array" ref="K856">IF(852&gt;$S$1204,"",INDEX($T$5:$AJ$1204,MATCH(852,$S$5:$S$1204,0),11))</f>
        <v/>
      </c>
      <c r="L856" s="8" t="str">
        <f t="array" ref="L856">IF(852&gt;$S$1204,"",INDEX($T$5:$AJ$1204,MATCH(852,$S$5:$S$1204,0),12))</f>
        <v/>
      </c>
      <c r="M856" s="8" t="str">
        <f t="array" ref="M856">IF(852&gt;$S$1204,"",INDEX($T$5:$AJ$1204,MATCH(852,$S$5:$S$1204,0),13))</f>
        <v/>
      </c>
      <c r="N856" s="8" t="str">
        <f t="array" ref="N856">IF(852&gt;$S$1204,"",INDEX($T$5:$AJ$1204,MATCH(852,$S$5:$S$1204,0),14))</f>
        <v/>
      </c>
      <c r="O856" s="15" t="str">
        <f t="array" ref="O856">IF(852&gt;$S$1204,"",INDEX($T$5:$AJ$1204,MATCH(852,$S$5:$S$1204,0),15))</f>
        <v/>
      </c>
      <c r="P856" s="8" t="str">
        <f t="array" ref="P856">IF(852&gt;$S$1204,"",INDEX($T$5:$AJ$1204,MATCH(852,$S$5:$S$1204,0),16))</f>
        <v/>
      </c>
      <c r="Q856" s="8" t="str">
        <f t="array" ref="Q856">IF(852&gt;$S$1204,"",INDEX($T$5:$AJ$1204,MATCH(852,$S$5:$S$1204,0),17))</f>
        <v/>
      </c>
      <c r="R856" s="17"/>
      <c r="S856" s="17">
        <f>S855+IF(M5_Ocupacion!A61="",0,1)</f>
        <v>0</v>
      </c>
      <c r="T856" s="17" t="str">
        <f>IF(M5_Ocupacion!A61="","",IF(M5_Ocupacion!A61="","",M5_Ocupacion!A61))</f>
        <v/>
      </c>
      <c r="U856" s="17" t="str">
        <f>IF(M5_Ocupacion!A61="","",IF(M5_Ocupacion!R61="","",M5_Ocupacion!R61))</f>
        <v/>
      </c>
      <c r="V856" s="17" t="str">
        <f>IF(M5_Ocupacion!A61="","",IF(M5_Ocupacion!D61="","",M5_Ocupacion!D61))</f>
        <v/>
      </c>
      <c r="W856" s="17" t="str">
        <f>IF(M5_Ocupacion!A61="","",IF(M5_Ocupacion!B61="","",M5_Ocupacion!B61))</f>
        <v/>
      </c>
      <c r="X856" s="17" t="str">
        <f>IF(M5_Ocupacion!A61="","",IF(M5_Ocupacion!C61="","",M5_Ocupacion!C61))</f>
        <v/>
      </c>
      <c r="Y856" s="17" t="str">
        <f>IF(M5_Ocupacion!A61="","",IF(M5_Ocupacion!E61="","",M5_Ocupacion!E61))</f>
        <v/>
      </c>
      <c r="Z856" s="17" t="str">
        <f>IF(M5_Ocupacion!A61="","",IF(M5_Ocupacion!F61="","",M5_Ocupacion!F61))</f>
        <v/>
      </c>
      <c r="AA856" s="17" t="str">
        <f>IF(M5_Ocupacion!A61="","","M5 Ocupación")</f>
        <v/>
      </c>
      <c r="AB856" s="17" t="str">
        <f>IF(M5_Ocupacion!A61="","",IF(M5_Ocupacion!G61="","",M5_Ocupacion!G61))</f>
        <v/>
      </c>
      <c r="AC856" s="17" t="str">
        <f>IF(M5_Ocupacion!A61="","",IF(COUNTIFS(M5_Ocupacion!$A$10:A61,M5_Ocupacion!A61,M5_Ocupacion!$D$10:D61,M5_Ocupacion!D61)=1,IF(M5_Ocupacion!M61="","",M5_Ocupacion!M61),""))</f>
        <v/>
      </c>
      <c r="AD856" s="17" t="str">
        <f>IF(M5_Ocupacion!A61="","","MO")</f>
        <v/>
      </c>
      <c r="AE856" s="17" t="str">
        <f>IF(M5_Ocupacion!A61="","",IF(M5_Ocupacion!O61="","",M5_Ocupacion!O61))</f>
        <v/>
      </c>
      <c r="AF856" s="17" t="str">
        <f>IF(M5_Ocupacion!A61="","",IF(M5_Ocupacion!P61="","",M5_Ocupacion!P61))</f>
        <v/>
      </c>
      <c r="AG856" s="17" t="str">
        <f>IF(M5_Ocupacion!A61="","",IF(M5_Ocupacion!Q61="","",M5_Ocupacion!Q61))</f>
        <v/>
      </c>
      <c r="AH856" s="17" t="str">
        <f>IF(M5_Ocupacion!A61="","",IF(M5_Ocupacion!J61="","",M5_Ocupacion!J61))</f>
        <v/>
      </c>
      <c r="AI856" s="17" t="str">
        <f>IF(M5_Ocupacion!A61="","","M5_Ocupacion!61")</f>
        <v/>
      </c>
      <c r="AJ856" s="17" t="str">
        <f>IF(M5_Ocupacion!A61="","",IF(M5_Ocupacion!M61="","Pendiente de medición completa",IF(COUNTIFS(M5_Ocupacion!$A$10:A61,M5_Ocupacion!A61,M5_Ocupacion!$D$10:D61,M5_Ocupacion!D61)=1,"Promedio de la actividad y fecha","Observación incluida en promedio")))</f>
        <v/>
      </c>
    </row>
    <row r="857" spans="1:36" ht="55.5" customHeight="1">
      <c r="A857" s="6" t="str">
        <f t="array" ref="A857">IF(853&gt;$S$1204,"",INDEX($T$5:$AJ$1204,MATCH(853,$S$5:$S$1204,0),1))</f>
        <v/>
      </c>
      <c r="B857" s="8" t="str">
        <f t="array" ref="B857">IF(853&gt;$S$1204,"",INDEX($T$5:$AJ$1204,MATCH(853,$S$5:$S$1204,0),2))</f>
        <v/>
      </c>
      <c r="C857" s="10" t="str">
        <f t="array" ref="C857">IF(853&gt;$S$1204,"",INDEX($T$5:$AJ$1204,MATCH(853,$S$5:$S$1204,0),3))</f>
        <v/>
      </c>
      <c r="D857" s="8" t="str">
        <f t="array" ref="D857">IF(853&gt;$S$1204,"",INDEX($T$5:$AJ$1204,MATCH(853,$S$5:$S$1204,0),4))</f>
        <v/>
      </c>
      <c r="E857" s="8" t="str">
        <f t="array" ref="E857">IF(853&gt;$S$1204,"",INDEX($T$5:$AJ$1204,MATCH(853,$S$5:$S$1204,0),5))</f>
        <v/>
      </c>
      <c r="F857" s="8" t="str">
        <f t="array" ref="F857">IF(853&gt;$S$1204,"",INDEX($T$5:$AJ$1204,MATCH(853,$S$5:$S$1204,0),6))</f>
        <v/>
      </c>
      <c r="G857" s="8" t="str">
        <f t="array" ref="G857">IF(853&gt;$S$1204,"",INDEX($T$5:$AJ$1204,MATCH(853,$S$5:$S$1204,0),7))</f>
        <v/>
      </c>
      <c r="H857" s="8" t="str">
        <f t="array" ref="H857">IF(853&gt;$S$1204,"",INDEX($T$5:$AJ$1204,MATCH(853,$S$5:$S$1204,0),8))</f>
        <v/>
      </c>
      <c r="I857" s="8" t="str">
        <f t="array" ref="I857">IF(853&gt;$S$1204,"",INDEX($T$5:$AJ$1204,MATCH(853,$S$5:$S$1204,0),9))</f>
        <v/>
      </c>
      <c r="J857" s="14" t="str">
        <f t="array" ref="J857">IF(853&gt;$S$1204,"",INDEX($T$5:$AJ$1204,MATCH(853,$S$5:$S$1204,0),10))</f>
        <v/>
      </c>
      <c r="K857" s="8" t="str">
        <f t="array" ref="K857">IF(853&gt;$S$1204,"",INDEX($T$5:$AJ$1204,MATCH(853,$S$5:$S$1204,0),11))</f>
        <v/>
      </c>
      <c r="L857" s="8" t="str">
        <f t="array" ref="L857">IF(853&gt;$S$1204,"",INDEX($T$5:$AJ$1204,MATCH(853,$S$5:$S$1204,0),12))</f>
        <v/>
      </c>
      <c r="M857" s="8" t="str">
        <f t="array" ref="M857">IF(853&gt;$S$1204,"",INDEX($T$5:$AJ$1204,MATCH(853,$S$5:$S$1204,0),13))</f>
        <v/>
      </c>
      <c r="N857" s="8" t="str">
        <f t="array" ref="N857">IF(853&gt;$S$1204,"",INDEX($T$5:$AJ$1204,MATCH(853,$S$5:$S$1204,0),14))</f>
        <v/>
      </c>
      <c r="O857" s="15" t="str">
        <f t="array" ref="O857">IF(853&gt;$S$1204,"",INDEX($T$5:$AJ$1204,MATCH(853,$S$5:$S$1204,0),15))</f>
        <v/>
      </c>
      <c r="P857" s="8" t="str">
        <f t="array" ref="P857">IF(853&gt;$S$1204,"",INDEX($T$5:$AJ$1204,MATCH(853,$S$5:$S$1204,0),16))</f>
        <v/>
      </c>
      <c r="Q857" s="8" t="str">
        <f t="array" ref="Q857">IF(853&gt;$S$1204,"",INDEX($T$5:$AJ$1204,MATCH(853,$S$5:$S$1204,0),17))</f>
        <v/>
      </c>
      <c r="R857" s="17"/>
      <c r="S857" s="17">
        <f>S856+IF(M5_Ocupacion!A62="",0,1)</f>
        <v>0</v>
      </c>
      <c r="T857" s="17" t="str">
        <f>IF(M5_Ocupacion!A62="","",IF(M5_Ocupacion!A62="","",M5_Ocupacion!A62))</f>
        <v/>
      </c>
      <c r="U857" s="17" t="str">
        <f>IF(M5_Ocupacion!A62="","",IF(M5_Ocupacion!R62="","",M5_Ocupacion!R62))</f>
        <v/>
      </c>
      <c r="V857" s="17" t="str">
        <f>IF(M5_Ocupacion!A62="","",IF(M5_Ocupacion!D62="","",M5_Ocupacion!D62))</f>
        <v/>
      </c>
      <c r="W857" s="17" t="str">
        <f>IF(M5_Ocupacion!A62="","",IF(M5_Ocupacion!B62="","",M5_Ocupacion!B62))</f>
        <v/>
      </c>
      <c r="X857" s="17" t="str">
        <f>IF(M5_Ocupacion!A62="","",IF(M5_Ocupacion!C62="","",M5_Ocupacion!C62))</f>
        <v/>
      </c>
      <c r="Y857" s="17" t="str">
        <f>IF(M5_Ocupacion!A62="","",IF(M5_Ocupacion!E62="","",M5_Ocupacion!E62))</f>
        <v/>
      </c>
      <c r="Z857" s="17" t="str">
        <f>IF(M5_Ocupacion!A62="","",IF(M5_Ocupacion!F62="","",M5_Ocupacion!F62))</f>
        <v/>
      </c>
      <c r="AA857" s="17" t="str">
        <f>IF(M5_Ocupacion!A62="","","M5 Ocupación")</f>
        <v/>
      </c>
      <c r="AB857" s="17" t="str">
        <f>IF(M5_Ocupacion!A62="","",IF(M5_Ocupacion!G62="","",M5_Ocupacion!G62))</f>
        <v/>
      </c>
      <c r="AC857" s="17" t="str">
        <f>IF(M5_Ocupacion!A62="","",IF(COUNTIFS(M5_Ocupacion!$A$10:A62,M5_Ocupacion!A62,M5_Ocupacion!$D$10:D62,M5_Ocupacion!D62)=1,IF(M5_Ocupacion!M62="","",M5_Ocupacion!M62),""))</f>
        <v/>
      </c>
      <c r="AD857" s="17" t="str">
        <f>IF(M5_Ocupacion!A62="","","MO")</f>
        <v/>
      </c>
      <c r="AE857" s="17" t="str">
        <f>IF(M5_Ocupacion!A62="","",IF(M5_Ocupacion!O62="","",M5_Ocupacion!O62))</f>
        <v/>
      </c>
      <c r="AF857" s="17" t="str">
        <f>IF(M5_Ocupacion!A62="","",IF(M5_Ocupacion!P62="","",M5_Ocupacion!P62))</f>
        <v/>
      </c>
      <c r="AG857" s="17" t="str">
        <f>IF(M5_Ocupacion!A62="","",IF(M5_Ocupacion!Q62="","",M5_Ocupacion!Q62))</f>
        <v/>
      </c>
      <c r="AH857" s="17" t="str">
        <f>IF(M5_Ocupacion!A62="","",IF(M5_Ocupacion!J62="","",M5_Ocupacion!J62))</f>
        <v/>
      </c>
      <c r="AI857" s="17" t="str">
        <f>IF(M5_Ocupacion!A62="","","M5_Ocupacion!62")</f>
        <v/>
      </c>
      <c r="AJ857" s="17" t="str">
        <f>IF(M5_Ocupacion!A62="","",IF(M5_Ocupacion!M62="","Pendiente de medición completa",IF(COUNTIFS(M5_Ocupacion!$A$10:A62,M5_Ocupacion!A62,M5_Ocupacion!$D$10:D62,M5_Ocupacion!D62)=1,"Promedio de la actividad y fecha","Observación incluida en promedio")))</f>
        <v/>
      </c>
    </row>
    <row r="858" spans="1:36" ht="55.5" customHeight="1">
      <c r="A858" s="6" t="str">
        <f t="array" ref="A858">IF(854&gt;$S$1204,"",INDEX($T$5:$AJ$1204,MATCH(854,$S$5:$S$1204,0),1))</f>
        <v/>
      </c>
      <c r="B858" s="8" t="str">
        <f t="array" ref="B858">IF(854&gt;$S$1204,"",INDEX($T$5:$AJ$1204,MATCH(854,$S$5:$S$1204,0),2))</f>
        <v/>
      </c>
      <c r="C858" s="10" t="str">
        <f t="array" ref="C858">IF(854&gt;$S$1204,"",INDEX($T$5:$AJ$1204,MATCH(854,$S$5:$S$1204,0),3))</f>
        <v/>
      </c>
      <c r="D858" s="8" t="str">
        <f t="array" ref="D858">IF(854&gt;$S$1204,"",INDEX($T$5:$AJ$1204,MATCH(854,$S$5:$S$1204,0),4))</f>
        <v/>
      </c>
      <c r="E858" s="8" t="str">
        <f t="array" ref="E858">IF(854&gt;$S$1204,"",INDEX($T$5:$AJ$1204,MATCH(854,$S$5:$S$1204,0),5))</f>
        <v/>
      </c>
      <c r="F858" s="8" t="str">
        <f t="array" ref="F858">IF(854&gt;$S$1204,"",INDEX($T$5:$AJ$1204,MATCH(854,$S$5:$S$1204,0),6))</f>
        <v/>
      </c>
      <c r="G858" s="8" t="str">
        <f t="array" ref="G858">IF(854&gt;$S$1204,"",INDEX($T$5:$AJ$1204,MATCH(854,$S$5:$S$1204,0),7))</f>
        <v/>
      </c>
      <c r="H858" s="8" t="str">
        <f t="array" ref="H858">IF(854&gt;$S$1204,"",INDEX($T$5:$AJ$1204,MATCH(854,$S$5:$S$1204,0),8))</f>
        <v/>
      </c>
      <c r="I858" s="8" t="str">
        <f t="array" ref="I858">IF(854&gt;$S$1204,"",INDEX($T$5:$AJ$1204,MATCH(854,$S$5:$S$1204,0),9))</f>
        <v/>
      </c>
      <c r="J858" s="14" t="str">
        <f t="array" ref="J858">IF(854&gt;$S$1204,"",INDEX($T$5:$AJ$1204,MATCH(854,$S$5:$S$1204,0),10))</f>
        <v/>
      </c>
      <c r="K858" s="8" t="str">
        <f t="array" ref="K858">IF(854&gt;$S$1204,"",INDEX($T$5:$AJ$1204,MATCH(854,$S$5:$S$1204,0),11))</f>
        <v/>
      </c>
      <c r="L858" s="8" t="str">
        <f t="array" ref="L858">IF(854&gt;$S$1204,"",INDEX($T$5:$AJ$1204,MATCH(854,$S$5:$S$1204,0),12))</f>
        <v/>
      </c>
      <c r="M858" s="8" t="str">
        <f t="array" ref="M858">IF(854&gt;$S$1204,"",INDEX($T$5:$AJ$1204,MATCH(854,$S$5:$S$1204,0),13))</f>
        <v/>
      </c>
      <c r="N858" s="8" t="str">
        <f t="array" ref="N858">IF(854&gt;$S$1204,"",INDEX($T$5:$AJ$1204,MATCH(854,$S$5:$S$1204,0),14))</f>
        <v/>
      </c>
      <c r="O858" s="15" t="str">
        <f t="array" ref="O858">IF(854&gt;$S$1204,"",INDEX($T$5:$AJ$1204,MATCH(854,$S$5:$S$1204,0),15))</f>
        <v/>
      </c>
      <c r="P858" s="8" t="str">
        <f t="array" ref="P858">IF(854&gt;$S$1204,"",INDEX($T$5:$AJ$1204,MATCH(854,$S$5:$S$1204,0),16))</f>
        <v/>
      </c>
      <c r="Q858" s="8" t="str">
        <f t="array" ref="Q858">IF(854&gt;$S$1204,"",INDEX($T$5:$AJ$1204,MATCH(854,$S$5:$S$1204,0),17))</f>
        <v/>
      </c>
      <c r="R858" s="17"/>
      <c r="S858" s="17">
        <f>S857+IF(M5_Ocupacion!A63="",0,1)</f>
        <v>0</v>
      </c>
      <c r="T858" s="17" t="str">
        <f>IF(M5_Ocupacion!A63="","",IF(M5_Ocupacion!A63="","",M5_Ocupacion!A63))</f>
        <v/>
      </c>
      <c r="U858" s="17" t="str">
        <f>IF(M5_Ocupacion!A63="","",IF(M5_Ocupacion!R63="","",M5_Ocupacion!R63))</f>
        <v/>
      </c>
      <c r="V858" s="17" t="str">
        <f>IF(M5_Ocupacion!A63="","",IF(M5_Ocupacion!D63="","",M5_Ocupacion!D63))</f>
        <v/>
      </c>
      <c r="W858" s="17" t="str">
        <f>IF(M5_Ocupacion!A63="","",IF(M5_Ocupacion!B63="","",M5_Ocupacion!B63))</f>
        <v/>
      </c>
      <c r="X858" s="17" t="str">
        <f>IF(M5_Ocupacion!A63="","",IF(M5_Ocupacion!C63="","",M5_Ocupacion!C63))</f>
        <v/>
      </c>
      <c r="Y858" s="17" t="str">
        <f>IF(M5_Ocupacion!A63="","",IF(M5_Ocupacion!E63="","",M5_Ocupacion!E63))</f>
        <v/>
      </c>
      <c r="Z858" s="17" t="str">
        <f>IF(M5_Ocupacion!A63="","",IF(M5_Ocupacion!F63="","",M5_Ocupacion!F63))</f>
        <v/>
      </c>
      <c r="AA858" s="17" t="str">
        <f>IF(M5_Ocupacion!A63="","","M5 Ocupación")</f>
        <v/>
      </c>
      <c r="AB858" s="17" t="str">
        <f>IF(M5_Ocupacion!A63="","",IF(M5_Ocupacion!G63="","",M5_Ocupacion!G63))</f>
        <v/>
      </c>
      <c r="AC858" s="17" t="str">
        <f>IF(M5_Ocupacion!A63="","",IF(COUNTIFS(M5_Ocupacion!$A$10:A63,M5_Ocupacion!A63,M5_Ocupacion!$D$10:D63,M5_Ocupacion!D63)=1,IF(M5_Ocupacion!M63="","",M5_Ocupacion!M63),""))</f>
        <v/>
      </c>
      <c r="AD858" s="17" t="str">
        <f>IF(M5_Ocupacion!A63="","","MO")</f>
        <v/>
      </c>
      <c r="AE858" s="17" t="str">
        <f>IF(M5_Ocupacion!A63="","",IF(M5_Ocupacion!O63="","",M5_Ocupacion!O63))</f>
        <v/>
      </c>
      <c r="AF858" s="17" t="str">
        <f>IF(M5_Ocupacion!A63="","",IF(M5_Ocupacion!P63="","",M5_Ocupacion!P63))</f>
        <v/>
      </c>
      <c r="AG858" s="17" t="str">
        <f>IF(M5_Ocupacion!A63="","",IF(M5_Ocupacion!Q63="","",M5_Ocupacion!Q63))</f>
        <v/>
      </c>
      <c r="AH858" s="17" t="str">
        <f>IF(M5_Ocupacion!A63="","",IF(M5_Ocupacion!J63="","",M5_Ocupacion!J63))</f>
        <v/>
      </c>
      <c r="AI858" s="17" t="str">
        <f>IF(M5_Ocupacion!A63="","","M5_Ocupacion!63")</f>
        <v/>
      </c>
      <c r="AJ858" s="17" t="str">
        <f>IF(M5_Ocupacion!A63="","",IF(M5_Ocupacion!M63="","Pendiente de medición completa",IF(COUNTIFS(M5_Ocupacion!$A$10:A63,M5_Ocupacion!A63,M5_Ocupacion!$D$10:D63,M5_Ocupacion!D63)=1,"Promedio de la actividad y fecha","Observación incluida en promedio")))</f>
        <v/>
      </c>
    </row>
    <row r="859" spans="1:36" ht="55.5" customHeight="1">
      <c r="A859" s="6" t="str">
        <f t="array" ref="A859">IF(855&gt;$S$1204,"",INDEX($T$5:$AJ$1204,MATCH(855,$S$5:$S$1204,0),1))</f>
        <v/>
      </c>
      <c r="B859" s="8" t="str">
        <f t="array" ref="B859">IF(855&gt;$S$1204,"",INDEX($T$5:$AJ$1204,MATCH(855,$S$5:$S$1204,0),2))</f>
        <v/>
      </c>
      <c r="C859" s="10" t="str">
        <f t="array" ref="C859">IF(855&gt;$S$1204,"",INDEX($T$5:$AJ$1204,MATCH(855,$S$5:$S$1204,0),3))</f>
        <v/>
      </c>
      <c r="D859" s="8" t="str">
        <f t="array" ref="D859">IF(855&gt;$S$1204,"",INDEX($T$5:$AJ$1204,MATCH(855,$S$5:$S$1204,0),4))</f>
        <v/>
      </c>
      <c r="E859" s="8" t="str">
        <f t="array" ref="E859">IF(855&gt;$S$1204,"",INDEX($T$5:$AJ$1204,MATCH(855,$S$5:$S$1204,0),5))</f>
        <v/>
      </c>
      <c r="F859" s="8" t="str">
        <f t="array" ref="F859">IF(855&gt;$S$1204,"",INDEX($T$5:$AJ$1204,MATCH(855,$S$5:$S$1204,0),6))</f>
        <v/>
      </c>
      <c r="G859" s="8" t="str">
        <f t="array" ref="G859">IF(855&gt;$S$1204,"",INDEX($T$5:$AJ$1204,MATCH(855,$S$5:$S$1204,0),7))</f>
        <v/>
      </c>
      <c r="H859" s="8" t="str">
        <f t="array" ref="H859">IF(855&gt;$S$1204,"",INDEX($T$5:$AJ$1204,MATCH(855,$S$5:$S$1204,0),8))</f>
        <v/>
      </c>
      <c r="I859" s="8" t="str">
        <f t="array" ref="I859">IF(855&gt;$S$1204,"",INDEX($T$5:$AJ$1204,MATCH(855,$S$5:$S$1204,0),9))</f>
        <v/>
      </c>
      <c r="J859" s="14" t="str">
        <f t="array" ref="J859">IF(855&gt;$S$1204,"",INDEX($T$5:$AJ$1204,MATCH(855,$S$5:$S$1204,0),10))</f>
        <v/>
      </c>
      <c r="K859" s="8" t="str">
        <f t="array" ref="K859">IF(855&gt;$S$1204,"",INDEX($T$5:$AJ$1204,MATCH(855,$S$5:$S$1204,0),11))</f>
        <v/>
      </c>
      <c r="L859" s="8" t="str">
        <f t="array" ref="L859">IF(855&gt;$S$1204,"",INDEX($T$5:$AJ$1204,MATCH(855,$S$5:$S$1204,0),12))</f>
        <v/>
      </c>
      <c r="M859" s="8" t="str">
        <f t="array" ref="M859">IF(855&gt;$S$1204,"",INDEX($T$5:$AJ$1204,MATCH(855,$S$5:$S$1204,0),13))</f>
        <v/>
      </c>
      <c r="N859" s="8" t="str">
        <f t="array" ref="N859">IF(855&gt;$S$1204,"",INDEX($T$5:$AJ$1204,MATCH(855,$S$5:$S$1204,0),14))</f>
        <v/>
      </c>
      <c r="O859" s="15" t="str">
        <f t="array" ref="O859">IF(855&gt;$S$1204,"",INDEX($T$5:$AJ$1204,MATCH(855,$S$5:$S$1204,0),15))</f>
        <v/>
      </c>
      <c r="P859" s="8" t="str">
        <f t="array" ref="P859">IF(855&gt;$S$1204,"",INDEX($T$5:$AJ$1204,MATCH(855,$S$5:$S$1204,0),16))</f>
        <v/>
      </c>
      <c r="Q859" s="8" t="str">
        <f t="array" ref="Q859">IF(855&gt;$S$1204,"",INDEX($T$5:$AJ$1204,MATCH(855,$S$5:$S$1204,0),17))</f>
        <v/>
      </c>
      <c r="R859" s="17"/>
      <c r="S859" s="17">
        <f>S858+IF(M5_Ocupacion!A64="",0,1)</f>
        <v>0</v>
      </c>
      <c r="T859" s="17" t="str">
        <f>IF(M5_Ocupacion!A64="","",IF(M5_Ocupacion!A64="","",M5_Ocupacion!A64))</f>
        <v/>
      </c>
      <c r="U859" s="17" t="str">
        <f>IF(M5_Ocupacion!A64="","",IF(M5_Ocupacion!R64="","",M5_Ocupacion!R64))</f>
        <v/>
      </c>
      <c r="V859" s="17" t="str">
        <f>IF(M5_Ocupacion!A64="","",IF(M5_Ocupacion!D64="","",M5_Ocupacion!D64))</f>
        <v/>
      </c>
      <c r="W859" s="17" t="str">
        <f>IF(M5_Ocupacion!A64="","",IF(M5_Ocupacion!B64="","",M5_Ocupacion!B64))</f>
        <v/>
      </c>
      <c r="X859" s="17" t="str">
        <f>IF(M5_Ocupacion!A64="","",IF(M5_Ocupacion!C64="","",M5_Ocupacion!C64))</f>
        <v/>
      </c>
      <c r="Y859" s="17" t="str">
        <f>IF(M5_Ocupacion!A64="","",IF(M5_Ocupacion!E64="","",M5_Ocupacion!E64))</f>
        <v/>
      </c>
      <c r="Z859" s="17" t="str">
        <f>IF(M5_Ocupacion!A64="","",IF(M5_Ocupacion!F64="","",M5_Ocupacion!F64))</f>
        <v/>
      </c>
      <c r="AA859" s="17" t="str">
        <f>IF(M5_Ocupacion!A64="","","M5 Ocupación")</f>
        <v/>
      </c>
      <c r="AB859" s="17" t="str">
        <f>IF(M5_Ocupacion!A64="","",IF(M5_Ocupacion!G64="","",M5_Ocupacion!G64))</f>
        <v/>
      </c>
      <c r="AC859" s="17" t="str">
        <f>IF(M5_Ocupacion!A64="","",IF(COUNTIFS(M5_Ocupacion!$A$10:A64,M5_Ocupacion!A64,M5_Ocupacion!$D$10:D64,M5_Ocupacion!D64)=1,IF(M5_Ocupacion!M64="","",M5_Ocupacion!M64),""))</f>
        <v/>
      </c>
      <c r="AD859" s="17" t="str">
        <f>IF(M5_Ocupacion!A64="","","MO")</f>
        <v/>
      </c>
      <c r="AE859" s="17" t="str">
        <f>IF(M5_Ocupacion!A64="","",IF(M5_Ocupacion!O64="","",M5_Ocupacion!O64))</f>
        <v/>
      </c>
      <c r="AF859" s="17" t="str">
        <f>IF(M5_Ocupacion!A64="","",IF(M5_Ocupacion!P64="","",M5_Ocupacion!P64))</f>
        <v/>
      </c>
      <c r="AG859" s="17" t="str">
        <f>IF(M5_Ocupacion!A64="","",IF(M5_Ocupacion!Q64="","",M5_Ocupacion!Q64))</f>
        <v/>
      </c>
      <c r="AH859" s="17" t="str">
        <f>IF(M5_Ocupacion!A64="","",IF(M5_Ocupacion!J64="","",M5_Ocupacion!J64))</f>
        <v/>
      </c>
      <c r="AI859" s="17" t="str">
        <f>IF(M5_Ocupacion!A64="","","M5_Ocupacion!64")</f>
        <v/>
      </c>
      <c r="AJ859" s="17" t="str">
        <f>IF(M5_Ocupacion!A64="","",IF(M5_Ocupacion!M64="","Pendiente de medición completa",IF(COUNTIFS(M5_Ocupacion!$A$10:A64,M5_Ocupacion!A64,M5_Ocupacion!$D$10:D64,M5_Ocupacion!D64)=1,"Promedio de la actividad y fecha","Observación incluida en promedio")))</f>
        <v/>
      </c>
    </row>
    <row r="860" spans="1:36" ht="55.5" customHeight="1">
      <c r="A860" s="6" t="str">
        <f t="array" ref="A860">IF(856&gt;$S$1204,"",INDEX($T$5:$AJ$1204,MATCH(856,$S$5:$S$1204,0),1))</f>
        <v/>
      </c>
      <c r="B860" s="8" t="str">
        <f t="array" ref="B860">IF(856&gt;$S$1204,"",INDEX($T$5:$AJ$1204,MATCH(856,$S$5:$S$1204,0),2))</f>
        <v/>
      </c>
      <c r="C860" s="10" t="str">
        <f t="array" ref="C860">IF(856&gt;$S$1204,"",INDEX($T$5:$AJ$1204,MATCH(856,$S$5:$S$1204,0),3))</f>
        <v/>
      </c>
      <c r="D860" s="8" t="str">
        <f t="array" ref="D860">IF(856&gt;$S$1204,"",INDEX($T$5:$AJ$1204,MATCH(856,$S$5:$S$1204,0),4))</f>
        <v/>
      </c>
      <c r="E860" s="8" t="str">
        <f t="array" ref="E860">IF(856&gt;$S$1204,"",INDEX($T$5:$AJ$1204,MATCH(856,$S$5:$S$1204,0),5))</f>
        <v/>
      </c>
      <c r="F860" s="8" t="str">
        <f t="array" ref="F860">IF(856&gt;$S$1204,"",INDEX($T$5:$AJ$1204,MATCH(856,$S$5:$S$1204,0),6))</f>
        <v/>
      </c>
      <c r="G860" s="8" t="str">
        <f t="array" ref="G860">IF(856&gt;$S$1204,"",INDEX($T$5:$AJ$1204,MATCH(856,$S$5:$S$1204,0),7))</f>
        <v/>
      </c>
      <c r="H860" s="8" t="str">
        <f t="array" ref="H860">IF(856&gt;$S$1204,"",INDEX($T$5:$AJ$1204,MATCH(856,$S$5:$S$1204,0),8))</f>
        <v/>
      </c>
      <c r="I860" s="8" t="str">
        <f t="array" ref="I860">IF(856&gt;$S$1204,"",INDEX($T$5:$AJ$1204,MATCH(856,$S$5:$S$1204,0),9))</f>
        <v/>
      </c>
      <c r="J860" s="14" t="str">
        <f t="array" ref="J860">IF(856&gt;$S$1204,"",INDEX($T$5:$AJ$1204,MATCH(856,$S$5:$S$1204,0),10))</f>
        <v/>
      </c>
      <c r="K860" s="8" t="str">
        <f t="array" ref="K860">IF(856&gt;$S$1204,"",INDEX($T$5:$AJ$1204,MATCH(856,$S$5:$S$1204,0),11))</f>
        <v/>
      </c>
      <c r="L860" s="8" t="str">
        <f t="array" ref="L860">IF(856&gt;$S$1204,"",INDEX($T$5:$AJ$1204,MATCH(856,$S$5:$S$1204,0),12))</f>
        <v/>
      </c>
      <c r="M860" s="8" t="str">
        <f t="array" ref="M860">IF(856&gt;$S$1204,"",INDEX($T$5:$AJ$1204,MATCH(856,$S$5:$S$1204,0),13))</f>
        <v/>
      </c>
      <c r="N860" s="8" t="str">
        <f t="array" ref="N860">IF(856&gt;$S$1204,"",INDEX($T$5:$AJ$1204,MATCH(856,$S$5:$S$1204,0),14))</f>
        <v/>
      </c>
      <c r="O860" s="15" t="str">
        <f t="array" ref="O860">IF(856&gt;$S$1204,"",INDEX($T$5:$AJ$1204,MATCH(856,$S$5:$S$1204,0),15))</f>
        <v/>
      </c>
      <c r="P860" s="8" t="str">
        <f t="array" ref="P860">IF(856&gt;$S$1204,"",INDEX($T$5:$AJ$1204,MATCH(856,$S$5:$S$1204,0),16))</f>
        <v/>
      </c>
      <c r="Q860" s="8" t="str">
        <f t="array" ref="Q860">IF(856&gt;$S$1204,"",INDEX($T$5:$AJ$1204,MATCH(856,$S$5:$S$1204,0),17))</f>
        <v/>
      </c>
      <c r="R860" s="17"/>
      <c r="S860" s="17">
        <f>S859+IF(M5_Ocupacion!A65="",0,1)</f>
        <v>0</v>
      </c>
      <c r="T860" s="17" t="str">
        <f>IF(M5_Ocupacion!A65="","",IF(M5_Ocupacion!A65="","",M5_Ocupacion!A65))</f>
        <v/>
      </c>
      <c r="U860" s="17" t="str">
        <f>IF(M5_Ocupacion!A65="","",IF(M5_Ocupacion!R65="","",M5_Ocupacion!R65))</f>
        <v/>
      </c>
      <c r="V860" s="17" t="str">
        <f>IF(M5_Ocupacion!A65="","",IF(M5_Ocupacion!D65="","",M5_Ocupacion!D65))</f>
        <v/>
      </c>
      <c r="W860" s="17" t="str">
        <f>IF(M5_Ocupacion!A65="","",IF(M5_Ocupacion!B65="","",M5_Ocupacion!B65))</f>
        <v/>
      </c>
      <c r="X860" s="17" t="str">
        <f>IF(M5_Ocupacion!A65="","",IF(M5_Ocupacion!C65="","",M5_Ocupacion!C65))</f>
        <v/>
      </c>
      <c r="Y860" s="17" t="str">
        <f>IF(M5_Ocupacion!A65="","",IF(M5_Ocupacion!E65="","",M5_Ocupacion!E65))</f>
        <v/>
      </c>
      <c r="Z860" s="17" t="str">
        <f>IF(M5_Ocupacion!A65="","",IF(M5_Ocupacion!F65="","",M5_Ocupacion!F65))</f>
        <v/>
      </c>
      <c r="AA860" s="17" t="str">
        <f>IF(M5_Ocupacion!A65="","","M5 Ocupación")</f>
        <v/>
      </c>
      <c r="AB860" s="17" t="str">
        <f>IF(M5_Ocupacion!A65="","",IF(M5_Ocupacion!G65="","",M5_Ocupacion!G65))</f>
        <v/>
      </c>
      <c r="AC860" s="17" t="str">
        <f>IF(M5_Ocupacion!A65="","",IF(COUNTIFS(M5_Ocupacion!$A$10:A65,M5_Ocupacion!A65,M5_Ocupacion!$D$10:D65,M5_Ocupacion!D65)=1,IF(M5_Ocupacion!M65="","",M5_Ocupacion!M65),""))</f>
        <v/>
      </c>
      <c r="AD860" s="17" t="str">
        <f>IF(M5_Ocupacion!A65="","","MO")</f>
        <v/>
      </c>
      <c r="AE860" s="17" t="str">
        <f>IF(M5_Ocupacion!A65="","",IF(M5_Ocupacion!O65="","",M5_Ocupacion!O65))</f>
        <v/>
      </c>
      <c r="AF860" s="17" t="str">
        <f>IF(M5_Ocupacion!A65="","",IF(M5_Ocupacion!P65="","",M5_Ocupacion!P65))</f>
        <v/>
      </c>
      <c r="AG860" s="17" t="str">
        <f>IF(M5_Ocupacion!A65="","",IF(M5_Ocupacion!Q65="","",M5_Ocupacion!Q65))</f>
        <v/>
      </c>
      <c r="AH860" s="17" t="str">
        <f>IF(M5_Ocupacion!A65="","",IF(M5_Ocupacion!J65="","",M5_Ocupacion!J65))</f>
        <v/>
      </c>
      <c r="AI860" s="17" t="str">
        <f>IF(M5_Ocupacion!A65="","","M5_Ocupacion!65")</f>
        <v/>
      </c>
      <c r="AJ860" s="17" t="str">
        <f>IF(M5_Ocupacion!A65="","",IF(M5_Ocupacion!M65="","Pendiente de medición completa",IF(COUNTIFS(M5_Ocupacion!$A$10:A65,M5_Ocupacion!A65,M5_Ocupacion!$D$10:D65,M5_Ocupacion!D65)=1,"Promedio de la actividad y fecha","Observación incluida en promedio")))</f>
        <v/>
      </c>
    </row>
    <row r="861" spans="1:36" ht="55.5" customHeight="1">
      <c r="A861" s="6" t="str">
        <f t="array" ref="A861">IF(857&gt;$S$1204,"",INDEX($T$5:$AJ$1204,MATCH(857,$S$5:$S$1204,0),1))</f>
        <v/>
      </c>
      <c r="B861" s="8" t="str">
        <f t="array" ref="B861">IF(857&gt;$S$1204,"",INDEX($T$5:$AJ$1204,MATCH(857,$S$5:$S$1204,0),2))</f>
        <v/>
      </c>
      <c r="C861" s="10" t="str">
        <f t="array" ref="C861">IF(857&gt;$S$1204,"",INDEX($T$5:$AJ$1204,MATCH(857,$S$5:$S$1204,0),3))</f>
        <v/>
      </c>
      <c r="D861" s="8" t="str">
        <f t="array" ref="D861">IF(857&gt;$S$1204,"",INDEX($T$5:$AJ$1204,MATCH(857,$S$5:$S$1204,0),4))</f>
        <v/>
      </c>
      <c r="E861" s="8" t="str">
        <f t="array" ref="E861">IF(857&gt;$S$1204,"",INDEX($T$5:$AJ$1204,MATCH(857,$S$5:$S$1204,0),5))</f>
        <v/>
      </c>
      <c r="F861" s="8" t="str">
        <f t="array" ref="F861">IF(857&gt;$S$1204,"",INDEX($T$5:$AJ$1204,MATCH(857,$S$5:$S$1204,0),6))</f>
        <v/>
      </c>
      <c r="G861" s="8" t="str">
        <f t="array" ref="G861">IF(857&gt;$S$1204,"",INDEX($T$5:$AJ$1204,MATCH(857,$S$5:$S$1204,0),7))</f>
        <v/>
      </c>
      <c r="H861" s="8" t="str">
        <f t="array" ref="H861">IF(857&gt;$S$1204,"",INDEX($T$5:$AJ$1204,MATCH(857,$S$5:$S$1204,0),8))</f>
        <v/>
      </c>
      <c r="I861" s="8" t="str">
        <f t="array" ref="I861">IF(857&gt;$S$1204,"",INDEX($T$5:$AJ$1204,MATCH(857,$S$5:$S$1204,0),9))</f>
        <v/>
      </c>
      <c r="J861" s="14" t="str">
        <f t="array" ref="J861">IF(857&gt;$S$1204,"",INDEX($T$5:$AJ$1204,MATCH(857,$S$5:$S$1204,0),10))</f>
        <v/>
      </c>
      <c r="K861" s="8" t="str">
        <f t="array" ref="K861">IF(857&gt;$S$1204,"",INDEX($T$5:$AJ$1204,MATCH(857,$S$5:$S$1204,0),11))</f>
        <v/>
      </c>
      <c r="L861" s="8" t="str">
        <f t="array" ref="L861">IF(857&gt;$S$1204,"",INDEX($T$5:$AJ$1204,MATCH(857,$S$5:$S$1204,0),12))</f>
        <v/>
      </c>
      <c r="M861" s="8" t="str">
        <f t="array" ref="M861">IF(857&gt;$S$1204,"",INDEX($T$5:$AJ$1204,MATCH(857,$S$5:$S$1204,0),13))</f>
        <v/>
      </c>
      <c r="N861" s="8" t="str">
        <f t="array" ref="N861">IF(857&gt;$S$1204,"",INDEX($T$5:$AJ$1204,MATCH(857,$S$5:$S$1204,0),14))</f>
        <v/>
      </c>
      <c r="O861" s="15" t="str">
        <f t="array" ref="O861">IF(857&gt;$S$1204,"",INDEX($T$5:$AJ$1204,MATCH(857,$S$5:$S$1204,0),15))</f>
        <v/>
      </c>
      <c r="P861" s="8" t="str">
        <f t="array" ref="P861">IF(857&gt;$S$1204,"",INDEX($T$5:$AJ$1204,MATCH(857,$S$5:$S$1204,0),16))</f>
        <v/>
      </c>
      <c r="Q861" s="8" t="str">
        <f t="array" ref="Q861">IF(857&gt;$S$1204,"",INDEX($T$5:$AJ$1204,MATCH(857,$S$5:$S$1204,0),17))</f>
        <v/>
      </c>
      <c r="R861" s="17"/>
      <c r="S861" s="17">
        <f>S860+IF(M5_Ocupacion!A66="",0,1)</f>
        <v>0</v>
      </c>
      <c r="T861" s="17" t="str">
        <f>IF(M5_Ocupacion!A66="","",IF(M5_Ocupacion!A66="","",M5_Ocupacion!A66))</f>
        <v/>
      </c>
      <c r="U861" s="17" t="str">
        <f>IF(M5_Ocupacion!A66="","",IF(M5_Ocupacion!R66="","",M5_Ocupacion!R66))</f>
        <v/>
      </c>
      <c r="V861" s="17" t="str">
        <f>IF(M5_Ocupacion!A66="","",IF(M5_Ocupacion!D66="","",M5_Ocupacion!D66))</f>
        <v/>
      </c>
      <c r="W861" s="17" t="str">
        <f>IF(M5_Ocupacion!A66="","",IF(M5_Ocupacion!B66="","",M5_Ocupacion!B66))</f>
        <v/>
      </c>
      <c r="X861" s="17" t="str">
        <f>IF(M5_Ocupacion!A66="","",IF(M5_Ocupacion!C66="","",M5_Ocupacion!C66))</f>
        <v/>
      </c>
      <c r="Y861" s="17" t="str">
        <f>IF(M5_Ocupacion!A66="","",IF(M5_Ocupacion!E66="","",M5_Ocupacion!E66))</f>
        <v/>
      </c>
      <c r="Z861" s="17" t="str">
        <f>IF(M5_Ocupacion!A66="","",IF(M5_Ocupacion!F66="","",M5_Ocupacion!F66))</f>
        <v/>
      </c>
      <c r="AA861" s="17" t="str">
        <f>IF(M5_Ocupacion!A66="","","M5 Ocupación")</f>
        <v/>
      </c>
      <c r="AB861" s="17" t="str">
        <f>IF(M5_Ocupacion!A66="","",IF(M5_Ocupacion!G66="","",M5_Ocupacion!G66))</f>
        <v/>
      </c>
      <c r="AC861" s="17" t="str">
        <f>IF(M5_Ocupacion!A66="","",IF(COUNTIFS(M5_Ocupacion!$A$10:A66,M5_Ocupacion!A66,M5_Ocupacion!$D$10:D66,M5_Ocupacion!D66)=1,IF(M5_Ocupacion!M66="","",M5_Ocupacion!M66),""))</f>
        <v/>
      </c>
      <c r="AD861" s="17" t="str">
        <f>IF(M5_Ocupacion!A66="","","MO")</f>
        <v/>
      </c>
      <c r="AE861" s="17" t="str">
        <f>IF(M5_Ocupacion!A66="","",IF(M5_Ocupacion!O66="","",M5_Ocupacion!O66))</f>
        <v/>
      </c>
      <c r="AF861" s="17" t="str">
        <f>IF(M5_Ocupacion!A66="","",IF(M5_Ocupacion!P66="","",M5_Ocupacion!P66))</f>
        <v/>
      </c>
      <c r="AG861" s="17" t="str">
        <f>IF(M5_Ocupacion!A66="","",IF(M5_Ocupacion!Q66="","",M5_Ocupacion!Q66))</f>
        <v/>
      </c>
      <c r="AH861" s="17" t="str">
        <f>IF(M5_Ocupacion!A66="","",IF(M5_Ocupacion!J66="","",M5_Ocupacion!J66))</f>
        <v/>
      </c>
      <c r="AI861" s="17" t="str">
        <f>IF(M5_Ocupacion!A66="","","M5_Ocupacion!66")</f>
        <v/>
      </c>
      <c r="AJ861" s="17" t="str">
        <f>IF(M5_Ocupacion!A66="","",IF(M5_Ocupacion!M66="","Pendiente de medición completa",IF(COUNTIFS(M5_Ocupacion!$A$10:A66,M5_Ocupacion!A66,M5_Ocupacion!$D$10:D66,M5_Ocupacion!D66)=1,"Promedio de la actividad y fecha","Observación incluida en promedio")))</f>
        <v/>
      </c>
    </row>
    <row r="862" spans="1:36" ht="55.5" customHeight="1">
      <c r="A862" s="6" t="str">
        <f t="array" ref="A862">IF(858&gt;$S$1204,"",INDEX($T$5:$AJ$1204,MATCH(858,$S$5:$S$1204,0),1))</f>
        <v/>
      </c>
      <c r="B862" s="8" t="str">
        <f t="array" ref="B862">IF(858&gt;$S$1204,"",INDEX($T$5:$AJ$1204,MATCH(858,$S$5:$S$1204,0),2))</f>
        <v/>
      </c>
      <c r="C862" s="10" t="str">
        <f t="array" ref="C862">IF(858&gt;$S$1204,"",INDEX($T$5:$AJ$1204,MATCH(858,$S$5:$S$1204,0),3))</f>
        <v/>
      </c>
      <c r="D862" s="8" t="str">
        <f t="array" ref="D862">IF(858&gt;$S$1204,"",INDEX($T$5:$AJ$1204,MATCH(858,$S$5:$S$1204,0),4))</f>
        <v/>
      </c>
      <c r="E862" s="8" t="str">
        <f t="array" ref="E862">IF(858&gt;$S$1204,"",INDEX($T$5:$AJ$1204,MATCH(858,$S$5:$S$1204,0),5))</f>
        <v/>
      </c>
      <c r="F862" s="8" t="str">
        <f t="array" ref="F862">IF(858&gt;$S$1204,"",INDEX($T$5:$AJ$1204,MATCH(858,$S$5:$S$1204,0),6))</f>
        <v/>
      </c>
      <c r="G862" s="8" t="str">
        <f t="array" ref="G862">IF(858&gt;$S$1204,"",INDEX($T$5:$AJ$1204,MATCH(858,$S$5:$S$1204,0),7))</f>
        <v/>
      </c>
      <c r="H862" s="8" t="str">
        <f t="array" ref="H862">IF(858&gt;$S$1204,"",INDEX($T$5:$AJ$1204,MATCH(858,$S$5:$S$1204,0),8))</f>
        <v/>
      </c>
      <c r="I862" s="8" t="str">
        <f t="array" ref="I862">IF(858&gt;$S$1204,"",INDEX($T$5:$AJ$1204,MATCH(858,$S$5:$S$1204,0),9))</f>
        <v/>
      </c>
      <c r="J862" s="14" t="str">
        <f t="array" ref="J862">IF(858&gt;$S$1204,"",INDEX($T$5:$AJ$1204,MATCH(858,$S$5:$S$1204,0),10))</f>
        <v/>
      </c>
      <c r="K862" s="8" t="str">
        <f t="array" ref="K862">IF(858&gt;$S$1204,"",INDEX($T$5:$AJ$1204,MATCH(858,$S$5:$S$1204,0),11))</f>
        <v/>
      </c>
      <c r="L862" s="8" t="str">
        <f t="array" ref="L862">IF(858&gt;$S$1204,"",INDEX($T$5:$AJ$1204,MATCH(858,$S$5:$S$1204,0),12))</f>
        <v/>
      </c>
      <c r="M862" s="8" t="str">
        <f t="array" ref="M862">IF(858&gt;$S$1204,"",INDEX($T$5:$AJ$1204,MATCH(858,$S$5:$S$1204,0),13))</f>
        <v/>
      </c>
      <c r="N862" s="8" t="str">
        <f t="array" ref="N862">IF(858&gt;$S$1204,"",INDEX($T$5:$AJ$1204,MATCH(858,$S$5:$S$1204,0),14))</f>
        <v/>
      </c>
      <c r="O862" s="15" t="str">
        <f t="array" ref="O862">IF(858&gt;$S$1204,"",INDEX($T$5:$AJ$1204,MATCH(858,$S$5:$S$1204,0),15))</f>
        <v/>
      </c>
      <c r="P862" s="8" t="str">
        <f t="array" ref="P862">IF(858&gt;$S$1204,"",INDEX($T$5:$AJ$1204,MATCH(858,$S$5:$S$1204,0),16))</f>
        <v/>
      </c>
      <c r="Q862" s="8" t="str">
        <f t="array" ref="Q862">IF(858&gt;$S$1204,"",INDEX($T$5:$AJ$1204,MATCH(858,$S$5:$S$1204,0),17))</f>
        <v/>
      </c>
      <c r="R862" s="17"/>
      <c r="S862" s="17">
        <f>S861+IF(M5_Ocupacion!A67="",0,1)</f>
        <v>0</v>
      </c>
      <c r="T862" s="17" t="str">
        <f>IF(M5_Ocupacion!A67="","",IF(M5_Ocupacion!A67="","",M5_Ocupacion!A67))</f>
        <v/>
      </c>
      <c r="U862" s="17" t="str">
        <f>IF(M5_Ocupacion!A67="","",IF(M5_Ocupacion!R67="","",M5_Ocupacion!R67))</f>
        <v/>
      </c>
      <c r="V862" s="17" t="str">
        <f>IF(M5_Ocupacion!A67="","",IF(M5_Ocupacion!D67="","",M5_Ocupacion!D67))</f>
        <v/>
      </c>
      <c r="W862" s="17" t="str">
        <f>IF(M5_Ocupacion!A67="","",IF(M5_Ocupacion!B67="","",M5_Ocupacion!B67))</f>
        <v/>
      </c>
      <c r="X862" s="17" t="str">
        <f>IF(M5_Ocupacion!A67="","",IF(M5_Ocupacion!C67="","",M5_Ocupacion!C67))</f>
        <v/>
      </c>
      <c r="Y862" s="17" t="str">
        <f>IF(M5_Ocupacion!A67="","",IF(M5_Ocupacion!E67="","",M5_Ocupacion!E67))</f>
        <v/>
      </c>
      <c r="Z862" s="17" t="str">
        <f>IF(M5_Ocupacion!A67="","",IF(M5_Ocupacion!F67="","",M5_Ocupacion!F67))</f>
        <v/>
      </c>
      <c r="AA862" s="17" t="str">
        <f>IF(M5_Ocupacion!A67="","","M5 Ocupación")</f>
        <v/>
      </c>
      <c r="AB862" s="17" t="str">
        <f>IF(M5_Ocupacion!A67="","",IF(M5_Ocupacion!G67="","",M5_Ocupacion!G67))</f>
        <v/>
      </c>
      <c r="AC862" s="17" t="str">
        <f>IF(M5_Ocupacion!A67="","",IF(COUNTIFS(M5_Ocupacion!$A$10:A67,M5_Ocupacion!A67,M5_Ocupacion!$D$10:D67,M5_Ocupacion!D67)=1,IF(M5_Ocupacion!M67="","",M5_Ocupacion!M67),""))</f>
        <v/>
      </c>
      <c r="AD862" s="17" t="str">
        <f>IF(M5_Ocupacion!A67="","","MO")</f>
        <v/>
      </c>
      <c r="AE862" s="17" t="str">
        <f>IF(M5_Ocupacion!A67="","",IF(M5_Ocupacion!O67="","",M5_Ocupacion!O67))</f>
        <v/>
      </c>
      <c r="AF862" s="17" t="str">
        <f>IF(M5_Ocupacion!A67="","",IF(M5_Ocupacion!P67="","",M5_Ocupacion!P67))</f>
        <v/>
      </c>
      <c r="AG862" s="17" t="str">
        <f>IF(M5_Ocupacion!A67="","",IF(M5_Ocupacion!Q67="","",M5_Ocupacion!Q67))</f>
        <v/>
      </c>
      <c r="AH862" s="17" t="str">
        <f>IF(M5_Ocupacion!A67="","",IF(M5_Ocupacion!J67="","",M5_Ocupacion!J67))</f>
        <v/>
      </c>
      <c r="AI862" s="17" t="str">
        <f>IF(M5_Ocupacion!A67="","","M5_Ocupacion!67")</f>
        <v/>
      </c>
      <c r="AJ862" s="17" t="str">
        <f>IF(M5_Ocupacion!A67="","",IF(M5_Ocupacion!M67="","Pendiente de medición completa",IF(COUNTIFS(M5_Ocupacion!$A$10:A67,M5_Ocupacion!A67,M5_Ocupacion!$D$10:D67,M5_Ocupacion!D67)=1,"Promedio de la actividad y fecha","Observación incluida en promedio")))</f>
        <v/>
      </c>
    </row>
    <row r="863" spans="1:36" ht="55.5" customHeight="1">
      <c r="A863" s="6" t="str">
        <f t="array" ref="A863">IF(859&gt;$S$1204,"",INDEX($T$5:$AJ$1204,MATCH(859,$S$5:$S$1204,0),1))</f>
        <v/>
      </c>
      <c r="B863" s="8" t="str">
        <f t="array" ref="B863">IF(859&gt;$S$1204,"",INDEX($T$5:$AJ$1204,MATCH(859,$S$5:$S$1204,0),2))</f>
        <v/>
      </c>
      <c r="C863" s="10" t="str">
        <f t="array" ref="C863">IF(859&gt;$S$1204,"",INDEX($T$5:$AJ$1204,MATCH(859,$S$5:$S$1204,0),3))</f>
        <v/>
      </c>
      <c r="D863" s="8" t="str">
        <f t="array" ref="D863">IF(859&gt;$S$1204,"",INDEX($T$5:$AJ$1204,MATCH(859,$S$5:$S$1204,0),4))</f>
        <v/>
      </c>
      <c r="E863" s="8" t="str">
        <f t="array" ref="E863">IF(859&gt;$S$1204,"",INDEX($T$5:$AJ$1204,MATCH(859,$S$5:$S$1204,0),5))</f>
        <v/>
      </c>
      <c r="F863" s="8" t="str">
        <f t="array" ref="F863">IF(859&gt;$S$1204,"",INDEX($T$5:$AJ$1204,MATCH(859,$S$5:$S$1204,0),6))</f>
        <v/>
      </c>
      <c r="G863" s="8" t="str">
        <f t="array" ref="G863">IF(859&gt;$S$1204,"",INDEX($T$5:$AJ$1204,MATCH(859,$S$5:$S$1204,0),7))</f>
        <v/>
      </c>
      <c r="H863" s="8" t="str">
        <f t="array" ref="H863">IF(859&gt;$S$1204,"",INDEX($T$5:$AJ$1204,MATCH(859,$S$5:$S$1204,0),8))</f>
        <v/>
      </c>
      <c r="I863" s="8" t="str">
        <f t="array" ref="I863">IF(859&gt;$S$1204,"",INDEX($T$5:$AJ$1204,MATCH(859,$S$5:$S$1204,0),9))</f>
        <v/>
      </c>
      <c r="J863" s="14" t="str">
        <f t="array" ref="J863">IF(859&gt;$S$1204,"",INDEX($T$5:$AJ$1204,MATCH(859,$S$5:$S$1204,0),10))</f>
        <v/>
      </c>
      <c r="K863" s="8" t="str">
        <f t="array" ref="K863">IF(859&gt;$S$1204,"",INDEX($T$5:$AJ$1204,MATCH(859,$S$5:$S$1204,0),11))</f>
        <v/>
      </c>
      <c r="L863" s="8" t="str">
        <f t="array" ref="L863">IF(859&gt;$S$1204,"",INDEX($T$5:$AJ$1204,MATCH(859,$S$5:$S$1204,0),12))</f>
        <v/>
      </c>
      <c r="M863" s="8" t="str">
        <f t="array" ref="M863">IF(859&gt;$S$1204,"",INDEX($T$5:$AJ$1204,MATCH(859,$S$5:$S$1204,0),13))</f>
        <v/>
      </c>
      <c r="N863" s="8" t="str">
        <f t="array" ref="N863">IF(859&gt;$S$1204,"",INDEX($T$5:$AJ$1204,MATCH(859,$S$5:$S$1204,0),14))</f>
        <v/>
      </c>
      <c r="O863" s="15" t="str">
        <f t="array" ref="O863">IF(859&gt;$S$1204,"",INDEX($T$5:$AJ$1204,MATCH(859,$S$5:$S$1204,0),15))</f>
        <v/>
      </c>
      <c r="P863" s="8" t="str">
        <f t="array" ref="P863">IF(859&gt;$S$1204,"",INDEX($T$5:$AJ$1204,MATCH(859,$S$5:$S$1204,0),16))</f>
        <v/>
      </c>
      <c r="Q863" s="8" t="str">
        <f t="array" ref="Q863">IF(859&gt;$S$1204,"",INDEX($T$5:$AJ$1204,MATCH(859,$S$5:$S$1204,0),17))</f>
        <v/>
      </c>
      <c r="R863" s="17"/>
      <c r="S863" s="17">
        <f>S862+IF(M5_Ocupacion!A68="",0,1)</f>
        <v>0</v>
      </c>
      <c r="T863" s="17" t="str">
        <f>IF(M5_Ocupacion!A68="","",IF(M5_Ocupacion!A68="","",M5_Ocupacion!A68))</f>
        <v/>
      </c>
      <c r="U863" s="17" t="str">
        <f>IF(M5_Ocupacion!A68="","",IF(M5_Ocupacion!R68="","",M5_Ocupacion!R68))</f>
        <v/>
      </c>
      <c r="V863" s="17" t="str">
        <f>IF(M5_Ocupacion!A68="","",IF(M5_Ocupacion!D68="","",M5_Ocupacion!D68))</f>
        <v/>
      </c>
      <c r="W863" s="17" t="str">
        <f>IF(M5_Ocupacion!A68="","",IF(M5_Ocupacion!B68="","",M5_Ocupacion!B68))</f>
        <v/>
      </c>
      <c r="X863" s="17" t="str">
        <f>IF(M5_Ocupacion!A68="","",IF(M5_Ocupacion!C68="","",M5_Ocupacion!C68))</f>
        <v/>
      </c>
      <c r="Y863" s="17" t="str">
        <f>IF(M5_Ocupacion!A68="","",IF(M5_Ocupacion!E68="","",M5_Ocupacion!E68))</f>
        <v/>
      </c>
      <c r="Z863" s="17" t="str">
        <f>IF(M5_Ocupacion!A68="","",IF(M5_Ocupacion!F68="","",M5_Ocupacion!F68))</f>
        <v/>
      </c>
      <c r="AA863" s="17" t="str">
        <f>IF(M5_Ocupacion!A68="","","M5 Ocupación")</f>
        <v/>
      </c>
      <c r="AB863" s="17" t="str">
        <f>IF(M5_Ocupacion!A68="","",IF(M5_Ocupacion!G68="","",M5_Ocupacion!G68))</f>
        <v/>
      </c>
      <c r="AC863" s="17" t="str">
        <f>IF(M5_Ocupacion!A68="","",IF(COUNTIFS(M5_Ocupacion!$A$10:A68,M5_Ocupacion!A68,M5_Ocupacion!$D$10:D68,M5_Ocupacion!D68)=1,IF(M5_Ocupacion!M68="","",M5_Ocupacion!M68),""))</f>
        <v/>
      </c>
      <c r="AD863" s="17" t="str">
        <f>IF(M5_Ocupacion!A68="","","MO")</f>
        <v/>
      </c>
      <c r="AE863" s="17" t="str">
        <f>IF(M5_Ocupacion!A68="","",IF(M5_Ocupacion!O68="","",M5_Ocupacion!O68))</f>
        <v/>
      </c>
      <c r="AF863" s="17" t="str">
        <f>IF(M5_Ocupacion!A68="","",IF(M5_Ocupacion!P68="","",M5_Ocupacion!P68))</f>
        <v/>
      </c>
      <c r="AG863" s="17" t="str">
        <f>IF(M5_Ocupacion!A68="","",IF(M5_Ocupacion!Q68="","",M5_Ocupacion!Q68))</f>
        <v/>
      </c>
      <c r="AH863" s="17" t="str">
        <f>IF(M5_Ocupacion!A68="","",IF(M5_Ocupacion!J68="","",M5_Ocupacion!J68))</f>
        <v/>
      </c>
      <c r="AI863" s="17" t="str">
        <f>IF(M5_Ocupacion!A68="","","M5_Ocupacion!68")</f>
        <v/>
      </c>
      <c r="AJ863" s="17" t="str">
        <f>IF(M5_Ocupacion!A68="","",IF(M5_Ocupacion!M68="","Pendiente de medición completa",IF(COUNTIFS(M5_Ocupacion!$A$10:A68,M5_Ocupacion!A68,M5_Ocupacion!$D$10:D68,M5_Ocupacion!D68)=1,"Promedio de la actividad y fecha","Observación incluida en promedio")))</f>
        <v/>
      </c>
    </row>
    <row r="864" spans="1:36" ht="55.5" customHeight="1">
      <c r="A864" s="6" t="str">
        <f t="array" ref="A864">IF(860&gt;$S$1204,"",INDEX($T$5:$AJ$1204,MATCH(860,$S$5:$S$1204,0),1))</f>
        <v/>
      </c>
      <c r="B864" s="8" t="str">
        <f t="array" ref="B864">IF(860&gt;$S$1204,"",INDEX($T$5:$AJ$1204,MATCH(860,$S$5:$S$1204,0),2))</f>
        <v/>
      </c>
      <c r="C864" s="10" t="str">
        <f t="array" ref="C864">IF(860&gt;$S$1204,"",INDEX($T$5:$AJ$1204,MATCH(860,$S$5:$S$1204,0),3))</f>
        <v/>
      </c>
      <c r="D864" s="8" t="str">
        <f t="array" ref="D864">IF(860&gt;$S$1204,"",INDEX($T$5:$AJ$1204,MATCH(860,$S$5:$S$1204,0),4))</f>
        <v/>
      </c>
      <c r="E864" s="8" t="str">
        <f t="array" ref="E864">IF(860&gt;$S$1204,"",INDEX($T$5:$AJ$1204,MATCH(860,$S$5:$S$1204,0),5))</f>
        <v/>
      </c>
      <c r="F864" s="8" t="str">
        <f t="array" ref="F864">IF(860&gt;$S$1204,"",INDEX($T$5:$AJ$1204,MATCH(860,$S$5:$S$1204,0),6))</f>
        <v/>
      </c>
      <c r="G864" s="8" t="str">
        <f t="array" ref="G864">IF(860&gt;$S$1204,"",INDEX($T$5:$AJ$1204,MATCH(860,$S$5:$S$1204,0),7))</f>
        <v/>
      </c>
      <c r="H864" s="8" t="str">
        <f t="array" ref="H864">IF(860&gt;$S$1204,"",INDEX($T$5:$AJ$1204,MATCH(860,$S$5:$S$1204,0),8))</f>
        <v/>
      </c>
      <c r="I864" s="8" t="str">
        <f t="array" ref="I864">IF(860&gt;$S$1204,"",INDEX($T$5:$AJ$1204,MATCH(860,$S$5:$S$1204,0),9))</f>
        <v/>
      </c>
      <c r="J864" s="14" t="str">
        <f t="array" ref="J864">IF(860&gt;$S$1204,"",INDEX($T$5:$AJ$1204,MATCH(860,$S$5:$S$1204,0),10))</f>
        <v/>
      </c>
      <c r="K864" s="8" t="str">
        <f t="array" ref="K864">IF(860&gt;$S$1204,"",INDEX($T$5:$AJ$1204,MATCH(860,$S$5:$S$1204,0),11))</f>
        <v/>
      </c>
      <c r="L864" s="8" t="str">
        <f t="array" ref="L864">IF(860&gt;$S$1204,"",INDEX($T$5:$AJ$1204,MATCH(860,$S$5:$S$1204,0),12))</f>
        <v/>
      </c>
      <c r="M864" s="8" t="str">
        <f t="array" ref="M864">IF(860&gt;$S$1204,"",INDEX($T$5:$AJ$1204,MATCH(860,$S$5:$S$1204,0),13))</f>
        <v/>
      </c>
      <c r="N864" s="8" t="str">
        <f t="array" ref="N864">IF(860&gt;$S$1204,"",INDEX($T$5:$AJ$1204,MATCH(860,$S$5:$S$1204,0),14))</f>
        <v/>
      </c>
      <c r="O864" s="15" t="str">
        <f t="array" ref="O864">IF(860&gt;$S$1204,"",INDEX($T$5:$AJ$1204,MATCH(860,$S$5:$S$1204,0),15))</f>
        <v/>
      </c>
      <c r="P864" s="8" t="str">
        <f t="array" ref="P864">IF(860&gt;$S$1204,"",INDEX($T$5:$AJ$1204,MATCH(860,$S$5:$S$1204,0),16))</f>
        <v/>
      </c>
      <c r="Q864" s="8" t="str">
        <f t="array" ref="Q864">IF(860&gt;$S$1204,"",INDEX($T$5:$AJ$1204,MATCH(860,$S$5:$S$1204,0),17))</f>
        <v/>
      </c>
      <c r="R864" s="17"/>
      <c r="S864" s="17">
        <f>S863+IF(M5_Ocupacion!A69="",0,1)</f>
        <v>0</v>
      </c>
      <c r="T864" s="17" t="str">
        <f>IF(M5_Ocupacion!A69="","",IF(M5_Ocupacion!A69="","",M5_Ocupacion!A69))</f>
        <v/>
      </c>
      <c r="U864" s="17" t="str">
        <f>IF(M5_Ocupacion!A69="","",IF(M5_Ocupacion!R69="","",M5_Ocupacion!R69))</f>
        <v/>
      </c>
      <c r="V864" s="17" t="str">
        <f>IF(M5_Ocupacion!A69="","",IF(M5_Ocupacion!D69="","",M5_Ocupacion!D69))</f>
        <v/>
      </c>
      <c r="W864" s="17" t="str">
        <f>IF(M5_Ocupacion!A69="","",IF(M5_Ocupacion!B69="","",M5_Ocupacion!B69))</f>
        <v/>
      </c>
      <c r="X864" s="17" t="str">
        <f>IF(M5_Ocupacion!A69="","",IF(M5_Ocupacion!C69="","",M5_Ocupacion!C69))</f>
        <v/>
      </c>
      <c r="Y864" s="17" t="str">
        <f>IF(M5_Ocupacion!A69="","",IF(M5_Ocupacion!E69="","",M5_Ocupacion!E69))</f>
        <v/>
      </c>
      <c r="Z864" s="17" t="str">
        <f>IF(M5_Ocupacion!A69="","",IF(M5_Ocupacion!F69="","",M5_Ocupacion!F69))</f>
        <v/>
      </c>
      <c r="AA864" s="17" t="str">
        <f>IF(M5_Ocupacion!A69="","","M5 Ocupación")</f>
        <v/>
      </c>
      <c r="AB864" s="17" t="str">
        <f>IF(M5_Ocupacion!A69="","",IF(M5_Ocupacion!G69="","",M5_Ocupacion!G69))</f>
        <v/>
      </c>
      <c r="AC864" s="17" t="str">
        <f>IF(M5_Ocupacion!A69="","",IF(COUNTIFS(M5_Ocupacion!$A$10:A69,M5_Ocupacion!A69,M5_Ocupacion!$D$10:D69,M5_Ocupacion!D69)=1,IF(M5_Ocupacion!M69="","",M5_Ocupacion!M69),""))</f>
        <v/>
      </c>
      <c r="AD864" s="17" t="str">
        <f>IF(M5_Ocupacion!A69="","","MO")</f>
        <v/>
      </c>
      <c r="AE864" s="17" t="str">
        <f>IF(M5_Ocupacion!A69="","",IF(M5_Ocupacion!O69="","",M5_Ocupacion!O69))</f>
        <v/>
      </c>
      <c r="AF864" s="17" t="str">
        <f>IF(M5_Ocupacion!A69="","",IF(M5_Ocupacion!P69="","",M5_Ocupacion!P69))</f>
        <v/>
      </c>
      <c r="AG864" s="17" t="str">
        <f>IF(M5_Ocupacion!A69="","",IF(M5_Ocupacion!Q69="","",M5_Ocupacion!Q69))</f>
        <v/>
      </c>
      <c r="AH864" s="17" t="str">
        <f>IF(M5_Ocupacion!A69="","",IF(M5_Ocupacion!J69="","",M5_Ocupacion!J69))</f>
        <v/>
      </c>
      <c r="AI864" s="17" t="str">
        <f>IF(M5_Ocupacion!A69="","","M5_Ocupacion!69")</f>
        <v/>
      </c>
      <c r="AJ864" s="17" t="str">
        <f>IF(M5_Ocupacion!A69="","",IF(M5_Ocupacion!M69="","Pendiente de medición completa",IF(COUNTIFS(M5_Ocupacion!$A$10:A69,M5_Ocupacion!A69,M5_Ocupacion!$D$10:D69,M5_Ocupacion!D69)=1,"Promedio de la actividad y fecha","Observación incluida en promedio")))</f>
        <v/>
      </c>
    </row>
    <row r="865" spans="1:36" ht="55.5" customHeight="1">
      <c r="A865" s="6" t="str">
        <f t="array" ref="A865">IF(861&gt;$S$1204,"",INDEX($T$5:$AJ$1204,MATCH(861,$S$5:$S$1204,0),1))</f>
        <v/>
      </c>
      <c r="B865" s="8" t="str">
        <f t="array" ref="B865">IF(861&gt;$S$1204,"",INDEX($T$5:$AJ$1204,MATCH(861,$S$5:$S$1204,0),2))</f>
        <v/>
      </c>
      <c r="C865" s="10" t="str">
        <f t="array" ref="C865">IF(861&gt;$S$1204,"",INDEX($T$5:$AJ$1204,MATCH(861,$S$5:$S$1204,0),3))</f>
        <v/>
      </c>
      <c r="D865" s="8" t="str">
        <f t="array" ref="D865">IF(861&gt;$S$1204,"",INDEX($T$5:$AJ$1204,MATCH(861,$S$5:$S$1204,0),4))</f>
        <v/>
      </c>
      <c r="E865" s="8" t="str">
        <f t="array" ref="E865">IF(861&gt;$S$1204,"",INDEX($T$5:$AJ$1204,MATCH(861,$S$5:$S$1204,0),5))</f>
        <v/>
      </c>
      <c r="F865" s="8" t="str">
        <f t="array" ref="F865">IF(861&gt;$S$1204,"",INDEX($T$5:$AJ$1204,MATCH(861,$S$5:$S$1204,0),6))</f>
        <v/>
      </c>
      <c r="G865" s="8" t="str">
        <f t="array" ref="G865">IF(861&gt;$S$1204,"",INDEX($T$5:$AJ$1204,MATCH(861,$S$5:$S$1204,0),7))</f>
        <v/>
      </c>
      <c r="H865" s="8" t="str">
        <f t="array" ref="H865">IF(861&gt;$S$1204,"",INDEX($T$5:$AJ$1204,MATCH(861,$S$5:$S$1204,0),8))</f>
        <v/>
      </c>
      <c r="I865" s="8" t="str">
        <f t="array" ref="I865">IF(861&gt;$S$1204,"",INDEX($T$5:$AJ$1204,MATCH(861,$S$5:$S$1204,0),9))</f>
        <v/>
      </c>
      <c r="J865" s="14" t="str">
        <f t="array" ref="J865">IF(861&gt;$S$1204,"",INDEX($T$5:$AJ$1204,MATCH(861,$S$5:$S$1204,0),10))</f>
        <v/>
      </c>
      <c r="K865" s="8" t="str">
        <f t="array" ref="K865">IF(861&gt;$S$1204,"",INDEX($T$5:$AJ$1204,MATCH(861,$S$5:$S$1204,0),11))</f>
        <v/>
      </c>
      <c r="L865" s="8" t="str">
        <f t="array" ref="L865">IF(861&gt;$S$1204,"",INDEX($T$5:$AJ$1204,MATCH(861,$S$5:$S$1204,0),12))</f>
        <v/>
      </c>
      <c r="M865" s="8" t="str">
        <f t="array" ref="M865">IF(861&gt;$S$1204,"",INDEX($T$5:$AJ$1204,MATCH(861,$S$5:$S$1204,0),13))</f>
        <v/>
      </c>
      <c r="N865" s="8" t="str">
        <f t="array" ref="N865">IF(861&gt;$S$1204,"",INDEX($T$5:$AJ$1204,MATCH(861,$S$5:$S$1204,0),14))</f>
        <v/>
      </c>
      <c r="O865" s="15" t="str">
        <f t="array" ref="O865">IF(861&gt;$S$1204,"",INDEX($T$5:$AJ$1204,MATCH(861,$S$5:$S$1204,0),15))</f>
        <v/>
      </c>
      <c r="P865" s="8" t="str">
        <f t="array" ref="P865">IF(861&gt;$S$1204,"",INDEX($T$5:$AJ$1204,MATCH(861,$S$5:$S$1204,0),16))</f>
        <v/>
      </c>
      <c r="Q865" s="8" t="str">
        <f t="array" ref="Q865">IF(861&gt;$S$1204,"",INDEX($T$5:$AJ$1204,MATCH(861,$S$5:$S$1204,0),17))</f>
        <v/>
      </c>
      <c r="R865" s="17"/>
      <c r="S865" s="17">
        <f>S864+IF(M5_Ocupacion!A70="",0,1)</f>
        <v>0</v>
      </c>
      <c r="T865" s="17" t="str">
        <f>IF(M5_Ocupacion!A70="","",IF(M5_Ocupacion!A70="","",M5_Ocupacion!A70))</f>
        <v/>
      </c>
      <c r="U865" s="17" t="str">
        <f>IF(M5_Ocupacion!A70="","",IF(M5_Ocupacion!R70="","",M5_Ocupacion!R70))</f>
        <v/>
      </c>
      <c r="V865" s="17" t="str">
        <f>IF(M5_Ocupacion!A70="","",IF(M5_Ocupacion!D70="","",M5_Ocupacion!D70))</f>
        <v/>
      </c>
      <c r="W865" s="17" t="str">
        <f>IF(M5_Ocupacion!A70="","",IF(M5_Ocupacion!B70="","",M5_Ocupacion!B70))</f>
        <v/>
      </c>
      <c r="X865" s="17" t="str">
        <f>IF(M5_Ocupacion!A70="","",IF(M5_Ocupacion!C70="","",M5_Ocupacion!C70))</f>
        <v/>
      </c>
      <c r="Y865" s="17" t="str">
        <f>IF(M5_Ocupacion!A70="","",IF(M5_Ocupacion!E70="","",M5_Ocupacion!E70))</f>
        <v/>
      </c>
      <c r="Z865" s="17" t="str">
        <f>IF(M5_Ocupacion!A70="","",IF(M5_Ocupacion!F70="","",M5_Ocupacion!F70))</f>
        <v/>
      </c>
      <c r="AA865" s="17" t="str">
        <f>IF(M5_Ocupacion!A70="","","M5 Ocupación")</f>
        <v/>
      </c>
      <c r="AB865" s="17" t="str">
        <f>IF(M5_Ocupacion!A70="","",IF(M5_Ocupacion!G70="","",M5_Ocupacion!G70))</f>
        <v/>
      </c>
      <c r="AC865" s="17" t="str">
        <f>IF(M5_Ocupacion!A70="","",IF(COUNTIFS(M5_Ocupacion!$A$10:A70,M5_Ocupacion!A70,M5_Ocupacion!$D$10:D70,M5_Ocupacion!D70)=1,IF(M5_Ocupacion!M70="","",M5_Ocupacion!M70),""))</f>
        <v/>
      </c>
      <c r="AD865" s="17" t="str">
        <f>IF(M5_Ocupacion!A70="","","MO")</f>
        <v/>
      </c>
      <c r="AE865" s="17" t="str">
        <f>IF(M5_Ocupacion!A70="","",IF(M5_Ocupacion!O70="","",M5_Ocupacion!O70))</f>
        <v/>
      </c>
      <c r="AF865" s="17" t="str">
        <f>IF(M5_Ocupacion!A70="","",IF(M5_Ocupacion!P70="","",M5_Ocupacion!P70))</f>
        <v/>
      </c>
      <c r="AG865" s="17" t="str">
        <f>IF(M5_Ocupacion!A70="","",IF(M5_Ocupacion!Q70="","",M5_Ocupacion!Q70))</f>
        <v/>
      </c>
      <c r="AH865" s="17" t="str">
        <f>IF(M5_Ocupacion!A70="","",IF(M5_Ocupacion!J70="","",M5_Ocupacion!J70))</f>
        <v/>
      </c>
      <c r="AI865" s="17" t="str">
        <f>IF(M5_Ocupacion!A70="","","M5_Ocupacion!70")</f>
        <v/>
      </c>
      <c r="AJ865" s="17" t="str">
        <f>IF(M5_Ocupacion!A70="","",IF(M5_Ocupacion!M70="","Pendiente de medición completa",IF(COUNTIFS(M5_Ocupacion!$A$10:A70,M5_Ocupacion!A70,M5_Ocupacion!$D$10:D70,M5_Ocupacion!D70)=1,"Promedio de la actividad y fecha","Observación incluida en promedio")))</f>
        <v/>
      </c>
    </row>
    <row r="866" spans="1:36" ht="55.5" customHeight="1">
      <c r="A866" s="6" t="str">
        <f t="array" ref="A866">IF(862&gt;$S$1204,"",INDEX($T$5:$AJ$1204,MATCH(862,$S$5:$S$1204,0),1))</f>
        <v/>
      </c>
      <c r="B866" s="8" t="str">
        <f t="array" ref="B866">IF(862&gt;$S$1204,"",INDEX($T$5:$AJ$1204,MATCH(862,$S$5:$S$1204,0),2))</f>
        <v/>
      </c>
      <c r="C866" s="10" t="str">
        <f t="array" ref="C866">IF(862&gt;$S$1204,"",INDEX($T$5:$AJ$1204,MATCH(862,$S$5:$S$1204,0),3))</f>
        <v/>
      </c>
      <c r="D866" s="8" t="str">
        <f t="array" ref="D866">IF(862&gt;$S$1204,"",INDEX($T$5:$AJ$1204,MATCH(862,$S$5:$S$1204,0),4))</f>
        <v/>
      </c>
      <c r="E866" s="8" t="str">
        <f t="array" ref="E866">IF(862&gt;$S$1204,"",INDEX($T$5:$AJ$1204,MATCH(862,$S$5:$S$1204,0),5))</f>
        <v/>
      </c>
      <c r="F866" s="8" t="str">
        <f t="array" ref="F866">IF(862&gt;$S$1204,"",INDEX($T$5:$AJ$1204,MATCH(862,$S$5:$S$1204,0),6))</f>
        <v/>
      </c>
      <c r="G866" s="8" t="str">
        <f t="array" ref="G866">IF(862&gt;$S$1204,"",INDEX($T$5:$AJ$1204,MATCH(862,$S$5:$S$1204,0),7))</f>
        <v/>
      </c>
      <c r="H866" s="8" t="str">
        <f t="array" ref="H866">IF(862&gt;$S$1204,"",INDEX($T$5:$AJ$1204,MATCH(862,$S$5:$S$1204,0),8))</f>
        <v/>
      </c>
      <c r="I866" s="8" t="str">
        <f t="array" ref="I866">IF(862&gt;$S$1204,"",INDEX($T$5:$AJ$1204,MATCH(862,$S$5:$S$1204,0),9))</f>
        <v/>
      </c>
      <c r="J866" s="14" t="str">
        <f t="array" ref="J866">IF(862&gt;$S$1204,"",INDEX($T$5:$AJ$1204,MATCH(862,$S$5:$S$1204,0),10))</f>
        <v/>
      </c>
      <c r="K866" s="8" t="str">
        <f t="array" ref="K866">IF(862&gt;$S$1204,"",INDEX($T$5:$AJ$1204,MATCH(862,$S$5:$S$1204,0),11))</f>
        <v/>
      </c>
      <c r="L866" s="8" t="str">
        <f t="array" ref="L866">IF(862&gt;$S$1204,"",INDEX($T$5:$AJ$1204,MATCH(862,$S$5:$S$1204,0),12))</f>
        <v/>
      </c>
      <c r="M866" s="8" t="str">
        <f t="array" ref="M866">IF(862&gt;$S$1204,"",INDEX($T$5:$AJ$1204,MATCH(862,$S$5:$S$1204,0),13))</f>
        <v/>
      </c>
      <c r="N866" s="8" t="str">
        <f t="array" ref="N866">IF(862&gt;$S$1204,"",INDEX($T$5:$AJ$1204,MATCH(862,$S$5:$S$1204,0),14))</f>
        <v/>
      </c>
      <c r="O866" s="15" t="str">
        <f t="array" ref="O866">IF(862&gt;$S$1204,"",INDEX($T$5:$AJ$1204,MATCH(862,$S$5:$S$1204,0),15))</f>
        <v/>
      </c>
      <c r="P866" s="8" t="str">
        <f t="array" ref="P866">IF(862&gt;$S$1204,"",INDEX($T$5:$AJ$1204,MATCH(862,$S$5:$S$1204,0),16))</f>
        <v/>
      </c>
      <c r="Q866" s="8" t="str">
        <f t="array" ref="Q866">IF(862&gt;$S$1204,"",INDEX($T$5:$AJ$1204,MATCH(862,$S$5:$S$1204,0),17))</f>
        <v/>
      </c>
      <c r="R866" s="17"/>
      <c r="S866" s="17">
        <f>S865+IF(M5_Ocupacion!A71="",0,1)</f>
        <v>0</v>
      </c>
      <c r="T866" s="17" t="str">
        <f>IF(M5_Ocupacion!A71="","",IF(M5_Ocupacion!A71="","",M5_Ocupacion!A71))</f>
        <v/>
      </c>
      <c r="U866" s="17" t="str">
        <f>IF(M5_Ocupacion!A71="","",IF(M5_Ocupacion!R71="","",M5_Ocupacion!R71))</f>
        <v/>
      </c>
      <c r="V866" s="17" t="str">
        <f>IF(M5_Ocupacion!A71="","",IF(M5_Ocupacion!D71="","",M5_Ocupacion!D71))</f>
        <v/>
      </c>
      <c r="W866" s="17" t="str">
        <f>IF(M5_Ocupacion!A71="","",IF(M5_Ocupacion!B71="","",M5_Ocupacion!B71))</f>
        <v/>
      </c>
      <c r="X866" s="17" t="str">
        <f>IF(M5_Ocupacion!A71="","",IF(M5_Ocupacion!C71="","",M5_Ocupacion!C71))</f>
        <v/>
      </c>
      <c r="Y866" s="17" t="str">
        <f>IF(M5_Ocupacion!A71="","",IF(M5_Ocupacion!E71="","",M5_Ocupacion!E71))</f>
        <v/>
      </c>
      <c r="Z866" s="17" t="str">
        <f>IF(M5_Ocupacion!A71="","",IF(M5_Ocupacion!F71="","",M5_Ocupacion!F71))</f>
        <v/>
      </c>
      <c r="AA866" s="17" t="str">
        <f>IF(M5_Ocupacion!A71="","","M5 Ocupación")</f>
        <v/>
      </c>
      <c r="AB866" s="17" t="str">
        <f>IF(M5_Ocupacion!A71="","",IF(M5_Ocupacion!G71="","",M5_Ocupacion!G71))</f>
        <v/>
      </c>
      <c r="AC866" s="17" t="str">
        <f>IF(M5_Ocupacion!A71="","",IF(COUNTIFS(M5_Ocupacion!$A$10:A71,M5_Ocupacion!A71,M5_Ocupacion!$D$10:D71,M5_Ocupacion!D71)=1,IF(M5_Ocupacion!M71="","",M5_Ocupacion!M71),""))</f>
        <v/>
      </c>
      <c r="AD866" s="17" t="str">
        <f>IF(M5_Ocupacion!A71="","","MO")</f>
        <v/>
      </c>
      <c r="AE866" s="17" t="str">
        <f>IF(M5_Ocupacion!A71="","",IF(M5_Ocupacion!O71="","",M5_Ocupacion!O71))</f>
        <v/>
      </c>
      <c r="AF866" s="17" t="str">
        <f>IF(M5_Ocupacion!A71="","",IF(M5_Ocupacion!P71="","",M5_Ocupacion!P71))</f>
        <v/>
      </c>
      <c r="AG866" s="17" t="str">
        <f>IF(M5_Ocupacion!A71="","",IF(M5_Ocupacion!Q71="","",M5_Ocupacion!Q71))</f>
        <v/>
      </c>
      <c r="AH866" s="17" t="str">
        <f>IF(M5_Ocupacion!A71="","",IF(M5_Ocupacion!J71="","",M5_Ocupacion!J71))</f>
        <v/>
      </c>
      <c r="AI866" s="17" t="str">
        <f>IF(M5_Ocupacion!A71="","","M5_Ocupacion!71")</f>
        <v/>
      </c>
      <c r="AJ866" s="17" t="str">
        <f>IF(M5_Ocupacion!A71="","",IF(M5_Ocupacion!M71="","Pendiente de medición completa",IF(COUNTIFS(M5_Ocupacion!$A$10:A71,M5_Ocupacion!A71,M5_Ocupacion!$D$10:D71,M5_Ocupacion!D71)=1,"Promedio de la actividad y fecha","Observación incluida en promedio")))</f>
        <v/>
      </c>
    </row>
    <row r="867" spans="1:36" ht="55.5" customHeight="1">
      <c r="A867" s="6" t="str">
        <f t="array" ref="A867">IF(863&gt;$S$1204,"",INDEX($T$5:$AJ$1204,MATCH(863,$S$5:$S$1204,0),1))</f>
        <v/>
      </c>
      <c r="B867" s="8" t="str">
        <f t="array" ref="B867">IF(863&gt;$S$1204,"",INDEX($T$5:$AJ$1204,MATCH(863,$S$5:$S$1204,0),2))</f>
        <v/>
      </c>
      <c r="C867" s="10" t="str">
        <f t="array" ref="C867">IF(863&gt;$S$1204,"",INDEX($T$5:$AJ$1204,MATCH(863,$S$5:$S$1204,0),3))</f>
        <v/>
      </c>
      <c r="D867" s="8" t="str">
        <f t="array" ref="D867">IF(863&gt;$S$1204,"",INDEX($T$5:$AJ$1204,MATCH(863,$S$5:$S$1204,0),4))</f>
        <v/>
      </c>
      <c r="E867" s="8" t="str">
        <f t="array" ref="E867">IF(863&gt;$S$1204,"",INDEX($T$5:$AJ$1204,MATCH(863,$S$5:$S$1204,0),5))</f>
        <v/>
      </c>
      <c r="F867" s="8" t="str">
        <f t="array" ref="F867">IF(863&gt;$S$1204,"",INDEX($T$5:$AJ$1204,MATCH(863,$S$5:$S$1204,0),6))</f>
        <v/>
      </c>
      <c r="G867" s="8" t="str">
        <f t="array" ref="G867">IF(863&gt;$S$1204,"",INDEX($T$5:$AJ$1204,MATCH(863,$S$5:$S$1204,0),7))</f>
        <v/>
      </c>
      <c r="H867" s="8" t="str">
        <f t="array" ref="H867">IF(863&gt;$S$1204,"",INDEX($T$5:$AJ$1204,MATCH(863,$S$5:$S$1204,0),8))</f>
        <v/>
      </c>
      <c r="I867" s="8" t="str">
        <f t="array" ref="I867">IF(863&gt;$S$1204,"",INDEX($T$5:$AJ$1204,MATCH(863,$S$5:$S$1204,0),9))</f>
        <v/>
      </c>
      <c r="J867" s="14" t="str">
        <f t="array" ref="J867">IF(863&gt;$S$1204,"",INDEX($T$5:$AJ$1204,MATCH(863,$S$5:$S$1204,0),10))</f>
        <v/>
      </c>
      <c r="K867" s="8" t="str">
        <f t="array" ref="K867">IF(863&gt;$S$1204,"",INDEX($T$5:$AJ$1204,MATCH(863,$S$5:$S$1204,0),11))</f>
        <v/>
      </c>
      <c r="L867" s="8" t="str">
        <f t="array" ref="L867">IF(863&gt;$S$1204,"",INDEX($T$5:$AJ$1204,MATCH(863,$S$5:$S$1204,0),12))</f>
        <v/>
      </c>
      <c r="M867" s="8" t="str">
        <f t="array" ref="M867">IF(863&gt;$S$1204,"",INDEX($T$5:$AJ$1204,MATCH(863,$S$5:$S$1204,0),13))</f>
        <v/>
      </c>
      <c r="N867" s="8" t="str">
        <f t="array" ref="N867">IF(863&gt;$S$1204,"",INDEX($T$5:$AJ$1204,MATCH(863,$S$5:$S$1204,0),14))</f>
        <v/>
      </c>
      <c r="O867" s="15" t="str">
        <f t="array" ref="O867">IF(863&gt;$S$1204,"",INDEX($T$5:$AJ$1204,MATCH(863,$S$5:$S$1204,0),15))</f>
        <v/>
      </c>
      <c r="P867" s="8" t="str">
        <f t="array" ref="P867">IF(863&gt;$S$1204,"",INDEX($T$5:$AJ$1204,MATCH(863,$S$5:$S$1204,0),16))</f>
        <v/>
      </c>
      <c r="Q867" s="8" t="str">
        <f t="array" ref="Q867">IF(863&gt;$S$1204,"",INDEX($T$5:$AJ$1204,MATCH(863,$S$5:$S$1204,0),17))</f>
        <v/>
      </c>
      <c r="R867" s="17"/>
      <c r="S867" s="17">
        <f>S866+IF(M5_Ocupacion!A72="",0,1)</f>
        <v>0</v>
      </c>
      <c r="T867" s="17" t="str">
        <f>IF(M5_Ocupacion!A72="","",IF(M5_Ocupacion!A72="","",M5_Ocupacion!A72))</f>
        <v/>
      </c>
      <c r="U867" s="17" t="str">
        <f>IF(M5_Ocupacion!A72="","",IF(M5_Ocupacion!R72="","",M5_Ocupacion!R72))</f>
        <v/>
      </c>
      <c r="V867" s="17" t="str">
        <f>IF(M5_Ocupacion!A72="","",IF(M5_Ocupacion!D72="","",M5_Ocupacion!D72))</f>
        <v/>
      </c>
      <c r="W867" s="17" t="str">
        <f>IF(M5_Ocupacion!A72="","",IF(M5_Ocupacion!B72="","",M5_Ocupacion!B72))</f>
        <v/>
      </c>
      <c r="X867" s="17" t="str">
        <f>IF(M5_Ocupacion!A72="","",IF(M5_Ocupacion!C72="","",M5_Ocupacion!C72))</f>
        <v/>
      </c>
      <c r="Y867" s="17" t="str">
        <f>IF(M5_Ocupacion!A72="","",IF(M5_Ocupacion!E72="","",M5_Ocupacion!E72))</f>
        <v/>
      </c>
      <c r="Z867" s="17" t="str">
        <f>IF(M5_Ocupacion!A72="","",IF(M5_Ocupacion!F72="","",M5_Ocupacion!F72))</f>
        <v/>
      </c>
      <c r="AA867" s="17" t="str">
        <f>IF(M5_Ocupacion!A72="","","M5 Ocupación")</f>
        <v/>
      </c>
      <c r="AB867" s="17" t="str">
        <f>IF(M5_Ocupacion!A72="","",IF(M5_Ocupacion!G72="","",M5_Ocupacion!G72))</f>
        <v/>
      </c>
      <c r="AC867" s="17" t="str">
        <f>IF(M5_Ocupacion!A72="","",IF(COUNTIFS(M5_Ocupacion!$A$10:A72,M5_Ocupacion!A72,M5_Ocupacion!$D$10:D72,M5_Ocupacion!D72)=1,IF(M5_Ocupacion!M72="","",M5_Ocupacion!M72),""))</f>
        <v/>
      </c>
      <c r="AD867" s="17" t="str">
        <f>IF(M5_Ocupacion!A72="","","MO")</f>
        <v/>
      </c>
      <c r="AE867" s="17" t="str">
        <f>IF(M5_Ocupacion!A72="","",IF(M5_Ocupacion!O72="","",M5_Ocupacion!O72))</f>
        <v/>
      </c>
      <c r="AF867" s="17" t="str">
        <f>IF(M5_Ocupacion!A72="","",IF(M5_Ocupacion!P72="","",M5_Ocupacion!P72))</f>
        <v/>
      </c>
      <c r="AG867" s="17" t="str">
        <f>IF(M5_Ocupacion!A72="","",IF(M5_Ocupacion!Q72="","",M5_Ocupacion!Q72))</f>
        <v/>
      </c>
      <c r="AH867" s="17" t="str">
        <f>IF(M5_Ocupacion!A72="","",IF(M5_Ocupacion!J72="","",M5_Ocupacion!J72))</f>
        <v/>
      </c>
      <c r="AI867" s="17" t="str">
        <f>IF(M5_Ocupacion!A72="","","M5_Ocupacion!72")</f>
        <v/>
      </c>
      <c r="AJ867" s="17" t="str">
        <f>IF(M5_Ocupacion!A72="","",IF(M5_Ocupacion!M72="","Pendiente de medición completa",IF(COUNTIFS(M5_Ocupacion!$A$10:A72,M5_Ocupacion!A72,M5_Ocupacion!$D$10:D72,M5_Ocupacion!D72)=1,"Promedio de la actividad y fecha","Observación incluida en promedio")))</f>
        <v/>
      </c>
    </row>
    <row r="868" spans="1:36" ht="55.5" customHeight="1">
      <c r="A868" s="6" t="str">
        <f t="array" ref="A868">IF(864&gt;$S$1204,"",INDEX($T$5:$AJ$1204,MATCH(864,$S$5:$S$1204,0),1))</f>
        <v/>
      </c>
      <c r="B868" s="8" t="str">
        <f t="array" ref="B868">IF(864&gt;$S$1204,"",INDEX($T$5:$AJ$1204,MATCH(864,$S$5:$S$1204,0),2))</f>
        <v/>
      </c>
      <c r="C868" s="10" t="str">
        <f t="array" ref="C868">IF(864&gt;$S$1204,"",INDEX($T$5:$AJ$1204,MATCH(864,$S$5:$S$1204,0),3))</f>
        <v/>
      </c>
      <c r="D868" s="8" t="str">
        <f t="array" ref="D868">IF(864&gt;$S$1204,"",INDEX($T$5:$AJ$1204,MATCH(864,$S$5:$S$1204,0),4))</f>
        <v/>
      </c>
      <c r="E868" s="8" t="str">
        <f t="array" ref="E868">IF(864&gt;$S$1204,"",INDEX($T$5:$AJ$1204,MATCH(864,$S$5:$S$1204,0),5))</f>
        <v/>
      </c>
      <c r="F868" s="8" t="str">
        <f t="array" ref="F868">IF(864&gt;$S$1204,"",INDEX($T$5:$AJ$1204,MATCH(864,$S$5:$S$1204,0),6))</f>
        <v/>
      </c>
      <c r="G868" s="8" t="str">
        <f t="array" ref="G868">IF(864&gt;$S$1204,"",INDEX($T$5:$AJ$1204,MATCH(864,$S$5:$S$1204,0),7))</f>
        <v/>
      </c>
      <c r="H868" s="8" t="str">
        <f t="array" ref="H868">IF(864&gt;$S$1204,"",INDEX($T$5:$AJ$1204,MATCH(864,$S$5:$S$1204,0),8))</f>
        <v/>
      </c>
      <c r="I868" s="8" t="str">
        <f t="array" ref="I868">IF(864&gt;$S$1204,"",INDEX($T$5:$AJ$1204,MATCH(864,$S$5:$S$1204,0),9))</f>
        <v/>
      </c>
      <c r="J868" s="14" t="str">
        <f t="array" ref="J868">IF(864&gt;$S$1204,"",INDEX($T$5:$AJ$1204,MATCH(864,$S$5:$S$1204,0),10))</f>
        <v/>
      </c>
      <c r="K868" s="8" t="str">
        <f t="array" ref="K868">IF(864&gt;$S$1204,"",INDEX($T$5:$AJ$1204,MATCH(864,$S$5:$S$1204,0),11))</f>
        <v/>
      </c>
      <c r="L868" s="8" t="str">
        <f t="array" ref="L868">IF(864&gt;$S$1204,"",INDEX($T$5:$AJ$1204,MATCH(864,$S$5:$S$1204,0),12))</f>
        <v/>
      </c>
      <c r="M868" s="8" t="str">
        <f t="array" ref="M868">IF(864&gt;$S$1204,"",INDEX($T$5:$AJ$1204,MATCH(864,$S$5:$S$1204,0),13))</f>
        <v/>
      </c>
      <c r="N868" s="8" t="str">
        <f t="array" ref="N868">IF(864&gt;$S$1204,"",INDEX($T$5:$AJ$1204,MATCH(864,$S$5:$S$1204,0),14))</f>
        <v/>
      </c>
      <c r="O868" s="15" t="str">
        <f t="array" ref="O868">IF(864&gt;$S$1204,"",INDEX($T$5:$AJ$1204,MATCH(864,$S$5:$S$1204,0),15))</f>
        <v/>
      </c>
      <c r="P868" s="8" t="str">
        <f t="array" ref="P868">IF(864&gt;$S$1204,"",INDEX($T$5:$AJ$1204,MATCH(864,$S$5:$S$1204,0),16))</f>
        <v/>
      </c>
      <c r="Q868" s="8" t="str">
        <f t="array" ref="Q868">IF(864&gt;$S$1204,"",INDEX($T$5:$AJ$1204,MATCH(864,$S$5:$S$1204,0),17))</f>
        <v/>
      </c>
      <c r="R868" s="17"/>
      <c r="S868" s="17">
        <f>S867+IF(M5_Ocupacion!A73="",0,1)</f>
        <v>0</v>
      </c>
      <c r="T868" s="17" t="str">
        <f>IF(M5_Ocupacion!A73="","",IF(M5_Ocupacion!A73="","",M5_Ocupacion!A73))</f>
        <v/>
      </c>
      <c r="U868" s="17" t="str">
        <f>IF(M5_Ocupacion!A73="","",IF(M5_Ocupacion!R73="","",M5_Ocupacion!R73))</f>
        <v/>
      </c>
      <c r="V868" s="17" t="str">
        <f>IF(M5_Ocupacion!A73="","",IF(M5_Ocupacion!D73="","",M5_Ocupacion!D73))</f>
        <v/>
      </c>
      <c r="W868" s="17" t="str">
        <f>IF(M5_Ocupacion!A73="","",IF(M5_Ocupacion!B73="","",M5_Ocupacion!B73))</f>
        <v/>
      </c>
      <c r="X868" s="17" t="str">
        <f>IF(M5_Ocupacion!A73="","",IF(M5_Ocupacion!C73="","",M5_Ocupacion!C73))</f>
        <v/>
      </c>
      <c r="Y868" s="17" t="str">
        <f>IF(M5_Ocupacion!A73="","",IF(M5_Ocupacion!E73="","",M5_Ocupacion!E73))</f>
        <v/>
      </c>
      <c r="Z868" s="17" t="str">
        <f>IF(M5_Ocupacion!A73="","",IF(M5_Ocupacion!F73="","",M5_Ocupacion!F73))</f>
        <v/>
      </c>
      <c r="AA868" s="17" t="str">
        <f>IF(M5_Ocupacion!A73="","","M5 Ocupación")</f>
        <v/>
      </c>
      <c r="AB868" s="17" t="str">
        <f>IF(M5_Ocupacion!A73="","",IF(M5_Ocupacion!G73="","",M5_Ocupacion!G73))</f>
        <v/>
      </c>
      <c r="AC868" s="17" t="str">
        <f>IF(M5_Ocupacion!A73="","",IF(COUNTIFS(M5_Ocupacion!$A$10:A73,M5_Ocupacion!A73,M5_Ocupacion!$D$10:D73,M5_Ocupacion!D73)=1,IF(M5_Ocupacion!M73="","",M5_Ocupacion!M73),""))</f>
        <v/>
      </c>
      <c r="AD868" s="17" t="str">
        <f>IF(M5_Ocupacion!A73="","","MO")</f>
        <v/>
      </c>
      <c r="AE868" s="17" t="str">
        <f>IF(M5_Ocupacion!A73="","",IF(M5_Ocupacion!O73="","",M5_Ocupacion!O73))</f>
        <v/>
      </c>
      <c r="AF868" s="17" t="str">
        <f>IF(M5_Ocupacion!A73="","",IF(M5_Ocupacion!P73="","",M5_Ocupacion!P73))</f>
        <v/>
      </c>
      <c r="AG868" s="17" t="str">
        <f>IF(M5_Ocupacion!A73="","",IF(M5_Ocupacion!Q73="","",M5_Ocupacion!Q73))</f>
        <v/>
      </c>
      <c r="AH868" s="17" t="str">
        <f>IF(M5_Ocupacion!A73="","",IF(M5_Ocupacion!J73="","",M5_Ocupacion!J73))</f>
        <v/>
      </c>
      <c r="AI868" s="17" t="str">
        <f>IF(M5_Ocupacion!A73="","","M5_Ocupacion!73")</f>
        <v/>
      </c>
      <c r="AJ868" s="17" t="str">
        <f>IF(M5_Ocupacion!A73="","",IF(M5_Ocupacion!M73="","Pendiente de medición completa",IF(COUNTIFS(M5_Ocupacion!$A$10:A73,M5_Ocupacion!A73,M5_Ocupacion!$D$10:D73,M5_Ocupacion!D73)=1,"Promedio de la actividad y fecha","Observación incluida en promedio")))</f>
        <v/>
      </c>
    </row>
    <row r="869" spans="1:36" ht="55.5" customHeight="1">
      <c r="A869" s="6" t="str">
        <f t="array" ref="A869">IF(865&gt;$S$1204,"",INDEX($T$5:$AJ$1204,MATCH(865,$S$5:$S$1204,0),1))</f>
        <v/>
      </c>
      <c r="B869" s="8" t="str">
        <f t="array" ref="B869">IF(865&gt;$S$1204,"",INDEX($T$5:$AJ$1204,MATCH(865,$S$5:$S$1204,0),2))</f>
        <v/>
      </c>
      <c r="C869" s="10" t="str">
        <f t="array" ref="C869">IF(865&gt;$S$1204,"",INDEX($T$5:$AJ$1204,MATCH(865,$S$5:$S$1204,0),3))</f>
        <v/>
      </c>
      <c r="D869" s="8" t="str">
        <f t="array" ref="D869">IF(865&gt;$S$1204,"",INDEX($T$5:$AJ$1204,MATCH(865,$S$5:$S$1204,0),4))</f>
        <v/>
      </c>
      <c r="E869" s="8" t="str">
        <f t="array" ref="E869">IF(865&gt;$S$1204,"",INDEX($T$5:$AJ$1204,MATCH(865,$S$5:$S$1204,0),5))</f>
        <v/>
      </c>
      <c r="F869" s="8" t="str">
        <f t="array" ref="F869">IF(865&gt;$S$1204,"",INDEX($T$5:$AJ$1204,MATCH(865,$S$5:$S$1204,0),6))</f>
        <v/>
      </c>
      <c r="G869" s="8" t="str">
        <f t="array" ref="G869">IF(865&gt;$S$1204,"",INDEX($T$5:$AJ$1204,MATCH(865,$S$5:$S$1204,0),7))</f>
        <v/>
      </c>
      <c r="H869" s="8" t="str">
        <f t="array" ref="H869">IF(865&gt;$S$1204,"",INDEX($T$5:$AJ$1204,MATCH(865,$S$5:$S$1204,0),8))</f>
        <v/>
      </c>
      <c r="I869" s="8" t="str">
        <f t="array" ref="I869">IF(865&gt;$S$1204,"",INDEX($T$5:$AJ$1204,MATCH(865,$S$5:$S$1204,0),9))</f>
        <v/>
      </c>
      <c r="J869" s="14" t="str">
        <f t="array" ref="J869">IF(865&gt;$S$1204,"",INDEX($T$5:$AJ$1204,MATCH(865,$S$5:$S$1204,0),10))</f>
        <v/>
      </c>
      <c r="K869" s="8" t="str">
        <f t="array" ref="K869">IF(865&gt;$S$1204,"",INDEX($T$5:$AJ$1204,MATCH(865,$S$5:$S$1204,0),11))</f>
        <v/>
      </c>
      <c r="L869" s="8" t="str">
        <f t="array" ref="L869">IF(865&gt;$S$1204,"",INDEX($T$5:$AJ$1204,MATCH(865,$S$5:$S$1204,0),12))</f>
        <v/>
      </c>
      <c r="M869" s="8" t="str">
        <f t="array" ref="M869">IF(865&gt;$S$1204,"",INDEX($T$5:$AJ$1204,MATCH(865,$S$5:$S$1204,0),13))</f>
        <v/>
      </c>
      <c r="N869" s="8" t="str">
        <f t="array" ref="N869">IF(865&gt;$S$1204,"",INDEX($T$5:$AJ$1204,MATCH(865,$S$5:$S$1204,0),14))</f>
        <v/>
      </c>
      <c r="O869" s="15" t="str">
        <f t="array" ref="O869">IF(865&gt;$S$1204,"",INDEX($T$5:$AJ$1204,MATCH(865,$S$5:$S$1204,0),15))</f>
        <v/>
      </c>
      <c r="P869" s="8" t="str">
        <f t="array" ref="P869">IF(865&gt;$S$1204,"",INDEX($T$5:$AJ$1204,MATCH(865,$S$5:$S$1204,0),16))</f>
        <v/>
      </c>
      <c r="Q869" s="8" t="str">
        <f t="array" ref="Q869">IF(865&gt;$S$1204,"",INDEX($T$5:$AJ$1204,MATCH(865,$S$5:$S$1204,0),17))</f>
        <v/>
      </c>
      <c r="R869" s="17"/>
      <c r="S869" s="17">
        <f>S868+IF(M5_Ocupacion!A74="",0,1)</f>
        <v>0</v>
      </c>
      <c r="T869" s="17" t="str">
        <f>IF(M5_Ocupacion!A74="","",IF(M5_Ocupacion!A74="","",M5_Ocupacion!A74))</f>
        <v/>
      </c>
      <c r="U869" s="17" t="str">
        <f>IF(M5_Ocupacion!A74="","",IF(M5_Ocupacion!R74="","",M5_Ocupacion!R74))</f>
        <v/>
      </c>
      <c r="V869" s="17" t="str">
        <f>IF(M5_Ocupacion!A74="","",IF(M5_Ocupacion!D74="","",M5_Ocupacion!D74))</f>
        <v/>
      </c>
      <c r="W869" s="17" t="str">
        <f>IF(M5_Ocupacion!A74="","",IF(M5_Ocupacion!B74="","",M5_Ocupacion!B74))</f>
        <v/>
      </c>
      <c r="X869" s="17" t="str">
        <f>IF(M5_Ocupacion!A74="","",IF(M5_Ocupacion!C74="","",M5_Ocupacion!C74))</f>
        <v/>
      </c>
      <c r="Y869" s="17" t="str">
        <f>IF(M5_Ocupacion!A74="","",IF(M5_Ocupacion!E74="","",M5_Ocupacion!E74))</f>
        <v/>
      </c>
      <c r="Z869" s="17" t="str">
        <f>IF(M5_Ocupacion!A74="","",IF(M5_Ocupacion!F74="","",M5_Ocupacion!F74))</f>
        <v/>
      </c>
      <c r="AA869" s="17" t="str">
        <f>IF(M5_Ocupacion!A74="","","M5 Ocupación")</f>
        <v/>
      </c>
      <c r="AB869" s="17" t="str">
        <f>IF(M5_Ocupacion!A74="","",IF(M5_Ocupacion!G74="","",M5_Ocupacion!G74))</f>
        <v/>
      </c>
      <c r="AC869" s="17" t="str">
        <f>IF(M5_Ocupacion!A74="","",IF(COUNTIFS(M5_Ocupacion!$A$10:A74,M5_Ocupacion!A74,M5_Ocupacion!$D$10:D74,M5_Ocupacion!D74)=1,IF(M5_Ocupacion!M74="","",M5_Ocupacion!M74),""))</f>
        <v/>
      </c>
      <c r="AD869" s="17" t="str">
        <f>IF(M5_Ocupacion!A74="","","MO")</f>
        <v/>
      </c>
      <c r="AE869" s="17" t="str">
        <f>IF(M5_Ocupacion!A74="","",IF(M5_Ocupacion!O74="","",M5_Ocupacion!O74))</f>
        <v/>
      </c>
      <c r="AF869" s="17" t="str">
        <f>IF(M5_Ocupacion!A74="","",IF(M5_Ocupacion!P74="","",M5_Ocupacion!P74))</f>
        <v/>
      </c>
      <c r="AG869" s="17" t="str">
        <f>IF(M5_Ocupacion!A74="","",IF(M5_Ocupacion!Q74="","",M5_Ocupacion!Q74))</f>
        <v/>
      </c>
      <c r="AH869" s="17" t="str">
        <f>IF(M5_Ocupacion!A74="","",IF(M5_Ocupacion!J74="","",M5_Ocupacion!J74))</f>
        <v/>
      </c>
      <c r="AI869" s="17" t="str">
        <f>IF(M5_Ocupacion!A74="","","M5_Ocupacion!74")</f>
        <v/>
      </c>
      <c r="AJ869" s="17" t="str">
        <f>IF(M5_Ocupacion!A74="","",IF(M5_Ocupacion!M74="","Pendiente de medición completa",IF(COUNTIFS(M5_Ocupacion!$A$10:A74,M5_Ocupacion!A74,M5_Ocupacion!$D$10:D74,M5_Ocupacion!D74)=1,"Promedio de la actividad y fecha","Observación incluida en promedio")))</f>
        <v/>
      </c>
    </row>
    <row r="870" spans="1:36" ht="55.5" customHeight="1">
      <c r="A870" s="6" t="str">
        <f t="array" ref="A870">IF(866&gt;$S$1204,"",INDEX($T$5:$AJ$1204,MATCH(866,$S$5:$S$1204,0),1))</f>
        <v/>
      </c>
      <c r="B870" s="8" t="str">
        <f t="array" ref="B870">IF(866&gt;$S$1204,"",INDEX($T$5:$AJ$1204,MATCH(866,$S$5:$S$1204,0),2))</f>
        <v/>
      </c>
      <c r="C870" s="10" t="str">
        <f t="array" ref="C870">IF(866&gt;$S$1204,"",INDEX($T$5:$AJ$1204,MATCH(866,$S$5:$S$1204,0),3))</f>
        <v/>
      </c>
      <c r="D870" s="8" t="str">
        <f t="array" ref="D870">IF(866&gt;$S$1204,"",INDEX($T$5:$AJ$1204,MATCH(866,$S$5:$S$1204,0),4))</f>
        <v/>
      </c>
      <c r="E870" s="8" t="str">
        <f t="array" ref="E870">IF(866&gt;$S$1204,"",INDEX($T$5:$AJ$1204,MATCH(866,$S$5:$S$1204,0),5))</f>
        <v/>
      </c>
      <c r="F870" s="8" t="str">
        <f t="array" ref="F870">IF(866&gt;$S$1204,"",INDEX($T$5:$AJ$1204,MATCH(866,$S$5:$S$1204,0),6))</f>
        <v/>
      </c>
      <c r="G870" s="8" t="str">
        <f t="array" ref="G870">IF(866&gt;$S$1204,"",INDEX($T$5:$AJ$1204,MATCH(866,$S$5:$S$1204,0),7))</f>
        <v/>
      </c>
      <c r="H870" s="8" t="str">
        <f t="array" ref="H870">IF(866&gt;$S$1204,"",INDEX($T$5:$AJ$1204,MATCH(866,$S$5:$S$1204,0),8))</f>
        <v/>
      </c>
      <c r="I870" s="8" t="str">
        <f t="array" ref="I870">IF(866&gt;$S$1204,"",INDEX($T$5:$AJ$1204,MATCH(866,$S$5:$S$1204,0),9))</f>
        <v/>
      </c>
      <c r="J870" s="14" t="str">
        <f t="array" ref="J870">IF(866&gt;$S$1204,"",INDEX($T$5:$AJ$1204,MATCH(866,$S$5:$S$1204,0),10))</f>
        <v/>
      </c>
      <c r="K870" s="8" t="str">
        <f t="array" ref="K870">IF(866&gt;$S$1204,"",INDEX($T$5:$AJ$1204,MATCH(866,$S$5:$S$1204,0),11))</f>
        <v/>
      </c>
      <c r="L870" s="8" t="str">
        <f t="array" ref="L870">IF(866&gt;$S$1204,"",INDEX($T$5:$AJ$1204,MATCH(866,$S$5:$S$1204,0),12))</f>
        <v/>
      </c>
      <c r="M870" s="8" t="str">
        <f t="array" ref="M870">IF(866&gt;$S$1204,"",INDEX($T$5:$AJ$1204,MATCH(866,$S$5:$S$1204,0),13))</f>
        <v/>
      </c>
      <c r="N870" s="8" t="str">
        <f t="array" ref="N870">IF(866&gt;$S$1204,"",INDEX($T$5:$AJ$1204,MATCH(866,$S$5:$S$1204,0),14))</f>
        <v/>
      </c>
      <c r="O870" s="15" t="str">
        <f t="array" ref="O870">IF(866&gt;$S$1204,"",INDEX($T$5:$AJ$1204,MATCH(866,$S$5:$S$1204,0),15))</f>
        <v/>
      </c>
      <c r="P870" s="8" t="str">
        <f t="array" ref="P870">IF(866&gt;$S$1204,"",INDEX($T$5:$AJ$1204,MATCH(866,$S$5:$S$1204,0),16))</f>
        <v/>
      </c>
      <c r="Q870" s="8" t="str">
        <f t="array" ref="Q870">IF(866&gt;$S$1204,"",INDEX($T$5:$AJ$1204,MATCH(866,$S$5:$S$1204,0),17))</f>
        <v/>
      </c>
      <c r="R870" s="17"/>
      <c r="S870" s="17">
        <f>S869+IF(M5_Ocupacion!A75="",0,1)</f>
        <v>0</v>
      </c>
      <c r="T870" s="17" t="str">
        <f>IF(M5_Ocupacion!A75="","",IF(M5_Ocupacion!A75="","",M5_Ocupacion!A75))</f>
        <v/>
      </c>
      <c r="U870" s="17" t="str">
        <f>IF(M5_Ocupacion!A75="","",IF(M5_Ocupacion!R75="","",M5_Ocupacion!R75))</f>
        <v/>
      </c>
      <c r="V870" s="17" t="str">
        <f>IF(M5_Ocupacion!A75="","",IF(M5_Ocupacion!D75="","",M5_Ocupacion!D75))</f>
        <v/>
      </c>
      <c r="W870" s="17" t="str">
        <f>IF(M5_Ocupacion!A75="","",IF(M5_Ocupacion!B75="","",M5_Ocupacion!B75))</f>
        <v/>
      </c>
      <c r="X870" s="17" t="str">
        <f>IF(M5_Ocupacion!A75="","",IF(M5_Ocupacion!C75="","",M5_Ocupacion!C75))</f>
        <v/>
      </c>
      <c r="Y870" s="17" t="str">
        <f>IF(M5_Ocupacion!A75="","",IF(M5_Ocupacion!E75="","",M5_Ocupacion!E75))</f>
        <v/>
      </c>
      <c r="Z870" s="17" t="str">
        <f>IF(M5_Ocupacion!A75="","",IF(M5_Ocupacion!F75="","",M5_Ocupacion!F75))</f>
        <v/>
      </c>
      <c r="AA870" s="17" t="str">
        <f>IF(M5_Ocupacion!A75="","","M5 Ocupación")</f>
        <v/>
      </c>
      <c r="AB870" s="17" t="str">
        <f>IF(M5_Ocupacion!A75="","",IF(M5_Ocupacion!G75="","",M5_Ocupacion!G75))</f>
        <v/>
      </c>
      <c r="AC870" s="17" t="str">
        <f>IF(M5_Ocupacion!A75="","",IF(COUNTIFS(M5_Ocupacion!$A$10:A75,M5_Ocupacion!A75,M5_Ocupacion!$D$10:D75,M5_Ocupacion!D75)=1,IF(M5_Ocupacion!M75="","",M5_Ocupacion!M75),""))</f>
        <v/>
      </c>
      <c r="AD870" s="17" t="str">
        <f>IF(M5_Ocupacion!A75="","","MO")</f>
        <v/>
      </c>
      <c r="AE870" s="17" t="str">
        <f>IF(M5_Ocupacion!A75="","",IF(M5_Ocupacion!O75="","",M5_Ocupacion!O75))</f>
        <v/>
      </c>
      <c r="AF870" s="17" t="str">
        <f>IF(M5_Ocupacion!A75="","",IF(M5_Ocupacion!P75="","",M5_Ocupacion!P75))</f>
        <v/>
      </c>
      <c r="AG870" s="17" t="str">
        <f>IF(M5_Ocupacion!A75="","",IF(M5_Ocupacion!Q75="","",M5_Ocupacion!Q75))</f>
        <v/>
      </c>
      <c r="AH870" s="17" t="str">
        <f>IF(M5_Ocupacion!A75="","",IF(M5_Ocupacion!J75="","",M5_Ocupacion!J75))</f>
        <v/>
      </c>
      <c r="AI870" s="17" t="str">
        <f>IF(M5_Ocupacion!A75="","","M5_Ocupacion!75")</f>
        <v/>
      </c>
      <c r="AJ870" s="17" t="str">
        <f>IF(M5_Ocupacion!A75="","",IF(M5_Ocupacion!M75="","Pendiente de medición completa",IF(COUNTIFS(M5_Ocupacion!$A$10:A75,M5_Ocupacion!A75,M5_Ocupacion!$D$10:D75,M5_Ocupacion!D75)=1,"Promedio de la actividad y fecha","Observación incluida en promedio")))</f>
        <v/>
      </c>
    </row>
    <row r="871" spans="1:36" ht="55.5" customHeight="1">
      <c r="A871" s="6" t="str">
        <f t="array" ref="A871">IF(867&gt;$S$1204,"",INDEX($T$5:$AJ$1204,MATCH(867,$S$5:$S$1204,0),1))</f>
        <v/>
      </c>
      <c r="B871" s="8" t="str">
        <f t="array" ref="B871">IF(867&gt;$S$1204,"",INDEX($T$5:$AJ$1204,MATCH(867,$S$5:$S$1204,0),2))</f>
        <v/>
      </c>
      <c r="C871" s="10" t="str">
        <f t="array" ref="C871">IF(867&gt;$S$1204,"",INDEX($T$5:$AJ$1204,MATCH(867,$S$5:$S$1204,0),3))</f>
        <v/>
      </c>
      <c r="D871" s="8" t="str">
        <f t="array" ref="D871">IF(867&gt;$S$1204,"",INDEX($T$5:$AJ$1204,MATCH(867,$S$5:$S$1204,0),4))</f>
        <v/>
      </c>
      <c r="E871" s="8" t="str">
        <f t="array" ref="E871">IF(867&gt;$S$1204,"",INDEX($T$5:$AJ$1204,MATCH(867,$S$5:$S$1204,0),5))</f>
        <v/>
      </c>
      <c r="F871" s="8" t="str">
        <f t="array" ref="F871">IF(867&gt;$S$1204,"",INDEX($T$5:$AJ$1204,MATCH(867,$S$5:$S$1204,0),6))</f>
        <v/>
      </c>
      <c r="G871" s="8" t="str">
        <f t="array" ref="G871">IF(867&gt;$S$1204,"",INDEX($T$5:$AJ$1204,MATCH(867,$S$5:$S$1204,0),7))</f>
        <v/>
      </c>
      <c r="H871" s="8" t="str">
        <f t="array" ref="H871">IF(867&gt;$S$1204,"",INDEX($T$5:$AJ$1204,MATCH(867,$S$5:$S$1204,0),8))</f>
        <v/>
      </c>
      <c r="I871" s="8" t="str">
        <f t="array" ref="I871">IF(867&gt;$S$1204,"",INDEX($T$5:$AJ$1204,MATCH(867,$S$5:$S$1204,0),9))</f>
        <v/>
      </c>
      <c r="J871" s="14" t="str">
        <f t="array" ref="J871">IF(867&gt;$S$1204,"",INDEX($T$5:$AJ$1204,MATCH(867,$S$5:$S$1204,0),10))</f>
        <v/>
      </c>
      <c r="K871" s="8" t="str">
        <f t="array" ref="K871">IF(867&gt;$S$1204,"",INDEX($T$5:$AJ$1204,MATCH(867,$S$5:$S$1204,0),11))</f>
        <v/>
      </c>
      <c r="L871" s="8" t="str">
        <f t="array" ref="L871">IF(867&gt;$S$1204,"",INDEX($T$5:$AJ$1204,MATCH(867,$S$5:$S$1204,0),12))</f>
        <v/>
      </c>
      <c r="M871" s="8" t="str">
        <f t="array" ref="M871">IF(867&gt;$S$1204,"",INDEX($T$5:$AJ$1204,MATCH(867,$S$5:$S$1204,0),13))</f>
        <v/>
      </c>
      <c r="N871" s="8" t="str">
        <f t="array" ref="N871">IF(867&gt;$S$1204,"",INDEX($T$5:$AJ$1204,MATCH(867,$S$5:$S$1204,0),14))</f>
        <v/>
      </c>
      <c r="O871" s="15" t="str">
        <f t="array" ref="O871">IF(867&gt;$S$1204,"",INDEX($T$5:$AJ$1204,MATCH(867,$S$5:$S$1204,0),15))</f>
        <v/>
      </c>
      <c r="P871" s="8" t="str">
        <f t="array" ref="P871">IF(867&gt;$S$1204,"",INDEX($T$5:$AJ$1204,MATCH(867,$S$5:$S$1204,0),16))</f>
        <v/>
      </c>
      <c r="Q871" s="8" t="str">
        <f t="array" ref="Q871">IF(867&gt;$S$1204,"",INDEX($T$5:$AJ$1204,MATCH(867,$S$5:$S$1204,0),17))</f>
        <v/>
      </c>
      <c r="R871" s="17"/>
      <c r="S871" s="17">
        <f>S870+IF(M5_Ocupacion!A76="",0,1)</f>
        <v>0</v>
      </c>
      <c r="T871" s="17" t="str">
        <f>IF(M5_Ocupacion!A76="","",IF(M5_Ocupacion!A76="","",M5_Ocupacion!A76))</f>
        <v/>
      </c>
      <c r="U871" s="17" t="str">
        <f>IF(M5_Ocupacion!A76="","",IF(M5_Ocupacion!R76="","",M5_Ocupacion!R76))</f>
        <v/>
      </c>
      <c r="V871" s="17" t="str">
        <f>IF(M5_Ocupacion!A76="","",IF(M5_Ocupacion!D76="","",M5_Ocupacion!D76))</f>
        <v/>
      </c>
      <c r="W871" s="17" t="str">
        <f>IF(M5_Ocupacion!A76="","",IF(M5_Ocupacion!B76="","",M5_Ocupacion!B76))</f>
        <v/>
      </c>
      <c r="X871" s="17" t="str">
        <f>IF(M5_Ocupacion!A76="","",IF(M5_Ocupacion!C76="","",M5_Ocupacion!C76))</f>
        <v/>
      </c>
      <c r="Y871" s="17" t="str">
        <f>IF(M5_Ocupacion!A76="","",IF(M5_Ocupacion!E76="","",M5_Ocupacion!E76))</f>
        <v/>
      </c>
      <c r="Z871" s="17" t="str">
        <f>IF(M5_Ocupacion!A76="","",IF(M5_Ocupacion!F76="","",M5_Ocupacion!F76))</f>
        <v/>
      </c>
      <c r="AA871" s="17" t="str">
        <f>IF(M5_Ocupacion!A76="","","M5 Ocupación")</f>
        <v/>
      </c>
      <c r="AB871" s="17" t="str">
        <f>IF(M5_Ocupacion!A76="","",IF(M5_Ocupacion!G76="","",M5_Ocupacion!G76))</f>
        <v/>
      </c>
      <c r="AC871" s="17" t="str">
        <f>IF(M5_Ocupacion!A76="","",IF(COUNTIFS(M5_Ocupacion!$A$10:A76,M5_Ocupacion!A76,M5_Ocupacion!$D$10:D76,M5_Ocupacion!D76)=1,IF(M5_Ocupacion!M76="","",M5_Ocupacion!M76),""))</f>
        <v/>
      </c>
      <c r="AD871" s="17" t="str">
        <f>IF(M5_Ocupacion!A76="","","MO")</f>
        <v/>
      </c>
      <c r="AE871" s="17" t="str">
        <f>IF(M5_Ocupacion!A76="","",IF(M5_Ocupacion!O76="","",M5_Ocupacion!O76))</f>
        <v/>
      </c>
      <c r="AF871" s="17" t="str">
        <f>IF(M5_Ocupacion!A76="","",IF(M5_Ocupacion!P76="","",M5_Ocupacion!P76))</f>
        <v/>
      </c>
      <c r="AG871" s="17" t="str">
        <f>IF(M5_Ocupacion!A76="","",IF(M5_Ocupacion!Q76="","",M5_Ocupacion!Q76))</f>
        <v/>
      </c>
      <c r="AH871" s="17" t="str">
        <f>IF(M5_Ocupacion!A76="","",IF(M5_Ocupacion!J76="","",M5_Ocupacion!J76))</f>
        <v/>
      </c>
      <c r="AI871" s="17" t="str">
        <f>IF(M5_Ocupacion!A76="","","M5_Ocupacion!76")</f>
        <v/>
      </c>
      <c r="AJ871" s="17" t="str">
        <f>IF(M5_Ocupacion!A76="","",IF(M5_Ocupacion!M76="","Pendiente de medición completa",IF(COUNTIFS(M5_Ocupacion!$A$10:A76,M5_Ocupacion!A76,M5_Ocupacion!$D$10:D76,M5_Ocupacion!D76)=1,"Promedio de la actividad y fecha","Observación incluida en promedio")))</f>
        <v/>
      </c>
    </row>
    <row r="872" spans="1:36" ht="55.5" customHeight="1">
      <c r="A872" s="6" t="str">
        <f t="array" ref="A872">IF(868&gt;$S$1204,"",INDEX($T$5:$AJ$1204,MATCH(868,$S$5:$S$1204,0),1))</f>
        <v/>
      </c>
      <c r="B872" s="8" t="str">
        <f t="array" ref="B872">IF(868&gt;$S$1204,"",INDEX($T$5:$AJ$1204,MATCH(868,$S$5:$S$1204,0),2))</f>
        <v/>
      </c>
      <c r="C872" s="10" t="str">
        <f t="array" ref="C872">IF(868&gt;$S$1204,"",INDEX($T$5:$AJ$1204,MATCH(868,$S$5:$S$1204,0),3))</f>
        <v/>
      </c>
      <c r="D872" s="8" t="str">
        <f t="array" ref="D872">IF(868&gt;$S$1204,"",INDEX($T$5:$AJ$1204,MATCH(868,$S$5:$S$1204,0),4))</f>
        <v/>
      </c>
      <c r="E872" s="8" t="str">
        <f t="array" ref="E872">IF(868&gt;$S$1204,"",INDEX($T$5:$AJ$1204,MATCH(868,$S$5:$S$1204,0),5))</f>
        <v/>
      </c>
      <c r="F872" s="8" t="str">
        <f t="array" ref="F872">IF(868&gt;$S$1204,"",INDEX($T$5:$AJ$1204,MATCH(868,$S$5:$S$1204,0),6))</f>
        <v/>
      </c>
      <c r="G872" s="8" t="str">
        <f t="array" ref="G872">IF(868&gt;$S$1204,"",INDEX($T$5:$AJ$1204,MATCH(868,$S$5:$S$1204,0),7))</f>
        <v/>
      </c>
      <c r="H872" s="8" t="str">
        <f t="array" ref="H872">IF(868&gt;$S$1204,"",INDEX($T$5:$AJ$1204,MATCH(868,$S$5:$S$1204,0),8))</f>
        <v/>
      </c>
      <c r="I872" s="8" t="str">
        <f t="array" ref="I872">IF(868&gt;$S$1204,"",INDEX($T$5:$AJ$1204,MATCH(868,$S$5:$S$1204,0),9))</f>
        <v/>
      </c>
      <c r="J872" s="14" t="str">
        <f t="array" ref="J872">IF(868&gt;$S$1204,"",INDEX($T$5:$AJ$1204,MATCH(868,$S$5:$S$1204,0),10))</f>
        <v/>
      </c>
      <c r="K872" s="8" t="str">
        <f t="array" ref="K872">IF(868&gt;$S$1204,"",INDEX($T$5:$AJ$1204,MATCH(868,$S$5:$S$1204,0),11))</f>
        <v/>
      </c>
      <c r="L872" s="8" t="str">
        <f t="array" ref="L872">IF(868&gt;$S$1204,"",INDEX($T$5:$AJ$1204,MATCH(868,$S$5:$S$1204,0),12))</f>
        <v/>
      </c>
      <c r="M872" s="8" t="str">
        <f t="array" ref="M872">IF(868&gt;$S$1204,"",INDEX($T$5:$AJ$1204,MATCH(868,$S$5:$S$1204,0),13))</f>
        <v/>
      </c>
      <c r="N872" s="8" t="str">
        <f t="array" ref="N872">IF(868&gt;$S$1204,"",INDEX($T$5:$AJ$1204,MATCH(868,$S$5:$S$1204,0),14))</f>
        <v/>
      </c>
      <c r="O872" s="15" t="str">
        <f t="array" ref="O872">IF(868&gt;$S$1204,"",INDEX($T$5:$AJ$1204,MATCH(868,$S$5:$S$1204,0),15))</f>
        <v/>
      </c>
      <c r="P872" s="8" t="str">
        <f t="array" ref="P872">IF(868&gt;$S$1204,"",INDEX($T$5:$AJ$1204,MATCH(868,$S$5:$S$1204,0),16))</f>
        <v/>
      </c>
      <c r="Q872" s="8" t="str">
        <f t="array" ref="Q872">IF(868&gt;$S$1204,"",INDEX($T$5:$AJ$1204,MATCH(868,$S$5:$S$1204,0),17))</f>
        <v/>
      </c>
      <c r="R872" s="17"/>
      <c r="S872" s="17">
        <f>S871+IF(M5_Ocupacion!A77="",0,1)</f>
        <v>0</v>
      </c>
      <c r="T872" s="17" t="str">
        <f>IF(M5_Ocupacion!A77="","",IF(M5_Ocupacion!A77="","",M5_Ocupacion!A77))</f>
        <v/>
      </c>
      <c r="U872" s="17" t="str">
        <f>IF(M5_Ocupacion!A77="","",IF(M5_Ocupacion!R77="","",M5_Ocupacion!R77))</f>
        <v/>
      </c>
      <c r="V872" s="17" t="str">
        <f>IF(M5_Ocupacion!A77="","",IF(M5_Ocupacion!D77="","",M5_Ocupacion!D77))</f>
        <v/>
      </c>
      <c r="W872" s="17" t="str">
        <f>IF(M5_Ocupacion!A77="","",IF(M5_Ocupacion!B77="","",M5_Ocupacion!B77))</f>
        <v/>
      </c>
      <c r="X872" s="17" t="str">
        <f>IF(M5_Ocupacion!A77="","",IF(M5_Ocupacion!C77="","",M5_Ocupacion!C77))</f>
        <v/>
      </c>
      <c r="Y872" s="17" t="str">
        <f>IF(M5_Ocupacion!A77="","",IF(M5_Ocupacion!E77="","",M5_Ocupacion!E77))</f>
        <v/>
      </c>
      <c r="Z872" s="17" t="str">
        <f>IF(M5_Ocupacion!A77="","",IF(M5_Ocupacion!F77="","",M5_Ocupacion!F77))</f>
        <v/>
      </c>
      <c r="AA872" s="17" t="str">
        <f>IF(M5_Ocupacion!A77="","","M5 Ocupación")</f>
        <v/>
      </c>
      <c r="AB872" s="17" t="str">
        <f>IF(M5_Ocupacion!A77="","",IF(M5_Ocupacion!G77="","",M5_Ocupacion!G77))</f>
        <v/>
      </c>
      <c r="AC872" s="17" t="str">
        <f>IF(M5_Ocupacion!A77="","",IF(COUNTIFS(M5_Ocupacion!$A$10:A77,M5_Ocupacion!A77,M5_Ocupacion!$D$10:D77,M5_Ocupacion!D77)=1,IF(M5_Ocupacion!M77="","",M5_Ocupacion!M77),""))</f>
        <v/>
      </c>
      <c r="AD872" s="17" t="str">
        <f>IF(M5_Ocupacion!A77="","","MO")</f>
        <v/>
      </c>
      <c r="AE872" s="17" t="str">
        <f>IF(M5_Ocupacion!A77="","",IF(M5_Ocupacion!O77="","",M5_Ocupacion!O77))</f>
        <v/>
      </c>
      <c r="AF872" s="17" t="str">
        <f>IF(M5_Ocupacion!A77="","",IF(M5_Ocupacion!P77="","",M5_Ocupacion!P77))</f>
        <v/>
      </c>
      <c r="AG872" s="17" t="str">
        <f>IF(M5_Ocupacion!A77="","",IF(M5_Ocupacion!Q77="","",M5_Ocupacion!Q77))</f>
        <v/>
      </c>
      <c r="AH872" s="17" t="str">
        <f>IF(M5_Ocupacion!A77="","",IF(M5_Ocupacion!J77="","",M5_Ocupacion!J77))</f>
        <v/>
      </c>
      <c r="AI872" s="17" t="str">
        <f>IF(M5_Ocupacion!A77="","","M5_Ocupacion!77")</f>
        <v/>
      </c>
      <c r="AJ872" s="17" t="str">
        <f>IF(M5_Ocupacion!A77="","",IF(M5_Ocupacion!M77="","Pendiente de medición completa",IF(COUNTIFS(M5_Ocupacion!$A$10:A77,M5_Ocupacion!A77,M5_Ocupacion!$D$10:D77,M5_Ocupacion!D77)=1,"Promedio de la actividad y fecha","Observación incluida en promedio")))</f>
        <v/>
      </c>
    </row>
    <row r="873" spans="1:36" ht="55.5" customHeight="1">
      <c r="A873" s="6" t="str">
        <f t="array" ref="A873">IF(869&gt;$S$1204,"",INDEX($T$5:$AJ$1204,MATCH(869,$S$5:$S$1204,0),1))</f>
        <v/>
      </c>
      <c r="B873" s="8" t="str">
        <f t="array" ref="B873">IF(869&gt;$S$1204,"",INDEX($T$5:$AJ$1204,MATCH(869,$S$5:$S$1204,0),2))</f>
        <v/>
      </c>
      <c r="C873" s="10" t="str">
        <f t="array" ref="C873">IF(869&gt;$S$1204,"",INDEX($T$5:$AJ$1204,MATCH(869,$S$5:$S$1204,0),3))</f>
        <v/>
      </c>
      <c r="D873" s="8" t="str">
        <f t="array" ref="D873">IF(869&gt;$S$1204,"",INDEX($T$5:$AJ$1204,MATCH(869,$S$5:$S$1204,0),4))</f>
        <v/>
      </c>
      <c r="E873" s="8" t="str">
        <f t="array" ref="E873">IF(869&gt;$S$1204,"",INDEX($T$5:$AJ$1204,MATCH(869,$S$5:$S$1204,0),5))</f>
        <v/>
      </c>
      <c r="F873" s="8" t="str">
        <f t="array" ref="F873">IF(869&gt;$S$1204,"",INDEX($T$5:$AJ$1204,MATCH(869,$S$5:$S$1204,0),6))</f>
        <v/>
      </c>
      <c r="G873" s="8" t="str">
        <f t="array" ref="G873">IF(869&gt;$S$1204,"",INDEX($T$5:$AJ$1204,MATCH(869,$S$5:$S$1204,0),7))</f>
        <v/>
      </c>
      <c r="H873" s="8" t="str">
        <f t="array" ref="H873">IF(869&gt;$S$1204,"",INDEX($T$5:$AJ$1204,MATCH(869,$S$5:$S$1204,0),8))</f>
        <v/>
      </c>
      <c r="I873" s="8" t="str">
        <f t="array" ref="I873">IF(869&gt;$S$1204,"",INDEX($T$5:$AJ$1204,MATCH(869,$S$5:$S$1204,0),9))</f>
        <v/>
      </c>
      <c r="J873" s="14" t="str">
        <f t="array" ref="J873">IF(869&gt;$S$1204,"",INDEX($T$5:$AJ$1204,MATCH(869,$S$5:$S$1204,0),10))</f>
        <v/>
      </c>
      <c r="K873" s="8" t="str">
        <f t="array" ref="K873">IF(869&gt;$S$1204,"",INDEX($T$5:$AJ$1204,MATCH(869,$S$5:$S$1204,0),11))</f>
        <v/>
      </c>
      <c r="L873" s="8" t="str">
        <f t="array" ref="L873">IF(869&gt;$S$1204,"",INDEX($T$5:$AJ$1204,MATCH(869,$S$5:$S$1204,0),12))</f>
        <v/>
      </c>
      <c r="M873" s="8" t="str">
        <f t="array" ref="M873">IF(869&gt;$S$1204,"",INDEX($T$5:$AJ$1204,MATCH(869,$S$5:$S$1204,0),13))</f>
        <v/>
      </c>
      <c r="N873" s="8" t="str">
        <f t="array" ref="N873">IF(869&gt;$S$1204,"",INDEX($T$5:$AJ$1204,MATCH(869,$S$5:$S$1204,0),14))</f>
        <v/>
      </c>
      <c r="O873" s="15" t="str">
        <f t="array" ref="O873">IF(869&gt;$S$1204,"",INDEX($T$5:$AJ$1204,MATCH(869,$S$5:$S$1204,0),15))</f>
        <v/>
      </c>
      <c r="P873" s="8" t="str">
        <f t="array" ref="P873">IF(869&gt;$S$1204,"",INDEX($T$5:$AJ$1204,MATCH(869,$S$5:$S$1204,0),16))</f>
        <v/>
      </c>
      <c r="Q873" s="8" t="str">
        <f t="array" ref="Q873">IF(869&gt;$S$1204,"",INDEX($T$5:$AJ$1204,MATCH(869,$S$5:$S$1204,0),17))</f>
        <v/>
      </c>
      <c r="R873" s="17"/>
      <c r="S873" s="17">
        <f>S872+IF(M5_Ocupacion!A78="",0,1)</f>
        <v>0</v>
      </c>
      <c r="T873" s="17" t="str">
        <f>IF(M5_Ocupacion!A78="","",IF(M5_Ocupacion!A78="","",M5_Ocupacion!A78))</f>
        <v/>
      </c>
      <c r="U873" s="17" t="str">
        <f>IF(M5_Ocupacion!A78="","",IF(M5_Ocupacion!R78="","",M5_Ocupacion!R78))</f>
        <v/>
      </c>
      <c r="V873" s="17" t="str">
        <f>IF(M5_Ocupacion!A78="","",IF(M5_Ocupacion!D78="","",M5_Ocupacion!D78))</f>
        <v/>
      </c>
      <c r="W873" s="17" t="str">
        <f>IF(M5_Ocupacion!A78="","",IF(M5_Ocupacion!B78="","",M5_Ocupacion!B78))</f>
        <v/>
      </c>
      <c r="X873" s="17" t="str">
        <f>IF(M5_Ocupacion!A78="","",IF(M5_Ocupacion!C78="","",M5_Ocupacion!C78))</f>
        <v/>
      </c>
      <c r="Y873" s="17" t="str">
        <f>IF(M5_Ocupacion!A78="","",IF(M5_Ocupacion!E78="","",M5_Ocupacion!E78))</f>
        <v/>
      </c>
      <c r="Z873" s="17" t="str">
        <f>IF(M5_Ocupacion!A78="","",IF(M5_Ocupacion!F78="","",M5_Ocupacion!F78))</f>
        <v/>
      </c>
      <c r="AA873" s="17" t="str">
        <f>IF(M5_Ocupacion!A78="","","M5 Ocupación")</f>
        <v/>
      </c>
      <c r="AB873" s="17" t="str">
        <f>IF(M5_Ocupacion!A78="","",IF(M5_Ocupacion!G78="","",M5_Ocupacion!G78))</f>
        <v/>
      </c>
      <c r="AC873" s="17" t="str">
        <f>IF(M5_Ocupacion!A78="","",IF(COUNTIFS(M5_Ocupacion!$A$10:A78,M5_Ocupacion!A78,M5_Ocupacion!$D$10:D78,M5_Ocupacion!D78)=1,IF(M5_Ocupacion!M78="","",M5_Ocupacion!M78),""))</f>
        <v/>
      </c>
      <c r="AD873" s="17" t="str">
        <f>IF(M5_Ocupacion!A78="","","MO")</f>
        <v/>
      </c>
      <c r="AE873" s="17" t="str">
        <f>IF(M5_Ocupacion!A78="","",IF(M5_Ocupacion!O78="","",M5_Ocupacion!O78))</f>
        <v/>
      </c>
      <c r="AF873" s="17" t="str">
        <f>IF(M5_Ocupacion!A78="","",IF(M5_Ocupacion!P78="","",M5_Ocupacion!P78))</f>
        <v/>
      </c>
      <c r="AG873" s="17" t="str">
        <f>IF(M5_Ocupacion!A78="","",IF(M5_Ocupacion!Q78="","",M5_Ocupacion!Q78))</f>
        <v/>
      </c>
      <c r="AH873" s="17" t="str">
        <f>IF(M5_Ocupacion!A78="","",IF(M5_Ocupacion!J78="","",M5_Ocupacion!J78))</f>
        <v/>
      </c>
      <c r="AI873" s="17" t="str">
        <f>IF(M5_Ocupacion!A78="","","M5_Ocupacion!78")</f>
        <v/>
      </c>
      <c r="AJ873" s="17" t="str">
        <f>IF(M5_Ocupacion!A78="","",IF(M5_Ocupacion!M78="","Pendiente de medición completa",IF(COUNTIFS(M5_Ocupacion!$A$10:A78,M5_Ocupacion!A78,M5_Ocupacion!$D$10:D78,M5_Ocupacion!D78)=1,"Promedio de la actividad y fecha","Observación incluida en promedio")))</f>
        <v/>
      </c>
    </row>
    <row r="874" spans="1:36" ht="55.5" customHeight="1">
      <c r="A874" s="6" t="str">
        <f t="array" ref="A874">IF(870&gt;$S$1204,"",INDEX($T$5:$AJ$1204,MATCH(870,$S$5:$S$1204,0),1))</f>
        <v/>
      </c>
      <c r="B874" s="8" t="str">
        <f t="array" ref="B874">IF(870&gt;$S$1204,"",INDEX($T$5:$AJ$1204,MATCH(870,$S$5:$S$1204,0),2))</f>
        <v/>
      </c>
      <c r="C874" s="10" t="str">
        <f t="array" ref="C874">IF(870&gt;$S$1204,"",INDEX($T$5:$AJ$1204,MATCH(870,$S$5:$S$1204,0),3))</f>
        <v/>
      </c>
      <c r="D874" s="8" t="str">
        <f t="array" ref="D874">IF(870&gt;$S$1204,"",INDEX($T$5:$AJ$1204,MATCH(870,$S$5:$S$1204,0),4))</f>
        <v/>
      </c>
      <c r="E874" s="8" t="str">
        <f t="array" ref="E874">IF(870&gt;$S$1204,"",INDEX($T$5:$AJ$1204,MATCH(870,$S$5:$S$1204,0),5))</f>
        <v/>
      </c>
      <c r="F874" s="8" t="str">
        <f t="array" ref="F874">IF(870&gt;$S$1204,"",INDEX($T$5:$AJ$1204,MATCH(870,$S$5:$S$1204,0),6))</f>
        <v/>
      </c>
      <c r="G874" s="8" t="str">
        <f t="array" ref="G874">IF(870&gt;$S$1204,"",INDEX($T$5:$AJ$1204,MATCH(870,$S$5:$S$1204,0),7))</f>
        <v/>
      </c>
      <c r="H874" s="8" t="str">
        <f t="array" ref="H874">IF(870&gt;$S$1204,"",INDEX($T$5:$AJ$1204,MATCH(870,$S$5:$S$1204,0),8))</f>
        <v/>
      </c>
      <c r="I874" s="8" t="str">
        <f t="array" ref="I874">IF(870&gt;$S$1204,"",INDEX($T$5:$AJ$1204,MATCH(870,$S$5:$S$1204,0),9))</f>
        <v/>
      </c>
      <c r="J874" s="14" t="str">
        <f t="array" ref="J874">IF(870&gt;$S$1204,"",INDEX($T$5:$AJ$1204,MATCH(870,$S$5:$S$1204,0),10))</f>
        <v/>
      </c>
      <c r="K874" s="8" t="str">
        <f t="array" ref="K874">IF(870&gt;$S$1204,"",INDEX($T$5:$AJ$1204,MATCH(870,$S$5:$S$1204,0),11))</f>
        <v/>
      </c>
      <c r="L874" s="8" t="str">
        <f t="array" ref="L874">IF(870&gt;$S$1204,"",INDEX($T$5:$AJ$1204,MATCH(870,$S$5:$S$1204,0),12))</f>
        <v/>
      </c>
      <c r="M874" s="8" t="str">
        <f t="array" ref="M874">IF(870&gt;$S$1204,"",INDEX($T$5:$AJ$1204,MATCH(870,$S$5:$S$1204,0),13))</f>
        <v/>
      </c>
      <c r="N874" s="8" t="str">
        <f t="array" ref="N874">IF(870&gt;$S$1204,"",INDEX($T$5:$AJ$1204,MATCH(870,$S$5:$S$1204,0),14))</f>
        <v/>
      </c>
      <c r="O874" s="15" t="str">
        <f t="array" ref="O874">IF(870&gt;$S$1204,"",INDEX($T$5:$AJ$1204,MATCH(870,$S$5:$S$1204,0),15))</f>
        <v/>
      </c>
      <c r="P874" s="8" t="str">
        <f t="array" ref="P874">IF(870&gt;$S$1204,"",INDEX($T$5:$AJ$1204,MATCH(870,$S$5:$S$1204,0),16))</f>
        <v/>
      </c>
      <c r="Q874" s="8" t="str">
        <f t="array" ref="Q874">IF(870&gt;$S$1204,"",INDEX($T$5:$AJ$1204,MATCH(870,$S$5:$S$1204,0),17))</f>
        <v/>
      </c>
      <c r="R874" s="17"/>
      <c r="S874" s="17">
        <f>S873+IF(M5_Ocupacion!A79="",0,1)</f>
        <v>0</v>
      </c>
      <c r="T874" s="17" t="str">
        <f>IF(M5_Ocupacion!A79="","",IF(M5_Ocupacion!A79="","",M5_Ocupacion!A79))</f>
        <v/>
      </c>
      <c r="U874" s="17" t="str">
        <f>IF(M5_Ocupacion!A79="","",IF(M5_Ocupacion!R79="","",M5_Ocupacion!R79))</f>
        <v/>
      </c>
      <c r="V874" s="17" t="str">
        <f>IF(M5_Ocupacion!A79="","",IF(M5_Ocupacion!D79="","",M5_Ocupacion!D79))</f>
        <v/>
      </c>
      <c r="W874" s="17" t="str">
        <f>IF(M5_Ocupacion!A79="","",IF(M5_Ocupacion!B79="","",M5_Ocupacion!B79))</f>
        <v/>
      </c>
      <c r="X874" s="17" t="str">
        <f>IF(M5_Ocupacion!A79="","",IF(M5_Ocupacion!C79="","",M5_Ocupacion!C79))</f>
        <v/>
      </c>
      <c r="Y874" s="17" t="str">
        <f>IF(M5_Ocupacion!A79="","",IF(M5_Ocupacion!E79="","",M5_Ocupacion!E79))</f>
        <v/>
      </c>
      <c r="Z874" s="17" t="str">
        <f>IF(M5_Ocupacion!A79="","",IF(M5_Ocupacion!F79="","",M5_Ocupacion!F79))</f>
        <v/>
      </c>
      <c r="AA874" s="17" t="str">
        <f>IF(M5_Ocupacion!A79="","","M5 Ocupación")</f>
        <v/>
      </c>
      <c r="AB874" s="17" t="str">
        <f>IF(M5_Ocupacion!A79="","",IF(M5_Ocupacion!G79="","",M5_Ocupacion!G79))</f>
        <v/>
      </c>
      <c r="AC874" s="17" t="str">
        <f>IF(M5_Ocupacion!A79="","",IF(COUNTIFS(M5_Ocupacion!$A$10:A79,M5_Ocupacion!A79,M5_Ocupacion!$D$10:D79,M5_Ocupacion!D79)=1,IF(M5_Ocupacion!M79="","",M5_Ocupacion!M79),""))</f>
        <v/>
      </c>
      <c r="AD874" s="17" t="str">
        <f>IF(M5_Ocupacion!A79="","","MO")</f>
        <v/>
      </c>
      <c r="AE874" s="17" t="str">
        <f>IF(M5_Ocupacion!A79="","",IF(M5_Ocupacion!O79="","",M5_Ocupacion!O79))</f>
        <v/>
      </c>
      <c r="AF874" s="17" t="str">
        <f>IF(M5_Ocupacion!A79="","",IF(M5_Ocupacion!P79="","",M5_Ocupacion!P79))</f>
        <v/>
      </c>
      <c r="AG874" s="17" t="str">
        <f>IF(M5_Ocupacion!A79="","",IF(M5_Ocupacion!Q79="","",M5_Ocupacion!Q79))</f>
        <v/>
      </c>
      <c r="AH874" s="17" t="str">
        <f>IF(M5_Ocupacion!A79="","",IF(M5_Ocupacion!J79="","",M5_Ocupacion!J79))</f>
        <v/>
      </c>
      <c r="AI874" s="17" t="str">
        <f>IF(M5_Ocupacion!A79="","","M5_Ocupacion!79")</f>
        <v/>
      </c>
      <c r="AJ874" s="17" t="str">
        <f>IF(M5_Ocupacion!A79="","",IF(M5_Ocupacion!M79="","Pendiente de medición completa",IF(COUNTIFS(M5_Ocupacion!$A$10:A79,M5_Ocupacion!A79,M5_Ocupacion!$D$10:D79,M5_Ocupacion!D79)=1,"Promedio de la actividad y fecha","Observación incluida en promedio")))</f>
        <v/>
      </c>
    </row>
    <row r="875" spans="1:36" ht="55.5" customHeight="1">
      <c r="A875" s="6" t="str">
        <f t="array" ref="A875">IF(871&gt;$S$1204,"",INDEX($T$5:$AJ$1204,MATCH(871,$S$5:$S$1204,0),1))</f>
        <v/>
      </c>
      <c r="B875" s="8" t="str">
        <f t="array" ref="B875">IF(871&gt;$S$1204,"",INDEX($T$5:$AJ$1204,MATCH(871,$S$5:$S$1204,0),2))</f>
        <v/>
      </c>
      <c r="C875" s="10" t="str">
        <f t="array" ref="C875">IF(871&gt;$S$1204,"",INDEX($T$5:$AJ$1204,MATCH(871,$S$5:$S$1204,0),3))</f>
        <v/>
      </c>
      <c r="D875" s="8" t="str">
        <f t="array" ref="D875">IF(871&gt;$S$1204,"",INDEX($T$5:$AJ$1204,MATCH(871,$S$5:$S$1204,0),4))</f>
        <v/>
      </c>
      <c r="E875" s="8" t="str">
        <f t="array" ref="E875">IF(871&gt;$S$1204,"",INDEX($T$5:$AJ$1204,MATCH(871,$S$5:$S$1204,0),5))</f>
        <v/>
      </c>
      <c r="F875" s="8" t="str">
        <f t="array" ref="F875">IF(871&gt;$S$1204,"",INDEX($T$5:$AJ$1204,MATCH(871,$S$5:$S$1204,0),6))</f>
        <v/>
      </c>
      <c r="G875" s="8" t="str">
        <f t="array" ref="G875">IF(871&gt;$S$1204,"",INDEX($T$5:$AJ$1204,MATCH(871,$S$5:$S$1204,0),7))</f>
        <v/>
      </c>
      <c r="H875" s="8" t="str">
        <f t="array" ref="H875">IF(871&gt;$S$1204,"",INDEX($T$5:$AJ$1204,MATCH(871,$S$5:$S$1204,0),8))</f>
        <v/>
      </c>
      <c r="I875" s="8" t="str">
        <f t="array" ref="I875">IF(871&gt;$S$1204,"",INDEX($T$5:$AJ$1204,MATCH(871,$S$5:$S$1204,0),9))</f>
        <v/>
      </c>
      <c r="J875" s="14" t="str">
        <f t="array" ref="J875">IF(871&gt;$S$1204,"",INDEX($T$5:$AJ$1204,MATCH(871,$S$5:$S$1204,0),10))</f>
        <v/>
      </c>
      <c r="K875" s="8" t="str">
        <f t="array" ref="K875">IF(871&gt;$S$1204,"",INDEX($T$5:$AJ$1204,MATCH(871,$S$5:$S$1204,0),11))</f>
        <v/>
      </c>
      <c r="L875" s="8" t="str">
        <f t="array" ref="L875">IF(871&gt;$S$1204,"",INDEX($T$5:$AJ$1204,MATCH(871,$S$5:$S$1204,0),12))</f>
        <v/>
      </c>
      <c r="M875" s="8" t="str">
        <f t="array" ref="M875">IF(871&gt;$S$1204,"",INDEX($T$5:$AJ$1204,MATCH(871,$S$5:$S$1204,0),13))</f>
        <v/>
      </c>
      <c r="N875" s="8" t="str">
        <f t="array" ref="N875">IF(871&gt;$S$1204,"",INDEX($T$5:$AJ$1204,MATCH(871,$S$5:$S$1204,0),14))</f>
        <v/>
      </c>
      <c r="O875" s="15" t="str">
        <f t="array" ref="O875">IF(871&gt;$S$1204,"",INDEX($T$5:$AJ$1204,MATCH(871,$S$5:$S$1204,0),15))</f>
        <v/>
      </c>
      <c r="P875" s="8" t="str">
        <f t="array" ref="P875">IF(871&gt;$S$1204,"",INDEX($T$5:$AJ$1204,MATCH(871,$S$5:$S$1204,0),16))</f>
        <v/>
      </c>
      <c r="Q875" s="8" t="str">
        <f t="array" ref="Q875">IF(871&gt;$S$1204,"",INDEX($T$5:$AJ$1204,MATCH(871,$S$5:$S$1204,0),17))</f>
        <v/>
      </c>
      <c r="R875" s="17"/>
      <c r="S875" s="17">
        <f>S874+IF(M5_Ocupacion!A80="",0,1)</f>
        <v>0</v>
      </c>
      <c r="T875" s="17" t="str">
        <f>IF(M5_Ocupacion!A80="","",IF(M5_Ocupacion!A80="","",M5_Ocupacion!A80))</f>
        <v/>
      </c>
      <c r="U875" s="17" t="str">
        <f>IF(M5_Ocupacion!A80="","",IF(M5_Ocupacion!R80="","",M5_Ocupacion!R80))</f>
        <v/>
      </c>
      <c r="V875" s="17" t="str">
        <f>IF(M5_Ocupacion!A80="","",IF(M5_Ocupacion!D80="","",M5_Ocupacion!D80))</f>
        <v/>
      </c>
      <c r="W875" s="17" t="str">
        <f>IF(M5_Ocupacion!A80="","",IF(M5_Ocupacion!B80="","",M5_Ocupacion!B80))</f>
        <v/>
      </c>
      <c r="X875" s="17" t="str">
        <f>IF(M5_Ocupacion!A80="","",IF(M5_Ocupacion!C80="","",M5_Ocupacion!C80))</f>
        <v/>
      </c>
      <c r="Y875" s="17" t="str">
        <f>IF(M5_Ocupacion!A80="","",IF(M5_Ocupacion!E80="","",M5_Ocupacion!E80))</f>
        <v/>
      </c>
      <c r="Z875" s="17" t="str">
        <f>IF(M5_Ocupacion!A80="","",IF(M5_Ocupacion!F80="","",M5_Ocupacion!F80))</f>
        <v/>
      </c>
      <c r="AA875" s="17" t="str">
        <f>IF(M5_Ocupacion!A80="","","M5 Ocupación")</f>
        <v/>
      </c>
      <c r="AB875" s="17" t="str">
        <f>IF(M5_Ocupacion!A80="","",IF(M5_Ocupacion!G80="","",M5_Ocupacion!G80))</f>
        <v/>
      </c>
      <c r="AC875" s="17" t="str">
        <f>IF(M5_Ocupacion!A80="","",IF(COUNTIFS(M5_Ocupacion!$A$10:A80,M5_Ocupacion!A80,M5_Ocupacion!$D$10:D80,M5_Ocupacion!D80)=1,IF(M5_Ocupacion!M80="","",M5_Ocupacion!M80),""))</f>
        <v/>
      </c>
      <c r="AD875" s="17" t="str">
        <f>IF(M5_Ocupacion!A80="","","MO")</f>
        <v/>
      </c>
      <c r="AE875" s="17" t="str">
        <f>IF(M5_Ocupacion!A80="","",IF(M5_Ocupacion!O80="","",M5_Ocupacion!O80))</f>
        <v/>
      </c>
      <c r="AF875" s="17" t="str">
        <f>IF(M5_Ocupacion!A80="","",IF(M5_Ocupacion!P80="","",M5_Ocupacion!P80))</f>
        <v/>
      </c>
      <c r="AG875" s="17" t="str">
        <f>IF(M5_Ocupacion!A80="","",IF(M5_Ocupacion!Q80="","",M5_Ocupacion!Q80))</f>
        <v/>
      </c>
      <c r="AH875" s="17" t="str">
        <f>IF(M5_Ocupacion!A80="","",IF(M5_Ocupacion!J80="","",M5_Ocupacion!J80))</f>
        <v/>
      </c>
      <c r="AI875" s="17" t="str">
        <f>IF(M5_Ocupacion!A80="","","M5_Ocupacion!80")</f>
        <v/>
      </c>
      <c r="AJ875" s="17" t="str">
        <f>IF(M5_Ocupacion!A80="","",IF(M5_Ocupacion!M80="","Pendiente de medición completa",IF(COUNTIFS(M5_Ocupacion!$A$10:A80,M5_Ocupacion!A80,M5_Ocupacion!$D$10:D80,M5_Ocupacion!D80)=1,"Promedio de la actividad y fecha","Observación incluida en promedio")))</f>
        <v/>
      </c>
    </row>
    <row r="876" spans="1:36" ht="55.5" customHeight="1">
      <c r="A876" s="6" t="str">
        <f t="array" ref="A876">IF(872&gt;$S$1204,"",INDEX($T$5:$AJ$1204,MATCH(872,$S$5:$S$1204,0),1))</f>
        <v/>
      </c>
      <c r="B876" s="8" t="str">
        <f t="array" ref="B876">IF(872&gt;$S$1204,"",INDEX($T$5:$AJ$1204,MATCH(872,$S$5:$S$1204,0),2))</f>
        <v/>
      </c>
      <c r="C876" s="10" t="str">
        <f t="array" ref="C876">IF(872&gt;$S$1204,"",INDEX($T$5:$AJ$1204,MATCH(872,$S$5:$S$1204,0),3))</f>
        <v/>
      </c>
      <c r="D876" s="8" t="str">
        <f t="array" ref="D876">IF(872&gt;$S$1204,"",INDEX($T$5:$AJ$1204,MATCH(872,$S$5:$S$1204,0),4))</f>
        <v/>
      </c>
      <c r="E876" s="8" t="str">
        <f t="array" ref="E876">IF(872&gt;$S$1204,"",INDEX($T$5:$AJ$1204,MATCH(872,$S$5:$S$1204,0),5))</f>
        <v/>
      </c>
      <c r="F876" s="8" t="str">
        <f t="array" ref="F876">IF(872&gt;$S$1204,"",INDEX($T$5:$AJ$1204,MATCH(872,$S$5:$S$1204,0),6))</f>
        <v/>
      </c>
      <c r="G876" s="8" t="str">
        <f t="array" ref="G876">IF(872&gt;$S$1204,"",INDEX($T$5:$AJ$1204,MATCH(872,$S$5:$S$1204,0),7))</f>
        <v/>
      </c>
      <c r="H876" s="8" t="str">
        <f t="array" ref="H876">IF(872&gt;$S$1204,"",INDEX($T$5:$AJ$1204,MATCH(872,$S$5:$S$1204,0),8))</f>
        <v/>
      </c>
      <c r="I876" s="8" t="str">
        <f t="array" ref="I876">IF(872&gt;$S$1204,"",INDEX($T$5:$AJ$1204,MATCH(872,$S$5:$S$1204,0),9))</f>
        <v/>
      </c>
      <c r="J876" s="14" t="str">
        <f t="array" ref="J876">IF(872&gt;$S$1204,"",INDEX($T$5:$AJ$1204,MATCH(872,$S$5:$S$1204,0),10))</f>
        <v/>
      </c>
      <c r="K876" s="8" t="str">
        <f t="array" ref="K876">IF(872&gt;$S$1204,"",INDEX($T$5:$AJ$1204,MATCH(872,$S$5:$S$1204,0),11))</f>
        <v/>
      </c>
      <c r="L876" s="8" t="str">
        <f t="array" ref="L876">IF(872&gt;$S$1204,"",INDEX($T$5:$AJ$1204,MATCH(872,$S$5:$S$1204,0),12))</f>
        <v/>
      </c>
      <c r="M876" s="8" t="str">
        <f t="array" ref="M876">IF(872&gt;$S$1204,"",INDEX($T$5:$AJ$1204,MATCH(872,$S$5:$S$1204,0),13))</f>
        <v/>
      </c>
      <c r="N876" s="8" t="str">
        <f t="array" ref="N876">IF(872&gt;$S$1204,"",INDEX($T$5:$AJ$1204,MATCH(872,$S$5:$S$1204,0),14))</f>
        <v/>
      </c>
      <c r="O876" s="15" t="str">
        <f t="array" ref="O876">IF(872&gt;$S$1204,"",INDEX($T$5:$AJ$1204,MATCH(872,$S$5:$S$1204,0),15))</f>
        <v/>
      </c>
      <c r="P876" s="8" t="str">
        <f t="array" ref="P876">IF(872&gt;$S$1204,"",INDEX($T$5:$AJ$1204,MATCH(872,$S$5:$S$1204,0),16))</f>
        <v/>
      </c>
      <c r="Q876" s="8" t="str">
        <f t="array" ref="Q876">IF(872&gt;$S$1204,"",INDEX($T$5:$AJ$1204,MATCH(872,$S$5:$S$1204,0),17))</f>
        <v/>
      </c>
      <c r="R876" s="17"/>
      <c r="S876" s="17">
        <f>S875+IF(M5_Ocupacion!A81="",0,1)</f>
        <v>0</v>
      </c>
      <c r="T876" s="17" t="str">
        <f>IF(M5_Ocupacion!A81="","",IF(M5_Ocupacion!A81="","",M5_Ocupacion!A81))</f>
        <v/>
      </c>
      <c r="U876" s="17" t="str">
        <f>IF(M5_Ocupacion!A81="","",IF(M5_Ocupacion!R81="","",M5_Ocupacion!R81))</f>
        <v/>
      </c>
      <c r="V876" s="17" t="str">
        <f>IF(M5_Ocupacion!A81="","",IF(M5_Ocupacion!D81="","",M5_Ocupacion!D81))</f>
        <v/>
      </c>
      <c r="W876" s="17" t="str">
        <f>IF(M5_Ocupacion!A81="","",IF(M5_Ocupacion!B81="","",M5_Ocupacion!B81))</f>
        <v/>
      </c>
      <c r="X876" s="17" t="str">
        <f>IF(M5_Ocupacion!A81="","",IF(M5_Ocupacion!C81="","",M5_Ocupacion!C81))</f>
        <v/>
      </c>
      <c r="Y876" s="17" t="str">
        <f>IF(M5_Ocupacion!A81="","",IF(M5_Ocupacion!E81="","",M5_Ocupacion!E81))</f>
        <v/>
      </c>
      <c r="Z876" s="17" t="str">
        <f>IF(M5_Ocupacion!A81="","",IF(M5_Ocupacion!F81="","",M5_Ocupacion!F81))</f>
        <v/>
      </c>
      <c r="AA876" s="17" t="str">
        <f>IF(M5_Ocupacion!A81="","","M5 Ocupación")</f>
        <v/>
      </c>
      <c r="AB876" s="17" t="str">
        <f>IF(M5_Ocupacion!A81="","",IF(M5_Ocupacion!G81="","",M5_Ocupacion!G81))</f>
        <v/>
      </c>
      <c r="AC876" s="17" t="str">
        <f>IF(M5_Ocupacion!A81="","",IF(COUNTIFS(M5_Ocupacion!$A$10:A81,M5_Ocupacion!A81,M5_Ocupacion!$D$10:D81,M5_Ocupacion!D81)=1,IF(M5_Ocupacion!M81="","",M5_Ocupacion!M81),""))</f>
        <v/>
      </c>
      <c r="AD876" s="17" t="str">
        <f>IF(M5_Ocupacion!A81="","","MO")</f>
        <v/>
      </c>
      <c r="AE876" s="17" t="str">
        <f>IF(M5_Ocupacion!A81="","",IF(M5_Ocupacion!O81="","",M5_Ocupacion!O81))</f>
        <v/>
      </c>
      <c r="AF876" s="17" t="str">
        <f>IF(M5_Ocupacion!A81="","",IF(M5_Ocupacion!P81="","",M5_Ocupacion!P81))</f>
        <v/>
      </c>
      <c r="AG876" s="17" t="str">
        <f>IF(M5_Ocupacion!A81="","",IF(M5_Ocupacion!Q81="","",M5_Ocupacion!Q81))</f>
        <v/>
      </c>
      <c r="AH876" s="17" t="str">
        <f>IF(M5_Ocupacion!A81="","",IF(M5_Ocupacion!J81="","",M5_Ocupacion!J81))</f>
        <v/>
      </c>
      <c r="AI876" s="17" t="str">
        <f>IF(M5_Ocupacion!A81="","","M5_Ocupacion!81")</f>
        <v/>
      </c>
      <c r="AJ876" s="17" t="str">
        <f>IF(M5_Ocupacion!A81="","",IF(M5_Ocupacion!M81="","Pendiente de medición completa",IF(COUNTIFS(M5_Ocupacion!$A$10:A81,M5_Ocupacion!A81,M5_Ocupacion!$D$10:D81,M5_Ocupacion!D81)=1,"Promedio de la actividad y fecha","Observación incluida en promedio")))</f>
        <v/>
      </c>
    </row>
    <row r="877" spans="1:36" ht="55.5" customHeight="1">
      <c r="A877" s="6" t="str">
        <f t="array" ref="A877">IF(873&gt;$S$1204,"",INDEX($T$5:$AJ$1204,MATCH(873,$S$5:$S$1204,0),1))</f>
        <v/>
      </c>
      <c r="B877" s="8" t="str">
        <f t="array" ref="B877">IF(873&gt;$S$1204,"",INDEX($T$5:$AJ$1204,MATCH(873,$S$5:$S$1204,0),2))</f>
        <v/>
      </c>
      <c r="C877" s="10" t="str">
        <f t="array" ref="C877">IF(873&gt;$S$1204,"",INDEX($T$5:$AJ$1204,MATCH(873,$S$5:$S$1204,0),3))</f>
        <v/>
      </c>
      <c r="D877" s="8" t="str">
        <f t="array" ref="D877">IF(873&gt;$S$1204,"",INDEX($T$5:$AJ$1204,MATCH(873,$S$5:$S$1204,0),4))</f>
        <v/>
      </c>
      <c r="E877" s="8" t="str">
        <f t="array" ref="E877">IF(873&gt;$S$1204,"",INDEX($T$5:$AJ$1204,MATCH(873,$S$5:$S$1204,0),5))</f>
        <v/>
      </c>
      <c r="F877" s="8" t="str">
        <f t="array" ref="F877">IF(873&gt;$S$1204,"",INDEX($T$5:$AJ$1204,MATCH(873,$S$5:$S$1204,0),6))</f>
        <v/>
      </c>
      <c r="G877" s="8" t="str">
        <f t="array" ref="G877">IF(873&gt;$S$1204,"",INDEX($T$5:$AJ$1204,MATCH(873,$S$5:$S$1204,0),7))</f>
        <v/>
      </c>
      <c r="H877" s="8" t="str">
        <f t="array" ref="H877">IF(873&gt;$S$1204,"",INDEX($T$5:$AJ$1204,MATCH(873,$S$5:$S$1204,0),8))</f>
        <v/>
      </c>
      <c r="I877" s="8" t="str">
        <f t="array" ref="I877">IF(873&gt;$S$1204,"",INDEX($T$5:$AJ$1204,MATCH(873,$S$5:$S$1204,0),9))</f>
        <v/>
      </c>
      <c r="J877" s="14" t="str">
        <f t="array" ref="J877">IF(873&gt;$S$1204,"",INDEX($T$5:$AJ$1204,MATCH(873,$S$5:$S$1204,0),10))</f>
        <v/>
      </c>
      <c r="K877" s="8" t="str">
        <f t="array" ref="K877">IF(873&gt;$S$1204,"",INDEX($T$5:$AJ$1204,MATCH(873,$S$5:$S$1204,0),11))</f>
        <v/>
      </c>
      <c r="L877" s="8" t="str">
        <f t="array" ref="L877">IF(873&gt;$S$1204,"",INDEX($T$5:$AJ$1204,MATCH(873,$S$5:$S$1204,0),12))</f>
        <v/>
      </c>
      <c r="M877" s="8" t="str">
        <f t="array" ref="M877">IF(873&gt;$S$1204,"",INDEX($T$5:$AJ$1204,MATCH(873,$S$5:$S$1204,0),13))</f>
        <v/>
      </c>
      <c r="N877" s="8" t="str">
        <f t="array" ref="N877">IF(873&gt;$S$1204,"",INDEX($T$5:$AJ$1204,MATCH(873,$S$5:$S$1204,0),14))</f>
        <v/>
      </c>
      <c r="O877" s="15" t="str">
        <f t="array" ref="O877">IF(873&gt;$S$1204,"",INDEX($T$5:$AJ$1204,MATCH(873,$S$5:$S$1204,0),15))</f>
        <v/>
      </c>
      <c r="P877" s="8" t="str">
        <f t="array" ref="P877">IF(873&gt;$S$1204,"",INDEX($T$5:$AJ$1204,MATCH(873,$S$5:$S$1204,0),16))</f>
        <v/>
      </c>
      <c r="Q877" s="8" t="str">
        <f t="array" ref="Q877">IF(873&gt;$S$1204,"",INDEX($T$5:$AJ$1204,MATCH(873,$S$5:$S$1204,0),17))</f>
        <v/>
      </c>
      <c r="R877" s="17"/>
      <c r="S877" s="17">
        <f>S876+IF(M5_Ocupacion!A82="",0,1)</f>
        <v>0</v>
      </c>
      <c r="T877" s="17" t="str">
        <f>IF(M5_Ocupacion!A82="","",IF(M5_Ocupacion!A82="","",M5_Ocupacion!A82))</f>
        <v/>
      </c>
      <c r="U877" s="17" t="str">
        <f>IF(M5_Ocupacion!A82="","",IF(M5_Ocupacion!R82="","",M5_Ocupacion!R82))</f>
        <v/>
      </c>
      <c r="V877" s="17" t="str">
        <f>IF(M5_Ocupacion!A82="","",IF(M5_Ocupacion!D82="","",M5_Ocupacion!D82))</f>
        <v/>
      </c>
      <c r="W877" s="17" t="str">
        <f>IF(M5_Ocupacion!A82="","",IF(M5_Ocupacion!B82="","",M5_Ocupacion!B82))</f>
        <v/>
      </c>
      <c r="X877" s="17" t="str">
        <f>IF(M5_Ocupacion!A82="","",IF(M5_Ocupacion!C82="","",M5_Ocupacion!C82))</f>
        <v/>
      </c>
      <c r="Y877" s="17" t="str">
        <f>IF(M5_Ocupacion!A82="","",IF(M5_Ocupacion!E82="","",M5_Ocupacion!E82))</f>
        <v/>
      </c>
      <c r="Z877" s="17" t="str">
        <f>IF(M5_Ocupacion!A82="","",IF(M5_Ocupacion!F82="","",M5_Ocupacion!F82))</f>
        <v/>
      </c>
      <c r="AA877" s="17" t="str">
        <f>IF(M5_Ocupacion!A82="","","M5 Ocupación")</f>
        <v/>
      </c>
      <c r="AB877" s="17" t="str">
        <f>IF(M5_Ocupacion!A82="","",IF(M5_Ocupacion!G82="","",M5_Ocupacion!G82))</f>
        <v/>
      </c>
      <c r="AC877" s="17" t="str">
        <f>IF(M5_Ocupacion!A82="","",IF(COUNTIFS(M5_Ocupacion!$A$10:A82,M5_Ocupacion!A82,M5_Ocupacion!$D$10:D82,M5_Ocupacion!D82)=1,IF(M5_Ocupacion!M82="","",M5_Ocupacion!M82),""))</f>
        <v/>
      </c>
      <c r="AD877" s="17" t="str">
        <f>IF(M5_Ocupacion!A82="","","MO")</f>
        <v/>
      </c>
      <c r="AE877" s="17" t="str">
        <f>IF(M5_Ocupacion!A82="","",IF(M5_Ocupacion!O82="","",M5_Ocupacion!O82))</f>
        <v/>
      </c>
      <c r="AF877" s="17" t="str">
        <f>IF(M5_Ocupacion!A82="","",IF(M5_Ocupacion!P82="","",M5_Ocupacion!P82))</f>
        <v/>
      </c>
      <c r="AG877" s="17" t="str">
        <f>IF(M5_Ocupacion!A82="","",IF(M5_Ocupacion!Q82="","",M5_Ocupacion!Q82))</f>
        <v/>
      </c>
      <c r="AH877" s="17" t="str">
        <f>IF(M5_Ocupacion!A82="","",IF(M5_Ocupacion!J82="","",M5_Ocupacion!J82))</f>
        <v/>
      </c>
      <c r="AI877" s="17" t="str">
        <f>IF(M5_Ocupacion!A82="","","M5_Ocupacion!82")</f>
        <v/>
      </c>
      <c r="AJ877" s="17" t="str">
        <f>IF(M5_Ocupacion!A82="","",IF(M5_Ocupacion!M82="","Pendiente de medición completa",IF(COUNTIFS(M5_Ocupacion!$A$10:A82,M5_Ocupacion!A82,M5_Ocupacion!$D$10:D82,M5_Ocupacion!D82)=1,"Promedio de la actividad y fecha","Observación incluida en promedio")))</f>
        <v/>
      </c>
    </row>
    <row r="878" spans="1:36" ht="55.5" customHeight="1">
      <c r="A878" s="6" t="str">
        <f t="array" ref="A878">IF(874&gt;$S$1204,"",INDEX($T$5:$AJ$1204,MATCH(874,$S$5:$S$1204,0),1))</f>
        <v/>
      </c>
      <c r="B878" s="8" t="str">
        <f t="array" ref="B878">IF(874&gt;$S$1204,"",INDEX($T$5:$AJ$1204,MATCH(874,$S$5:$S$1204,0),2))</f>
        <v/>
      </c>
      <c r="C878" s="10" t="str">
        <f t="array" ref="C878">IF(874&gt;$S$1204,"",INDEX($T$5:$AJ$1204,MATCH(874,$S$5:$S$1204,0),3))</f>
        <v/>
      </c>
      <c r="D878" s="8" t="str">
        <f t="array" ref="D878">IF(874&gt;$S$1204,"",INDEX($T$5:$AJ$1204,MATCH(874,$S$5:$S$1204,0),4))</f>
        <v/>
      </c>
      <c r="E878" s="8" t="str">
        <f t="array" ref="E878">IF(874&gt;$S$1204,"",INDEX($T$5:$AJ$1204,MATCH(874,$S$5:$S$1204,0),5))</f>
        <v/>
      </c>
      <c r="F878" s="8" t="str">
        <f t="array" ref="F878">IF(874&gt;$S$1204,"",INDEX($T$5:$AJ$1204,MATCH(874,$S$5:$S$1204,0),6))</f>
        <v/>
      </c>
      <c r="G878" s="8" t="str">
        <f t="array" ref="G878">IF(874&gt;$S$1204,"",INDEX($T$5:$AJ$1204,MATCH(874,$S$5:$S$1204,0),7))</f>
        <v/>
      </c>
      <c r="H878" s="8" t="str">
        <f t="array" ref="H878">IF(874&gt;$S$1204,"",INDEX($T$5:$AJ$1204,MATCH(874,$S$5:$S$1204,0),8))</f>
        <v/>
      </c>
      <c r="I878" s="8" t="str">
        <f t="array" ref="I878">IF(874&gt;$S$1204,"",INDEX($T$5:$AJ$1204,MATCH(874,$S$5:$S$1204,0),9))</f>
        <v/>
      </c>
      <c r="J878" s="14" t="str">
        <f t="array" ref="J878">IF(874&gt;$S$1204,"",INDEX($T$5:$AJ$1204,MATCH(874,$S$5:$S$1204,0),10))</f>
        <v/>
      </c>
      <c r="K878" s="8" t="str">
        <f t="array" ref="K878">IF(874&gt;$S$1204,"",INDEX($T$5:$AJ$1204,MATCH(874,$S$5:$S$1204,0),11))</f>
        <v/>
      </c>
      <c r="L878" s="8" t="str">
        <f t="array" ref="L878">IF(874&gt;$S$1204,"",INDEX($T$5:$AJ$1204,MATCH(874,$S$5:$S$1204,0),12))</f>
        <v/>
      </c>
      <c r="M878" s="8" t="str">
        <f t="array" ref="M878">IF(874&gt;$S$1204,"",INDEX($T$5:$AJ$1204,MATCH(874,$S$5:$S$1204,0),13))</f>
        <v/>
      </c>
      <c r="N878" s="8" t="str">
        <f t="array" ref="N878">IF(874&gt;$S$1204,"",INDEX($T$5:$AJ$1204,MATCH(874,$S$5:$S$1204,0),14))</f>
        <v/>
      </c>
      <c r="O878" s="15" t="str">
        <f t="array" ref="O878">IF(874&gt;$S$1204,"",INDEX($T$5:$AJ$1204,MATCH(874,$S$5:$S$1204,0),15))</f>
        <v/>
      </c>
      <c r="P878" s="8" t="str">
        <f t="array" ref="P878">IF(874&gt;$S$1204,"",INDEX($T$5:$AJ$1204,MATCH(874,$S$5:$S$1204,0),16))</f>
        <v/>
      </c>
      <c r="Q878" s="8" t="str">
        <f t="array" ref="Q878">IF(874&gt;$S$1204,"",INDEX($T$5:$AJ$1204,MATCH(874,$S$5:$S$1204,0),17))</f>
        <v/>
      </c>
      <c r="R878" s="17"/>
      <c r="S878" s="17">
        <f>S877+IF(M5_Ocupacion!A83="",0,1)</f>
        <v>0</v>
      </c>
      <c r="T878" s="17" t="str">
        <f>IF(M5_Ocupacion!A83="","",IF(M5_Ocupacion!A83="","",M5_Ocupacion!A83))</f>
        <v/>
      </c>
      <c r="U878" s="17" t="str">
        <f>IF(M5_Ocupacion!A83="","",IF(M5_Ocupacion!R83="","",M5_Ocupacion!R83))</f>
        <v/>
      </c>
      <c r="V878" s="17" t="str">
        <f>IF(M5_Ocupacion!A83="","",IF(M5_Ocupacion!D83="","",M5_Ocupacion!D83))</f>
        <v/>
      </c>
      <c r="W878" s="17" t="str">
        <f>IF(M5_Ocupacion!A83="","",IF(M5_Ocupacion!B83="","",M5_Ocupacion!B83))</f>
        <v/>
      </c>
      <c r="X878" s="17" t="str">
        <f>IF(M5_Ocupacion!A83="","",IF(M5_Ocupacion!C83="","",M5_Ocupacion!C83))</f>
        <v/>
      </c>
      <c r="Y878" s="17" t="str">
        <f>IF(M5_Ocupacion!A83="","",IF(M5_Ocupacion!E83="","",M5_Ocupacion!E83))</f>
        <v/>
      </c>
      <c r="Z878" s="17" t="str">
        <f>IF(M5_Ocupacion!A83="","",IF(M5_Ocupacion!F83="","",M5_Ocupacion!F83))</f>
        <v/>
      </c>
      <c r="AA878" s="17" t="str">
        <f>IF(M5_Ocupacion!A83="","","M5 Ocupación")</f>
        <v/>
      </c>
      <c r="AB878" s="17" t="str">
        <f>IF(M5_Ocupacion!A83="","",IF(M5_Ocupacion!G83="","",M5_Ocupacion!G83))</f>
        <v/>
      </c>
      <c r="AC878" s="17" t="str">
        <f>IF(M5_Ocupacion!A83="","",IF(COUNTIFS(M5_Ocupacion!$A$10:A83,M5_Ocupacion!A83,M5_Ocupacion!$D$10:D83,M5_Ocupacion!D83)=1,IF(M5_Ocupacion!M83="","",M5_Ocupacion!M83),""))</f>
        <v/>
      </c>
      <c r="AD878" s="17" t="str">
        <f>IF(M5_Ocupacion!A83="","","MO")</f>
        <v/>
      </c>
      <c r="AE878" s="17" t="str">
        <f>IF(M5_Ocupacion!A83="","",IF(M5_Ocupacion!O83="","",M5_Ocupacion!O83))</f>
        <v/>
      </c>
      <c r="AF878" s="17" t="str">
        <f>IF(M5_Ocupacion!A83="","",IF(M5_Ocupacion!P83="","",M5_Ocupacion!P83))</f>
        <v/>
      </c>
      <c r="AG878" s="17" t="str">
        <f>IF(M5_Ocupacion!A83="","",IF(M5_Ocupacion!Q83="","",M5_Ocupacion!Q83))</f>
        <v/>
      </c>
      <c r="AH878" s="17" t="str">
        <f>IF(M5_Ocupacion!A83="","",IF(M5_Ocupacion!J83="","",M5_Ocupacion!J83))</f>
        <v/>
      </c>
      <c r="AI878" s="17" t="str">
        <f>IF(M5_Ocupacion!A83="","","M5_Ocupacion!83")</f>
        <v/>
      </c>
      <c r="AJ878" s="17" t="str">
        <f>IF(M5_Ocupacion!A83="","",IF(M5_Ocupacion!M83="","Pendiente de medición completa",IF(COUNTIFS(M5_Ocupacion!$A$10:A83,M5_Ocupacion!A83,M5_Ocupacion!$D$10:D83,M5_Ocupacion!D83)=1,"Promedio de la actividad y fecha","Observación incluida en promedio")))</f>
        <v/>
      </c>
    </row>
    <row r="879" spans="1:36" ht="55.5" customHeight="1">
      <c r="A879" s="6" t="str">
        <f t="array" ref="A879">IF(875&gt;$S$1204,"",INDEX($T$5:$AJ$1204,MATCH(875,$S$5:$S$1204,0),1))</f>
        <v/>
      </c>
      <c r="B879" s="8" t="str">
        <f t="array" ref="B879">IF(875&gt;$S$1204,"",INDEX($T$5:$AJ$1204,MATCH(875,$S$5:$S$1204,0),2))</f>
        <v/>
      </c>
      <c r="C879" s="10" t="str">
        <f t="array" ref="C879">IF(875&gt;$S$1204,"",INDEX($T$5:$AJ$1204,MATCH(875,$S$5:$S$1204,0),3))</f>
        <v/>
      </c>
      <c r="D879" s="8" t="str">
        <f t="array" ref="D879">IF(875&gt;$S$1204,"",INDEX($T$5:$AJ$1204,MATCH(875,$S$5:$S$1204,0),4))</f>
        <v/>
      </c>
      <c r="E879" s="8" t="str">
        <f t="array" ref="E879">IF(875&gt;$S$1204,"",INDEX($T$5:$AJ$1204,MATCH(875,$S$5:$S$1204,0),5))</f>
        <v/>
      </c>
      <c r="F879" s="8" t="str">
        <f t="array" ref="F879">IF(875&gt;$S$1204,"",INDEX($T$5:$AJ$1204,MATCH(875,$S$5:$S$1204,0),6))</f>
        <v/>
      </c>
      <c r="G879" s="8" t="str">
        <f t="array" ref="G879">IF(875&gt;$S$1204,"",INDEX($T$5:$AJ$1204,MATCH(875,$S$5:$S$1204,0),7))</f>
        <v/>
      </c>
      <c r="H879" s="8" t="str">
        <f t="array" ref="H879">IF(875&gt;$S$1204,"",INDEX($T$5:$AJ$1204,MATCH(875,$S$5:$S$1204,0),8))</f>
        <v/>
      </c>
      <c r="I879" s="8" t="str">
        <f t="array" ref="I879">IF(875&gt;$S$1204,"",INDEX($T$5:$AJ$1204,MATCH(875,$S$5:$S$1204,0),9))</f>
        <v/>
      </c>
      <c r="J879" s="14" t="str">
        <f t="array" ref="J879">IF(875&gt;$S$1204,"",INDEX($T$5:$AJ$1204,MATCH(875,$S$5:$S$1204,0),10))</f>
        <v/>
      </c>
      <c r="K879" s="8" t="str">
        <f t="array" ref="K879">IF(875&gt;$S$1204,"",INDEX($T$5:$AJ$1204,MATCH(875,$S$5:$S$1204,0),11))</f>
        <v/>
      </c>
      <c r="L879" s="8" t="str">
        <f t="array" ref="L879">IF(875&gt;$S$1204,"",INDEX($T$5:$AJ$1204,MATCH(875,$S$5:$S$1204,0),12))</f>
        <v/>
      </c>
      <c r="M879" s="8" t="str">
        <f t="array" ref="M879">IF(875&gt;$S$1204,"",INDEX($T$5:$AJ$1204,MATCH(875,$S$5:$S$1204,0),13))</f>
        <v/>
      </c>
      <c r="N879" s="8" t="str">
        <f t="array" ref="N879">IF(875&gt;$S$1204,"",INDEX($T$5:$AJ$1204,MATCH(875,$S$5:$S$1204,0),14))</f>
        <v/>
      </c>
      <c r="O879" s="15" t="str">
        <f t="array" ref="O879">IF(875&gt;$S$1204,"",INDEX($T$5:$AJ$1204,MATCH(875,$S$5:$S$1204,0),15))</f>
        <v/>
      </c>
      <c r="P879" s="8" t="str">
        <f t="array" ref="P879">IF(875&gt;$S$1204,"",INDEX($T$5:$AJ$1204,MATCH(875,$S$5:$S$1204,0),16))</f>
        <v/>
      </c>
      <c r="Q879" s="8" t="str">
        <f t="array" ref="Q879">IF(875&gt;$S$1204,"",INDEX($T$5:$AJ$1204,MATCH(875,$S$5:$S$1204,0),17))</f>
        <v/>
      </c>
      <c r="R879" s="17"/>
      <c r="S879" s="17">
        <f>S878+IF(M5_Ocupacion!A84="",0,1)</f>
        <v>0</v>
      </c>
      <c r="T879" s="17" t="str">
        <f>IF(M5_Ocupacion!A84="","",IF(M5_Ocupacion!A84="","",M5_Ocupacion!A84))</f>
        <v/>
      </c>
      <c r="U879" s="17" t="str">
        <f>IF(M5_Ocupacion!A84="","",IF(M5_Ocupacion!R84="","",M5_Ocupacion!R84))</f>
        <v/>
      </c>
      <c r="V879" s="17" t="str">
        <f>IF(M5_Ocupacion!A84="","",IF(M5_Ocupacion!D84="","",M5_Ocupacion!D84))</f>
        <v/>
      </c>
      <c r="W879" s="17" t="str">
        <f>IF(M5_Ocupacion!A84="","",IF(M5_Ocupacion!B84="","",M5_Ocupacion!B84))</f>
        <v/>
      </c>
      <c r="X879" s="17" t="str">
        <f>IF(M5_Ocupacion!A84="","",IF(M5_Ocupacion!C84="","",M5_Ocupacion!C84))</f>
        <v/>
      </c>
      <c r="Y879" s="17" t="str">
        <f>IF(M5_Ocupacion!A84="","",IF(M5_Ocupacion!E84="","",M5_Ocupacion!E84))</f>
        <v/>
      </c>
      <c r="Z879" s="17" t="str">
        <f>IF(M5_Ocupacion!A84="","",IF(M5_Ocupacion!F84="","",M5_Ocupacion!F84))</f>
        <v/>
      </c>
      <c r="AA879" s="17" t="str">
        <f>IF(M5_Ocupacion!A84="","","M5 Ocupación")</f>
        <v/>
      </c>
      <c r="AB879" s="17" t="str">
        <f>IF(M5_Ocupacion!A84="","",IF(M5_Ocupacion!G84="","",M5_Ocupacion!G84))</f>
        <v/>
      </c>
      <c r="AC879" s="17" t="str">
        <f>IF(M5_Ocupacion!A84="","",IF(COUNTIFS(M5_Ocupacion!$A$10:A84,M5_Ocupacion!A84,M5_Ocupacion!$D$10:D84,M5_Ocupacion!D84)=1,IF(M5_Ocupacion!M84="","",M5_Ocupacion!M84),""))</f>
        <v/>
      </c>
      <c r="AD879" s="17" t="str">
        <f>IF(M5_Ocupacion!A84="","","MO")</f>
        <v/>
      </c>
      <c r="AE879" s="17" t="str">
        <f>IF(M5_Ocupacion!A84="","",IF(M5_Ocupacion!O84="","",M5_Ocupacion!O84))</f>
        <v/>
      </c>
      <c r="AF879" s="17" t="str">
        <f>IF(M5_Ocupacion!A84="","",IF(M5_Ocupacion!P84="","",M5_Ocupacion!P84))</f>
        <v/>
      </c>
      <c r="AG879" s="17" t="str">
        <f>IF(M5_Ocupacion!A84="","",IF(M5_Ocupacion!Q84="","",M5_Ocupacion!Q84))</f>
        <v/>
      </c>
      <c r="AH879" s="17" t="str">
        <f>IF(M5_Ocupacion!A84="","",IF(M5_Ocupacion!J84="","",M5_Ocupacion!J84))</f>
        <v/>
      </c>
      <c r="AI879" s="17" t="str">
        <f>IF(M5_Ocupacion!A84="","","M5_Ocupacion!84")</f>
        <v/>
      </c>
      <c r="AJ879" s="17" t="str">
        <f>IF(M5_Ocupacion!A84="","",IF(M5_Ocupacion!M84="","Pendiente de medición completa",IF(COUNTIFS(M5_Ocupacion!$A$10:A84,M5_Ocupacion!A84,M5_Ocupacion!$D$10:D84,M5_Ocupacion!D84)=1,"Promedio de la actividad y fecha","Observación incluida en promedio")))</f>
        <v/>
      </c>
    </row>
    <row r="880" spans="1:36" ht="55.5" customHeight="1">
      <c r="A880" s="6" t="str">
        <f t="array" ref="A880">IF(876&gt;$S$1204,"",INDEX($T$5:$AJ$1204,MATCH(876,$S$5:$S$1204,0),1))</f>
        <v/>
      </c>
      <c r="B880" s="8" t="str">
        <f t="array" ref="B880">IF(876&gt;$S$1204,"",INDEX($T$5:$AJ$1204,MATCH(876,$S$5:$S$1204,0),2))</f>
        <v/>
      </c>
      <c r="C880" s="10" t="str">
        <f t="array" ref="C880">IF(876&gt;$S$1204,"",INDEX($T$5:$AJ$1204,MATCH(876,$S$5:$S$1204,0),3))</f>
        <v/>
      </c>
      <c r="D880" s="8" t="str">
        <f t="array" ref="D880">IF(876&gt;$S$1204,"",INDEX($T$5:$AJ$1204,MATCH(876,$S$5:$S$1204,0),4))</f>
        <v/>
      </c>
      <c r="E880" s="8" t="str">
        <f t="array" ref="E880">IF(876&gt;$S$1204,"",INDEX($T$5:$AJ$1204,MATCH(876,$S$5:$S$1204,0),5))</f>
        <v/>
      </c>
      <c r="F880" s="8" t="str">
        <f t="array" ref="F880">IF(876&gt;$S$1204,"",INDEX($T$5:$AJ$1204,MATCH(876,$S$5:$S$1204,0),6))</f>
        <v/>
      </c>
      <c r="G880" s="8" t="str">
        <f t="array" ref="G880">IF(876&gt;$S$1204,"",INDEX($T$5:$AJ$1204,MATCH(876,$S$5:$S$1204,0),7))</f>
        <v/>
      </c>
      <c r="H880" s="8" t="str">
        <f t="array" ref="H880">IF(876&gt;$S$1204,"",INDEX($T$5:$AJ$1204,MATCH(876,$S$5:$S$1204,0),8))</f>
        <v/>
      </c>
      <c r="I880" s="8" t="str">
        <f t="array" ref="I880">IF(876&gt;$S$1204,"",INDEX($T$5:$AJ$1204,MATCH(876,$S$5:$S$1204,0),9))</f>
        <v/>
      </c>
      <c r="J880" s="14" t="str">
        <f t="array" ref="J880">IF(876&gt;$S$1204,"",INDEX($T$5:$AJ$1204,MATCH(876,$S$5:$S$1204,0),10))</f>
        <v/>
      </c>
      <c r="K880" s="8" t="str">
        <f t="array" ref="K880">IF(876&gt;$S$1204,"",INDEX($T$5:$AJ$1204,MATCH(876,$S$5:$S$1204,0),11))</f>
        <v/>
      </c>
      <c r="L880" s="8" t="str">
        <f t="array" ref="L880">IF(876&gt;$S$1204,"",INDEX($T$5:$AJ$1204,MATCH(876,$S$5:$S$1204,0),12))</f>
        <v/>
      </c>
      <c r="M880" s="8" t="str">
        <f t="array" ref="M880">IF(876&gt;$S$1204,"",INDEX($T$5:$AJ$1204,MATCH(876,$S$5:$S$1204,0),13))</f>
        <v/>
      </c>
      <c r="N880" s="8" t="str">
        <f t="array" ref="N880">IF(876&gt;$S$1204,"",INDEX($T$5:$AJ$1204,MATCH(876,$S$5:$S$1204,0),14))</f>
        <v/>
      </c>
      <c r="O880" s="15" t="str">
        <f t="array" ref="O880">IF(876&gt;$S$1204,"",INDEX($T$5:$AJ$1204,MATCH(876,$S$5:$S$1204,0),15))</f>
        <v/>
      </c>
      <c r="P880" s="8" t="str">
        <f t="array" ref="P880">IF(876&gt;$S$1204,"",INDEX($T$5:$AJ$1204,MATCH(876,$S$5:$S$1204,0),16))</f>
        <v/>
      </c>
      <c r="Q880" s="8" t="str">
        <f t="array" ref="Q880">IF(876&gt;$S$1204,"",INDEX($T$5:$AJ$1204,MATCH(876,$S$5:$S$1204,0),17))</f>
        <v/>
      </c>
      <c r="R880" s="17"/>
      <c r="S880" s="17">
        <f>S879+IF(M5_Ocupacion!A85="",0,1)</f>
        <v>0</v>
      </c>
      <c r="T880" s="17" t="str">
        <f>IF(M5_Ocupacion!A85="","",IF(M5_Ocupacion!A85="","",M5_Ocupacion!A85))</f>
        <v/>
      </c>
      <c r="U880" s="17" t="str">
        <f>IF(M5_Ocupacion!A85="","",IF(M5_Ocupacion!R85="","",M5_Ocupacion!R85))</f>
        <v/>
      </c>
      <c r="V880" s="17" t="str">
        <f>IF(M5_Ocupacion!A85="","",IF(M5_Ocupacion!D85="","",M5_Ocupacion!D85))</f>
        <v/>
      </c>
      <c r="W880" s="17" t="str">
        <f>IF(M5_Ocupacion!A85="","",IF(M5_Ocupacion!B85="","",M5_Ocupacion!B85))</f>
        <v/>
      </c>
      <c r="X880" s="17" t="str">
        <f>IF(M5_Ocupacion!A85="","",IF(M5_Ocupacion!C85="","",M5_Ocupacion!C85))</f>
        <v/>
      </c>
      <c r="Y880" s="17" t="str">
        <f>IF(M5_Ocupacion!A85="","",IF(M5_Ocupacion!E85="","",M5_Ocupacion!E85))</f>
        <v/>
      </c>
      <c r="Z880" s="17" t="str">
        <f>IF(M5_Ocupacion!A85="","",IF(M5_Ocupacion!F85="","",M5_Ocupacion!F85))</f>
        <v/>
      </c>
      <c r="AA880" s="17" t="str">
        <f>IF(M5_Ocupacion!A85="","","M5 Ocupación")</f>
        <v/>
      </c>
      <c r="AB880" s="17" t="str">
        <f>IF(M5_Ocupacion!A85="","",IF(M5_Ocupacion!G85="","",M5_Ocupacion!G85))</f>
        <v/>
      </c>
      <c r="AC880" s="17" t="str">
        <f>IF(M5_Ocupacion!A85="","",IF(COUNTIFS(M5_Ocupacion!$A$10:A85,M5_Ocupacion!A85,M5_Ocupacion!$D$10:D85,M5_Ocupacion!D85)=1,IF(M5_Ocupacion!M85="","",M5_Ocupacion!M85),""))</f>
        <v/>
      </c>
      <c r="AD880" s="17" t="str">
        <f>IF(M5_Ocupacion!A85="","","MO")</f>
        <v/>
      </c>
      <c r="AE880" s="17" t="str">
        <f>IF(M5_Ocupacion!A85="","",IF(M5_Ocupacion!O85="","",M5_Ocupacion!O85))</f>
        <v/>
      </c>
      <c r="AF880" s="17" t="str">
        <f>IF(M5_Ocupacion!A85="","",IF(M5_Ocupacion!P85="","",M5_Ocupacion!P85))</f>
        <v/>
      </c>
      <c r="AG880" s="17" t="str">
        <f>IF(M5_Ocupacion!A85="","",IF(M5_Ocupacion!Q85="","",M5_Ocupacion!Q85))</f>
        <v/>
      </c>
      <c r="AH880" s="17" t="str">
        <f>IF(M5_Ocupacion!A85="","",IF(M5_Ocupacion!J85="","",M5_Ocupacion!J85))</f>
        <v/>
      </c>
      <c r="AI880" s="17" t="str">
        <f>IF(M5_Ocupacion!A85="","","M5_Ocupacion!85")</f>
        <v/>
      </c>
      <c r="AJ880" s="17" t="str">
        <f>IF(M5_Ocupacion!A85="","",IF(M5_Ocupacion!M85="","Pendiente de medición completa",IF(COUNTIFS(M5_Ocupacion!$A$10:A85,M5_Ocupacion!A85,M5_Ocupacion!$D$10:D85,M5_Ocupacion!D85)=1,"Promedio de la actividad y fecha","Observación incluida en promedio")))</f>
        <v/>
      </c>
    </row>
    <row r="881" spans="1:36" ht="55.5" customHeight="1">
      <c r="A881" s="6" t="str">
        <f t="array" ref="A881">IF(877&gt;$S$1204,"",INDEX($T$5:$AJ$1204,MATCH(877,$S$5:$S$1204,0),1))</f>
        <v/>
      </c>
      <c r="B881" s="8" t="str">
        <f t="array" ref="B881">IF(877&gt;$S$1204,"",INDEX($T$5:$AJ$1204,MATCH(877,$S$5:$S$1204,0),2))</f>
        <v/>
      </c>
      <c r="C881" s="10" t="str">
        <f t="array" ref="C881">IF(877&gt;$S$1204,"",INDEX($T$5:$AJ$1204,MATCH(877,$S$5:$S$1204,0),3))</f>
        <v/>
      </c>
      <c r="D881" s="8" t="str">
        <f t="array" ref="D881">IF(877&gt;$S$1204,"",INDEX($T$5:$AJ$1204,MATCH(877,$S$5:$S$1204,0),4))</f>
        <v/>
      </c>
      <c r="E881" s="8" t="str">
        <f t="array" ref="E881">IF(877&gt;$S$1204,"",INDEX($T$5:$AJ$1204,MATCH(877,$S$5:$S$1204,0),5))</f>
        <v/>
      </c>
      <c r="F881" s="8" t="str">
        <f t="array" ref="F881">IF(877&gt;$S$1204,"",INDEX($T$5:$AJ$1204,MATCH(877,$S$5:$S$1204,0),6))</f>
        <v/>
      </c>
      <c r="G881" s="8" t="str">
        <f t="array" ref="G881">IF(877&gt;$S$1204,"",INDEX($T$5:$AJ$1204,MATCH(877,$S$5:$S$1204,0),7))</f>
        <v/>
      </c>
      <c r="H881" s="8" t="str">
        <f t="array" ref="H881">IF(877&gt;$S$1204,"",INDEX($T$5:$AJ$1204,MATCH(877,$S$5:$S$1204,0),8))</f>
        <v/>
      </c>
      <c r="I881" s="8" t="str">
        <f t="array" ref="I881">IF(877&gt;$S$1204,"",INDEX($T$5:$AJ$1204,MATCH(877,$S$5:$S$1204,0),9))</f>
        <v/>
      </c>
      <c r="J881" s="14" t="str">
        <f t="array" ref="J881">IF(877&gt;$S$1204,"",INDEX($T$5:$AJ$1204,MATCH(877,$S$5:$S$1204,0),10))</f>
        <v/>
      </c>
      <c r="K881" s="8" t="str">
        <f t="array" ref="K881">IF(877&gt;$S$1204,"",INDEX($T$5:$AJ$1204,MATCH(877,$S$5:$S$1204,0),11))</f>
        <v/>
      </c>
      <c r="L881" s="8" t="str">
        <f t="array" ref="L881">IF(877&gt;$S$1204,"",INDEX($T$5:$AJ$1204,MATCH(877,$S$5:$S$1204,0),12))</f>
        <v/>
      </c>
      <c r="M881" s="8" t="str">
        <f t="array" ref="M881">IF(877&gt;$S$1204,"",INDEX($T$5:$AJ$1204,MATCH(877,$S$5:$S$1204,0),13))</f>
        <v/>
      </c>
      <c r="N881" s="8" t="str">
        <f t="array" ref="N881">IF(877&gt;$S$1204,"",INDEX($T$5:$AJ$1204,MATCH(877,$S$5:$S$1204,0),14))</f>
        <v/>
      </c>
      <c r="O881" s="15" t="str">
        <f t="array" ref="O881">IF(877&gt;$S$1204,"",INDEX($T$5:$AJ$1204,MATCH(877,$S$5:$S$1204,0),15))</f>
        <v/>
      </c>
      <c r="P881" s="8" t="str">
        <f t="array" ref="P881">IF(877&gt;$S$1204,"",INDEX($T$5:$AJ$1204,MATCH(877,$S$5:$S$1204,0),16))</f>
        <v/>
      </c>
      <c r="Q881" s="8" t="str">
        <f t="array" ref="Q881">IF(877&gt;$S$1204,"",INDEX($T$5:$AJ$1204,MATCH(877,$S$5:$S$1204,0),17))</f>
        <v/>
      </c>
      <c r="R881" s="17"/>
      <c r="S881" s="17">
        <f>S880+IF(M5_Ocupacion!A86="",0,1)</f>
        <v>0</v>
      </c>
      <c r="T881" s="17" t="str">
        <f>IF(M5_Ocupacion!A86="","",IF(M5_Ocupacion!A86="","",M5_Ocupacion!A86))</f>
        <v/>
      </c>
      <c r="U881" s="17" t="str">
        <f>IF(M5_Ocupacion!A86="","",IF(M5_Ocupacion!R86="","",M5_Ocupacion!R86))</f>
        <v/>
      </c>
      <c r="V881" s="17" t="str">
        <f>IF(M5_Ocupacion!A86="","",IF(M5_Ocupacion!D86="","",M5_Ocupacion!D86))</f>
        <v/>
      </c>
      <c r="W881" s="17" t="str">
        <f>IF(M5_Ocupacion!A86="","",IF(M5_Ocupacion!B86="","",M5_Ocupacion!B86))</f>
        <v/>
      </c>
      <c r="X881" s="17" t="str">
        <f>IF(M5_Ocupacion!A86="","",IF(M5_Ocupacion!C86="","",M5_Ocupacion!C86))</f>
        <v/>
      </c>
      <c r="Y881" s="17" t="str">
        <f>IF(M5_Ocupacion!A86="","",IF(M5_Ocupacion!E86="","",M5_Ocupacion!E86))</f>
        <v/>
      </c>
      <c r="Z881" s="17" t="str">
        <f>IF(M5_Ocupacion!A86="","",IF(M5_Ocupacion!F86="","",M5_Ocupacion!F86))</f>
        <v/>
      </c>
      <c r="AA881" s="17" t="str">
        <f>IF(M5_Ocupacion!A86="","","M5 Ocupación")</f>
        <v/>
      </c>
      <c r="AB881" s="17" t="str">
        <f>IF(M5_Ocupacion!A86="","",IF(M5_Ocupacion!G86="","",M5_Ocupacion!G86))</f>
        <v/>
      </c>
      <c r="AC881" s="17" t="str">
        <f>IF(M5_Ocupacion!A86="","",IF(COUNTIFS(M5_Ocupacion!$A$10:A86,M5_Ocupacion!A86,M5_Ocupacion!$D$10:D86,M5_Ocupacion!D86)=1,IF(M5_Ocupacion!M86="","",M5_Ocupacion!M86),""))</f>
        <v/>
      </c>
      <c r="AD881" s="17" t="str">
        <f>IF(M5_Ocupacion!A86="","","MO")</f>
        <v/>
      </c>
      <c r="AE881" s="17" t="str">
        <f>IF(M5_Ocupacion!A86="","",IF(M5_Ocupacion!O86="","",M5_Ocupacion!O86))</f>
        <v/>
      </c>
      <c r="AF881" s="17" t="str">
        <f>IF(M5_Ocupacion!A86="","",IF(M5_Ocupacion!P86="","",M5_Ocupacion!P86))</f>
        <v/>
      </c>
      <c r="AG881" s="17" t="str">
        <f>IF(M5_Ocupacion!A86="","",IF(M5_Ocupacion!Q86="","",M5_Ocupacion!Q86))</f>
        <v/>
      </c>
      <c r="AH881" s="17" t="str">
        <f>IF(M5_Ocupacion!A86="","",IF(M5_Ocupacion!J86="","",M5_Ocupacion!J86))</f>
        <v/>
      </c>
      <c r="AI881" s="17" t="str">
        <f>IF(M5_Ocupacion!A86="","","M5_Ocupacion!86")</f>
        <v/>
      </c>
      <c r="AJ881" s="17" t="str">
        <f>IF(M5_Ocupacion!A86="","",IF(M5_Ocupacion!M86="","Pendiente de medición completa",IF(COUNTIFS(M5_Ocupacion!$A$10:A86,M5_Ocupacion!A86,M5_Ocupacion!$D$10:D86,M5_Ocupacion!D86)=1,"Promedio de la actividad y fecha","Observación incluida en promedio")))</f>
        <v/>
      </c>
    </row>
    <row r="882" spans="1:36" ht="55.5" customHeight="1">
      <c r="A882" s="6" t="str">
        <f t="array" ref="A882">IF(878&gt;$S$1204,"",INDEX($T$5:$AJ$1204,MATCH(878,$S$5:$S$1204,0),1))</f>
        <v/>
      </c>
      <c r="B882" s="8" t="str">
        <f t="array" ref="B882">IF(878&gt;$S$1204,"",INDEX($T$5:$AJ$1204,MATCH(878,$S$5:$S$1204,0),2))</f>
        <v/>
      </c>
      <c r="C882" s="10" t="str">
        <f t="array" ref="C882">IF(878&gt;$S$1204,"",INDEX($T$5:$AJ$1204,MATCH(878,$S$5:$S$1204,0),3))</f>
        <v/>
      </c>
      <c r="D882" s="8" t="str">
        <f t="array" ref="D882">IF(878&gt;$S$1204,"",INDEX($T$5:$AJ$1204,MATCH(878,$S$5:$S$1204,0),4))</f>
        <v/>
      </c>
      <c r="E882" s="8" t="str">
        <f t="array" ref="E882">IF(878&gt;$S$1204,"",INDEX($T$5:$AJ$1204,MATCH(878,$S$5:$S$1204,0),5))</f>
        <v/>
      </c>
      <c r="F882" s="8" t="str">
        <f t="array" ref="F882">IF(878&gt;$S$1204,"",INDEX($T$5:$AJ$1204,MATCH(878,$S$5:$S$1204,0),6))</f>
        <v/>
      </c>
      <c r="G882" s="8" t="str">
        <f t="array" ref="G882">IF(878&gt;$S$1204,"",INDEX($T$5:$AJ$1204,MATCH(878,$S$5:$S$1204,0),7))</f>
        <v/>
      </c>
      <c r="H882" s="8" t="str">
        <f t="array" ref="H882">IF(878&gt;$S$1204,"",INDEX($T$5:$AJ$1204,MATCH(878,$S$5:$S$1204,0),8))</f>
        <v/>
      </c>
      <c r="I882" s="8" t="str">
        <f t="array" ref="I882">IF(878&gt;$S$1204,"",INDEX($T$5:$AJ$1204,MATCH(878,$S$5:$S$1204,0),9))</f>
        <v/>
      </c>
      <c r="J882" s="14" t="str">
        <f t="array" ref="J882">IF(878&gt;$S$1204,"",INDEX($T$5:$AJ$1204,MATCH(878,$S$5:$S$1204,0),10))</f>
        <v/>
      </c>
      <c r="K882" s="8" t="str">
        <f t="array" ref="K882">IF(878&gt;$S$1204,"",INDEX($T$5:$AJ$1204,MATCH(878,$S$5:$S$1204,0),11))</f>
        <v/>
      </c>
      <c r="L882" s="8" t="str">
        <f t="array" ref="L882">IF(878&gt;$S$1204,"",INDEX($T$5:$AJ$1204,MATCH(878,$S$5:$S$1204,0),12))</f>
        <v/>
      </c>
      <c r="M882" s="8" t="str">
        <f t="array" ref="M882">IF(878&gt;$S$1204,"",INDEX($T$5:$AJ$1204,MATCH(878,$S$5:$S$1204,0),13))</f>
        <v/>
      </c>
      <c r="N882" s="8" t="str">
        <f t="array" ref="N882">IF(878&gt;$S$1204,"",INDEX($T$5:$AJ$1204,MATCH(878,$S$5:$S$1204,0),14))</f>
        <v/>
      </c>
      <c r="O882" s="15" t="str">
        <f t="array" ref="O882">IF(878&gt;$S$1204,"",INDEX($T$5:$AJ$1204,MATCH(878,$S$5:$S$1204,0),15))</f>
        <v/>
      </c>
      <c r="P882" s="8" t="str">
        <f t="array" ref="P882">IF(878&gt;$S$1204,"",INDEX($T$5:$AJ$1204,MATCH(878,$S$5:$S$1204,0),16))</f>
        <v/>
      </c>
      <c r="Q882" s="8" t="str">
        <f t="array" ref="Q882">IF(878&gt;$S$1204,"",INDEX($T$5:$AJ$1204,MATCH(878,$S$5:$S$1204,0),17))</f>
        <v/>
      </c>
      <c r="R882" s="17"/>
      <c r="S882" s="17">
        <f>S881+IF(M5_Ocupacion!A87="",0,1)</f>
        <v>0</v>
      </c>
      <c r="T882" s="17" t="str">
        <f>IF(M5_Ocupacion!A87="","",IF(M5_Ocupacion!A87="","",M5_Ocupacion!A87))</f>
        <v/>
      </c>
      <c r="U882" s="17" t="str">
        <f>IF(M5_Ocupacion!A87="","",IF(M5_Ocupacion!R87="","",M5_Ocupacion!R87))</f>
        <v/>
      </c>
      <c r="V882" s="17" t="str">
        <f>IF(M5_Ocupacion!A87="","",IF(M5_Ocupacion!D87="","",M5_Ocupacion!D87))</f>
        <v/>
      </c>
      <c r="W882" s="17" t="str">
        <f>IF(M5_Ocupacion!A87="","",IF(M5_Ocupacion!B87="","",M5_Ocupacion!B87))</f>
        <v/>
      </c>
      <c r="X882" s="17" t="str">
        <f>IF(M5_Ocupacion!A87="","",IF(M5_Ocupacion!C87="","",M5_Ocupacion!C87))</f>
        <v/>
      </c>
      <c r="Y882" s="17" t="str">
        <f>IF(M5_Ocupacion!A87="","",IF(M5_Ocupacion!E87="","",M5_Ocupacion!E87))</f>
        <v/>
      </c>
      <c r="Z882" s="17" t="str">
        <f>IF(M5_Ocupacion!A87="","",IF(M5_Ocupacion!F87="","",M5_Ocupacion!F87))</f>
        <v/>
      </c>
      <c r="AA882" s="17" t="str">
        <f>IF(M5_Ocupacion!A87="","","M5 Ocupación")</f>
        <v/>
      </c>
      <c r="AB882" s="17" t="str">
        <f>IF(M5_Ocupacion!A87="","",IF(M5_Ocupacion!G87="","",M5_Ocupacion!G87))</f>
        <v/>
      </c>
      <c r="AC882" s="17" t="str">
        <f>IF(M5_Ocupacion!A87="","",IF(COUNTIFS(M5_Ocupacion!$A$10:A87,M5_Ocupacion!A87,M5_Ocupacion!$D$10:D87,M5_Ocupacion!D87)=1,IF(M5_Ocupacion!M87="","",M5_Ocupacion!M87),""))</f>
        <v/>
      </c>
      <c r="AD882" s="17" t="str">
        <f>IF(M5_Ocupacion!A87="","","MO")</f>
        <v/>
      </c>
      <c r="AE882" s="17" t="str">
        <f>IF(M5_Ocupacion!A87="","",IF(M5_Ocupacion!O87="","",M5_Ocupacion!O87))</f>
        <v/>
      </c>
      <c r="AF882" s="17" t="str">
        <f>IF(M5_Ocupacion!A87="","",IF(M5_Ocupacion!P87="","",M5_Ocupacion!P87))</f>
        <v/>
      </c>
      <c r="AG882" s="17" t="str">
        <f>IF(M5_Ocupacion!A87="","",IF(M5_Ocupacion!Q87="","",M5_Ocupacion!Q87))</f>
        <v/>
      </c>
      <c r="AH882" s="17" t="str">
        <f>IF(M5_Ocupacion!A87="","",IF(M5_Ocupacion!J87="","",M5_Ocupacion!J87))</f>
        <v/>
      </c>
      <c r="AI882" s="17" t="str">
        <f>IF(M5_Ocupacion!A87="","","M5_Ocupacion!87")</f>
        <v/>
      </c>
      <c r="AJ882" s="17" t="str">
        <f>IF(M5_Ocupacion!A87="","",IF(M5_Ocupacion!M87="","Pendiente de medición completa",IF(COUNTIFS(M5_Ocupacion!$A$10:A87,M5_Ocupacion!A87,M5_Ocupacion!$D$10:D87,M5_Ocupacion!D87)=1,"Promedio de la actividad y fecha","Observación incluida en promedio")))</f>
        <v/>
      </c>
    </row>
    <row r="883" spans="1:36" ht="55.5" customHeight="1">
      <c r="A883" s="6" t="str">
        <f t="array" ref="A883">IF(879&gt;$S$1204,"",INDEX($T$5:$AJ$1204,MATCH(879,$S$5:$S$1204,0),1))</f>
        <v/>
      </c>
      <c r="B883" s="8" t="str">
        <f t="array" ref="B883">IF(879&gt;$S$1204,"",INDEX($T$5:$AJ$1204,MATCH(879,$S$5:$S$1204,0),2))</f>
        <v/>
      </c>
      <c r="C883" s="10" t="str">
        <f t="array" ref="C883">IF(879&gt;$S$1204,"",INDEX($T$5:$AJ$1204,MATCH(879,$S$5:$S$1204,0),3))</f>
        <v/>
      </c>
      <c r="D883" s="8" t="str">
        <f t="array" ref="D883">IF(879&gt;$S$1204,"",INDEX($T$5:$AJ$1204,MATCH(879,$S$5:$S$1204,0),4))</f>
        <v/>
      </c>
      <c r="E883" s="8" t="str">
        <f t="array" ref="E883">IF(879&gt;$S$1204,"",INDEX($T$5:$AJ$1204,MATCH(879,$S$5:$S$1204,0),5))</f>
        <v/>
      </c>
      <c r="F883" s="8" t="str">
        <f t="array" ref="F883">IF(879&gt;$S$1204,"",INDEX($T$5:$AJ$1204,MATCH(879,$S$5:$S$1204,0),6))</f>
        <v/>
      </c>
      <c r="G883" s="8" t="str">
        <f t="array" ref="G883">IF(879&gt;$S$1204,"",INDEX($T$5:$AJ$1204,MATCH(879,$S$5:$S$1204,0),7))</f>
        <v/>
      </c>
      <c r="H883" s="8" t="str">
        <f t="array" ref="H883">IF(879&gt;$S$1204,"",INDEX($T$5:$AJ$1204,MATCH(879,$S$5:$S$1204,0),8))</f>
        <v/>
      </c>
      <c r="I883" s="8" t="str">
        <f t="array" ref="I883">IF(879&gt;$S$1204,"",INDEX($T$5:$AJ$1204,MATCH(879,$S$5:$S$1204,0),9))</f>
        <v/>
      </c>
      <c r="J883" s="14" t="str">
        <f t="array" ref="J883">IF(879&gt;$S$1204,"",INDEX($T$5:$AJ$1204,MATCH(879,$S$5:$S$1204,0),10))</f>
        <v/>
      </c>
      <c r="K883" s="8" t="str">
        <f t="array" ref="K883">IF(879&gt;$S$1204,"",INDEX($T$5:$AJ$1204,MATCH(879,$S$5:$S$1204,0),11))</f>
        <v/>
      </c>
      <c r="L883" s="8" t="str">
        <f t="array" ref="L883">IF(879&gt;$S$1204,"",INDEX($T$5:$AJ$1204,MATCH(879,$S$5:$S$1204,0),12))</f>
        <v/>
      </c>
      <c r="M883" s="8" t="str">
        <f t="array" ref="M883">IF(879&gt;$S$1204,"",INDEX($T$5:$AJ$1204,MATCH(879,$S$5:$S$1204,0),13))</f>
        <v/>
      </c>
      <c r="N883" s="8" t="str">
        <f t="array" ref="N883">IF(879&gt;$S$1204,"",INDEX($T$5:$AJ$1204,MATCH(879,$S$5:$S$1204,0),14))</f>
        <v/>
      </c>
      <c r="O883" s="15" t="str">
        <f t="array" ref="O883">IF(879&gt;$S$1204,"",INDEX($T$5:$AJ$1204,MATCH(879,$S$5:$S$1204,0),15))</f>
        <v/>
      </c>
      <c r="P883" s="8" t="str">
        <f t="array" ref="P883">IF(879&gt;$S$1204,"",INDEX($T$5:$AJ$1204,MATCH(879,$S$5:$S$1204,0),16))</f>
        <v/>
      </c>
      <c r="Q883" s="8" t="str">
        <f t="array" ref="Q883">IF(879&gt;$S$1204,"",INDEX($T$5:$AJ$1204,MATCH(879,$S$5:$S$1204,0),17))</f>
        <v/>
      </c>
      <c r="R883" s="17"/>
      <c r="S883" s="17">
        <f>S882+IF(M5_Ocupacion!A88="",0,1)</f>
        <v>0</v>
      </c>
      <c r="T883" s="17" t="str">
        <f>IF(M5_Ocupacion!A88="","",IF(M5_Ocupacion!A88="","",M5_Ocupacion!A88))</f>
        <v/>
      </c>
      <c r="U883" s="17" t="str">
        <f>IF(M5_Ocupacion!A88="","",IF(M5_Ocupacion!R88="","",M5_Ocupacion!R88))</f>
        <v/>
      </c>
      <c r="V883" s="17" t="str">
        <f>IF(M5_Ocupacion!A88="","",IF(M5_Ocupacion!D88="","",M5_Ocupacion!D88))</f>
        <v/>
      </c>
      <c r="W883" s="17" t="str">
        <f>IF(M5_Ocupacion!A88="","",IF(M5_Ocupacion!B88="","",M5_Ocupacion!B88))</f>
        <v/>
      </c>
      <c r="X883" s="17" t="str">
        <f>IF(M5_Ocupacion!A88="","",IF(M5_Ocupacion!C88="","",M5_Ocupacion!C88))</f>
        <v/>
      </c>
      <c r="Y883" s="17" t="str">
        <f>IF(M5_Ocupacion!A88="","",IF(M5_Ocupacion!E88="","",M5_Ocupacion!E88))</f>
        <v/>
      </c>
      <c r="Z883" s="17" t="str">
        <f>IF(M5_Ocupacion!A88="","",IF(M5_Ocupacion!F88="","",M5_Ocupacion!F88))</f>
        <v/>
      </c>
      <c r="AA883" s="17" t="str">
        <f>IF(M5_Ocupacion!A88="","","M5 Ocupación")</f>
        <v/>
      </c>
      <c r="AB883" s="17" t="str">
        <f>IF(M5_Ocupacion!A88="","",IF(M5_Ocupacion!G88="","",M5_Ocupacion!G88))</f>
        <v/>
      </c>
      <c r="AC883" s="17" t="str">
        <f>IF(M5_Ocupacion!A88="","",IF(COUNTIFS(M5_Ocupacion!$A$10:A88,M5_Ocupacion!A88,M5_Ocupacion!$D$10:D88,M5_Ocupacion!D88)=1,IF(M5_Ocupacion!M88="","",M5_Ocupacion!M88),""))</f>
        <v/>
      </c>
      <c r="AD883" s="17" t="str">
        <f>IF(M5_Ocupacion!A88="","","MO")</f>
        <v/>
      </c>
      <c r="AE883" s="17" t="str">
        <f>IF(M5_Ocupacion!A88="","",IF(M5_Ocupacion!O88="","",M5_Ocupacion!O88))</f>
        <v/>
      </c>
      <c r="AF883" s="17" t="str">
        <f>IF(M5_Ocupacion!A88="","",IF(M5_Ocupacion!P88="","",M5_Ocupacion!P88))</f>
        <v/>
      </c>
      <c r="AG883" s="17" t="str">
        <f>IF(M5_Ocupacion!A88="","",IF(M5_Ocupacion!Q88="","",M5_Ocupacion!Q88))</f>
        <v/>
      </c>
      <c r="AH883" s="17" t="str">
        <f>IF(M5_Ocupacion!A88="","",IF(M5_Ocupacion!J88="","",M5_Ocupacion!J88))</f>
        <v/>
      </c>
      <c r="AI883" s="17" t="str">
        <f>IF(M5_Ocupacion!A88="","","M5_Ocupacion!88")</f>
        <v/>
      </c>
      <c r="AJ883" s="17" t="str">
        <f>IF(M5_Ocupacion!A88="","",IF(M5_Ocupacion!M88="","Pendiente de medición completa",IF(COUNTIFS(M5_Ocupacion!$A$10:A88,M5_Ocupacion!A88,M5_Ocupacion!$D$10:D88,M5_Ocupacion!D88)=1,"Promedio de la actividad y fecha","Observación incluida en promedio")))</f>
        <v/>
      </c>
    </row>
    <row r="884" spans="1:36" ht="55.5" customHeight="1">
      <c r="A884" s="6" t="str">
        <f t="array" ref="A884">IF(880&gt;$S$1204,"",INDEX($T$5:$AJ$1204,MATCH(880,$S$5:$S$1204,0),1))</f>
        <v/>
      </c>
      <c r="B884" s="8" t="str">
        <f t="array" ref="B884">IF(880&gt;$S$1204,"",INDEX($T$5:$AJ$1204,MATCH(880,$S$5:$S$1204,0),2))</f>
        <v/>
      </c>
      <c r="C884" s="10" t="str">
        <f t="array" ref="C884">IF(880&gt;$S$1204,"",INDEX($T$5:$AJ$1204,MATCH(880,$S$5:$S$1204,0),3))</f>
        <v/>
      </c>
      <c r="D884" s="8" t="str">
        <f t="array" ref="D884">IF(880&gt;$S$1204,"",INDEX($T$5:$AJ$1204,MATCH(880,$S$5:$S$1204,0),4))</f>
        <v/>
      </c>
      <c r="E884" s="8" t="str">
        <f t="array" ref="E884">IF(880&gt;$S$1204,"",INDEX($T$5:$AJ$1204,MATCH(880,$S$5:$S$1204,0),5))</f>
        <v/>
      </c>
      <c r="F884" s="8" t="str">
        <f t="array" ref="F884">IF(880&gt;$S$1204,"",INDEX($T$5:$AJ$1204,MATCH(880,$S$5:$S$1204,0),6))</f>
        <v/>
      </c>
      <c r="G884" s="8" t="str">
        <f t="array" ref="G884">IF(880&gt;$S$1204,"",INDEX($T$5:$AJ$1204,MATCH(880,$S$5:$S$1204,0),7))</f>
        <v/>
      </c>
      <c r="H884" s="8" t="str">
        <f t="array" ref="H884">IF(880&gt;$S$1204,"",INDEX($T$5:$AJ$1204,MATCH(880,$S$5:$S$1204,0),8))</f>
        <v/>
      </c>
      <c r="I884" s="8" t="str">
        <f t="array" ref="I884">IF(880&gt;$S$1204,"",INDEX($T$5:$AJ$1204,MATCH(880,$S$5:$S$1204,0),9))</f>
        <v/>
      </c>
      <c r="J884" s="14" t="str">
        <f t="array" ref="J884">IF(880&gt;$S$1204,"",INDEX($T$5:$AJ$1204,MATCH(880,$S$5:$S$1204,0),10))</f>
        <v/>
      </c>
      <c r="K884" s="8" t="str">
        <f t="array" ref="K884">IF(880&gt;$S$1204,"",INDEX($T$5:$AJ$1204,MATCH(880,$S$5:$S$1204,0),11))</f>
        <v/>
      </c>
      <c r="L884" s="8" t="str">
        <f t="array" ref="L884">IF(880&gt;$S$1204,"",INDEX($T$5:$AJ$1204,MATCH(880,$S$5:$S$1204,0),12))</f>
        <v/>
      </c>
      <c r="M884" s="8" t="str">
        <f t="array" ref="M884">IF(880&gt;$S$1204,"",INDEX($T$5:$AJ$1204,MATCH(880,$S$5:$S$1204,0),13))</f>
        <v/>
      </c>
      <c r="N884" s="8" t="str">
        <f t="array" ref="N884">IF(880&gt;$S$1204,"",INDEX($T$5:$AJ$1204,MATCH(880,$S$5:$S$1204,0),14))</f>
        <v/>
      </c>
      <c r="O884" s="15" t="str">
        <f t="array" ref="O884">IF(880&gt;$S$1204,"",INDEX($T$5:$AJ$1204,MATCH(880,$S$5:$S$1204,0),15))</f>
        <v/>
      </c>
      <c r="P884" s="8" t="str">
        <f t="array" ref="P884">IF(880&gt;$S$1204,"",INDEX($T$5:$AJ$1204,MATCH(880,$S$5:$S$1204,0),16))</f>
        <v/>
      </c>
      <c r="Q884" s="8" t="str">
        <f t="array" ref="Q884">IF(880&gt;$S$1204,"",INDEX($T$5:$AJ$1204,MATCH(880,$S$5:$S$1204,0),17))</f>
        <v/>
      </c>
      <c r="R884" s="17"/>
      <c r="S884" s="17">
        <f>S883+IF(M5_Ocupacion!A89="",0,1)</f>
        <v>0</v>
      </c>
      <c r="T884" s="17" t="str">
        <f>IF(M5_Ocupacion!A89="","",IF(M5_Ocupacion!A89="","",M5_Ocupacion!A89))</f>
        <v/>
      </c>
      <c r="U884" s="17" t="str">
        <f>IF(M5_Ocupacion!A89="","",IF(M5_Ocupacion!R89="","",M5_Ocupacion!R89))</f>
        <v/>
      </c>
      <c r="V884" s="17" t="str">
        <f>IF(M5_Ocupacion!A89="","",IF(M5_Ocupacion!D89="","",M5_Ocupacion!D89))</f>
        <v/>
      </c>
      <c r="W884" s="17" t="str">
        <f>IF(M5_Ocupacion!A89="","",IF(M5_Ocupacion!B89="","",M5_Ocupacion!B89))</f>
        <v/>
      </c>
      <c r="X884" s="17" t="str">
        <f>IF(M5_Ocupacion!A89="","",IF(M5_Ocupacion!C89="","",M5_Ocupacion!C89))</f>
        <v/>
      </c>
      <c r="Y884" s="17" t="str">
        <f>IF(M5_Ocupacion!A89="","",IF(M5_Ocupacion!E89="","",M5_Ocupacion!E89))</f>
        <v/>
      </c>
      <c r="Z884" s="17" t="str">
        <f>IF(M5_Ocupacion!A89="","",IF(M5_Ocupacion!F89="","",M5_Ocupacion!F89))</f>
        <v/>
      </c>
      <c r="AA884" s="17" t="str">
        <f>IF(M5_Ocupacion!A89="","","M5 Ocupación")</f>
        <v/>
      </c>
      <c r="AB884" s="17" t="str">
        <f>IF(M5_Ocupacion!A89="","",IF(M5_Ocupacion!G89="","",M5_Ocupacion!G89))</f>
        <v/>
      </c>
      <c r="AC884" s="17" t="str">
        <f>IF(M5_Ocupacion!A89="","",IF(COUNTIFS(M5_Ocupacion!$A$10:A89,M5_Ocupacion!A89,M5_Ocupacion!$D$10:D89,M5_Ocupacion!D89)=1,IF(M5_Ocupacion!M89="","",M5_Ocupacion!M89),""))</f>
        <v/>
      </c>
      <c r="AD884" s="17" t="str">
        <f>IF(M5_Ocupacion!A89="","","MO")</f>
        <v/>
      </c>
      <c r="AE884" s="17" t="str">
        <f>IF(M5_Ocupacion!A89="","",IF(M5_Ocupacion!O89="","",M5_Ocupacion!O89))</f>
        <v/>
      </c>
      <c r="AF884" s="17" t="str">
        <f>IF(M5_Ocupacion!A89="","",IF(M5_Ocupacion!P89="","",M5_Ocupacion!P89))</f>
        <v/>
      </c>
      <c r="AG884" s="17" t="str">
        <f>IF(M5_Ocupacion!A89="","",IF(M5_Ocupacion!Q89="","",M5_Ocupacion!Q89))</f>
        <v/>
      </c>
      <c r="AH884" s="17" t="str">
        <f>IF(M5_Ocupacion!A89="","",IF(M5_Ocupacion!J89="","",M5_Ocupacion!J89))</f>
        <v/>
      </c>
      <c r="AI884" s="17" t="str">
        <f>IF(M5_Ocupacion!A89="","","M5_Ocupacion!89")</f>
        <v/>
      </c>
      <c r="AJ884" s="17" t="str">
        <f>IF(M5_Ocupacion!A89="","",IF(M5_Ocupacion!M89="","Pendiente de medición completa",IF(COUNTIFS(M5_Ocupacion!$A$10:A89,M5_Ocupacion!A89,M5_Ocupacion!$D$10:D89,M5_Ocupacion!D89)=1,"Promedio de la actividad y fecha","Observación incluida en promedio")))</f>
        <v/>
      </c>
    </row>
    <row r="885" spans="1:36" ht="55.5" customHeight="1">
      <c r="A885" s="6" t="str">
        <f t="array" ref="A885">IF(881&gt;$S$1204,"",INDEX($T$5:$AJ$1204,MATCH(881,$S$5:$S$1204,0),1))</f>
        <v/>
      </c>
      <c r="B885" s="8" t="str">
        <f t="array" ref="B885">IF(881&gt;$S$1204,"",INDEX($T$5:$AJ$1204,MATCH(881,$S$5:$S$1204,0),2))</f>
        <v/>
      </c>
      <c r="C885" s="10" t="str">
        <f t="array" ref="C885">IF(881&gt;$S$1204,"",INDEX($T$5:$AJ$1204,MATCH(881,$S$5:$S$1204,0),3))</f>
        <v/>
      </c>
      <c r="D885" s="8" t="str">
        <f t="array" ref="D885">IF(881&gt;$S$1204,"",INDEX($T$5:$AJ$1204,MATCH(881,$S$5:$S$1204,0),4))</f>
        <v/>
      </c>
      <c r="E885" s="8" t="str">
        <f t="array" ref="E885">IF(881&gt;$S$1204,"",INDEX($T$5:$AJ$1204,MATCH(881,$S$5:$S$1204,0),5))</f>
        <v/>
      </c>
      <c r="F885" s="8" t="str">
        <f t="array" ref="F885">IF(881&gt;$S$1204,"",INDEX($T$5:$AJ$1204,MATCH(881,$S$5:$S$1204,0),6))</f>
        <v/>
      </c>
      <c r="G885" s="8" t="str">
        <f t="array" ref="G885">IF(881&gt;$S$1204,"",INDEX($T$5:$AJ$1204,MATCH(881,$S$5:$S$1204,0),7))</f>
        <v/>
      </c>
      <c r="H885" s="8" t="str">
        <f t="array" ref="H885">IF(881&gt;$S$1204,"",INDEX($T$5:$AJ$1204,MATCH(881,$S$5:$S$1204,0),8))</f>
        <v/>
      </c>
      <c r="I885" s="8" t="str">
        <f t="array" ref="I885">IF(881&gt;$S$1204,"",INDEX($T$5:$AJ$1204,MATCH(881,$S$5:$S$1204,0),9))</f>
        <v/>
      </c>
      <c r="J885" s="14" t="str">
        <f t="array" ref="J885">IF(881&gt;$S$1204,"",INDEX($T$5:$AJ$1204,MATCH(881,$S$5:$S$1204,0),10))</f>
        <v/>
      </c>
      <c r="K885" s="8" t="str">
        <f t="array" ref="K885">IF(881&gt;$S$1204,"",INDEX($T$5:$AJ$1204,MATCH(881,$S$5:$S$1204,0),11))</f>
        <v/>
      </c>
      <c r="L885" s="8" t="str">
        <f t="array" ref="L885">IF(881&gt;$S$1204,"",INDEX($T$5:$AJ$1204,MATCH(881,$S$5:$S$1204,0),12))</f>
        <v/>
      </c>
      <c r="M885" s="8" t="str">
        <f t="array" ref="M885">IF(881&gt;$S$1204,"",INDEX($T$5:$AJ$1204,MATCH(881,$S$5:$S$1204,0),13))</f>
        <v/>
      </c>
      <c r="N885" s="8" t="str">
        <f t="array" ref="N885">IF(881&gt;$S$1204,"",INDEX($T$5:$AJ$1204,MATCH(881,$S$5:$S$1204,0),14))</f>
        <v/>
      </c>
      <c r="O885" s="15" t="str">
        <f t="array" ref="O885">IF(881&gt;$S$1204,"",INDEX($T$5:$AJ$1204,MATCH(881,$S$5:$S$1204,0),15))</f>
        <v/>
      </c>
      <c r="P885" s="8" t="str">
        <f t="array" ref="P885">IF(881&gt;$S$1204,"",INDEX($T$5:$AJ$1204,MATCH(881,$S$5:$S$1204,0),16))</f>
        <v/>
      </c>
      <c r="Q885" s="8" t="str">
        <f t="array" ref="Q885">IF(881&gt;$S$1204,"",INDEX($T$5:$AJ$1204,MATCH(881,$S$5:$S$1204,0),17))</f>
        <v/>
      </c>
      <c r="R885" s="17"/>
      <c r="S885" s="17">
        <f>S884+IF(M5_Ocupacion!A90="",0,1)</f>
        <v>0</v>
      </c>
      <c r="T885" s="17" t="str">
        <f>IF(M5_Ocupacion!A90="","",IF(M5_Ocupacion!A90="","",M5_Ocupacion!A90))</f>
        <v/>
      </c>
      <c r="U885" s="17" t="str">
        <f>IF(M5_Ocupacion!A90="","",IF(M5_Ocupacion!R90="","",M5_Ocupacion!R90))</f>
        <v/>
      </c>
      <c r="V885" s="17" t="str">
        <f>IF(M5_Ocupacion!A90="","",IF(M5_Ocupacion!D90="","",M5_Ocupacion!D90))</f>
        <v/>
      </c>
      <c r="W885" s="17" t="str">
        <f>IF(M5_Ocupacion!A90="","",IF(M5_Ocupacion!B90="","",M5_Ocupacion!B90))</f>
        <v/>
      </c>
      <c r="X885" s="17" t="str">
        <f>IF(M5_Ocupacion!A90="","",IF(M5_Ocupacion!C90="","",M5_Ocupacion!C90))</f>
        <v/>
      </c>
      <c r="Y885" s="17" t="str">
        <f>IF(M5_Ocupacion!A90="","",IF(M5_Ocupacion!E90="","",M5_Ocupacion!E90))</f>
        <v/>
      </c>
      <c r="Z885" s="17" t="str">
        <f>IF(M5_Ocupacion!A90="","",IF(M5_Ocupacion!F90="","",M5_Ocupacion!F90))</f>
        <v/>
      </c>
      <c r="AA885" s="17" t="str">
        <f>IF(M5_Ocupacion!A90="","","M5 Ocupación")</f>
        <v/>
      </c>
      <c r="AB885" s="17" t="str">
        <f>IF(M5_Ocupacion!A90="","",IF(M5_Ocupacion!G90="","",M5_Ocupacion!G90))</f>
        <v/>
      </c>
      <c r="AC885" s="17" t="str">
        <f>IF(M5_Ocupacion!A90="","",IF(COUNTIFS(M5_Ocupacion!$A$10:A90,M5_Ocupacion!A90,M5_Ocupacion!$D$10:D90,M5_Ocupacion!D90)=1,IF(M5_Ocupacion!M90="","",M5_Ocupacion!M90),""))</f>
        <v/>
      </c>
      <c r="AD885" s="17" t="str">
        <f>IF(M5_Ocupacion!A90="","","MO")</f>
        <v/>
      </c>
      <c r="AE885" s="17" t="str">
        <f>IF(M5_Ocupacion!A90="","",IF(M5_Ocupacion!O90="","",M5_Ocupacion!O90))</f>
        <v/>
      </c>
      <c r="AF885" s="17" t="str">
        <f>IF(M5_Ocupacion!A90="","",IF(M5_Ocupacion!P90="","",M5_Ocupacion!P90))</f>
        <v/>
      </c>
      <c r="AG885" s="17" t="str">
        <f>IF(M5_Ocupacion!A90="","",IF(M5_Ocupacion!Q90="","",M5_Ocupacion!Q90))</f>
        <v/>
      </c>
      <c r="AH885" s="17" t="str">
        <f>IF(M5_Ocupacion!A90="","",IF(M5_Ocupacion!J90="","",M5_Ocupacion!J90))</f>
        <v/>
      </c>
      <c r="AI885" s="17" t="str">
        <f>IF(M5_Ocupacion!A90="","","M5_Ocupacion!90")</f>
        <v/>
      </c>
      <c r="AJ885" s="17" t="str">
        <f>IF(M5_Ocupacion!A90="","",IF(M5_Ocupacion!M90="","Pendiente de medición completa",IF(COUNTIFS(M5_Ocupacion!$A$10:A90,M5_Ocupacion!A90,M5_Ocupacion!$D$10:D90,M5_Ocupacion!D90)=1,"Promedio de la actividad y fecha","Observación incluida en promedio")))</f>
        <v/>
      </c>
    </row>
    <row r="886" spans="1:36" ht="55.5" customHeight="1">
      <c r="A886" s="6" t="str">
        <f t="array" ref="A886">IF(882&gt;$S$1204,"",INDEX($T$5:$AJ$1204,MATCH(882,$S$5:$S$1204,0),1))</f>
        <v/>
      </c>
      <c r="B886" s="8" t="str">
        <f t="array" ref="B886">IF(882&gt;$S$1204,"",INDEX($T$5:$AJ$1204,MATCH(882,$S$5:$S$1204,0),2))</f>
        <v/>
      </c>
      <c r="C886" s="10" t="str">
        <f t="array" ref="C886">IF(882&gt;$S$1204,"",INDEX($T$5:$AJ$1204,MATCH(882,$S$5:$S$1204,0),3))</f>
        <v/>
      </c>
      <c r="D886" s="8" t="str">
        <f t="array" ref="D886">IF(882&gt;$S$1204,"",INDEX($T$5:$AJ$1204,MATCH(882,$S$5:$S$1204,0),4))</f>
        <v/>
      </c>
      <c r="E886" s="8" t="str">
        <f t="array" ref="E886">IF(882&gt;$S$1204,"",INDEX($T$5:$AJ$1204,MATCH(882,$S$5:$S$1204,0),5))</f>
        <v/>
      </c>
      <c r="F886" s="8" t="str">
        <f t="array" ref="F886">IF(882&gt;$S$1204,"",INDEX($T$5:$AJ$1204,MATCH(882,$S$5:$S$1204,0),6))</f>
        <v/>
      </c>
      <c r="G886" s="8" t="str">
        <f t="array" ref="G886">IF(882&gt;$S$1204,"",INDEX($T$5:$AJ$1204,MATCH(882,$S$5:$S$1204,0),7))</f>
        <v/>
      </c>
      <c r="H886" s="8" t="str">
        <f t="array" ref="H886">IF(882&gt;$S$1204,"",INDEX($T$5:$AJ$1204,MATCH(882,$S$5:$S$1204,0),8))</f>
        <v/>
      </c>
      <c r="I886" s="8" t="str">
        <f t="array" ref="I886">IF(882&gt;$S$1204,"",INDEX($T$5:$AJ$1204,MATCH(882,$S$5:$S$1204,0),9))</f>
        <v/>
      </c>
      <c r="J886" s="14" t="str">
        <f t="array" ref="J886">IF(882&gt;$S$1204,"",INDEX($T$5:$AJ$1204,MATCH(882,$S$5:$S$1204,0),10))</f>
        <v/>
      </c>
      <c r="K886" s="8" t="str">
        <f t="array" ref="K886">IF(882&gt;$S$1204,"",INDEX($T$5:$AJ$1204,MATCH(882,$S$5:$S$1204,0),11))</f>
        <v/>
      </c>
      <c r="L886" s="8" t="str">
        <f t="array" ref="L886">IF(882&gt;$S$1204,"",INDEX($T$5:$AJ$1204,MATCH(882,$S$5:$S$1204,0),12))</f>
        <v/>
      </c>
      <c r="M886" s="8" t="str">
        <f t="array" ref="M886">IF(882&gt;$S$1204,"",INDEX($T$5:$AJ$1204,MATCH(882,$S$5:$S$1204,0),13))</f>
        <v/>
      </c>
      <c r="N886" s="8" t="str">
        <f t="array" ref="N886">IF(882&gt;$S$1204,"",INDEX($T$5:$AJ$1204,MATCH(882,$S$5:$S$1204,0),14))</f>
        <v/>
      </c>
      <c r="O886" s="15" t="str">
        <f t="array" ref="O886">IF(882&gt;$S$1204,"",INDEX($T$5:$AJ$1204,MATCH(882,$S$5:$S$1204,0),15))</f>
        <v/>
      </c>
      <c r="P886" s="8" t="str">
        <f t="array" ref="P886">IF(882&gt;$S$1204,"",INDEX($T$5:$AJ$1204,MATCH(882,$S$5:$S$1204,0),16))</f>
        <v/>
      </c>
      <c r="Q886" s="8" t="str">
        <f t="array" ref="Q886">IF(882&gt;$S$1204,"",INDEX($T$5:$AJ$1204,MATCH(882,$S$5:$S$1204,0),17))</f>
        <v/>
      </c>
      <c r="R886" s="17"/>
      <c r="S886" s="17">
        <f>S885+IF(M5_Ocupacion!A91="",0,1)</f>
        <v>0</v>
      </c>
      <c r="T886" s="17" t="str">
        <f>IF(M5_Ocupacion!A91="","",IF(M5_Ocupacion!A91="","",M5_Ocupacion!A91))</f>
        <v/>
      </c>
      <c r="U886" s="17" t="str">
        <f>IF(M5_Ocupacion!A91="","",IF(M5_Ocupacion!R91="","",M5_Ocupacion!R91))</f>
        <v/>
      </c>
      <c r="V886" s="17" t="str">
        <f>IF(M5_Ocupacion!A91="","",IF(M5_Ocupacion!D91="","",M5_Ocupacion!D91))</f>
        <v/>
      </c>
      <c r="W886" s="17" t="str">
        <f>IF(M5_Ocupacion!A91="","",IF(M5_Ocupacion!B91="","",M5_Ocupacion!B91))</f>
        <v/>
      </c>
      <c r="X886" s="17" t="str">
        <f>IF(M5_Ocupacion!A91="","",IF(M5_Ocupacion!C91="","",M5_Ocupacion!C91))</f>
        <v/>
      </c>
      <c r="Y886" s="17" t="str">
        <f>IF(M5_Ocupacion!A91="","",IF(M5_Ocupacion!E91="","",M5_Ocupacion!E91))</f>
        <v/>
      </c>
      <c r="Z886" s="17" t="str">
        <f>IF(M5_Ocupacion!A91="","",IF(M5_Ocupacion!F91="","",M5_Ocupacion!F91))</f>
        <v/>
      </c>
      <c r="AA886" s="17" t="str">
        <f>IF(M5_Ocupacion!A91="","","M5 Ocupación")</f>
        <v/>
      </c>
      <c r="AB886" s="17" t="str">
        <f>IF(M5_Ocupacion!A91="","",IF(M5_Ocupacion!G91="","",M5_Ocupacion!G91))</f>
        <v/>
      </c>
      <c r="AC886" s="17" t="str">
        <f>IF(M5_Ocupacion!A91="","",IF(COUNTIFS(M5_Ocupacion!$A$10:A91,M5_Ocupacion!A91,M5_Ocupacion!$D$10:D91,M5_Ocupacion!D91)=1,IF(M5_Ocupacion!M91="","",M5_Ocupacion!M91),""))</f>
        <v/>
      </c>
      <c r="AD886" s="17" t="str">
        <f>IF(M5_Ocupacion!A91="","","MO")</f>
        <v/>
      </c>
      <c r="AE886" s="17" t="str">
        <f>IF(M5_Ocupacion!A91="","",IF(M5_Ocupacion!O91="","",M5_Ocupacion!O91))</f>
        <v/>
      </c>
      <c r="AF886" s="17" t="str">
        <f>IF(M5_Ocupacion!A91="","",IF(M5_Ocupacion!P91="","",M5_Ocupacion!P91))</f>
        <v/>
      </c>
      <c r="AG886" s="17" t="str">
        <f>IF(M5_Ocupacion!A91="","",IF(M5_Ocupacion!Q91="","",M5_Ocupacion!Q91))</f>
        <v/>
      </c>
      <c r="AH886" s="17" t="str">
        <f>IF(M5_Ocupacion!A91="","",IF(M5_Ocupacion!J91="","",M5_Ocupacion!J91))</f>
        <v/>
      </c>
      <c r="AI886" s="17" t="str">
        <f>IF(M5_Ocupacion!A91="","","M5_Ocupacion!91")</f>
        <v/>
      </c>
      <c r="AJ886" s="17" t="str">
        <f>IF(M5_Ocupacion!A91="","",IF(M5_Ocupacion!M91="","Pendiente de medición completa",IF(COUNTIFS(M5_Ocupacion!$A$10:A91,M5_Ocupacion!A91,M5_Ocupacion!$D$10:D91,M5_Ocupacion!D91)=1,"Promedio de la actividad y fecha","Observación incluida en promedio")))</f>
        <v/>
      </c>
    </row>
    <row r="887" spans="1:36" ht="55.5" customHeight="1">
      <c r="A887" s="6" t="str">
        <f t="array" ref="A887">IF(883&gt;$S$1204,"",INDEX($T$5:$AJ$1204,MATCH(883,$S$5:$S$1204,0),1))</f>
        <v/>
      </c>
      <c r="B887" s="8" t="str">
        <f t="array" ref="B887">IF(883&gt;$S$1204,"",INDEX($T$5:$AJ$1204,MATCH(883,$S$5:$S$1204,0),2))</f>
        <v/>
      </c>
      <c r="C887" s="10" t="str">
        <f t="array" ref="C887">IF(883&gt;$S$1204,"",INDEX($T$5:$AJ$1204,MATCH(883,$S$5:$S$1204,0),3))</f>
        <v/>
      </c>
      <c r="D887" s="8" t="str">
        <f t="array" ref="D887">IF(883&gt;$S$1204,"",INDEX($T$5:$AJ$1204,MATCH(883,$S$5:$S$1204,0),4))</f>
        <v/>
      </c>
      <c r="E887" s="8" t="str">
        <f t="array" ref="E887">IF(883&gt;$S$1204,"",INDEX($T$5:$AJ$1204,MATCH(883,$S$5:$S$1204,0),5))</f>
        <v/>
      </c>
      <c r="F887" s="8" t="str">
        <f t="array" ref="F887">IF(883&gt;$S$1204,"",INDEX($T$5:$AJ$1204,MATCH(883,$S$5:$S$1204,0),6))</f>
        <v/>
      </c>
      <c r="G887" s="8" t="str">
        <f t="array" ref="G887">IF(883&gt;$S$1204,"",INDEX($T$5:$AJ$1204,MATCH(883,$S$5:$S$1204,0),7))</f>
        <v/>
      </c>
      <c r="H887" s="8" t="str">
        <f t="array" ref="H887">IF(883&gt;$S$1204,"",INDEX($T$5:$AJ$1204,MATCH(883,$S$5:$S$1204,0),8))</f>
        <v/>
      </c>
      <c r="I887" s="8" t="str">
        <f t="array" ref="I887">IF(883&gt;$S$1204,"",INDEX($T$5:$AJ$1204,MATCH(883,$S$5:$S$1204,0),9))</f>
        <v/>
      </c>
      <c r="J887" s="14" t="str">
        <f t="array" ref="J887">IF(883&gt;$S$1204,"",INDEX($T$5:$AJ$1204,MATCH(883,$S$5:$S$1204,0),10))</f>
        <v/>
      </c>
      <c r="K887" s="8" t="str">
        <f t="array" ref="K887">IF(883&gt;$S$1204,"",INDEX($T$5:$AJ$1204,MATCH(883,$S$5:$S$1204,0),11))</f>
        <v/>
      </c>
      <c r="L887" s="8" t="str">
        <f t="array" ref="L887">IF(883&gt;$S$1204,"",INDEX($T$5:$AJ$1204,MATCH(883,$S$5:$S$1204,0),12))</f>
        <v/>
      </c>
      <c r="M887" s="8" t="str">
        <f t="array" ref="M887">IF(883&gt;$S$1204,"",INDEX($T$5:$AJ$1204,MATCH(883,$S$5:$S$1204,0),13))</f>
        <v/>
      </c>
      <c r="N887" s="8" t="str">
        <f t="array" ref="N887">IF(883&gt;$S$1204,"",INDEX($T$5:$AJ$1204,MATCH(883,$S$5:$S$1204,0),14))</f>
        <v/>
      </c>
      <c r="O887" s="15" t="str">
        <f t="array" ref="O887">IF(883&gt;$S$1204,"",INDEX($T$5:$AJ$1204,MATCH(883,$S$5:$S$1204,0),15))</f>
        <v/>
      </c>
      <c r="P887" s="8" t="str">
        <f t="array" ref="P887">IF(883&gt;$S$1204,"",INDEX($T$5:$AJ$1204,MATCH(883,$S$5:$S$1204,0),16))</f>
        <v/>
      </c>
      <c r="Q887" s="8" t="str">
        <f t="array" ref="Q887">IF(883&gt;$S$1204,"",INDEX($T$5:$AJ$1204,MATCH(883,$S$5:$S$1204,0),17))</f>
        <v/>
      </c>
      <c r="R887" s="17"/>
      <c r="S887" s="17">
        <f>S886+IF(M5_Ocupacion!A92="",0,1)</f>
        <v>0</v>
      </c>
      <c r="T887" s="17" t="str">
        <f>IF(M5_Ocupacion!A92="","",IF(M5_Ocupacion!A92="","",M5_Ocupacion!A92))</f>
        <v/>
      </c>
      <c r="U887" s="17" t="str">
        <f>IF(M5_Ocupacion!A92="","",IF(M5_Ocupacion!R92="","",M5_Ocupacion!R92))</f>
        <v/>
      </c>
      <c r="V887" s="17" t="str">
        <f>IF(M5_Ocupacion!A92="","",IF(M5_Ocupacion!D92="","",M5_Ocupacion!D92))</f>
        <v/>
      </c>
      <c r="W887" s="17" t="str">
        <f>IF(M5_Ocupacion!A92="","",IF(M5_Ocupacion!B92="","",M5_Ocupacion!B92))</f>
        <v/>
      </c>
      <c r="X887" s="17" t="str">
        <f>IF(M5_Ocupacion!A92="","",IF(M5_Ocupacion!C92="","",M5_Ocupacion!C92))</f>
        <v/>
      </c>
      <c r="Y887" s="17" t="str">
        <f>IF(M5_Ocupacion!A92="","",IF(M5_Ocupacion!E92="","",M5_Ocupacion!E92))</f>
        <v/>
      </c>
      <c r="Z887" s="17" t="str">
        <f>IF(M5_Ocupacion!A92="","",IF(M5_Ocupacion!F92="","",M5_Ocupacion!F92))</f>
        <v/>
      </c>
      <c r="AA887" s="17" t="str">
        <f>IF(M5_Ocupacion!A92="","","M5 Ocupación")</f>
        <v/>
      </c>
      <c r="AB887" s="17" t="str">
        <f>IF(M5_Ocupacion!A92="","",IF(M5_Ocupacion!G92="","",M5_Ocupacion!G92))</f>
        <v/>
      </c>
      <c r="AC887" s="17" t="str">
        <f>IF(M5_Ocupacion!A92="","",IF(COUNTIFS(M5_Ocupacion!$A$10:A92,M5_Ocupacion!A92,M5_Ocupacion!$D$10:D92,M5_Ocupacion!D92)=1,IF(M5_Ocupacion!M92="","",M5_Ocupacion!M92),""))</f>
        <v/>
      </c>
      <c r="AD887" s="17" t="str">
        <f>IF(M5_Ocupacion!A92="","","MO")</f>
        <v/>
      </c>
      <c r="AE887" s="17" t="str">
        <f>IF(M5_Ocupacion!A92="","",IF(M5_Ocupacion!O92="","",M5_Ocupacion!O92))</f>
        <v/>
      </c>
      <c r="AF887" s="17" t="str">
        <f>IF(M5_Ocupacion!A92="","",IF(M5_Ocupacion!P92="","",M5_Ocupacion!P92))</f>
        <v/>
      </c>
      <c r="AG887" s="17" t="str">
        <f>IF(M5_Ocupacion!A92="","",IF(M5_Ocupacion!Q92="","",M5_Ocupacion!Q92))</f>
        <v/>
      </c>
      <c r="AH887" s="17" t="str">
        <f>IF(M5_Ocupacion!A92="","",IF(M5_Ocupacion!J92="","",M5_Ocupacion!J92))</f>
        <v/>
      </c>
      <c r="AI887" s="17" t="str">
        <f>IF(M5_Ocupacion!A92="","","M5_Ocupacion!92")</f>
        <v/>
      </c>
      <c r="AJ887" s="17" t="str">
        <f>IF(M5_Ocupacion!A92="","",IF(M5_Ocupacion!M92="","Pendiente de medición completa",IF(COUNTIFS(M5_Ocupacion!$A$10:A92,M5_Ocupacion!A92,M5_Ocupacion!$D$10:D92,M5_Ocupacion!D92)=1,"Promedio de la actividad y fecha","Observación incluida en promedio")))</f>
        <v/>
      </c>
    </row>
    <row r="888" spans="1:36" ht="55.5" customHeight="1">
      <c r="A888" s="6" t="str">
        <f t="array" ref="A888">IF(884&gt;$S$1204,"",INDEX($T$5:$AJ$1204,MATCH(884,$S$5:$S$1204,0),1))</f>
        <v/>
      </c>
      <c r="B888" s="8" t="str">
        <f t="array" ref="B888">IF(884&gt;$S$1204,"",INDEX($T$5:$AJ$1204,MATCH(884,$S$5:$S$1204,0),2))</f>
        <v/>
      </c>
      <c r="C888" s="10" t="str">
        <f t="array" ref="C888">IF(884&gt;$S$1204,"",INDEX($T$5:$AJ$1204,MATCH(884,$S$5:$S$1204,0),3))</f>
        <v/>
      </c>
      <c r="D888" s="8" t="str">
        <f t="array" ref="D888">IF(884&gt;$S$1204,"",INDEX($T$5:$AJ$1204,MATCH(884,$S$5:$S$1204,0),4))</f>
        <v/>
      </c>
      <c r="E888" s="8" t="str">
        <f t="array" ref="E888">IF(884&gt;$S$1204,"",INDEX($T$5:$AJ$1204,MATCH(884,$S$5:$S$1204,0),5))</f>
        <v/>
      </c>
      <c r="F888" s="8" t="str">
        <f t="array" ref="F888">IF(884&gt;$S$1204,"",INDEX($T$5:$AJ$1204,MATCH(884,$S$5:$S$1204,0),6))</f>
        <v/>
      </c>
      <c r="G888" s="8" t="str">
        <f t="array" ref="G888">IF(884&gt;$S$1204,"",INDEX($T$5:$AJ$1204,MATCH(884,$S$5:$S$1204,0),7))</f>
        <v/>
      </c>
      <c r="H888" s="8" t="str">
        <f t="array" ref="H888">IF(884&gt;$S$1204,"",INDEX($T$5:$AJ$1204,MATCH(884,$S$5:$S$1204,0),8))</f>
        <v/>
      </c>
      <c r="I888" s="8" t="str">
        <f t="array" ref="I888">IF(884&gt;$S$1204,"",INDEX($T$5:$AJ$1204,MATCH(884,$S$5:$S$1204,0),9))</f>
        <v/>
      </c>
      <c r="J888" s="14" t="str">
        <f t="array" ref="J888">IF(884&gt;$S$1204,"",INDEX($T$5:$AJ$1204,MATCH(884,$S$5:$S$1204,0),10))</f>
        <v/>
      </c>
      <c r="K888" s="8" t="str">
        <f t="array" ref="K888">IF(884&gt;$S$1204,"",INDEX($T$5:$AJ$1204,MATCH(884,$S$5:$S$1204,0),11))</f>
        <v/>
      </c>
      <c r="L888" s="8" t="str">
        <f t="array" ref="L888">IF(884&gt;$S$1204,"",INDEX($T$5:$AJ$1204,MATCH(884,$S$5:$S$1204,0),12))</f>
        <v/>
      </c>
      <c r="M888" s="8" t="str">
        <f t="array" ref="M888">IF(884&gt;$S$1204,"",INDEX($T$5:$AJ$1204,MATCH(884,$S$5:$S$1204,0),13))</f>
        <v/>
      </c>
      <c r="N888" s="8" t="str">
        <f t="array" ref="N888">IF(884&gt;$S$1204,"",INDEX($T$5:$AJ$1204,MATCH(884,$S$5:$S$1204,0),14))</f>
        <v/>
      </c>
      <c r="O888" s="15" t="str">
        <f t="array" ref="O888">IF(884&gt;$S$1204,"",INDEX($T$5:$AJ$1204,MATCH(884,$S$5:$S$1204,0),15))</f>
        <v/>
      </c>
      <c r="P888" s="8" t="str">
        <f t="array" ref="P888">IF(884&gt;$S$1204,"",INDEX($T$5:$AJ$1204,MATCH(884,$S$5:$S$1204,0),16))</f>
        <v/>
      </c>
      <c r="Q888" s="8" t="str">
        <f t="array" ref="Q888">IF(884&gt;$S$1204,"",INDEX($T$5:$AJ$1204,MATCH(884,$S$5:$S$1204,0),17))</f>
        <v/>
      </c>
      <c r="R888" s="17"/>
      <c r="S888" s="17">
        <f>S887+IF(M5_Ocupacion!A93="",0,1)</f>
        <v>0</v>
      </c>
      <c r="T888" s="17" t="str">
        <f>IF(M5_Ocupacion!A93="","",IF(M5_Ocupacion!A93="","",M5_Ocupacion!A93))</f>
        <v/>
      </c>
      <c r="U888" s="17" t="str">
        <f>IF(M5_Ocupacion!A93="","",IF(M5_Ocupacion!R93="","",M5_Ocupacion!R93))</f>
        <v/>
      </c>
      <c r="V888" s="17" t="str">
        <f>IF(M5_Ocupacion!A93="","",IF(M5_Ocupacion!D93="","",M5_Ocupacion!D93))</f>
        <v/>
      </c>
      <c r="W888" s="17" t="str">
        <f>IF(M5_Ocupacion!A93="","",IF(M5_Ocupacion!B93="","",M5_Ocupacion!B93))</f>
        <v/>
      </c>
      <c r="X888" s="17" t="str">
        <f>IF(M5_Ocupacion!A93="","",IF(M5_Ocupacion!C93="","",M5_Ocupacion!C93))</f>
        <v/>
      </c>
      <c r="Y888" s="17" t="str">
        <f>IF(M5_Ocupacion!A93="","",IF(M5_Ocupacion!E93="","",M5_Ocupacion!E93))</f>
        <v/>
      </c>
      <c r="Z888" s="17" t="str">
        <f>IF(M5_Ocupacion!A93="","",IF(M5_Ocupacion!F93="","",M5_Ocupacion!F93))</f>
        <v/>
      </c>
      <c r="AA888" s="17" t="str">
        <f>IF(M5_Ocupacion!A93="","","M5 Ocupación")</f>
        <v/>
      </c>
      <c r="AB888" s="17" t="str">
        <f>IF(M5_Ocupacion!A93="","",IF(M5_Ocupacion!G93="","",M5_Ocupacion!G93))</f>
        <v/>
      </c>
      <c r="AC888" s="17" t="str">
        <f>IF(M5_Ocupacion!A93="","",IF(COUNTIFS(M5_Ocupacion!$A$10:A93,M5_Ocupacion!A93,M5_Ocupacion!$D$10:D93,M5_Ocupacion!D93)=1,IF(M5_Ocupacion!M93="","",M5_Ocupacion!M93),""))</f>
        <v/>
      </c>
      <c r="AD888" s="17" t="str">
        <f>IF(M5_Ocupacion!A93="","","MO")</f>
        <v/>
      </c>
      <c r="AE888" s="17" t="str">
        <f>IF(M5_Ocupacion!A93="","",IF(M5_Ocupacion!O93="","",M5_Ocupacion!O93))</f>
        <v/>
      </c>
      <c r="AF888" s="17" t="str">
        <f>IF(M5_Ocupacion!A93="","",IF(M5_Ocupacion!P93="","",M5_Ocupacion!P93))</f>
        <v/>
      </c>
      <c r="AG888" s="17" t="str">
        <f>IF(M5_Ocupacion!A93="","",IF(M5_Ocupacion!Q93="","",M5_Ocupacion!Q93))</f>
        <v/>
      </c>
      <c r="AH888" s="17" t="str">
        <f>IF(M5_Ocupacion!A93="","",IF(M5_Ocupacion!J93="","",M5_Ocupacion!J93))</f>
        <v/>
      </c>
      <c r="AI888" s="17" t="str">
        <f>IF(M5_Ocupacion!A93="","","M5_Ocupacion!93")</f>
        <v/>
      </c>
      <c r="AJ888" s="17" t="str">
        <f>IF(M5_Ocupacion!A93="","",IF(M5_Ocupacion!M93="","Pendiente de medición completa",IF(COUNTIFS(M5_Ocupacion!$A$10:A93,M5_Ocupacion!A93,M5_Ocupacion!$D$10:D93,M5_Ocupacion!D93)=1,"Promedio de la actividad y fecha","Observación incluida en promedio")))</f>
        <v/>
      </c>
    </row>
    <row r="889" spans="1:36" ht="55.5" customHeight="1">
      <c r="A889" s="6" t="str">
        <f t="array" ref="A889">IF(885&gt;$S$1204,"",INDEX($T$5:$AJ$1204,MATCH(885,$S$5:$S$1204,0),1))</f>
        <v/>
      </c>
      <c r="B889" s="8" t="str">
        <f t="array" ref="B889">IF(885&gt;$S$1204,"",INDEX($T$5:$AJ$1204,MATCH(885,$S$5:$S$1204,0),2))</f>
        <v/>
      </c>
      <c r="C889" s="10" t="str">
        <f t="array" ref="C889">IF(885&gt;$S$1204,"",INDEX($T$5:$AJ$1204,MATCH(885,$S$5:$S$1204,0),3))</f>
        <v/>
      </c>
      <c r="D889" s="8" t="str">
        <f t="array" ref="D889">IF(885&gt;$S$1204,"",INDEX($T$5:$AJ$1204,MATCH(885,$S$5:$S$1204,0),4))</f>
        <v/>
      </c>
      <c r="E889" s="8" t="str">
        <f t="array" ref="E889">IF(885&gt;$S$1204,"",INDEX($T$5:$AJ$1204,MATCH(885,$S$5:$S$1204,0),5))</f>
        <v/>
      </c>
      <c r="F889" s="8" t="str">
        <f t="array" ref="F889">IF(885&gt;$S$1204,"",INDEX($T$5:$AJ$1204,MATCH(885,$S$5:$S$1204,0),6))</f>
        <v/>
      </c>
      <c r="G889" s="8" t="str">
        <f t="array" ref="G889">IF(885&gt;$S$1204,"",INDEX($T$5:$AJ$1204,MATCH(885,$S$5:$S$1204,0),7))</f>
        <v/>
      </c>
      <c r="H889" s="8" t="str">
        <f t="array" ref="H889">IF(885&gt;$S$1204,"",INDEX($T$5:$AJ$1204,MATCH(885,$S$5:$S$1204,0),8))</f>
        <v/>
      </c>
      <c r="I889" s="8" t="str">
        <f t="array" ref="I889">IF(885&gt;$S$1204,"",INDEX($T$5:$AJ$1204,MATCH(885,$S$5:$S$1204,0),9))</f>
        <v/>
      </c>
      <c r="J889" s="14" t="str">
        <f t="array" ref="J889">IF(885&gt;$S$1204,"",INDEX($T$5:$AJ$1204,MATCH(885,$S$5:$S$1204,0),10))</f>
        <v/>
      </c>
      <c r="K889" s="8" t="str">
        <f t="array" ref="K889">IF(885&gt;$S$1204,"",INDEX($T$5:$AJ$1204,MATCH(885,$S$5:$S$1204,0),11))</f>
        <v/>
      </c>
      <c r="L889" s="8" t="str">
        <f t="array" ref="L889">IF(885&gt;$S$1204,"",INDEX($T$5:$AJ$1204,MATCH(885,$S$5:$S$1204,0),12))</f>
        <v/>
      </c>
      <c r="M889" s="8" t="str">
        <f t="array" ref="M889">IF(885&gt;$S$1204,"",INDEX($T$5:$AJ$1204,MATCH(885,$S$5:$S$1204,0),13))</f>
        <v/>
      </c>
      <c r="N889" s="8" t="str">
        <f t="array" ref="N889">IF(885&gt;$S$1204,"",INDEX($T$5:$AJ$1204,MATCH(885,$S$5:$S$1204,0),14))</f>
        <v/>
      </c>
      <c r="O889" s="15" t="str">
        <f t="array" ref="O889">IF(885&gt;$S$1204,"",INDEX($T$5:$AJ$1204,MATCH(885,$S$5:$S$1204,0),15))</f>
        <v/>
      </c>
      <c r="P889" s="8" t="str">
        <f t="array" ref="P889">IF(885&gt;$S$1204,"",INDEX($T$5:$AJ$1204,MATCH(885,$S$5:$S$1204,0),16))</f>
        <v/>
      </c>
      <c r="Q889" s="8" t="str">
        <f t="array" ref="Q889">IF(885&gt;$S$1204,"",INDEX($T$5:$AJ$1204,MATCH(885,$S$5:$S$1204,0),17))</f>
        <v/>
      </c>
      <c r="R889" s="17"/>
      <c r="S889" s="17">
        <f>S888+IF(M5_Ocupacion!A94="",0,1)</f>
        <v>0</v>
      </c>
      <c r="T889" s="17" t="str">
        <f>IF(M5_Ocupacion!A94="","",IF(M5_Ocupacion!A94="","",M5_Ocupacion!A94))</f>
        <v/>
      </c>
      <c r="U889" s="17" t="str">
        <f>IF(M5_Ocupacion!A94="","",IF(M5_Ocupacion!R94="","",M5_Ocupacion!R94))</f>
        <v/>
      </c>
      <c r="V889" s="17" t="str">
        <f>IF(M5_Ocupacion!A94="","",IF(M5_Ocupacion!D94="","",M5_Ocupacion!D94))</f>
        <v/>
      </c>
      <c r="W889" s="17" t="str">
        <f>IF(M5_Ocupacion!A94="","",IF(M5_Ocupacion!B94="","",M5_Ocupacion!B94))</f>
        <v/>
      </c>
      <c r="X889" s="17" t="str">
        <f>IF(M5_Ocupacion!A94="","",IF(M5_Ocupacion!C94="","",M5_Ocupacion!C94))</f>
        <v/>
      </c>
      <c r="Y889" s="17" t="str">
        <f>IF(M5_Ocupacion!A94="","",IF(M5_Ocupacion!E94="","",M5_Ocupacion!E94))</f>
        <v/>
      </c>
      <c r="Z889" s="17" t="str">
        <f>IF(M5_Ocupacion!A94="","",IF(M5_Ocupacion!F94="","",M5_Ocupacion!F94))</f>
        <v/>
      </c>
      <c r="AA889" s="17" t="str">
        <f>IF(M5_Ocupacion!A94="","","M5 Ocupación")</f>
        <v/>
      </c>
      <c r="AB889" s="17" t="str">
        <f>IF(M5_Ocupacion!A94="","",IF(M5_Ocupacion!G94="","",M5_Ocupacion!G94))</f>
        <v/>
      </c>
      <c r="AC889" s="17" t="str">
        <f>IF(M5_Ocupacion!A94="","",IF(COUNTIFS(M5_Ocupacion!$A$10:A94,M5_Ocupacion!A94,M5_Ocupacion!$D$10:D94,M5_Ocupacion!D94)=1,IF(M5_Ocupacion!M94="","",M5_Ocupacion!M94),""))</f>
        <v/>
      </c>
      <c r="AD889" s="17" t="str">
        <f>IF(M5_Ocupacion!A94="","","MO")</f>
        <v/>
      </c>
      <c r="AE889" s="17" t="str">
        <f>IF(M5_Ocupacion!A94="","",IF(M5_Ocupacion!O94="","",M5_Ocupacion!O94))</f>
        <v/>
      </c>
      <c r="AF889" s="17" t="str">
        <f>IF(M5_Ocupacion!A94="","",IF(M5_Ocupacion!P94="","",M5_Ocupacion!P94))</f>
        <v/>
      </c>
      <c r="AG889" s="17" t="str">
        <f>IF(M5_Ocupacion!A94="","",IF(M5_Ocupacion!Q94="","",M5_Ocupacion!Q94))</f>
        <v/>
      </c>
      <c r="AH889" s="17" t="str">
        <f>IF(M5_Ocupacion!A94="","",IF(M5_Ocupacion!J94="","",M5_Ocupacion!J94))</f>
        <v/>
      </c>
      <c r="AI889" s="17" t="str">
        <f>IF(M5_Ocupacion!A94="","","M5_Ocupacion!94")</f>
        <v/>
      </c>
      <c r="AJ889" s="17" t="str">
        <f>IF(M5_Ocupacion!A94="","",IF(M5_Ocupacion!M94="","Pendiente de medición completa",IF(COUNTIFS(M5_Ocupacion!$A$10:A94,M5_Ocupacion!A94,M5_Ocupacion!$D$10:D94,M5_Ocupacion!D94)=1,"Promedio de la actividad y fecha","Observación incluida en promedio")))</f>
        <v/>
      </c>
    </row>
    <row r="890" spans="1:36" ht="55.5" customHeight="1">
      <c r="A890" s="6" t="str">
        <f t="array" ref="A890">IF(886&gt;$S$1204,"",INDEX($T$5:$AJ$1204,MATCH(886,$S$5:$S$1204,0),1))</f>
        <v/>
      </c>
      <c r="B890" s="8" t="str">
        <f t="array" ref="B890">IF(886&gt;$S$1204,"",INDEX($T$5:$AJ$1204,MATCH(886,$S$5:$S$1204,0),2))</f>
        <v/>
      </c>
      <c r="C890" s="10" t="str">
        <f t="array" ref="C890">IF(886&gt;$S$1204,"",INDEX($T$5:$AJ$1204,MATCH(886,$S$5:$S$1204,0),3))</f>
        <v/>
      </c>
      <c r="D890" s="8" t="str">
        <f t="array" ref="D890">IF(886&gt;$S$1204,"",INDEX($T$5:$AJ$1204,MATCH(886,$S$5:$S$1204,0),4))</f>
        <v/>
      </c>
      <c r="E890" s="8" t="str">
        <f t="array" ref="E890">IF(886&gt;$S$1204,"",INDEX($T$5:$AJ$1204,MATCH(886,$S$5:$S$1204,0),5))</f>
        <v/>
      </c>
      <c r="F890" s="8" t="str">
        <f t="array" ref="F890">IF(886&gt;$S$1204,"",INDEX($T$5:$AJ$1204,MATCH(886,$S$5:$S$1204,0),6))</f>
        <v/>
      </c>
      <c r="G890" s="8" t="str">
        <f t="array" ref="G890">IF(886&gt;$S$1204,"",INDEX($T$5:$AJ$1204,MATCH(886,$S$5:$S$1204,0),7))</f>
        <v/>
      </c>
      <c r="H890" s="8" t="str">
        <f t="array" ref="H890">IF(886&gt;$S$1204,"",INDEX($T$5:$AJ$1204,MATCH(886,$S$5:$S$1204,0),8))</f>
        <v/>
      </c>
      <c r="I890" s="8" t="str">
        <f t="array" ref="I890">IF(886&gt;$S$1204,"",INDEX($T$5:$AJ$1204,MATCH(886,$S$5:$S$1204,0),9))</f>
        <v/>
      </c>
      <c r="J890" s="14" t="str">
        <f t="array" ref="J890">IF(886&gt;$S$1204,"",INDEX($T$5:$AJ$1204,MATCH(886,$S$5:$S$1204,0),10))</f>
        <v/>
      </c>
      <c r="K890" s="8" t="str">
        <f t="array" ref="K890">IF(886&gt;$S$1204,"",INDEX($T$5:$AJ$1204,MATCH(886,$S$5:$S$1204,0),11))</f>
        <v/>
      </c>
      <c r="L890" s="8" t="str">
        <f t="array" ref="L890">IF(886&gt;$S$1204,"",INDEX($T$5:$AJ$1204,MATCH(886,$S$5:$S$1204,0),12))</f>
        <v/>
      </c>
      <c r="M890" s="8" t="str">
        <f t="array" ref="M890">IF(886&gt;$S$1204,"",INDEX($T$5:$AJ$1204,MATCH(886,$S$5:$S$1204,0),13))</f>
        <v/>
      </c>
      <c r="N890" s="8" t="str">
        <f t="array" ref="N890">IF(886&gt;$S$1204,"",INDEX($T$5:$AJ$1204,MATCH(886,$S$5:$S$1204,0),14))</f>
        <v/>
      </c>
      <c r="O890" s="15" t="str">
        <f t="array" ref="O890">IF(886&gt;$S$1204,"",INDEX($T$5:$AJ$1204,MATCH(886,$S$5:$S$1204,0),15))</f>
        <v/>
      </c>
      <c r="P890" s="8" t="str">
        <f t="array" ref="P890">IF(886&gt;$S$1204,"",INDEX($T$5:$AJ$1204,MATCH(886,$S$5:$S$1204,0),16))</f>
        <v/>
      </c>
      <c r="Q890" s="8" t="str">
        <f t="array" ref="Q890">IF(886&gt;$S$1204,"",INDEX($T$5:$AJ$1204,MATCH(886,$S$5:$S$1204,0),17))</f>
        <v/>
      </c>
      <c r="R890" s="17"/>
      <c r="S890" s="17">
        <f>S889+IF(M5_Ocupacion!A95="",0,1)</f>
        <v>0</v>
      </c>
      <c r="T890" s="17" t="str">
        <f>IF(M5_Ocupacion!A95="","",IF(M5_Ocupacion!A95="","",M5_Ocupacion!A95))</f>
        <v/>
      </c>
      <c r="U890" s="17" t="str">
        <f>IF(M5_Ocupacion!A95="","",IF(M5_Ocupacion!R95="","",M5_Ocupacion!R95))</f>
        <v/>
      </c>
      <c r="V890" s="17" t="str">
        <f>IF(M5_Ocupacion!A95="","",IF(M5_Ocupacion!D95="","",M5_Ocupacion!D95))</f>
        <v/>
      </c>
      <c r="W890" s="17" t="str">
        <f>IF(M5_Ocupacion!A95="","",IF(M5_Ocupacion!B95="","",M5_Ocupacion!B95))</f>
        <v/>
      </c>
      <c r="X890" s="17" t="str">
        <f>IF(M5_Ocupacion!A95="","",IF(M5_Ocupacion!C95="","",M5_Ocupacion!C95))</f>
        <v/>
      </c>
      <c r="Y890" s="17" t="str">
        <f>IF(M5_Ocupacion!A95="","",IF(M5_Ocupacion!E95="","",M5_Ocupacion!E95))</f>
        <v/>
      </c>
      <c r="Z890" s="17" t="str">
        <f>IF(M5_Ocupacion!A95="","",IF(M5_Ocupacion!F95="","",M5_Ocupacion!F95))</f>
        <v/>
      </c>
      <c r="AA890" s="17" t="str">
        <f>IF(M5_Ocupacion!A95="","","M5 Ocupación")</f>
        <v/>
      </c>
      <c r="AB890" s="17" t="str">
        <f>IF(M5_Ocupacion!A95="","",IF(M5_Ocupacion!G95="","",M5_Ocupacion!G95))</f>
        <v/>
      </c>
      <c r="AC890" s="17" t="str">
        <f>IF(M5_Ocupacion!A95="","",IF(COUNTIFS(M5_Ocupacion!$A$10:A95,M5_Ocupacion!A95,M5_Ocupacion!$D$10:D95,M5_Ocupacion!D95)=1,IF(M5_Ocupacion!M95="","",M5_Ocupacion!M95),""))</f>
        <v/>
      </c>
      <c r="AD890" s="17" t="str">
        <f>IF(M5_Ocupacion!A95="","","MO")</f>
        <v/>
      </c>
      <c r="AE890" s="17" t="str">
        <f>IF(M5_Ocupacion!A95="","",IF(M5_Ocupacion!O95="","",M5_Ocupacion!O95))</f>
        <v/>
      </c>
      <c r="AF890" s="17" t="str">
        <f>IF(M5_Ocupacion!A95="","",IF(M5_Ocupacion!P95="","",M5_Ocupacion!P95))</f>
        <v/>
      </c>
      <c r="AG890" s="17" t="str">
        <f>IF(M5_Ocupacion!A95="","",IF(M5_Ocupacion!Q95="","",M5_Ocupacion!Q95))</f>
        <v/>
      </c>
      <c r="AH890" s="17" t="str">
        <f>IF(M5_Ocupacion!A95="","",IF(M5_Ocupacion!J95="","",M5_Ocupacion!J95))</f>
        <v/>
      </c>
      <c r="AI890" s="17" t="str">
        <f>IF(M5_Ocupacion!A95="","","M5_Ocupacion!95")</f>
        <v/>
      </c>
      <c r="AJ890" s="17" t="str">
        <f>IF(M5_Ocupacion!A95="","",IF(M5_Ocupacion!M95="","Pendiente de medición completa",IF(COUNTIFS(M5_Ocupacion!$A$10:A95,M5_Ocupacion!A95,M5_Ocupacion!$D$10:D95,M5_Ocupacion!D95)=1,"Promedio de la actividad y fecha","Observación incluida en promedio")))</f>
        <v/>
      </c>
    </row>
    <row r="891" spans="1:36" ht="55.5" customHeight="1">
      <c r="A891" s="6" t="str">
        <f t="array" ref="A891">IF(887&gt;$S$1204,"",INDEX($T$5:$AJ$1204,MATCH(887,$S$5:$S$1204,0),1))</f>
        <v/>
      </c>
      <c r="B891" s="8" t="str">
        <f t="array" ref="B891">IF(887&gt;$S$1204,"",INDEX($T$5:$AJ$1204,MATCH(887,$S$5:$S$1204,0),2))</f>
        <v/>
      </c>
      <c r="C891" s="10" t="str">
        <f t="array" ref="C891">IF(887&gt;$S$1204,"",INDEX($T$5:$AJ$1204,MATCH(887,$S$5:$S$1204,0),3))</f>
        <v/>
      </c>
      <c r="D891" s="8" t="str">
        <f t="array" ref="D891">IF(887&gt;$S$1204,"",INDEX($T$5:$AJ$1204,MATCH(887,$S$5:$S$1204,0),4))</f>
        <v/>
      </c>
      <c r="E891" s="8" t="str">
        <f t="array" ref="E891">IF(887&gt;$S$1204,"",INDEX($T$5:$AJ$1204,MATCH(887,$S$5:$S$1204,0),5))</f>
        <v/>
      </c>
      <c r="F891" s="8" t="str">
        <f t="array" ref="F891">IF(887&gt;$S$1204,"",INDEX($T$5:$AJ$1204,MATCH(887,$S$5:$S$1204,0),6))</f>
        <v/>
      </c>
      <c r="G891" s="8" t="str">
        <f t="array" ref="G891">IF(887&gt;$S$1204,"",INDEX($T$5:$AJ$1204,MATCH(887,$S$5:$S$1204,0),7))</f>
        <v/>
      </c>
      <c r="H891" s="8" t="str">
        <f t="array" ref="H891">IF(887&gt;$S$1204,"",INDEX($T$5:$AJ$1204,MATCH(887,$S$5:$S$1204,0),8))</f>
        <v/>
      </c>
      <c r="I891" s="8" t="str">
        <f t="array" ref="I891">IF(887&gt;$S$1204,"",INDEX($T$5:$AJ$1204,MATCH(887,$S$5:$S$1204,0),9))</f>
        <v/>
      </c>
      <c r="J891" s="14" t="str">
        <f t="array" ref="J891">IF(887&gt;$S$1204,"",INDEX($T$5:$AJ$1204,MATCH(887,$S$5:$S$1204,0),10))</f>
        <v/>
      </c>
      <c r="K891" s="8" t="str">
        <f t="array" ref="K891">IF(887&gt;$S$1204,"",INDEX($T$5:$AJ$1204,MATCH(887,$S$5:$S$1204,0),11))</f>
        <v/>
      </c>
      <c r="L891" s="8" t="str">
        <f t="array" ref="L891">IF(887&gt;$S$1204,"",INDEX($T$5:$AJ$1204,MATCH(887,$S$5:$S$1204,0),12))</f>
        <v/>
      </c>
      <c r="M891" s="8" t="str">
        <f t="array" ref="M891">IF(887&gt;$S$1204,"",INDEX($T$5:$AJ$1204,MATCH(887,$S$5:$S$1204,0),13))</f>
        <v/>
      </c>
      <c r="N891" s="8" t="str">
        <f t="array" ref="N891">IF(887&gt;$S$1204,"",INDEX($T$5:$AJ$1204,MATCH(887,$S$5:$S$1204,0),14))</f>
        <v/>
      </c>
      <c r="O891" s="15" t="str">
        <f t="array" ref="O891">IF(887&gt;$S$1204,"",INDEX($T$5:$AJ$1204,MATCH(887,$S$5:$S$1204,0),15))</f>
        <v/>
      </c>
      <c r="P891" s="8" t="str">
        <f t="array" ref="P891">IF(887&gt;$S$1204,"",INDEX($T$5:$AJ$1204,MATCH(887,$S$5:$S$1204,0),16))</f>
        <v/>
      </c>
      <c r="Q891" s="8" t="str">
        <f t="array" ref="Q891">IF(887&gt;$S$1204,"",INDEX($T$5:$AJ$1204,MATCH(887,$S$5:$S$1204,0),17))</f>
        <v/>
      </c>
      <c r="R891" s="17"/>
      <c r="S891" s="17">
        <f>S890+IF(M5_Ocupacion!A96="",0,1)</f>
        <v>0</v>
      </c>
      <c r="T891" s="17" t="str">
        <f>IF(M5_Ocupacion!A96="","",IF(M5_Ocupacion!A96="","",M5_Ocupacion!A96))</f>
        <v/>
      </c>
      <c r="U891" s="17" t="str">
        <f>IF(M5_Ocupacion!A96="","",IF(M5_Ocupacion!R96="","",M5_Ocupacion!R96))</f>
        <v/>
      </c>
      <c r="V891" s="17" t="str">
        <f>IF(M5_Ocupacion!A96="","",IF(M5_Ocupacion!D96="","",M5_Ocupacion!D96))</f>
        <v/>
      </c>
      <c r="W891" s="17" t="str">
        <f>IF(M5_Ocupacion!A96="","",IF(M5_Ocupacion!B96="","",M5_Ocupacion!B96))</f>
        <v/>
      </c>
      <c r="X891" s="17" t="str">
        <f>IF(M5_Ocupacion!A96="","",IF(M5_Ocupacion!C96="","",M5_Ocupacion!C96))</f>
        <v/>
      </c>
      <c r="Y891" s="17" t="str">
        <f>IF(M5_Ocupacion!A96="","",IF(M5_Ocupacion!E96="","",M5_Ocupacion!E96))</f>
        <v/>
      </c>
      <c r="Z891" s="17" t="str">
        <f>IF(M5_Ocupacion!A96="","",IF(M5_Ocupacion!F96="","",M5_Ocupacion!F96))</f>
        <v/>
      </c>
      <c r="AA891" s="17" t="str">
        <f>IF(M5_Ocupacion!A96="","","M5 Ocupación")</f>
        <v/>
      </c>
      <c r="AB891" s="17" t="str">
        <f>IF(M5_Ocupacion!A96="","",IF(M5_Ocupacion!G96="","",M5_Ocupacion!G96))</f>
        <v/>
      </c>
      <c r="AC891" s="17" t="str">
        <f>IF(M5_Ocupacion!A96="","",IF(COUNTIFS(M5_Ocupacion!$A$10:A96,M5_Ocupacion!A96,M5_Ocupacion!$D$10:D96,M5_Ocupacion!D96)=1,IF(M5_Ocupacion!M96="","",M5_Ocupacion!M96),""))</f>
        <v/>
      </c>
      <c r="AD891" s="17" t="str">
        <f>IF(M5_Ocupacion!A96="","","MO")</f>
        <v/>
      </c>
      <c r="AE891" s="17" t="str">
        <f>IF(M5_Ocupacion!A96="","",IF(M5_Ocupacion!O96="","",M5_Ocupacion!O96))</f>
        <v/>
      </c>
      <c r="AF891" s="17" t="str">
        <f>IF(M5_Ocupacion!A96="","",IF(M5_Ocupacion!P96="","",M5_Ocupacion!P96))</f>
        <v/>
      </c>
      <c r="AG891" s="17" t="str">
        <f>IF(M5_Ocupacion!A96="","",IF(M5_Ocupacion!Q96="","",M5_Ocupacion!Q96))</f>
        <v/>
      </c>
      <c r="AH891" s="17" t="str">
        <f>IF(M5_Ocupacion!A96="","",IF(M5_Ocupacion!J96="","",M5_Ocupacion!J96))</f>
        <v/>
      </c>
      <c r="AI891" s="17" t="str">
        <f>IF(M5_Ocupacion!A96="","","M5_Ocupacion!96")</f>
        <v/>
      </c>
      <c r="AJ891" s="17" t="str">
        <f>IF(M5_Ocupacion!A96="","",IF(M5_Ocupacion!M96="","Pendiente de medición completa",IF(COUNTIFS(M5_Ocupacion!$A$10:A96,M5_Ocupacion!A96,M5_Ocupacion!$D$10:D96,M5_Ocupacion!D96)=1,"Promedio de la actividad y fecha","Observación incluida en promedio")))</f>
        <v/>
      </c>
    </row>
    <row r="892" spans="1:36" ht="55.5" customHeight="1">
      <c r="A892" s="6" t="str">
        <f t="array" ref="A892">IF(888&gt;$S$1204,"",INDEX($T$5:$AJ$1204,MATCH(888,$S$5:$S$1204,0),1))</f>
        <v/>
      </c>
      <c r="B892" s="8" t="str">
        <f t="array" ref="B892">IF(888&gt;$S$1204,"",INDEX($T$5:$AJ$1204,MATCH(888,$S$5:$S$1204,0),2))</f>
        <v/>
      </c>
      <c r="C892" s="10" t="str">
        <f t="array" ref="C892">IF(888&gt;$S$1204,"",INDEX($T$5:$AJ$1204,MATCH(888,$S$5:$S$1204,0),3))</f>
        <v/>
      </c>
      <c r="D892" s="8" t="str">
        <f t="array" ref="D892">IF(888&gt;$S$1204,"",INDEX($T$5:$AJ$1204,MATCH(888,$S$5:$S$1204,0),4))</f>
        <v/>
      </c>
      <c r="E892" s="8" t="str">
        <f t="array" ref="E892">IF(888&gt;$S$1204,"",INDEX($T$5:$AJ$1204,MATCH(888,$S$5:$S$1204,0),5))</f>
        <v/>
      </c>
      <c r="F892" s="8" t="str">
        <f t="array" ref="F892">IF(888&gt;$S$1204,"",INDEX($T$5:$AJ$1204,MATCH(888,$S$5:$S$1204,0),6))</f>
        <v/>
      </c>
      <c r="G892" s="8" t="str">
        <f t="array" ref="G892">IF(888&gt;$S$1204,"",INDEX($T$5:$AJ$1204,MATCH(888,$S$5:$S$1204,0),7))</f>
        <v/>
      </c>
      <c r="H892" s="8" t="str">
        <f t="array" ref="H892">IF(888&gt;$S$1204,"",INDEX($T$5:$AJ$1204,MATCH(888,$S$5:$S$1204,0),8))</f>
        <v/>
      </c>
      <c r="I892" s="8" t="str">
        <f t="array" ref="I892">IF(888&gt;$S$1204,"",INDEX($T$5:$AJ$1204,MATCH(888,$S$5:$S$1204,0),9))</f>
        <v/>
      </c>
      <c r="J892" s="14" t="str">
        <f t="array" ref="J892">IF(888&gt;$S$1204,"",INDEX($T$5:$AJ$1204,MATCH(888,$S$5:$S$1204,0),10))</f>
        <v/>
      </c>
      <c r="K892" s="8" t="str">
        <f t="array" ref="K892">IF(888&gt;$S$1204,"",INDEX($T$5:$AJ$1204,MATCH(888,$S$5:$S$1204,0),11))</f>
        <v/>
      </c>
      <c r="L892" s="8" t="str">
        <f t="array" ref="L892">IF(888&gt;$S$1204,"",INDEX($T$5:$AJ$1204,MATCH(888,$S$5:$S$1204,0),12))</f>
        <v/>
      </c>
      <c r="M892" s="8" t="str">
        <f t="array" ref="M892">IF(888&gt;$S$1204,"",INDEX($T$5:$AJ$1204,MATCH(888,$S$5:$S$1204,0),13))</f>
        <v/>
      </c>
      <c r="N892" s="8" t="str">
        <f t="array" ref="N892">IF(888&gt;$S$1204,"",INDEX($T$5:$AJ$1204,MATCH(888,$S$5:$S$1204,0),14))</f>
        <v/>
      </c>
      <c r="O892" s="15" t="str">
        <f t="array" ref="O892">IF(888&gt;$S$1204,"",INDEX($T$5:$AJ$1204,MATCH(888,$S$5:$S$1204,0),15))</f>
        <v/>
      </c>
      <c r="P892" s="8" t="str">
        <f t="array" ref="P892">IF(888&gt;$S$1204,"",INDEX($T$5:$AJ$1204,MATCH(888,$S$5:$S$1204,0),16))</f>
        <v/>
      </c>
      <c r="Q892" s="8" t="str">
        <f t="array" ref="Q892">IF(888&gt;$S$1204,"",INDEX($T$5:$AJ$1204,MATCH(888,$S$5:$S$1204,0),17))</f>
        <v/>
      </c>
      <c r="R892" s="17"/>
      <c r="S892" s="17">
        <f>S891+IF(M5_Ocupacion!A97="",0,1)</f>
        <v>0</v>
      </c>
      <c r="T892" s="17" t="str">
        <f>IF(M5_Ocupacion!A97="","",IF(M5_Ocupacion!A97="","",M5_Ocupacion!A97))</f>
        <v/>
      </c>
      <c r="U892" s="17" t="str">
        <f>IF(M5_Ocupacion!A97="","",IF(M5_Ocupacion!R97="","",M5_Ocupacion!R97))</f>
        <v/>
      </c>
      <c r="V892" s="17" t="str">
        <f>IF(M5_Ocupacion!A97="","",IF(M5_Ocupacion!D97="","",M5_Ocupacion!D97))</f>
        <v/>
      </c>
      <c r="W892" s="17" t="str">
        <f>IF(M5_Ocupacion!A97="","",IF(M5_Ocupacion!B97="","",M5_Ocupacion!B97))</f>
        <v/>
      </c>
      <c r="X892" s="17" t="str">
        <f>IF(M5_Ocupacion!A97="","",IF(M5_Ocupacion!C97="","",M5_Ocupacion!C97))</f>
        <v/>
      </c>
      <c r="Y892" s="17" t="str">
        <f>IF(M5_Ocupacion!A97="","",IF(M5_Ocupacion!E97="","",M5_Ocupacion!E97))</f>
        <v/>
      </c>
      <c r="Z892" s="17" t="str">
        <f>IF(M5_Ocupacion!A97="","",IF(M5_Ocupacion!F97="","",M5_Ocupacion!F97))</f>
        <v/>
      </c>
      <c r="AA892" s="17" t="str">
        <f>IF(M5_Ocupacion!A97="","","M5 Ocupación")</f>
        <v/>
      </c>
      <c r="AB892" s="17" t="str">
        <f>IF(M5_Ocupacion!A97="","",IF(M5_Ocupacion!G97="","",M5_Ocupacion!G97))</f>
        <v/>
      </c>
      <c r="AC892" s="17" t="str">
        <f>IF(M5_Ocupacion!A97="","",IF(COUNTIFS(M5_Ocupacion!$A$10:A97,M5_Ocupacion!A97,M5_Ocupacion!$D$10:D97,M5_Ocupacion!D97)=1,IF(M5_Ocupacion!M97="","",M5_Ocupacion!M97),""))</f>
        <v/>
      </c>
      <c r="AD892" s="17" t="str">
        <f>IF(M5_Ocupacion!A97="","","MO")</f>
        <v/>
      </c>
      <c r="AE892" s="17" t="str">
        <f>IF(M5_Ocupacion!A97="","",IF(M5_Ocupacion!O97="","",M5_Ocupacion!O97))</f>
        <v/>
      </c>
      <c r="AF892" s="17" t="str">
        <f>IF(M5_Ocupacion!A97="","",IF(M5_Ocupacion!P97="","",M5_Ocupacion!P97))</f>
        <v/>
      </c>
      <c r="AG892" s="17" t="str">
        <f>IF(M5_Ocupacion!A97="","",IF(M5_Ocupacion!Q97="","",M5_Ocupacion!Q97))</f>
        <v/>
      </c>
      <c r="AH892" s="17" t="str">
        <f>IF(M5_Ocupacion!A97="","",IF(M5_Ocupacion!J97="","",M5_Ocupacion!J97))</f>
        <v/>
      </c>
      <c r="AI892" s="17" t="str">
        <f>IF(M5_Ocupacion!A97="","","M5_Ocupacion!97")</f>
        <v/>
      </c>
      <c r="AJ892" s="17" t="str">
        <f>IF(M5_Ocupacion!A97="","",IF(M5_Ocupacion!M97="","Pendiente de medición completa",IF(COUNTIFS(M5_Ocupacion!$A$10:A97,M5_Ocupacion!A97,M5_Ocupacion!$D$10:D97,M5_Ocupacion!D97)=1,"Promedio de la actividad y fecha","Observación incluida en promedio")))</f>
        <v/>
      </c>
    </row>
    <row r="893" spans="1:36" ht="55.5" customHeight="1">
      <c r="A893" s="6" t="str">
        <f t="array" ref="A893">IF(889&gt;$S$1204,"",INDEX($T$5:$AJ$1204,MATCH(889,$S$5:$S$1204,0),1))</f>
        <v/>
      </c>
      <c r="B893" s="8" t="str">
        <f t="array" ref="B893">IF(889&gt;$S$1204,"",INDEX($T$5:$AJ$1204,MATCH(889,$S$5:$S$1204,0),2))</f>
        <v/>
      </c>
      <c r="C893" s="10" t="str">
        <f t="array" ref="C893">IF(889&gt;$S$1204,"",INDEX($T$5:$AJ$1204,MATCH(889,$S$5:$S$1204,0),3))</f>
        <v/>
      </c>
      <c r="D893" s="8" t="str">
        <f t="array" ref="D893">IF(889&gt;$S$1204,"",INDEX($T$5:$AJ$1204,MATCH(889,$S$5:$S$1204,0),4))</f>
        <v/>
      </c>
      <c r="E893" s="8" t="str">
        <f t="array" ref="E893">IF(889&gt;$S$1204,"",INDEX($T$5:$AJ$1204,MATCH(889,$S$5:$S$1204,0),5))</f>
        <v/>
      </c>
      <c r="F893" s="8" t="str">
        <f t="array" ref="F893">IF(889&gt;$S$1204,"",INDEX($T$5:$AJ$1204,MATCH(889,$S$5:$S$1204,0),6))</f>
        <v/>
      </c>
      <c r="G893" s="8" t="str">
        <f t="array" ref="G893">IF(889&gt;$S$1204,"",INDEX($T$5:$AJ$1204,MATCH(889,$S$5:$S$1204,0),7))</f>
        <v/>
      </c>
      <c r="H893" s="8" t="str">
        <f t="array" ref="H893">IF(889&gt;$S$1204,"",INDEX($T$5:$AJ$1204,MATCH(889,$S$5:$S$1204,0),8))</f>
        <v/>
      </c>
      <c r="I893" s="8" t="str">
        <f t="array" ref="I893">IF(889&gt;$S$1204,"",INDEX($T$5:$AJ$1204,MATCH(889,$S$5:$S$1204,0),9))</f>
        <v/>
      </c>
      <c r="J893" s="14" t="str">
        <f t="array" ref="J893">IF(889&gt;$S$1204,"",INDEX($T$5:$AJ$1204,MATCH(889,$S$5:$S$1204,0),10))</f>
        <v/>
      </c>
      <c r="K893" s="8" t="str">
        <f t="array" ref="K893">IF(889&gt;$S$1204,"",INDEX($T$5:$AJ$1204,MATCH(889,$S$5:$S$1204,0),11))</f>
        <v/>
      </c>
      <c r="L893" s="8" t="str">
        <f t="array" ref="L893">IF(889&gt;$S$1204,"",INDEX($T$5:$AJ$1204,MATCH(889,$S$5:$S$1204,0),12))</f>
        <v/>
      </c>
      <c r="M893" s="8" t="str">
        <f t="array" ref="M893">IF(889&gt;$S$1204,"",INDEX($T$5:$AJ$1204,MATCH(889,$S$5:$S$1204,0),13))</f>
        <v/>
      </c>
      <c r="N893" s="8" t="str">
        <f t="array" ref="N893">IF(889&gt;$S$1204,"",INDEX($T$5:$AJ$1204,MATCH(889,$S$5:$S$1204,0),14))</f>
        <v/>
      </c>
      <c r="O893" s="15" t="str">
        <f t="array" ref="O893">IF(889&gt;$S$1204,"",INDEX($T$5:$AJ$1204,MATCH(889,$S$5:$S$1204,0),15))</f>
        <v/>
      </c>
      <c r="P893" s="8" t="str">
        <f t="array" ref="P893">IF(889&gt;$S$1204,"",INDEX($T$5:$AJ$1204,MATCH(889,$S$5:$S$1204,0),16))</f>
        <v/>
      </c>
      <c r="Q893" s="8" t="str">
        <f t="array" ref="Q893">IF(889&gt;$S$1204,"",INDEX($T$5:$AJ$1204,MATCH(889,$S$5:$S$1204,0),17))</f>
        <v/>
      </c>
      <c r="R893" s="17"/>
      <c r="S893" s="17">
        <f>S892+IF(M5_Ocupacion!A98="",0,1)</f>
        <v>0</v>
      </c>
      <c r="T893" s="17" t="str">
        <f>IF(M5_Ocupacion!A98="","",IF(M5_Ocupacion!A98="","",M5_Ocupacion!A98))</f>
        <v/>
      </c>
      <c r="U893" s="17" t="str">
        <f>IF(M5_Ocupacion!A98="","",IF(M5_Ocupacion!R98="","",M5_Ocupacion!R98))</f>
        <v/>
      </c>
      <c r="V893" s="17" t="str">
        <f>IF(M5_Ocupacion!A98="","",IF(M5_Ocupacion!D98="","",M5_Ocupacion!D98))</f>
        <v/>
      </c>
      <c r="W893" s="17" t="str">
        <f>IF(M5_Ocupacion!A98="","",IF(M5_Ocupacion!B98="","",M5_Ocupacion!B98))</f>
        <v/>
      </c>
      <c r="X893" s="17" t="str">
        <f>IF(M5_Ocupacion!A98="","",IF(M5_Ocupacion!C98="","",M5_Ocupacion!C98))</f>
        <v/>
      </c>
      <c r="Y893" s="17" t="str">
        <f>IF(M5_Ocupacion!A98="","",IF(M5_Ocupacion!E98="","",M5_Ocupacion!E98))</f>
        <v/>
      </c>
      <c r="Z893" s="17" t="str">
        <f>IF(M5_Ocupacion!A98="","",IF(M5_Ocupacion!F98="","",M5_Ocupacion!F98))</f>
        <v/>
      </c>
      <c r="AA893" s="17" t="str">
        <f>IF(M5_Ocupacion!A98="","","M5 Ocupación")</f>
        <v/>
      </c>
      <c r="AB893" s="17" t="str">
        <f>IF(M5_Ocupacion!A98="","",IF(M5_Ocupacion!G98="","",M5_Ocupacion!G98))</f>
        <v/>
      </c>
      <c r="AC893" s="17" t="str">
        <f>IF(M5_Ocupacion!A98="","",IF(COUNTIFS(M5_Ocupacion!$A$10:A98,M5_Ocupacion!A98,M5_Ocupacion!$D$10:D98,M5_Ocupacion!D98)=1,IF(M5_Ocupacion!M98="","",M5_Ocupacion!M98),""))</f>
        <v/>
      </c>
      <c r="AD893" s="17" t="str">
        <f>IF(M5_Ocupacion!A98="","","MO")</f>
        <v/>
      </c>
      <c r="AE893" s="17" t="str">
        <f>IF(M5_Ocupacion!A98="","",IF(M5_Ocupacion!O98="","",M5_Ocupacion!O98))</f>
        <v/>
      </c>
      <c r="AF893" s="17" t="str">
        <f>IF(M5_Ocupacion!A98="","",IF(M5_Ocupacion!P98="","",M5_Ocupacion!P98))</f>
        <v/>
      </c>
      <c r="AG893" s="17" t="str">
        <f>IF(M5_Ocupacion!A98="","",IF(M5_Ocupacion!Q98="","",M5_Ocupacion!Q98))</f>
        <v/>
      </c>
      <c r="AH893" s="17" t="str">
        <f>IF(M5_Ocupacion!A98="","",IF(M5_Ocupacion!J98="","",M5_Ocupacion!J98))</f>
        <v/>
      </c>
      <c r="AI893" s="17" t="str">
        <f>IF(M5_Ocupacion!A98="","","M5_Ocupacion!98")</f>
        <v/>
      </c>
      <c r="AJ893" s="17" t="str">
        <f>IF(M5_Ocupacion!A98="","",IF(M5_Ocupacion!M98="","Pendiente de medición completa",IF(COUNTIFS(M5_Ocupacion!$A$10:A98,M5_Ocupacion!A98,M5_Ocupacion!$D$10:D98,M5_Ocupacion!D98)=1,"Promedio de la actividad y fecha","Observación incluida en promedio")))</f>
        <v/>
      </c>
    </row>
    <row r="894" spans="1:36" ht="55.5" customHeight="1">
      <c r="A894" s="6" t="str">
        <f t="array" ref="A894">IF(890&gt;$S$1204,"",INDEX($T$5:$AJ$1204,MATCH(890,$S$5:$S$1204,0),1))</f>
        <v/>
      </c>
      <c r="B894" s="8" t="str">
        <f t="array" ref="B894">IF(890&gt;$S$1204,"",INDEX($T$5:$AJ$1204,MATCH(890,$S$5:$S$1204,0),2))</f>
        <v/>
      </c>
      <c r="C894" s="10" t="str">
        <f t="array" ref="C894">IF(890&gt;$S$1204,"",INDEX($T$5:$AJ$1204,MATCH(890,$S$5:$S$1204,0),3))</f>
        <v/>
      </c>
      <c r="D894" s="8" t="str">
        <f t="array" ref="D894">IF(890&gt;$S$1204,"",INDEX($T$5:$AJ$1204,MATCH(890,$S$5:$S$1204,0),4))</f>
        <v/>
      </c>
      <c r="E894" s="8" t="str">
        <f t="array" ref="E894">IF(890&gt;$S$1204,"",INDEX($T$5:$AJ$1204,MATCH(890,$S$5:$S$1204,0),5))</f>
        <v/>
      </c>
      <c r="F894" s="8" t="str">
        <f t="array" ref="F894">IF(890&gt;$S$1204,"",INDEX($T$5:$AJ$1204,MATCH(890,$S$5:$S$1204,0),6))</f>
        <v/>
      </c>
      <c r="G894" s="8" t="str">
        <f t="array" ref="G894">IF(890&gt;$S$1204,"",INDEX($T$5:$AJ$1204,MATCH(890,$S$5:$S$1204,0),7))</f>
        <v/>
      </c>
      <c r="H894" s="8" t="str">
        <f t="array" ref="H894">IF(890&gt;$S$1204,"",INDEX($T$5:$AJ$1204,MATCH(890,$S$5:$S$1204,0),8))</f>
        <v/>
      </c>
      <c r="I894" s="8" t="str">
        <f t="array" ref="I894">IF(890&gt;$S$1204,"",INDEX($T$5:$AJ$1204,MATCH(890,$S$5:$S$1204,0),9))</f>
        <v/>
      </c>
      <c r="J894" s="14" t="str">
        <f t="array" ref="J894">IF(890&gt;$S$1204,"",INDEX($T$5:$AJ$1204,MATCH(890,$S$5:$S$1204,0),10))</f>
        <v/>
      </c>
      <c r="K894" s="8" t="str">
        <f t="array" ref="K894">IF(890&gt;$S$1204,"",INDEX($T$5:$AJ$1204,MATCH(890,$S$5:$S$1204,0),11))</f>
        <v/>
      </c>
      <c r="L894" s="8" t="str">
        <f t="array" ref="L894">IF(890&gt;$S$1204,"",INDEX($T$5:$AJ$1204,MATCH(890,$S$5:$S$1204,0),12))</f>
        <v/>
      </c>
      <c r="M894" s="8" t="str">
        <f t="array" ref="M894">IF(890&gt;$S$1204,"",INDEX($T$5:$AJ$1204,MATCH(890,$S$5:$S$1204,0),13))</f>
        <v/>
      </c>
      <c r="N894" s="8" t="str">
        <f t="array" ref="N894">IF(890&gt;$S$1204,"",INDEX($T$5:$AJ$1204,MATCH(890,$S$5:$S$1204,0),14))</f>
        <v/>
      </c>
      <c r="O894" s="15" t="str">
        <f t="array" ref="O894">IF(890&gt;$S$1204,"",INDEX($T$5:$AJ$1204,MATCH(890,$S$5:$S$1204,0),15))</f>
        <v/>
      </c>
      <c r="P894" s="8" t="str">
        <f t="array" ref="P894">IF(890&gt;$S$1204,"",INDEX($T$5:$AJ$1204,MATCH(890,$S$5:$S$1204,0),16))</f>
        <v/>
      </c>
      <c r="Q894" s="8" t="str">
        <f t="array" ref="Q894">IF(890&gt;$S$1204,"",INDEX($T$5:$AJ$1204,MATCH(890,$S$5:$S$1204,0),17))</f>
        <v/>
      </c>
      <c r="R894" s="17"/>
      <c r="S894" s="17">
        <f>S893+IF(M5_Ocupacion!A99="",0,1)</f>
        <v>0</v>
      </c>
      <c r="T894" s="17" t="str">
        <f>IF(M5_Ocupacion!A99="","",IF(M5_Ocupacion!A99="","",M5_Ocupacion!A99))</f>
        <v/>
      </c>
      <c r="U894" s="17" t="str">
        <f>IF(M5_Ocupacion!A99="","",IF(M5_Ocupacion!R99="","",M5_Ocupacion!R99))</f>
        <v/>
      </c>
      <c r="V894" s="17" t="str">
        <f>IF(M5_Ocupacion!A99="","",IF(M5_Ocupacion!D99="","",M5_Ocupacion!D99))</f>
        <v/>
      </c>
      <c r="W894" s="17" t="str">
        <f>IF(M5_Ocupacion!A99="","",IF(M5_Ocupacion!B99="","",M5_Ocupacion!B99))</f>
        <v/>
      </c>
      <c r="X894" s="17" t="str">
        <f>IF(M5_Ocupacion!A99="","",IF(M5_Ocupacion!C99="","",M5_Ocupacion!C99))</f>
        <v/>
      </c>
      <c r="Y894" s="17" t="str">
        <f>IF(M5_Ocupacion!A99="","",IF(M5_Ocupacion!E99="","",M5_Ocupacion!E99))</f>
        <v/>
      </c>
      <c r="Z894" s="17" t="str">
        <f>IF(M5_Ocupacion!A99="","",IF(M5_Ocupacion!F99="","",M5_Ocupacion!F99))</f>
        <v/>
      </c>
      <c r="AA894" s="17" t="str">
        <f>IF(M5_Ocupacion!A99="","","M5 Ocupación")</f>
        <v/>
      </c>
      <c r="AB894" s="17" t="str">
        <f>IF(M5_Ocupacion!A99="","",IF(M5_Ocupacion!G99="","",M5_Ocupacion!G99))</f>
        <v/>
      </c>
      <c r="AC894" s="17" t="str">
        <f>IF(M5_Ocupacion!A99="","",IF(COUNTIFS(M5_Ocupacion!$A$10:A99,M5_Ocupacion!A99,M5_Ocupacion!$D$10:D99,M5_Ocupacion!D99)=1,IF(M5_Ocupacion!M99="","",M5_Ocupacion!M99),""))</f>
        <v/>
      </c>
      <c r="AD894" s="17" t="str">
        <f>IF(M5_Ocupacion!A99="","","MO")</f>
        <v/>
      </c>
      <c r="AE894" s="17" t="str">
        <f>IF(M5_Ocupacion!A99="","",IF(M5_Ocupacion!O99="","",M5_Ocupacion!O99))</f>
        <v/>
      </c>
      <c r="AF894" s="17" t="str">
        <f>IF(M5_Ocupacion!A99="","",IF(M5_Ocupacion!P99="","",M5_Ocupacion!P99))</f>
        <v/>
      </c>
      <c r="AG894" s="17" t="str">
        <f>IF(M5_Ocupacion!A99="","",IF(M5_Ocupacion!Q99="","",M5_Ocupacion!Q99))</f>
        <v/>
      </c>
      <c r="AH894" s="17" t="str">
        <f>IF(M5_Ocupacion!A99="","",IF(M5_Ocupacion!J99="","",M5_Ocupacion!J99))</f>
        <v/>
      </c>
      <c r="AI894" s="17" t="str">
        <f>IF(M5_Ocupacion!A99="","","M5_Ocupacion!99")</f>
        <v/>
      </c>
      <c r="AJ894" s="17" t="str">
        <f>IF(M5_Ocupacion!A99="","",IF(M5_Ocupacion!M99="","Pendiente de medición completa",IF(COUNTIFS(M5_Ocupacion!$A$10:A99,M5_Ocupacion!A99,M5_Ocupacion!$D$10:D99,M5_Ocupacion!D99)=1,"Promedio de la actividad y fecha","Observación incluida en promedio")))</f>
        <v/>
      </c>
    </row>
    <row r="895" spans="1:36" ht="55.5" customHeight="1">
      <c r="A895" s="6" t="str">
        <f t="array" ref="A895">IF(891&gt;$S$1204,"",INDEX($T$5:$AJ$1204,MATCH(891,$S$5:$S$1204,0),1))</f>
        <v/>
      </c>
      <c r="B895" s="8" t="str">
        <f t="array" ref="B895">IF(891&gt;$S$1204,"",INDEX($T$5:$AJ$1204,MATCH(891,$S$5:$S$1204,0),2))</f>
        <v/>
      </c>
      <c r="C895" s="10" t="str">
        <f t="array" ref="C895">IF(891&gt;$S$1204,"",INDEX($T$5:$AJ$1204,MATCH(891,$S$5:$S$1204,0),3))</f>
        <v/>
      </c>
      <c r="D895" s="8" t="str">
        <f t="array" ref="D895">IF(891&gt;$S$1204,"",INDEX($T$5:$AJ$1204,MATCH(891,$S$5:$S$1204,0),4))</f>
        <v/>
      </c>
      <c r="E895" s="8" t="str">
        <f t="array" ref="E895">IF(891&gt;$S$1204,"",INDEX($T$5:$AJ$1204,MATCH(891,$S$5:$S$1204,0),5))</f>
        <v/>
      </c>
      <c r="F895" s="8" t="str">
        <f t="array" ref="F895">IF(891&gt;$S$1204,"",INDEX($T$5:$AJ$1204,MATCH(891,$S$5:$S$1204,0),6))</f>
        <v/>
      </c>
      <c r="G895" s="8" t="str">
        <f t="array" ref="G895">IF(891&gt;$S$1204,"",INDEX($T$5:$AJ$1204,MATCH(891,$S$5:$S$1204,0),7))</f>
        <v/>
      </c>
      <c r="H895" s="8" t="str">
        <f t="array" ref="H895">IF(891&gt;$S$1204,"",INDEX($T$5:$AJ$1204,MATCH(891,$S$5:$S$1204,0),8))</f>
        <v/>
      </c>
      <c r="I895" s="8" t="str">
        <f t="array" ref="I895">IF(891&gt;$S$1204,"",INDEX($T$5:$AJ$1204,MATCH(891,$S$5:$S$1204,0),9))</f>
        <v/>
      </c>
      <c r="J895" s="14" t="str">
        <f t="array" ref="J895">IF(891&gt;$S$1204,"",INDEX($T$5:$AJ$1204,MATCH(891,$S$5:$S$1204,0),10))</f>
        <v/>
      </c>
      <c r="K895" s="8" t="str">
        <f t="array" ref="K895">IF(891&gt;$S$1204,"",INDEX($T$5:$AJ$1204,MATCH(891,$S$5:$S$1204,0),11))</f>
        <v/>
      </c>
      <c r="L895" s="8" t="str">
        <f t="array" ref="L895">IF(891&gt;$S$1204,"",INDEX($T$5:$AJ$1204,MATCH(891,$S$5:$S$1204,0),12))</f>
        <v/>
      </c>
      <c r="M895" s="8" t="str">
        <f t="array" ref="M895">IF(891&gt;$S$1204,"",INDEX($T$5:$AJ$1204,MATCH(891,$S$5:$S$1204,0),13))</f>
        <v/>
      </c>
      <c r="N895" s="8" t="str">
        <f t="array" ref="N895">IF(891&gt;$S$1204,"",INDEX($T$5:$AJ$1204,MATCH(891,$S$5:$S$1204,0),14))</f>
        <v/>
      </c>
      <c r="O895" s="15" t="str">
        <f t="array" ref="O895">IF(891&gt;$S$1204,"",INDEX($T$5:$AJ$1204,MATCH(891,$S$5:$S$1204,0),15))</f>
        <v/>
      </c>
      <c r="P895" s="8" t="str">
        <f t="array" ref="P895">IF(891&gt;$S$1204,"",INDEX($T$5:$AJ$1204,MATCH(891,$S$5:$S$1204,0),16))</f>
        <v/>
      </c>
      <c r="Q895" s="8" t="str">
        <f t="array" ref="Q895">IF(891&gt;$S$1204,"",INDEX($T$5:$AJ$1204,MATCH(891,$S$5:$S$1204,0),17))</f>
        <v/>
      </c>
      <c r="R895" s="17"/>
      <c r="S895" s="17">
        <f>S894+IF(M5_Ocupacion!A100="",0,1)</f>
        <v>0</v>
      </c>
      <c r="T895" s="17" t="str">
        <f>IF(M5_Ocupacion!A100="","",IF(M5_Ocupacion!A100="","",M5_Ocupacion!A100))</f>
        <v/>
      </c>
      <c r="U895" s="17" t="str">
        <f>IF(M5_Ocupacion!A100="","",IF(M5_Ocupacion!R100="","",M5_Ocupacion!R100))</f>
        <v/>
      </c>
      <c r="V895" s="17" t="str">
        <f>IF(M5_Ocupacion!A100="","",IF(M5_Ocupacion!D100="","",M5_Ocupacion!D100))</f>
        <v/>
      </c>
      <c r="W895" s="17" t="str">
        <f>IF(M5_Ocupacion!A100="","",IF(M5_Ocupacion!B100="","",M5_Ocupacion!B100))</f>
        <v/>
      </c>
      <c r="X895" s="17" t="str">
        <f>IF(M5_Ocupacion!A100="","",IF(M5_Ocupacion!C100="","",M5_Ocupacion!C100))</f>
        <v/>
      </c>
      <c r="Y895" s="17" t="str">
        <f>IF(M5_Ocupacion!A100="","",IF(M5_Ocupacion!E100="","",M5_Ocupacion!E100))</f>
        <v/>
      </c>
      <c r="Z895" s="17" t="str">
        <f>IF(M5_Ocupacion!A100="","",IF(M5_Ocupacion!F100="","",M5_Ocupacion!F100))</f>
        <v/>
      </c>
      <c r="AA895" s="17" t="str">
        <f>IF(M5_Ocupacion!A100="","","M5 Ocupación")</f>
        <v/>
      </c>
      <c r="AB895" s="17" t="str">
        <f>IF(M5_Ocupacion!A100="","",IF(M5_Ocupacion!G100="","",M5_Ocupacion!G100))</f>
        <v/>
      </c>
      <c r="AC895" s="17" t="str">
        <f>IF(M5_Ocupacion!A100="","",IF(COUNTIFS(M5_Ocupacion!$A$10:A100,M5_Ocupacion!A100,M5_Ocupacion!$D$10:D100,M5_Ocupacion!D100)=1,IF(M5_Ocupacion!M100="","",M5_Ocupacion!M100),""))</f>
        <v/>
      </c>
      <c r="AD895" s="17" t="str">
        <f>IF(M5_Ocupacion!A100="","","MO")</f>
        <v/>
      </c>
      <c r="AE895" s="17" t="str">
        <f>IF(M5_Ocupacion!A100="","",IF(M5_Ocupacion!O100="","",M5_Ocupacion!O100))</f>
        <v/>
      </c>
      <c r="AF895" s="17" t="str">
        <f>IF(M5_Ocupacion!A100="","",IF(M5_Ocupacion!P100="","",M5_Ocupacion!P100))</f>
        <v/>
      </c>
      <c r="AG895" s="17" t="str">
        <f>IF(M5_Ocupacion!A100="","",IF(M5_Ocupacion!Q100="","",M5_Ocupacion!Q100))</f>
        <v/>
      </c>
      <c r="AH895" s="17" t="str">
        <f>IF(M5_Ocupacion!A100="","",IF(M5_Ocupacion!J100="","",M5_Ocupacion!J100))</f>
        <v/>
      </c>
      <c r="AI895" s="17" t="str">
        <f>IF(M5_Ocupacion!A100="","","M5_Ocupacion!100")</f>
        <v/>
      </c>
      <c r="AJ895" s="17" t="str">
        <f>IF(M5_Ocupacion!A100="","",IF(M5_Ocupacion!M100="","Pendiente de medición completa",IF(COUNTIFS(M5_Ocupacion!$A$10:A100,M5_Ocupacion!A100,M5_Ocupacion!$D$10:D100,M5_Ocupacion!D100)=1,"Promedio de la actividad y fecha","Observación incluida en promedio")))</f>
        <v/>
      </c>
    </row>
    <row r="896" spans="1:36" ht="55.5" customHeight="1">
      <c r="A896" s="6" t="str">
        <f t="array" ref="A896">IF(892&gt;$S$1204,"",INDEX($T$5:$AJ$1204,MATCH(892,$S$5:$S$1204,0),1))</f>
        <v/>
      </c>
      <c r="B896" s="8" t="str">
        <f t="array" ref="B896">IF(892&gt;$S$1204,"",INDEX($T$5:$AJ$1204,MATCH(892,$S$5:$S$1204,0),2))</f>
        <v/>
      </c>
      <c r="C896" s="10" t="str">
        <f t="array" ref="C896">IF(892&gt;$S$1204,"",INDEX($T$5:$AJ$1204,MATCH(892,$S$5:$S$1204,0),3))</f>
        <v/>
      </c>
      <c r="D896" s="8" t="str">
        <f t="array" ref="D896">IF(892&gt;$S$1204,"",INDEX($T$5:$AJ$1204,MATCH(892,$S$5:$S$1204,0),4))</f>
        <v/>
      </c>
      <c r="E896" s="8" t="str">
        <f t="array" ref="E896">IF(892&gt;$S$1204,"",INDEX($T$5:$AJ$1204,MATCH(892,$S$5:$S$1204,0),5))</f>
        <v/>
      </c>
      <c r="F896" s="8" t="str">
        <f t="array" ref="F896">IF(892&gt;$S$1204,"",INDEX($T$5:$AJ$1204,MATCH(892,$S$5:$S$1204,0),6))</f>
        <v/>
      </c>
      <c r="G896" s="8" t="str">
        <f t="array" ref="G896">IF(892&gt;$S$1204,"",INDEX($T$5:$AJ$1204,MATCH(892,$S$5:$S$1204,0),7))</f>
        <v/>
      </c>
      <c r="H896" s="8" t="str">
        <f t="array" ref="H896">IF(892&gt;$S$1204,"",INDEX($T$5:$AJ$1204,MATCH(892,$S$5:$S$1204,0),8))</f>
        <v/>
      </c>
      <c r="I896" s="8" t="str">
        <f t="array" ref="I896">IF(892&gt;$S$1204,"",INDEX($T$5:$AJ$1204,MATCH(892,$S$5:$S$1204,0),9))</f>
        <v/>
      </c>
      <c r="J896" s="14" t="str">
        <f t="array" ref="J896">IF(892&gt;$S$1204,"",INDEX($T$5:$AJ$1204,MATCH(892,$S$5:$S$1204,0),10))</f>
        <v/>
      </c>
      <c r="K896" s="8" t="str">
        <f t="array" ref="K896">IF(892&gt;$S$1204,"",INDEX($T$5:$AJ$1204,MATCH(892,$S$5:$S$1204,0),11))</f>
        <v/>
      </c>
      <c r="L896" s="8" t="str">
        <f t="array" ref="L896">IF(892&gt;$S$1204,"",INDEX($T$5:$AJ$1204,MATCH(892,$S$5:$S$1204,0),12))</f>
        <v/>
      </c>
      <c r="M896" s="8" t="str">
        <f t="array" ref="M896">IF(892&gt;$S$1204,"",INDEX($T$5:$AJ$1204,MATCH(892,$S$5:$S$1204,0),13))</f>
        <v/>
      </c>
      <c r="N896" s="8" t="str">
        <f t="array" ref="N896">IF(892&gt;$S$1204,"",INDEX($T$5:$AJ$1204,MATCH(892,$S$5:$S$1204,0),14))</f>
        <v/>
      </c>
      <c r="O896" s="15" t="str">
        <f t="array" ref="O896">IF(892&gt;$S$1204,"",INDEX($T$5:$AJ$1204,MATCH(892,$S$5:$S$1204,0),15))</f>
        <v/>
      </c>
      <c r="P896" s="8" t="str">
        <f t="array" ref="P896">IF(892&gt;$S$1204,"",INDEX($T$5:$AJ$1204,MATCH(892,$S$5:$S$1204,0),16))</f>
        <v/>
      </c>
      <c r="Q896" s="8" t="str">
        <f t="array" ref="Q896">IF(892&gt;$S$1204,"",INDEX($T$5:$AJ$1204,MATCH(892,$S$5:$S$1204,0),17))</f>
        <v/>
      </c>
      <c r="R896" s="17"/>
      <c r="S896" s="17">
        <f>S895+IF(M5_Ocupacion!A101="",0,1)</f>
        <v>0</v>
      </c>
      <c r="T896" s="17" t="str">
        <f>IF(M5_Ocupacion!A101="","",IF(M5_Ocupacion!A101="","",M5_Ocupacion!A101))</f>
        <v/>
      </c>
      <c r="U896" s="17" t="str">
        <f>IF(M5_Ocupacion!A101="","",IF(M5_Ocupacion!R101="","",M5_Ocupacion!R101))</f>
        <v/>
      </c>
      <c r="V896" s="17" t="str">
        <f>IF(M5_Ocupacion!A101="","",IF(M5_Ocupacion!D101="","",M5_Ocupacion!D101))</f>
        <v/>
      </c>
      <c r="W896" s="17" t="str">
        <f>IF(M5_Ocupacion!A101="","",IF(M5_Ocupacion!B101="","",M5_Ocupacion!B101))</f>
        <v/>
      </c>
      <c r="X896" s="17" t="str">
        <f>IF(M5_Ocupacion!A101="","",IF(M5_Ocupacion!C101="","",M5_Ocupacion!C101))</f>
        <v/>
      </c>
      <c r="Y896" s="17" t="str">
        <f>IF(M5_Ocupacion!A101="","",IF(M5_Ocupacion!E101="","",M5_Ocupacion!E101))</f>
        <v/>
      </c>
      <c r="Z896" s="17" t="str">
        <f>IF(M5_Ocupacion!A101="","",IF(M5_Ocupacion!F101="","",M5_Ocupacion!F101))</f>
        <v/>
      </c>
      <c r="AA896" s="17" t="str">
        <f>IF(M5_Ocupacion!A101="","","M5 Ocupación")</f>
        <v/>
      </c>
      <c r="AB896" s="17" t="str">
        <f>IF(M5_Ocupacion!A101="","",IF(M5_Ocupacion!G101="","",M5_Ocupacion!G101))</f>
        <v/>
      </c>
      <c r="AC896" s="17" t="str">
        <f>IF(M5_Ocupacion!A101="","",IF(COUNTIFS(M5_Ocupacion!$A$10:A101,M5_Ocupacion!A101,M5_Ocupacion!$D$10:D101,M5_Ocupacion!D101)=1,IF(M5_Ocupacion!M101="","",M5_Ocupacion!M101),""))</f>
        <v/>
      </c>
      <c r="AD896" s="17" t="str">
        <f>IF(M5_Ocupacion!A101="","","MO")</f>
        <v/>
      </c>
      <c r="AE896" s="17" t="str">
        <f>IF(M5_Ocupacion!A101="","",IF(M5_Ocupacion!O101="","",M5_Ocupacion!O101))</f>
        <v/>
      </c>
      <c r="AF896" s="17" t="str">
        <f>IF(M5_Ocupacion!A101="","",IF(M5_Ocupacion!P101="","",M5_Ocupacion!P101))</f>
        <v/>
      </c>
      <c r="AG896" s="17" t="str">
        <f>IF(M5_Ocupacion!A101="","",IF(M5_Ocupacion!Q101="","",M5_Ocupacion!Q101))</f>
        <v/>
      </c>
      <c r="AH896" s="17" t="str">
        <f>IF(M5_Ocupacion!A101="","",IF(M5_Ocupacion!J101="","",M5_Ocupacion!J101))</f>
        <v/>
      </c>
      <c r="AI896" s="17" t="str">
        <f>IF(M5_Ocupacion!A101="","","M5_Ocupacion!101")</f>
        <v/>
      </c>
      <c r="AJ896" s="17" t="str">
        <f>IF(M5_Ocupacion!A101="","",IF(M5_Ocupacion!M101="","Pendiente de medición completa",IF(COUNTIFS(M5_Ocupacion!$A$10:A101,M5_Ocupacion!A101,M5_Ocupacion!$D$10:D101,M5_Ocupacion!D101)=1,"Promedio de la actividad y fecha","Observación incluida en promedio")))</f>
        <v/>
      </c>
    </row>
    <row r="897" spans="1:36" ht="55.5" customHeight="1">
      <c r="A897" s="6" t="str">
        <f t="array" ref="A897">IF(893&gt;$S$1204,"",INDEX($T$5:$AJ$1204,MATCH(893,$S$5:$S$1204,0),1))</f>
        <v/>
      </c>
      <c r="B897" s="8" t="str">
        <f t="array" ref="B897">IF(893&gt;$S$1204,"",INDEX($T$5:$AJ$1204,MATCH(893,$S$5:$S$1204,0),2))</f>
        <v/>
      </c>
      <c r="C897" s="10" t="str">
        <f t="array" ref="C897">IF(893&gt;$S$1204,"",INDEX($T$5:$AJ$1204,MATCH(893,$S$5:$S$1204,0),3))</f>
        <v/>
      </c>
      <c r="D897" s="8" t="str">
        <f t="array" ref="D897">IF(893&gt;$S$1204,"",INDEX($T$5:$AJ$1204,MATCH(893,$S$5:$S$1204,0),4))</f>
        <v/>
      </c>
      <c r="E897" s="8" t="str">
        <f t="array" ref="E897">IF(893&gt;$S$1204,"",INDEX($T$5:$AJ$1204,MATCH(893,$S$5:$S$1204,0),5))</f>
        <v/>
      </c>
      <c r="F897" s="8" t="str">
        <f t="array" ref="F897">IF(893&gt;$S$1204,"",INDEX($T$5:$AJ$1204,MATCH(893,$S$5:$S$1204,0),6))</f>
        <v/>
      </c>
      <c r="G897" s="8" t="str">
        <f t="array" ref="G897">IF(893&gt;$S$1204,"",INDEX($T$5:$AJ$1204,MATCH(893,$S$5:$S$1204,0),7))</f>
        <v/>
      </c>
      <c r="H897" s="8" t="str">
        <f t="array" ref="H897">IF(893&gt;$S$1204,"",INDEX($T$5:$AJ$1204,MATCH(893,$S$5:$S$1204,0),8))</f>
        <v/>
      </c>
      <c r="I897" s="8" t="str">
        <f t="array" ref="I897">IF(893&gt;$S$1204,"",INDEX($T$5:$AJ$1204,MATCH(893,$S$5:$S$1204,0),9))</f>
        <v/>
      </c>
      <c r="J897" s="14" t="str">
        <f t="array" ref="J897">IF(893&gt;$S$1204,"",INDEX($T$5:$AJ$1204,MATCH(893,$S$5:$S$1204,0),10))</f>
        <v/>
      </c>
      <c r="K897" s="8" t="str">
        <f t="array" ref="K897">IF(893&gt;$S$1204,"",INDEX($T$5:$AJ$1204,MATCH(893,$S$5:$S$1204,0),11))</f>
        <v/>
      </c>
      <c r="L897" s="8" t="str">
        <f t="array" ref="L897">IF(893&gt;$S$1204,"",INDEX($T$5:$AJ$1204,MATCH(893,$S$5:$S$1204,0),12))</f>
        <v/>
      </c>
      <c r="M897" s="8" t="str">
        <f t="array" ref="M897">IF(893&gt;$S$1204,"",INDEX($T$5:$AJ$1204,MATCH(893,$S$5:$S$1204,0),13))</f>
        <v/>
      </c>
      <c r="N897" s="8" t="str">
        <f t="array" ref="N897">IF(893&gt;$S$1204,"",INDEX($T$5:$AJ$1204,MATCH(893,$S$5:$S$1204,0),14))</f>
        <v/>
      </c>
      <c r="O897" s="15" t="str">
        <f t="array" ref="O897">IF(893&gt;$S$1204,"",INDEX($T$5:$AJ$1204,MATCH(893,$S$5:$S$1204,0),15))</f>
        <v/>
      </c>
      <c r="P897" s="8" t="str">
        <f t="array" ref="P897">IF(893&gt;$S$1204,"",INDEX($T$5:$AJ$1204,MATCH(893,$S$5:$S$1204,0),16))</f>
        <v/>
      </c>
      <c r="Q897" s="8" t="str">
        <f t="array" ref="Q897">IF(893&gt;$S$1204,"",INDEX($T$5:$AJ$1204,MATCH(893,$S$5:$S$1204,0),17))</f>
        <v/>
      </c>
      <c r="R897" s="17"/>
      <c r="S897" s="17">
        <f>S896+IF(M5_Ocupacion!A102="",0,1)</f>
        <v>0</v>
      </c>
      <c r="T897" s="17" t="str">
        <f>IF(M5_Ocupacion!A102="","",IF(M5_Ocupacion!A102="","",M5_Ocupacion!A102))</f>
        <v/>
      </c>
      <c r="U897" s="17" t="str">
        <f>IF(M5_Ocupacion!A102="","",IF(M5_Ocupacion!R102="","",M5_Ocupacion!R102))</f>
        <v/>
      </c>
      <c r="V897" s="17" t="str">
        <f>IF(M5_Ocupacion!A102="","",IF(M5_Ocupacion!D102="","",M5_Ocupacion!D102))</f>
        <v/>
      </c>
      <c r="W897" s="17" t="str">
        <f>IF(M5_Ocupacion!A102="","",IF(M5_Ocupacion!B102="","",M5_Ocupacion!B102))</f>
        <v/>
      </c>
      <c r="X897" s="17" t="str">
        <f>IF(M5_Ocupacion!A102="","",IF(M5_Ocupacion!C102="","",M5_Ocupacion!C102))</f>
        <v/>
      </c>
      <c r="Y897" s="17" t="str">
        <f>IF(M5_Ocupacion!A102="","",IF(M5_Ocupacion!E102="","",M5_Ocupacion!E102))</f>
        <v/>
      </c>
      <c r="Z897" s="17" t="str">
        <f>IF(M5_Ocupacion!A102="","",IF(M5_Ocupacion!F102="","",M5_Ocupacion!F102))</f>
        <v/>
      </c>
      <c r="AA897" s="17" t="str">
        <f>IF(M5_Ocupacion!A102="","","M5 Ocupación")</f>
        <v/>
      </c>
      <c r="AB897" s="17" t="str">
        <f>IF(M5_Ocupacion!A102="","",IF(M5_Ocupacion!G102="","",M5_Ocupacion!G102))</f>
        <v/>
      </c>
      <c r="AC897" s="17" t="str">
        <f>IF(M5_Ocupacion!A102="","",IF(COUNTIFS(M5_Ocupacion!$A$10:A102,M5_Ocupacion!A102,M5_Ocupacion!$D$10:D102,M5_Ocupacion!D102)=1,IF(M5_Ocupacion!M102="","",M5_Ocupacion!M102),""))</f>
        <v/>
      </c>
      <c r="AD897" s="17" t="str">
        <f>IF(M5_Ocupacion!A102="","","MO")</f>
        <v/>
      </c>
      <c r="AE897" s="17" t="str">
        <f>IF(M5_Ocupacion!A102="","",IF(M5_Ocupacion!O102="","",M5_Ocupacion!O102))</f>
        <v/>
      </c>
      <c r="AF897" s="17" t="str">
        <f>IF(M5_Ocupacion!A102="","",IF(M5_Ocupacion!P102="","",M5_Ocupacion!P102))</f>
        <v/>
      </c>
      <c r="AG897" s="17" t="str">
        <f>IF(M5_Ocupacion!A102="","",IF(M5_Ocupacion!Q102="","",M5_Ocupacion!Q102))</f>
        <v/>
      </c>
      <c r="AH897" s="17" t="str">
        <f>IF(M5_Ocupacion!A102="","",IF(M5_Ocupacion!J102="","",M5_Ocupacion!J102))</f>
        <v/>
      </c>
      <c r="AI897" s="17" t="str">
        <f>IF(M5_Ocupacion!A102="","","M5_Ocupacion!102")</f>
        <v/>
      </c>
      <c r="AJ897" s="17" t="str">
        <f>IF(M5_Ocupacion!A102="","",IF(M5_Ocupacion!M102="","Pendiente de medición completa",IF(COUNTIFS(M5_Ocupacion!$A$10:A102,M5_Ocupacion!A102,M5_Ocupacion!$D$10:D102,M5_Ocupacion!D102)=1,"Promedio de la actividad y fecha","Observación incluida en promedio")))</f>
        <v/>
      </c>
    </row>
    <row r="898" spans="1:36" ht="55.5" customHeight="1">
      <c r="A898" s="6" t="str">
        <f t="array" ref="A898">IF(894&gt;$S$1204,"",INDEX($T$5:$AJ$1204,MATCH(894,$S$5:$S$1204,0),1))</f>
        <v/>
      </c>
      <c r="B898" s="8" t="str">
        <f t="array" ref="B898">IF(894&gt;$S$1204,"",INDEX($T$5:$AJ$1204,MATCH(894,$S$5:$S$1204,0),2))</f>
        <v/>
      </c>
      <c r="C898" s="10" t="str">
        <f t="array" ref="C898">IF(894&gt;$S$1204,"",INDEX($T$5:$AJ$1204,MATCH(894,$S$5:$S$1204,0),3))</f>
        <v/>
      </c>
      <c r="D898" s="8" t="str">
        <f t="array" ref="D898">IF(894&gt;$S$1204,"",INDEX($T$5:$AJ$1204,MATCH(894,$S$5:$S$1204,0),4))</f>
        <v/>
      </c>
      <c r="E898" s="8" t="str">
        <f t="array" ref="E898">IF(894&gt;$S$1204,"",INDEX($T$5:$AJ$1204,MATCH(894,$S$5:$S$1204,0),5))</f>
        <v/>
      </c>
      <c r="F898" s="8" t="str">
        <f t="array" ref="F898">IF(894&gt;$S$1204,"",INDEX($T$5:$AJ$1204,MATCH(894,$S$5:$S$1204,0),6))</f>
        <v/>
      </c>
      <c r="G898" s="8" t="str">
        <f t="array" ref="G898">IF(894&gt;$S$1204,"",INDEX($T$5:$AJ$1204,MATCH(894,$S$5:$S$1204,0),7))</f>
        <v/>
      </c>
      <c r="H898" s="8" t="str">
        <f t="array" ref="H898">IF(894&gt;$S$1204,"",INDEX($T$5:$AJ$1204,MATCH(894,$S$5:$S$1204,0),8))</f>
        <v/>
      </c>
      <c r="I898" s="8" t="str">
        <f t="array" ref="I898">IF(894&gt;$S$1204,"",INDEX($T$5:$AJ$1204,MATCH(894,$S$5:$S$1204,0),9))</f>
        <v/>
      </c>
      <c r="J898" s="14" t="str">
        <f t="array" ref="J898">IF(894&gt;$S$1204,"",INDEX($T$5:$AJ$1204,MATCH(894,$S$5:$S$1204,0),10))</f>
        <v/>
      </c>
      <c r="K898" s="8" t="str">
        <f t="array" ref="K898">IF(894&gt;$S$1204,"",INDEX($T$5:$AJ$1204,MATCH(894,$S$5:$S$1204,0),11))</f>
        <v/>
      </c>
      <c r="L898" s="8" t="str">
        <f t="array" ref="L898">IF(894&gt;$S$1204,"",INDEX($T$5:$AJ$1204,MATCH(894,$S$5:$S$1204,0),12))</f>
        <v/>
      </c>
      <c r="M898" s="8" t="str">
        <f t="array" ref="M898">IF(894&gt;$S$1204,"",INDEX($T$5:$AJ$1204,MATCH(894,$S$5:$S$1204,0),13))</f>
        <v/>
      </c>
      <c r="N898" s="8" t="str">
        <f t="array" ref="N898">IF(894&gt;$S$1204,"",INDEX($T$5:$AJ$1204,MATCH(894,$S$5:$S$1204,0),14))</f>
        <v/>
      </c>
      <c r="O898" s="15" t="str">
        <f t="array" ref="O898">IF(894&gt;$S$1204,"",INDEX($T$5:$AJ$1204,MATCH(894,$S$5:$S$1204,0),15))</f>
        <v/>
      </c>
      <c r="P898" s="8" t="str">
        <f t="array" ref="P898">IF(894&gt;$S$1204,"",INDEX($T$5:$AJ$1204,MATCH(894,$S$5:$S$1204,0),16))</f>
        <v/>
      </c>
      <c r="Q898" s="8" t="str">
        <f t="array" ref="Q898">IF(894&gt;$S$1204,"",INDEX($T$5:$AJ$1204,MATCH(894,$S$5:$S$1204,0),17))</f>
        <v/>
      </c>
      <c r="R898" s="17"/>
      <c r="S898" s="17">
        <f>S897+IF(M5_Ocupacion!A103="",0,1)</f>
        <v>0</v>
      </c>
      <c r="T898" s="17" t="str">
        <f>IF(M5_Ocupacion!A103="","",IF(M5_Ocupacion!A103="","",M5_Ocupacion!A103))</f>
        <v/>
      </c>
      <c r="U898" s="17" t="str">
        <f>IF(M5_Ocupacion!A103="","",IF(M5_Ocupacion!R103="","",M5_Ocupacion!R103))</f>
        <v/>
      </c>
      <c r="V898" s="17" t="str">
        <f>IF(M5_Ocupacion!A103="","",IF(M5_Ocupacion!D103="","",M5_Ocupacion!D103))</f>
        <v/>
      </c>
      <c r="W898" s="17" t="str">
        <f>IF(M5_Ocupacion!A103="","",IF(M5_Ocupacion!B103="","",M5_Ocupacion!B103))</f>
        <v/>
      </c>
      <c r="X898" s="17" t="str">
        <f>IF(M5_Ocupacion!A103="","",IF(M5_Ocupacion!C103="","",M5_Ocupacion!C103))</f>
        <v/>
      </c>
      <c r="Y898" s="17" t="str">
        <f>IF(M5_Ocupacion!A103="","",IF(M5_Ocupacion!E103="","",M5_Ocupacion!E103))</f>
        <v/>
      </c>
      <c r="Z898" s="17" t="str">
        <f>IF(M5_Ocupacion!A103="","",IF(M5_Ocupacion!F103="","",M5_Ocupacion!F103))</f>
        <v/>
      </c>
      <c r="AA898" s="17" t="str">
        <f>IF(M5_Ocupacion!A103="","","M5 Ocupación")</f>
        <v/>
      </c>
      <c r="AB898" s="17" t="str">
        <f>IF(M5_Ocupacion!A103="","",IF(M5_Ocupacion!G103="","",M5_Ocupacion!G103))</f>
        <v/>
      </c>
      <c r="AC898" s="17" t="str">
        <f>IF(M5_Ocupacion!A103="","",IF(COUNTIFS(M5_Ocupacion!$A$10:A103,M5_Ocupacion!A103,M5_Ocupacion!$D$10:D103,M5_Ocupacion!D103)=1,IF(M5_Ocupacion!M103="","",M5_Ocupacion!M103),""))</f>
        <v/>
      </c>
      <c r="AD898" s="17" t="str">
        <f>IF(M5_Ocupacion!A103="","","MO")</f>
        <v/>
      </c>
      <c r="AE898" s="17" t="str">
        <f>IF(M5_Ocupacion!A103="","",IF(M5_Ocupacion!O103="","",M5_Ocupacion!O103))</f>
        <v/>
      </c>
      <c r="AF898" s="17" t="str">
        <f>IF(M5_Ocupacion!A103="","",IF(M5_Ocupacion!P103="","",M5_Ocupacion!P103))</f>
        <v/>
      </c>
      <c r="AG898" s="17" t="str">
        <f>IF(M5_Ocupacion!A103="","",IF(M5_Ocupacion!Q103="","",M5_Ocupacion!Q103))</f>
        <v/>
      </c>
      <c r="AH898" s="17" t="str">
        <f>IF(M5_Ocupacion!A103="","",IF(M5_Ocupacion!J103="","",M5_Ocupacion!J103))</f>
        <v/>
      </c>
      <c r="AI898" s="17" t="str">
        <f>IF(M5_Ocupacion!A103="","","M5_Ocupacion!103")</f>
        <v/>
      </c>
      <c r="AJ898" s="17" t="str">
        <f>IF(M5_Ocupacion!A103="","",IF(M5_Ocupacion!M103="","Pendiente de medición completa",IF(COUNTIFS(M5_Ocupacion!$A$10:A103,M5_Ocupacion!A103,M5_Ocupacion!$D$10:D103,M5_Ocupacion!D103)=1,"Promedio de la actividad y fecha","Observación incluida en promedio")))</f>
        <v/>
      </c>
    </row>
    <row r="899" spans="1:36" ht="55.5" customHeight="1">
      <c r="A899" s="6" t="str">
        <f t="array" ref="A899">IF(895&gt;$S$1204,"",INDEX($T$5:$AJ$1204,MATCH(895,$S$5:$S$1204,0),1))</f>
        <v/>
      </c>
      <c r="B899" s="8" t="str">
        <f t="array" ref="B899">IF(895&gt;$S$1204,"",INDEX($T$5:$AJ$1204,MATCH(895,$S$5:$S$1204,0),2))</f>
        <v/>
      </c>
      <c r="C899" s="10" t="str">
        <f t="array" ref="C899">IF(895&gt;$S$1204,"",INDEX($T$5:$AJ$1204,MATCH(895,$S$5:$S$1204,0),3))</f>
        <v/>
      </c>
      <c r="D899" s="8" t="str">
        <f t="array" ref="D899">IF(895&gt;$S$1204,"",INDEX($T$5:$AJ$1204,MATCH(895,$S$5:$S$1204,0),4))</f>
        <v/>
      </c>
      <c r="E899" s="8" t="str">
        <f t="array" ref="E899">IF(895&gt;$S$1204,"",INDEX($T$5:$AJ$1204,MATCH(895,$S$5:$S$1204,0),5))</f>
        <v/>
      </c>
      <c r="F899" s="8" t="str">
        <f t="array" ref="F899">IF(895&gt;$S$1204,"",INDEX($T$5:$AJ$1204,MATCH(895,$S$5:$S$1204,0),6))</f>
        <v/>
      </c>
      <c r="G899" s="8" t="str">
        <f t="array" ref="G899">IF(895&gt;$S$1204,"",INDEX($T$5:$AJ$1204,MATCH(895,$S$5:$S$1204,0),7))</f>
        <v/>
      </c>
      <c r="H899" s="8" t="str">
        <f t="array" ref="H899">IF(895&gt;$S$1204,"",INDEX($T$5:$AJ$1204,MATCH(895,$S$5:$S$1204,0),8))</f>
        <v/>
      </c>
      <c r="I899" s="8" t="str">
        <f t="array" ref="I899">IF(895&gt;$S$1204,"",INDEX($T$5:$AJ$1204,MATCH(895,$S$5:$S$1204,0),9))</f>
        <v/>
      </c>
      <c r="J899" s="14" t="str">
        <f t="array" ref="J899">IF(895&gt;$S$1204,"",INDEX($T$5:$AJ$1204,MATCH(895,$S$5:$S$1204,0),10))</f>
        <v/>
      </c>
      <c r="K899" s="8" t="str">
        <f t="array" ref="K899">IF(895&gt;$S$1204,"",INDEX($T$5:$AJ$1204,MATCH(895,$S$5:$S$1204,0),11))</f>
        <v/>
      </c>
      <c r="L899" s="8" t="str">
        <f t="array" ref="L899">IF(895&gt;$S$1204,"",INDEX($T$5:$AJ$1204,MATCH(895,$S$5:$S$1204,0),12))</f>
        <v/>
      </c>
      <c r="M899" s="8" t="str">
        <f t="array" ref="M899">IF(895&gt;$S$1204,"",INDEX($T$5:$AJ$1204,MATCH(895,$S$5:$S$1204,0),13))</f>
        <v/>
      </c>
      <c r="N899" s="8" t="str">
        <f t="array" ref="N899">IF(895&gt;$S$1204,"",INDEX($T$5:$AJ$1204,MATCH(895,$S$5:$S$1204,0),14))</f>
        <v/>
      </c>
      <c r="O899" s="15" t="str">
        <f t="array" ref="O899">IF(895&gt;$S$1204,"",INDEX($T$5:$AJ$1204,MATCH(895,$S$5:$S$1204,0),15))</f>
        <v/>
      </c>
      <c r="P899" s="8" t="str">
        <f t="array" ref="P899">IF(895&gt;$S$1204,"",INDEX($T$5:$AJ$1204,MATCH(895,$S$5:$S$1204,0),16))</f>
        <v/>
      </c>
      <c r="Q899" s="8" t="str">
        <f t="array" ref="Q899">IF(895&gt;$S$1204,"",INDEX($T$5:$AJ$1204,MATCH(895,$S$5:$S$1204,0),17))</f>
        <v/>
      </c>
      <c r="R899" s="17"/>
      <c r="S899" s="17">
        <f>S898+IF(M5_Ocupacion!A104="",0,1)</f>
        <v>0</v>
      </c>
      <c r="T899" s="17" t="str">
        <f>IF(M5_Ocupacion!A104="","",IF(M5_Ocupacion!A104="","",M5_Ocupacion!A104))</f>
        <v/>
      </c>
      <c r="U899" s="17" t="str">
        <f>IF(M5_Ocupacion!A104="","",IF(M5_Ocupacion!R104="","",M5_Ocupacion!R104))</f>
        <v/>
      </c>
      <c r="V899" s="17" t="str">
        <f>IF(M5_Ocupacion!A104="","",IF(M5_Ocupacion!D104="","",M5_Ocupacion!D104))</f>
        <v/>
      </c>
      <c r="W899" s="17" t="str">
        <f>IF(M5_Ocupacion!A104="","",IF(M5_Ocupacion!B104="","",M5_Ocupacion!B104))</f>
        <v/>
      </c>
      <c r="X899" s="17" t="str">
        <f>IF(M5_Ocupacion!A104="","",IF(M5_Ocupacion!C104="","",M5_Ocupacion!C104))</f>
        <v/>
      </c>
      <c r="Y899" s="17" t="str">
        <f>IF(M5_Ocupacion!A104="","",IF(M5_Ocupacion!E104="","",M5_Ocupacion!E104))</f>
        <v/>
      </c>
      <c r="Z899" s="17" t="str">
        <f>IF(M5_Ocupacion!A104="","",IF(M5_Ocupacion!F104="","",M5_Ocupacion!F104))</f>
        <v/>
      </c>
      <c r="AA899" s="17" t="str">
        <f>IF(M5_Ocupacion!A104="","","M5 Ocupación")</f>
        <v/>
      </c>
      <c r="AB899" s="17" t="str">
        <f>IF(M5_Ocupacion!A104="","",IF(M5_Ocupacion!G104="","",M5_Ocupacion!G104))</f>
        <v/>
      </c>
      <c r="AC899" s="17" t="str">
        <f>IF(M5_Ocupacion!A104="","",IF(COUNTIFS(M5_Ocupacion!$A$10:A104,M5_Ocupacion!A104,M5_Ocupacion!$D$10:D104,M5_Ocupacion!D104)=1,IF(M5_Ocupacion!M104="","",M5_Ocupacion!M104),""))</f>
        <v/>
      </c>
      <c r="AD899" s="17" t="str">
        <f>IF(M5_Ocupacion!A104="","","MO")</f>
        <v/>
      </c>
      <c r="AE899" s="17" t="str">
        <f>IF(M5_Ocupacion!A104="","",IF(M5_Ocupacion!O104="","",M5_Ocupacion!O104))</f>
        <v/>
      </c>
      <c r="AF899" s="17" t="str">
        <f>IF(M5_Ocupacion!A104="","",IF(M5_Ocupacion!P104="","",M5_Ocupacion!P104))</f>
        <v/>
      </c>
      <c r="AG899" s="17" t="str">
        <f>IF(M5_Ocupacion!A104="","",IF(M5_Ocupacion!Q104="","",M5_Ocupacion!Q104))</f>
        <v/>
      </c>
      <c r="AH899" s="17" t="str">
        <f>IF(M5_Ocupacion!A104="","",IF(M5_Ocupacion!J104="","",M5_Ocupacion!J104))</f>
        <v/>
      </c>
      <c r="AI899" s="17" t="str">
        <f>IF(M5_Ocupacion!A104="","","M5_Ocupacion!104")</f>
        <v/>
      </c>
      <c r="AJ899" s="17" t="str">
        <f>IF(M5_Ocupacion!A104="","",IF(M5_Ocupacion!M104="","Pendiente de medición completa",IF(COUNTIFS(M5_Ocupacion!$A$10:A104,M5_Ocupacion!A104,M5_Ocupacion!$D$10:D104,M5_Ocupacion!D104)=1,"Promedio de la actividad y fecha","Observación incluida en promedio")))</f>
        <v/>
      </c>
    </row>
    <row r="900" spans="1:36" ht="55.5" customHeight="1">
      <c r="A900" s="6" t="str">
        <f t="array" ref="A900">IF(896&gt;$S$1204,"",INDEX($T$5:$AJ$1204,MATCH(896,$S$5:$S$1204,0),1))</f>
        <v/>
      </c>
      <c r="B900" s="8" t="str">
        <f t="array" ref="B900">IF(896&gt;$S$1204,"",INDEX($T$5:$AJ$1204,MATCH(896,$S$5:$S$1204,0),2))</f>
        <v/>
      </c>
      <c r="C900" s="10" t="str">
        <f t="array" ref="C900">IF(896&gt;$S$1204,"",INDEX($T$5:$AJ$1204,MATCH(896,$S$5:$S$1204,0),3))</f>
        <v/>
      </c>
      <c r="D900" s="8" t="str">
        <f t="array" ref="D900">IF(896&gt;$S$1204,"",INDEX($T$5:$AJ$1204,MATCH(896,$S$5:$S$1204,0),4))</f>
        <v/>
      </c>
      <c r="E900" s="8" t="str">
        <f t="array" ref="E900">IF(896&gt;$S$1204,"",INDEX($T$5:$AJ$1204,MATCH(896,$S$5:$S$1204,0),5))</f>
        <v/>
      </c>
      <c r="F900" s="8" t="str">
        <f t="array" ref="F900">IF(896&gt;$S$1204,"",INDEX($T$5:$AJ$1204,MATCH(896,$S$5:$S$1204,0),6))</f>
        <v/>
      </c>
      <c r="G900" s="8" t="str">
        <f t="array" ref="G900">IF(896&gt;$S$1204,"",INDEX($T$5:$AJ$1204,MATCH(896,$S$5:$S$1204,0),7))</f>
        <v/>
      </c>
      <c r="H900" s="8" t="str">
        <f t="array" ref="H900">IF(896&gt;$S$1204,"",INDEX($T$5:$AJ$1204,MATCH(896,$S$5:$S$1204,0),8))</f>
        <v/>
      </c>
      <c r="I900" s="8" t="str">
        <f t="array" ref="I900">IF(896&gt;$S$1204,"",INDEX($T$5:$AJ$1204,MATCH(896,$S$5:$S$1204,0),9))</f>
        <v/>
      </c>
      <c r="J900" s="14" t="str">
        <f t="array" ref="J900">IF(896&gt;$S$1204,"",INDEX($T$5:$AJ$1204,MATCH(896,$S$5:$S$1204,0),10))</f>
        <v/>
      </c>
      <c r="K900" s="8" t="str">
        <f t="array" ref="K900">IF(896&gt;$S$1204,"",INDEX($T$5:$AJ$1204,MATCH(896,$S$5:$S$1204,0),11))</f>
        <v/>
      </c>
      <c r="L900" s="8" t="str">
        <f t="array" ref="L900">IF(896&gt;$S$1204,"",INDEX($T$5:$AJ$1204,MATCH(896,$S$5:$S$1204,0),12))</f>
        <v/>
      </c>
      <c r="M900" s="8" t="str">
        <f t="array" ref="M900">IF(896&gt;$S$1204,"",INDEX($T$5:$AJ$1204,MATCH(896,$S$5:$S$1204,0),13))</f>
        <v/>
      </c>
      <c r="N900" s="8" t="str">
        <f t="array" ref="N900">IF(896&gt;$S$1204,"",INDEX($T$5:$AJ$1204,MATCH(896,$S$5:$S$1204,0),14))</f>
        <v/>
      </c>
      <c r="O900" s="15" t="str">
        <f t="array" ref="O900">IF(896&gt;$S$1204,"",INDEX($T$5:$AJ$1204,MATCH(896,$S$5:$S$1204,0),15))</f>
        <v/>
      </c>
      <c r="P900" s="8" t="str">
        <f t="array" ref="P900">IF(896&gt;$S$1204,"",INDEX($T$5:$AJ$1204,MATCH(896,$S$5:$S$1204,0),16))</f>
        <v/>
      </c>
      <c r="Q900" s="8" t="str">
        <f t="array" ref="Q900">IF(896&gt;$S$1204,"",INDEX($T$5:$AJ$1204,MATCH(896,$S$5:$S$1204,0),17))</f>
        <v/>
      </c>
      <c r="R900" s="17"/>
      <c r="S900" s="17">
        <f>S899+IF(M5_Ocupacion!A105="",0,1)</f>
        <v>0</v>
      </c>
      <c r="T900" s="17" t="str">
        <f>IF(M5_Ocupacion!A105="","",IF(M5_Ocupacion!A105="","",M5_Ocupacion!A105))</f>
        <v/>
      </c>
      <c r="U900" s="17" t="str">
        <f>IF(M5_Ocupacion!A105="","",IF(M5_Ocupacion!R105="","",M5_Ocupacion!R105))</f>
        <v/>
      </c>
      <c r="V900" s="17" t="str">
        <f>IF(M5_Ocupacion!A105="","",IF(M5_Ocupacion!D105="","",M5_Ocupacion!D105))</f>
        <v/>
      </c>
      <c r="W900" s="17" t="str">
        <f>IF(M5_Ocupacion!A105="","",IF(M5_Ocupacion!B105="","",M5_Ocupacion!B105))</f>
        <v/>
      </c>
      <c r="X900" s="17" t="str">
        <f>IF(M5_Ocupacion!A105="","",IF(M5_Ocupacion!C105="","",M5_Ocupacion!C105))</f>
        <v/>
      </c>
      <c r="Y900" s="17" t="str">
        <f>IF(M5_Ocupacion!A105="","",IF(M5_Ocupacion!E105="","",M5_Ocupacion!E105))</f>
        <v/>
      </c>
      <c r="Z900" s="17" t="str">
        <f>IF(M5_Ocupacion!A105="","",IF(M5_Ocupacion!F105="","",M5_Ocupacion!F105))</f>
        <v/>
      </c>
      <c r="AA900" s="17" t="str">
        <f>IF(M5_Ocupacion!A105="","","M5 Ocupación")</f>
        <v/>
      </c>
      <c r="AB900" s="17" t="str">
        <f>IF(M5_Ocupacion!A105="","",IF(M5_Ocupacion!G105="","",M5_Ocupacion!G105))</f>
        <v/>
      </c>
      <c r="AC900" s="17" t="str">
        <f>IF(M5_Ocupacion!A105="","",IF(COUNTIFS(M5_Ocupacion!$A$10:A105,M5_Ocupacion!A105,M5_Ocupacion!$D$10:D105,M5_Ocupacion!D105)=1,IF(M5_Ocupacion!M105="","",M5_Ocupacion!M105),""))</f>
        <v/>
      </c>
      <c r="AD900" s="17" t="str">
        <f>IF(M5_Ocupacion!A105="","","MO")</f>
        <v/>
      </c>
      <c r="AE900" s="17" t="str">
        <f>IF(M5_Ocupacion!A105="","",IF(M5_Ocupacion!O105="","",M5_Ocupacion!O105))</f>
        <v/>
      </c>
      <c r="AF900" s="17" t="str">
        <f>IF(M5_Ocupacion!A105="","",IF(M5_Ocupacion!P105="","",M5_Ocupacion!P105))</f>
        <v/>
      </c>
      <c r="AG900" s="17" t="str">
        <f>IF(M5_Ocupacion!A105="","",IF(M5_Ocupacion!Q105="","",M5_Ocupacion!Q105))</f>
        <v/>
      </c>
      <c r="AH900" s="17" t="str">
        <f>IF(M5_Ocupacion!A105="","",IF(M5_Ocupacion!J105="","",M5_Ocupacion!J105))</f>
        <v/>
      </c>
      <c r="AI900" s="17" t="str">
        <f>IF(M5_Ocupacion!A105="","","M5_Ocupacion!105")</f>
        <v/>
      </c>
      <c r="AJ900" s="17" t="str">
        <f>IF(M5_Ocupacion!A105="","",IF(M5_Ocupacion!M105="","Pendiente de medición completa",IF(COUNTIFS(M5_Ocupacion!$A$10:A105,M5_Ocupacion!A105,M5_Ocupacion!$D$10:D105,M5_Ocupacion!D105)=1,"Promedio de la actividad y fecha","Observación incluida en promedio")))</f>
        <v/>
      </c>
    </row>
    <row r="901" spans="1:36" ht="55.5" customHeight="1">
      <c r="A901" s="6" t="str">
        <f t="array" ref="A901">IF(897&gt;$S$1204,"",INDEX($T$5:$AJ$1204,MATCH(897,$S$5:$S$1204,0),1))</f>
        <v/>
      </c>
      <c r="B901" s="8" t="str">
        <f t="array" ref="B901">IF(897&gt;$S$1204,"",INDEX($T$5:$AJ$1204,MATCH(897,$S$5:$S$1204,0),2))</f>
        <v/>
      </c>
      <c r="C901" s="10" t="str">
        <f t="array" ref="C901">IF(897&gt;$S$1204,"",INDEX($T$5:$AJ$1204,MATCH(897,$S$5:$S$1204,0),3))</f>
        <v/>
      </c>
      <c r="D901" s="8" t="str">
        <f t="array" ref="D901">IF(897&gt;$S$1204,"",INDEX($T$5:$AJ$1204,MATCH(897,$S$5:$S$1204,0),4))</f>
        <v/>
      </c>
      <c r="E901" s="8" t="str">
        <f t="array" ref="E901">IF(897&gt;$S$1204,"",INDEX($T$5:$AJ$1204,MATCH(897,$S$5:$S$1204,0),5))</f>
        <v/>
      </c>
      <c r="F901" s="8" t="str">
        <f t="array" ref="F901">IF(897&gt;$S$1204,"",INDEX($T$5:$AJ$1204,MATCH(897,$S$5:$S$1204,0),6))</f>
        <v/>
      </c>
      <c r="G901" s="8" t="str">
        <f t="array" ref="G901">IF(897&gt;$S$1204,"",INDEX($T$5:$AJ$1204,MATCH(897,$S$5:$S$1204,0),7))</f>
        <v/>
      </c>
      <c r="H901" s="8" t="str">
        <f t="array" ref="H901">IF(897&gt;$S$1204,"",INDEX($T$5:$AJ$1204,MATCH(897,$S$5:$S$1204,0),8))</f>
        <v/>
      </c>
      <c r="I901" s="8" t="str">
        <f t="array" ref="I901">IF(897&gt;$S$1204,"",INDEX($T$5:$AJ$1204,MATCH(897,$S$5:$S$1204,0),9))</f>
        <v/>
      </c>
      <c r="J901" s="14" t="str">
        <f t="array" ref="J901">IF(897&gt;$S$1204,"",INDEX($T$5:$AJ$1204,MATCH(897,$S$5:$S$1204,0),10))</f>
        <v/>
      </c>
      <c r="K901" s="8" t="str">
        <f t="array" ref="K901">IF(897&gt;$S$1204,"",INDEX($T$5:$AJ$1204,MATCH(897,$S$5:$S$1204,0),11))</f>
        <v/>
      </c>
      <c r="L901" s="8" t="str">
        <f t="array" ref="L901">IF(897&gt;$S$1204,"",INDEX($T$5:$AJ$1204,MATCH(897,$S$5:$S$1204,0),12))</f>
        <v/>
      </c>
      <c r="M901" s="8" t="str">
        <f t="array" ref="M901">IF(897&gt;$S$1204,"",INDEX($T$5:$AJ$1204,MATCH(897,$S$5:$S$1204,0),13))</f>
        <v/>
      </c>
      <c r="N901" s="8" t="str">
        <f t="array" ref="N901">IF(897&gt;$S$1204,"",INDEX($T$5:$AJ$1204,MATCH(897,$S$5:$S$1204,0),14))</f>
        <v/>
      </c>
      <c r="O901" s="15" t="str">
        <f t="array" ref="O901">IF(897&gt;$S$1204,"",INDEX($T$5:$AJ$1204,MATCH(897,$S$5:$S$1204,0),15))</f>
        <v/>
      </c>
      <c r="P901" s="8" t="str">
        <f t="array" ref="P901">IF(897&gt;$S$1204,"",INDEX($T$5:$AJ$1204,MATCH(897,$S$5:$S$1204,0),16))</f>
        <v/>
      </c>
      <c r="Q901" s="8" t="str">
        <f t="array" ref="Q901">IF(897&gt;$S$1204,"",INDEX($T$5:$AJ$1204,MATCH(897,$S$5:$S$1204,0),17))</f>
        <v/>
      </c>
      <c r="R901" s="17"/>
      <c r="S901" s="17">
        <f>S900+IF(M5_Ocupacion!A106="",0,1)</f>
        <v>0</v>
      </c>
      <c r="T901" s="17" t="str">
        <f>IF(M5_Ocupacion!A106="","",IF(M5_Ocupacion!A106="","",M5_Ocupacion!A106))</f>
        <v/>
      </c>
      <c r="U901" s="17" t="str">
        <f>IF(M5_Ocupacion!A106="","",IF(M5_Ocupacion!R106="","",M5_Ocupacion!R106))</f>
        <v/>
      </c>
      <c r="V901" s="17" t="str">
        <f>IF(M5_Ocupacion!A106="","",IF(M5_Ocupacion!D106="","",M5_Ocupacion!D106))</f>
        <v/>
      </c>
      <c r="W901" s="17" t="str">
        <f>IF(M5_Ocupacion!A106="","",IF(M5_Ocupacion!B106="","",M5_Ocupacion!B106))</f>
        <v/>
      </c>
      <c r="X901" s="17" t="str">
        <f>IF(M5_Ocupacion!A106="","",IF(M5_Ocupacion!C106="","",M5_Ocupacion!C106))</f>
        <v/>
      </c>
      <c r="Y901" s="17" t="str">
        <f>IF(M5_Ocupacion!A106="","",IF(M5_Ocupacion!E106="","",M5_Ocupacion!E106))</f>
        <v/>
      </c>
      <c r="Z901" s="17" t="str">
        <f>IF(M5_Ocupacion!A106="","",IF(M5_Ocupacion!F106="","",M5_Ocupacion!F106))</f>
        <v/>
      </c>
      <c r="AA901" s="17" t="str">
        <f>IF(M5_Ocupacion!A106="","","M5 Ocupación")</f>
        <v/>
      </c>
      <c r="AB901" s="17" t="str">
        <f>IF(M5_Ocupacion!A106="","",IF(M5_Ocupacion!G106="","",M5_Ocupacion!G106))</f>
        <v/>
      </c>
      <c r="AC901" s="17" t="str">
        <f>IF(M5_Ocupacion!A106="","",IF(COUNTIFS(M5_Ocupacion!$A$10:A106,M5_Ocupacion!A106,M5_Ocupacion!$D$10:D106,M5_Ocupacion!D106)=1,IF(M5_Ocupacion!M106="","",M5_Ocupacion!M106),""))</f>
        <v/>
      </c>
      <c r="AD901" s="17" t="str">
        <f>IF(M5_Ocupacion!A106="","","MO")</f>
        <v/>
      </c>
      <c r="AE901" s="17" t="str">
        <f>IF(M5_Ocupacion!A106="","",IF(M5_Ocupacion!O106="","",M5_Ocupacion!O106))</f>
        <v/>
      </c>
      <c r="AF901" s="17" t="str">
        <f>IF(M5_Ocupacion!A106="","",IF(M5_Ocupacion!P106="","",M5_Ocupacion!P106))</f>
        <v/>
      </c>
      <c r="AG901" s="17" t="str">
        <f>IF(M5_Ocupacion!A106="","",IF(M5_Ocupacion!Q106="","",M5_Ocupacion!Q106))</f>
        <v/>
      </c>
      <c r="AH901" s="17" t="str">
        <f>IF(M5_Ocupacion!A106="","",IF(M5_Ocupacion!J106="","",M5_Ocupacion!J106))</f>
        <v/>
      </c>
      <c r="AI901" s="17" t="str">
        <f>IF(M5_Ocupacion!A106="","","M5_Ocupacion!106")</f>
        <v/>
      </c>
      <c r="AJ901" s="17" t="str">
        <f>IF(M5_Ocupacion!A106="","",IF(M5_Ocupacion!M106="","Pendiente de medición completa",IF(COUNTIFS(M5_Ocupacion!$A$10:A106,M5_Ocupacion!A106,M5_Ocupacion!$D$10:D106,M5_Ocupacion!D106)=1,"Promedio de la actividad y fecha","Observación incluida en promedio")))</f>
        <v/>
      </c>
    </row>
    <row r="902" spans="1:36" ht="55.5" customHeight="1">
      <c r="A902" s="6" t="str">
        <f t="array" ref="A902">IF(898&gt;$S$1204,"",INDEX($T$5:$AJ$1204,MATCH(898,$S$5:$S$1204,0),1))</f>
        <v/>
      </c>
      <c r="B902" s="8" t="str">
        <f t="array" ref="B902">IF(898&gt;$S$1204,"",INDEX($T$5:$AJ$1204,MATCH(898,$S$5:$S$1204,0),2))</f>
        <v/>
      </c>
      <c r="C902" s="10" t="str">
        <f t="array" ref="C902">IF(898&gt;$S$1204,"",INDEX($T$5:$AJ$1204,MATCH(898,$S$5:$S$1204,0),3))</f>
        <v/>
      </c>
      <c r="D902" s="8" t="str">
        <f t="array" ref="D902">IF(898&gt;$S$1204,"",INDEX($T$5:$AJ$1204,MATCH(898,$S$5:$S$1204,0),4))</f>
        <v/>
      </c>
      <c r="E902" s="8" t="str">
        <f t="array" ref="E902">IF(898&gt;$S$1204,"",INDEX($T$5:$AJ$1204,MATCH(898,$S$5:$S$1204,0),5))</f>
        <v/>
      </c>
      <c r="F902" s="8" t="str">
        <f t="array" ref="F902">IF(898&gt;$S$1204,"",INDEX($T$5:$AJ$1204,MATCH(898,$S$5:$S$1204,0),6))</f>
        <v/>
      </c>
      <c r="G902" s="8" t="str">
        <f t="array" ref="G902">IF(898&gt;$S$1204,"",INDEX($T$5:$AJ$1204,MATCH(898,$S$5:$S$1204,0),7))</f>
        <v/>
      </c>
      <c r="H902" s="8" t="str">
        <f t="array" ref="H902">IF(898&gt;$S$1204,"",INDEX($T$5:$AJ$1204,MATCH(898,$S$5:$S$1204,0),8))</f>
        <v/>
      </c>
      <c r="I902" s="8" t="str">
        <f t="array" ref="I902">IF(898&gt;$S$1204,"",INDEX($T$5:$AJ$1204,MATCH(898,$S$5:$S$1204,0),9))</f>
        <v/>
      </c>
      <c r="J902" s="14" t="str">
        <f t="array" ref="J902">IF(898&gt;$S$1204,"",INDEX($T$5:$AJ$1204,MATCH(898,$S$5:$S$1204,0),10))</f>
        <v/>
      </c>
      <c r="K902" s="8" t="str">
        <f t="array" ref="K902">IF(898&gt;$S$1204,"",INDEX($T$5:$AJ$1204,MATCH(898,$S$5:$S$1204,0),11))</f>
        <v/>
      </c>
      <c r="L902" s="8" t="str">
        <f t="array" ref="L902">IF(898&gt;$S$1204,"",INDEX($T$5:$AJ$1204,MATCH(898,$S$5:$S$1204,0),12))</f>
        <v/>
      </c>
      <c r="M902" s="8" t="str">
        <f t="array" ref="M902">IF(898&gt;$S$1204,"",INDEX($T$5:$AJ$1204,MATCH(898,$S$5:$S$1204,0),13))</f>
        <v/>
      </c>
      <c r="N902" s="8" t="str">
        <f t="array" ref="N902">IF(898&gt;$S$1204,"",INDEX($T$5:$AJ$1204,MATCH(898,$S$5:$S$1204,0),14))</f>
        <v/>
      </c>
      <c r="O902" s="15" t="str">
        <f t="array" ref="O902">IF(898&gt;$S$1204,"",INDEX($T$5:$AJ$1204,MATCH(898,$S$5:$S$1204,0),15))</f>
        <v/>
      </c>
      <c r="P902" s="8" t="str">
        <f t="array" ref="P902">IF(898&gt;$S$1204,"",INDEX($T$5:$AJ$1204,MATCH(898,$S$5:$S$1204,0),16))</f>
        <v/>
      </c>
      <c r="Q902" s="8" t="str">
        <f t="array" ref="Q902">IF(898&gt;$S$1204,"",INDEX($T$5:$AJ$1204,MATCH(898,$S$5:$S$1204,0),17))</f>
        <v/>
      </c>
      <c r="R902" s="17"/>
      <c r="S902" s="17">
        <f>S901+IF(M5_Ocupacion!A107="",0,1)</f>
        <v>0</v>
      </c>
      <c r="T902" s="17" t="str">
        <f>IF(M5_Ocupacion!A107="","",IF(M5_Ocupacion!A107="","",M5_Ocupacion!A107))</f>
        <v/>
      </c>
      <c r="U902" s="17" t="str">
        <f>IF(M5_Ocupacion!A107="","",IF(M5_Ocupacion!R107="","",M5_Ocupacion!R107))</f>
        <v/>
      </c>
      <c r="V902" s="17" t="str">
        <f>IF(M5_Ocupacion!A107="","",IF(M5_Ocupacion!D107="","",M5_Ocupacion!D107))</f>
        <v/>
      </c>
      <c r="W902" s="17" t="str">
        <f>IF(M5_Ocupacion!A107="","",IF(M5_Ocupacion!B107="","",M5_Ocupacion!B107))</f>
        <v/>
      </c>
      <c r="X902" s="17" t="str">
        <f>IF(M5_Ocupacion!A107="","",IF(M5_Ocupacion!C107="","",M5_Ocupacion!C107))</f>
        <v/>
      </c>
      <c r="Y902" s="17" t="str">
        <f>IF(M5_Ocupacion!A107="","",IF(M5_Ocupacion!E107="","",M5_Ocupacion!E107))</f>
        <v/>
      </c>
      <c r="Z902" s="17" t="str">
        <f>IF(M5_Ocupacion!A107="","",IF(M5_Ocupacion!F107="","",M5_Ocupacion!F107))</f>
        <v/>
      </c>
      <c r="AA902" s="17" t="str">
        <f>IF(M5_Ocupacion!A107="","","M5 Ocupación")</f>
        <v/>
      </c>
      <c r="AB902" s="17" t="str">
        <f>IF(M5_Ocupacion!A107="","",IF(M5_Ocupacion!G107="","",M5_Ocupacion!G107))</f>
        <v/>
      </c>
      <c r="AC902" s="17" t="str">
        <f>IF(M5_Ocupacion!A107="","",IF(COUNTIFS(M5_Ocupacion!$A$10:A107,M5_Ocupacion!A107,M5_Ocupacion!$D$10:D107,M5_Ocupacion!D107)=1,IF(M5_Ocupacion!M107="","",M5_Ocupacion!M107),""))</f>
        <v/>
      </c>
      <c r="AD902" s="17" t="str">
        <f>IF(M5_Ocupacion!A107="","","MO")</f>
        <v/>
      </c>
      <c r="AE902" s="17" t="str">
        <f>IF(M5_Ocupacion!A107="","",IF(M5_Ocupacion!O107="","",M5_Ocupacion!O107))</f>
        <v/>
      </c>
      <c r="AF902" s="17" t="str">
        <f>IF(M5_Ocupacion!A107="","",IF(M5_Ocupacion!P107="","",M5_Ocupacion!P107))</f>
        <v/>
      </c>
      <c r="AG902" s="17" t="str">
        <f>IF(M5_Ocupacion!A107="","",IF(M5_Ocupacion!Q107="","",M5_Ocupacion!Q107))</f>
        <v/>
      </c>
      <c r="AH902" s="17" t="str">
        <f>IF(M5_Ocupacion!A107="","",IF(M5_Ocupacion!J107="","",M5_Ocupacion!J107))</f>
        <v/>
      </c>
      <c r="AI902" s="17" t="str">
        <f>IF(M5_Ocupacion!A107="","","M5_Ocupacion!107")</f>
        <v/>
      </c>
      <c r="AJ902" s="17" t="str">
        <f>IF(M5_Ocupacion!A107="","",IF(M5_Ocupacion!M107="","Pendiente de medición completa",IF(COUNTIFS(M5_Ocupacion!$A$10:A107,M5_Ocupacion!A107,M5_Ocupacion!$D$10:D107,M5_Ocupacion!D107)=1,"Promedio de la actividad y fecha","Observación incluida en promedio")))</f>
        <v/>
      </c>
    </row>
    <row r="903" spans="1:36" ht="55.5" customHeight="1">
      <c r="A903" s="6" t="str">
        <f t="array" ref="A903">IF(899&gt;$S$1204,"",INDEX($T$5:$AJ$1204,MATCH(899,$S$5:$S$1204,0),1))</f>
        <v/>
      </c>
      <c r="B903" s="8" t="str">
        <f t="array" ref="B903">IF(899&gt;$S$1204,"",INDEX($T$5:$AJ$1204,MATCH(899,$S$5:$S$1204,0),2))</f>
        <v/>
      </c>
      <c r="C903" s="10" t="str">
        <f t="array" ref="C903">IF(899&gt;$S$1204,"",INDEX($T$5:$AJ$1204,MATCH(899,$S$5:$S$1204,0),3))</f>
        <v/>
      </c>
      <c r="D903" s="8" t="str">
        <f t="array" ref="D903">IF(899&gt;$S$1204,"",INDEX($T$5:$AJ$1204,MATCH(899,$S$5:$S$1204,0),4))</f>
        <v/>
      </c>
      <c r="E903" s="8" t="str">
        <f t="array" ref="E903">IF(899&gt;$S$1204,"",INDEX($T$5:$AJ$1204,MATCH(899,$S$5:$S$1204,0),5))</f>
        <v/>
      </c>
      <c r="F903" s="8" t="str">
        <f t="array" ref="F903">IF(899&gt;$S$1204,"",INDEX($T$5:$AJ$1204,MATCH(899,$S$5:$S$1204,0),6))</f>
        <v/>
      </c>
      <c r="G903" s="8" t="str">
        <f t="array" ref="G903">IF(899&gt;$S$1204,"",INDEX($T$5:$AJ$1204,MATCH(899,$S$5:$S$1204,0),7))</f>
        <v/>
      </c>
      <c r="H903" s="8" t="str">
        <f t="array" ref="H903">IF(899&gt;$S$1204,"",INDEX($T$5:$AJ$1204,MATCH(899,$S$5:$S$1204,0),8))</f>
        <v/>
      </c>
      <c r="I903" s="8" t="str">
        <f t="array" ref="I903">IF(899&gt;$S$1204,"",INDEX($T$5:$AJ$1204,MATCH(899,$S$5:$S$1204,0),9))</f>
        <v/>
      </c>
      <c r="J903" s="14" t="str">
        <f t="array" ref="J903">IF(899&gt;$S$1204,"",INDEX($T$5:$AJ$1204,MATCH(899,$S$5:$S$1204,0),10))</f>
        <v/>
      </c>
      <c r="K903" s="8" t="str">
        <f t="array" ref="K903">IF(899&gt;$S$1204,"",INDEX($T$5:$AJ$1204,MATCH(899,$S$5:$S$1204,0),11))</f>
        <v/>
      </c>
      <c r="L903" s="8" t="str">
        <f t="array" ref="L903">IF(899&gt;$S$1204,"",INDEX($T$5:$AJ$1204,MATCH(899,$S$5:$S$1204,0),12))</f>
        <v/>
      </c>
      <c r="M903" s="8" t="str">
        <f t="array" ref="M903">IF(899&gt;$S$1204,"",INDEX($T$5:$AJ$1204,MATCH(899,$S$5:$S$1204,0),13))</f>
        <v/>
      </c>
      <c r="N903" s="8" t="str">
        <f t="array" ref="N903">IF(899&gt;$S$1204,"",INDEX($T$5:$AJ$1204,MATCH(899,$S$5:$S$1204,0),14))</f>
        <v/>
      </c>
      <c r="O903" s="15" t="str">
        <f t="array" ref="O903">IF(899&gt;$S$1204,"",INDEX($T$5:$AJ$1204,MATCH(899,$S$5:$S$1204,0),15))</f>
        <v/>
      </c>
      <c r="P903" s="8" t="str">
        <f t="array" ref="P903">IF(899&gt;$S$1204,"",INDEX($T$5:$AJ$1204,MATCH(899,$S$5:$S$1204,0),16))</f>
        <v/>
      </c>
      <c r="Q903" s="8" t="str">
        <f t="array" ref="Q903">IF(899&gt;$S$1204,"",INDEX($T$5:$AJ$1204,MATCH(899,$S$5:$S$1204,0),17))</f>
        <v/>
      </c>
      <c r="R903" s="17"/>
      <c r="S903" s="17">
        <f>S902+IF(M5_Ocupacion!A108="",0,1)</f>
        <v>0</v>
      </c>
      <c r="T903" s="17" t="str">
        <f>IF(M5_Ocupacion!A108="","",IF(M5_Ocupacion!A108="","",M5_Ocupacion!A108))</f>
        <v/>
      </c>
      <c r="U903" s="17" t="str">
        <f>IF(M5_Ocupacion!A108="","",IF(M5_Ocupacion!R108="","",M5_Ocupacion!R108))</f>
        <v/>
      </c>
      <c r="V903" s="17" t="str">
        <f>IF(M5_Ocupacion!A108="","",IF(M5_Ocupacion!D108="","",M5_Ocupacion!D108))</f>
        <v/>
      </c>
      <c r="W903" s="17" t="str">
        <f>IF(M5_Ocupacion!A108="","",IF(M5_Ocupacion!B108="","",M5_Ocupacion!B108))</f>
        <v/>
      </c>
      <c r="X903" s="17" t="str">
        <f>IF(M5_Ocupacion!A108="","",IF(M5_Ocupacion!C108="","",M5_Ocupacion!C108))</f>
        <v/>
      </c>
      <c r="Y903" s="17" t="str">
        <f>IF(M5_Ocupacion!A108="","",IF(M5_Ocupacion!E108="","",M5_Ocupacion!E108))</f>
        <v/>
      </c>
      <c r="Z903" s="17" t="str">
        <f>IF(M5_Ocupacion!A108="","",IF(M5_Ocupacion!F108="","",M5_Ocupacion!F108))</f>
        <v/>
      </c>
      <c r="AA903" s="17" t="str">
        <f>IF(M5_Ocupacion!A108="","","M5 Ocupación")</f>
        <v/>
      </c>
      <c r="AB903" s="17" t="str">
        <f>IF(M5_Ocupacion!A108="","",IF(M5_Ocupacion!G108="","",M5_Ocupacion!G108))</f>
        <v/>
      </c>
      <c r="AC903" s="17" t="str">
        <f>IF(M5_Ocupacion!A108="","",IF(COUNTIFS(M5_Ocupacion!$A$10:A108,M5_Ocupacion!A108,M5_Ocupacion!$D$10:D108,M5_Ocupacion!D108)=1,IF(M5_Ocupacion!M108="","",M5_Ocupacion!M108),""))</f>
        <v/>
      </c>
      <c r="AD903" s="17" t="str">
        <f>IF(M5_Ocupacion!A108="","","MO")</f>
        <v/>
      </c>
      <c r="AE903" s="17" t="str">
        <f>IF(M5_Ocupacion!A108="","",IF(M5_Ocupacion!O108="","",M5_Ocupacion!O108))</f>
        <v/>
      </c>
      <c r="AF903" s="17" t="str">
        <f>IF(M5_Ocupacion!A108="","",IF(M5_Ocupacion!P108="","",M5_Ocupacion!P108))</f>
        <v/>
      </c>
      <c r="AG903" s="17" t="str">
        <f>IF(M5_Ocupacion!A108="","",IF(M5_Ocupacion!Q108="","",M5_Ocupacion!Q108))</f>
        <v/>
      </c>
      <c r="AH903" s="17" t="str">
        <f>IF(M5_Ocupacion!A108="","",IF(M5_Ocupacion!J108="","",M5_Ocupacion!J108))</f>
        <v/>
      </c>
      <c r="AI903" s="17" t="str">
        <f>IF(M5_Ocupacion!A108="","","M5_Ocupacion!108")</f>
        <v/>
      </c>
      <c r="AJ903" s="17" t="str">
        <f>IF(M5_Ocupacion!A108="","",IF(M5_Ocupacion!M108="","Pendiente de medición completa",IF(COUNTIFS(M5_Ocupacion!$A$10:A108,M5_Ocupacion!A108,M5_Ocupacion!$D$10:D108,M5_Ocupacion!D108)=1,"Promedio de la actividad y fecha","Observación incluida en promedio")))</f>
        <v/>
      </c>
    </row>
    <row r="904" spans="1:36" ht="55.5" customHeight="1">
      <c r="A904" s="6" t="str">
        <f t="array" ref="A904">IF(900&gt;$S$1204,"",INDEX($T$5:$AJ$1204,MATCH(900,$S$5:$S$1204,0),1))</f>
        <v/>
      </c>
      <c r="B904" s="8" t="str">
        <f t="array" ref="B904">IF(900&gt;$S$1204,"",INDEX($T$5:$AJ$1204,MATCH(900,$S$5:$S$1204,0),2))</f>
        <v/>
      </c>
      <c r="C904" s="10" t="str">
        <f t="array" ref="C904">IF(900&gt;$S$1204,"",INDEX($T$5:$AJ$1204,MATCH(900,$S$5:$S$1204,0),3))</f>
        <v/>
      </c>
      <c r="D904" s="8" t="str">
        <f t="array" ref="D904">IF(900&gt;$S$1204,"",INDEX($T$5:$AJ$1204,MATCH(900,$S$5:$S$1204,0),4))</f>
        <v/>
      </c>
      <c r="E904" s="8" t="str">
        <f t="array" ref="E904">IF(900&gt;$S$1204,"",INDEX($T$5:$AJ$1204,MATCH(900,$S$5:$S$1204,0),5))</f>
        <v/>
      </c>
      <c r="F904" s="8" t="str">
        <f t="array" ref="F904">IF(900&gt;$S$1204,"",INDEX($T$5:$AJ$1204,MATCH(900,$S$5:$S$1204,0),6))</f>
        <v/>
      </c>
      <c r="G904" s="8" t="str">
        <f t="array" ref="G904">IF(900&gt;$S$1204,"",INDEX($T$5:$AJ$1204,MATCH(900,$S$5:$S$1204,0),7))</f>
        <v/>
      </c>
      <c r="H904" s="8" t="str">
        <f t="array" ref="H904">IF(900&gt;$S$1204,"",INDEX($T$5:$AJ$1204,MATCH(900,$S$5:$S$1204,0),8))</f>
        <v/>
      </c>
      <c r="I904" s="8" t="str">
        <f t="array" ref="I904">IF(900&gt;$S$1204,"",INDEX($T$5:$AJ$1204,MATCH(900,$S$5:$S$1204,0),9))</f>
        <v/>
      </c>
      <c r="J904" s="14" t="str">
        <f t="array" ref="J904">IF(900&gt;$S$1204,"",INDEX($T$5:$AJ$1204,MATCH(900,$S$5:$S$1204,0),10))</f>
        <v/>
      </c>
      <c r="K904" s="8" t="str">
        <f t="array" ref="K904">IF(900&gt;$S$1204,"",INDEX($T$5:$AJ$1204,MATCH(900,$S$5:$S$1204,0),11))</f>
        <v/>
      </c>
      <c r="L904" s="8" t="str">
        <f t="array" ref="L904">IF(900&gt;$S$1204,"",INDEX($T$5:$AJ$1204,MATCH(900,$S$5:$S$1204,0),12))</f>
        <v/>
      </c>
      <c r="M904" s="8" t="str">
        <f t="array" ref="M904">IF(900&gt;$S$1204,"",INDEX($T$5:$AJ$1204,MATCH(900,$S$5:$S$1204,0),13))</f>
        <v/>
      </c>
      <c r="N904" s="8" t="str">
        <f t="array" ref="N904">IF(900&gt;$S$1204,"",INDEX($T$5:$AJ$1204,MATCH(900,$S$5:$S$1204,0),14))</f>
        <v/>
      </c>
      <c r="O904" s="15" t="str">
        <f t="array" ref="O904">IF(900&gt;$S$1204,"",INDEX($T$5:$AJ$1204,MATCH(900,$S$5:$S$1204,0),15))</f>
        <v/>
      </c>
      <c r="P904" s="8" t="str">
        <f t="array" ref="P904">IF(900&gt;$S$1204,"",INDEX($T$5:$AJ$1204,MATCH(900,$S$5:$S$1204,0),16))</f>
        <v/>
      </c>
      <c r="Q904" s="8" t="str">
        <f t="array" ref="Q904">IF(900&gt;$S$1204,"",INDEX($T$5:$AJ$1204,MATCH(900,$S$5:$S$1204,0),17))</f>
        <v/>
      </c>
      <c r="R904" s="17"/>
      <c r="S904" s="17">
        <f>S903+IF(M5_Ocupacion!A109="",0,1)</f>
        <v>0</v>
      </c>
      <c r="T904" s="17" t="str">
        <f>IF(M5_Ocupacion!A109="","",IF(M5_Ocupacion!A109="","",M5_Ocupacion!A109))</f>
        <v/>
      </c>
      <c r="U904" s="17" t="str">
        <f>IF(M5_Ocupacion!A109="","",IF(M5_Ocupacion!R109="","",M5_Ocupacion!R109))</f>
        <v/>
      </c>
      <c r="V904" s="17" t="str">
        <f>IF(M5_Ocupacion!A109="","",IF(M5_Ocupacion!D109="","",M5_Ocupacion!D109))</f>
        <v/>
      </c>
      <c r="W904" s="17" t="str">
        <f>IF(M5_Ocupacion!A109="","",IF(M5_Ocupacion!B109="","",M5_Ocupacion!B109))</f>
        <v/>
      </c>
      <c r="X904" s="17" t="str">
        <f>IF(M5_Ocupacion!A109="","",IF(M5_Ocupacion!C109="","",M5_Ocupacion!C109))</f>
        <v/>
      </c>
      <c r="Y904" s="17" t="str">
        <f>IF(M5_Ocupacion!A109="","",IF(M5_Ocupacion!E109="","",M5_Ocupacion!E109))</f>
        <v/>
      </c>
      <c r="Z904" s="17" t="str">
        <f>IF(M5_Ocupacion!A109="","",IF(M5_Ocupacion!F109="","",M5_Ocupacion!F109))</f>
        <v/>
      </c>
      <c r="AA904" s="17" t="str">
        <f>IF(M5_Ocupacion!A109="","","M5 Ocupación")</f>
        <v/>
      </c>
      <c r="AB904" s="17" t="str">
        <f>IF(M5_Ocupacion!A109="","",IF(M5_Ocupacion!G109="","",M5_Ocupacion!G109))</f>
        <v/>
      </c>
      <c r="AC904" s="17" t="str">
        <f>IF(M5_Ocupacion!A109="","",IF(COUNTIFS(M5_Ocupacion!$A$10:A109,M5_Ocupacion!A109,M5_Ocupacion!$D$10:D109,M5_Ocupacion!D109)=1,IF(M5_Ocupacion!M109="","",M5_Ocupacion!M109),""))</f>
        <v/>
      </c>
      <c r="AD904" s="17" t="str">
        <f>IF(M5_Ocupacion!A109="","","MO")</f>
        <v/>
      </c>
      <c r="AE904" s="17" t="str">
        <f>IF(M5_Ocupacion!A109="","",IF(M5_Ocupacion!O109="","",M5_Ocupacion!O109))</f>
        <v/>
      </c>
      <c r="AF904" s="17" t="str">
        <f>IF(M5_Ocupacion!A109="","",IF(M5_Ocupacion!P109="","",M5_Ocupacion!P109))</f>
        <v/>
      </c>
      <c r="AG904" s="17" t="str">
        <f>IF(M5_Ocupacion!A109="","",IF(M5_Ocupacion!Q109="","",M5_Ocupacion!Q109))</f>
        <v/>
      </c>
      <c r="AH904" s="17" t="str">
        <f>IF(M5_Ocupacion!A109="","",IF(M5_Ocupacion!J109="","",M5_Ocupacion!J109))</f>
        <v/>
      </c>
      <c r="AI904" s="17" t="str">
        <f>IF(M5_Ocupacion!A109="","","M5_Ocupacion!109")</f>
        <v/>
      </c>
      <c r="AJ904" s="17" t="str">
        <f>IF(M5_Ocupacion!A109="","",IF(M5_Ocupacion!M109="","Pendiente de medición completa",IF(COUNTIFS(M5_Ocupacion!$A$10:A109,M5_Ocupacion!A109,M5_Ocupacion!$D$10:D109,M5_Ocupacion!D109)=1,"Promedio de la actividad y fecha","Observación incluida en promedio")))</f>
        <v/>
      </c>
    </row>
    <row r="905" spans="1:36" ht="55.5" customHeight="1">
      <c r="A905" s="6" t="str">
        <f t="array" ref="A905">IF(901&gt;$S$1204,"",INDEX($T$5:$AJ$1204,MATCH(901,$S$5:$S$1204,0),1))</f>
        <v/>
      </c>
      <c r="B905" s="8" t="str">
        <f t="array" ref="B905">IF(901&gt;$S$1204,"",INDEX($T$5:$AJ$1204,MATCH(901,$S$5:$S$1204,0),2))</f>
        <v/>
      </c>
      <c r="C905" s="10" t="str">
        <f t="array" ref="C905">IF(901&gt;$S$1204,"",INDEX($T$5:$AJ$1204,MATCH(901,$S$5:$S$1204,0),3))</f>
        <v/>
      </c>
      <c r="D905" s="8" t="str">
        <f t="array" ref="D905">IF(901&gt;$S$1204,"",INDEX($T$5:$AJ$1204,MATCH(901,$S$5:$S$1204,0),4))</f>
        <v/>
      </c>
      <c r="E905" s="8" t="str">
        <f t="array" ref="E905">IF(901&gt;$S$1204,"",INDEX($T$5:$AJ$1204,MATCH(901,$S$5:$S$1204,0),5))</f>
        <v/>
      </c>
      <c r="F905" s="8" t="str">
        <f t="array" ref="F905">IF(901&gt;$S$1204,"",INDEX($T$5:$AJ$1204,MATCH(901,$S$5:$S$1204,0),6))</f>
        <v/>
      </c>
      <c r="G905" s="8" t="str">
        <f t="array" ref="G905">IF(901&gt;$S$1204,"",INDEX($T$5:$AJ$1204,MATCH(901,$S$5:$S$1204,0),7))</f>
        <v/>
      </c>
      <c r="H905" s="8" t="str">
        <f t="array" ref="H905">IF(901&gt;$S$1204,"",INDEX($T$5:$AJ$1204,MATCH(901,$S$5:$S$1204,0),8))</f>
        <v/>
      </c>
      <c r="I905" s="8" t="str">
        <f t="array" ref="I905">IF(901&gt;$S$1204,"",INDEX($T$5:$AJ$1204,MATCH(901,$S$5:$S$1204,0),9))</f>
        <v/>
      </c>
      <c r="J905" s="14" t="str">
        <f t="array" ref="J905">IF(901&gt;$S$1204,"",INDEX($T$5:$AJ$1204,MATCH(901,$S$5:$S$1204,0),10))</f>
        <v/>
      </c>
      <c r="K905" s="8" t="str">
        <f t="array" ref="K905">IF(901&gt;$S$1204,"",INDEX($T$5:$AJ$1204,MATCH(901,$S$5:$S$1204,0),11))</f>
        <v/>
      </c>
      <c r="L905" s="8" t="str">
        <f t="array" ref="L905">IF(901&gt;$S$1204,"",INDEX($T$5:$AJ$1204,MATCH(901,$S$5:$S$1204,0),12))</f>
        <v/>
      </c>
      <c r="M905" s="8" t="str">
        <f t="array" ref="M905">IF(901&gt;$S$1204,"",INDEX($T$5:$AJ$1204,MATCH(901,$S$5:$S$1204,0),13))</f>
        <v/>
      </c>
      <c r="N905" s="8" t="str">
        <f t="array" ref="N905">IF(901&gt;$S$1204,"",INDEX($T$5:$AJ$1204,MATCH(901,$S$5:$S$1204,0),14))</f>
        <v/>
      </c>
      <c r="O905" s="15" t="str">
        <f t="array" ref="O905">IF(901&gt;$S$1204,"",INDEX($T$5:$AJ$1204,MATCH(901,$S$5:$S$1204,0),15))</f>
        <v/>
      </c>
      <c r="P905" s="8" t="str">
        <f t="array" ref="P905">IF(901&gt;$S$1204,"",INDEX($T$5:$AJ$1204,MATCH(901,$S$5:$S$1204,0),16))</f>
        <v/>
      </c>
      <c r="Q905" s="8" t="str">
        <f t="array" ref="Q905">IF(901&gt;$S$1204,"",INDEX($T$5:$AJ$1204,MATCH(901,$S$5:$S$1204,0),17))</f>
        <v/>
      </c>
      <c r="R905" s="17"/>
      <c r="S905" s="17">
        <f>S904+IF(M5_Ocupacion!A110="",0,1)</f>
        <v>0</v>
      </c>
      <c r="T905" s="17" t="str">
        <f>IF(M5_Ocupacion!A110="","",IF(M5_Ocupacion!A110="","",M5_Ocupacion!A110))</f>
        <v/>
      </c>
      <c r="U905" s="17" t="str">
        <f>IF(M5_Ocupacion!A110="","",IF(M5_Ocupacion!R110="","",M5_Ocupacion!R110))</f>
        <v/>
      </c>
      <c r="V905" s="17" t="str">
        <f>IF(M5_Ocupacion!A110="","",IF(M5_Ocupacion!D110="","",M5_Ocupacion!D110))</f>
        <v/>
      </c>
      <c r="W905" s="17" t="str">
        <f>IF(M5_Ocupacion!A110="","",IF(M5_Ocupacion!B110="","",M5_Ocupacion!B110))</f>
        <v/>
      </c>
      <c r="X905" s="17" t="str">
        <f>IF(M5_Ocupacion!A110="","",IF(M5_Ocupacion!C110="","",M5_Ocupacion!C110))</f>
        <v/>
      </c>
      <c r="Y905" s="17" t="str">
        <f>IF(M5_Ocupacion!A110="","",IF(M5_Ocupacion!E110="","",M5_Ocupacion!E110))</f>
        <v/>
      </c>
      <c r="Z905" s="17" t="str">
        <f>IF(M5_Ocupacion!A110="","",IF(M5_Ocupacion!F110="","",M5_Ocupacion!F110))</f>
        <v/>
      </c>
      <c r="AA905" s="17" t="str">
        <f>IF(M5_Ocupacion!A110="","","M5 Ocupación")</f>
        <v/>
      </c>
      <c r="AB905" s="17" t="str">
        <f>IF(M5_Ocupacion!A110="","",IF(M5_Ocupacion!G110="","",M5_Ocupacion!G110))</f>
        <v/>
      </c>
      <c r="AC905" s="17" t="str">
        <f>IF(M5_Ocupacion!A110="","",IF(COUNTIFS(M5_Ocupacion!$A$10:A110,M5_Ocupacion!A110,M5_Ocupacion!$D$10:D110,M5_Ocupacion!D110)=1,IF(M5_Ocupacion!M110="","",M5_Ocupacion!M110),""))</f>
        <v/>
      </c>
      <c r="AD905" s="17" t="str">
        <f>IF(M5_Ocupacion!A110="","","MO")</f>
        <v/>
      </c>
      <c r="AE905" s="17" t="str">
        <f>IF(M5_Ocupacion!A110="","",IF(M5_Ocupacion!O110="","",M5_Ocupacion!O110))</f>
        <v/>
      </c>
      <c r="AF905" s="17" t="str">
        <f>IF(M5_Ocupacion!A110="","",IF(M5_Ocupacion!P110="","",M5_Ocupacion!P110))</f>
        <v/>
      </c>
      <c r="AG905" s="17" t="str">
        <f>IF(M5_Ocupacion!A110="","",IF(M5_Ocupacion!Q110="","",M5_Ocupacion!Q110))</f>
        <v/>
      </c>
      <c r="AH905" s="17" t="str">
        <f>IF(M5_Ocupacion!A110="","",IF(M5_Ocupacion!J110="","",M5_Ocupacion!J110))</f>
        <v/>
      </c>
      <c r="AI905" s="17" t="str">
        <f>IF(M5_Ocupacion!A110="","","M5_Ocupacion!110")</f>
        <v/>
      </c>
      <c r="AJ905" s="17" t="str">
        <f>IF(M5_Ocupacion!A110="","",IF(M5_Ocupacion!M110="","Pendiente de medición completa",IF(COUNTIFS(M5_Ocupacion!$A$10:A110,M5_Ocupacion!A110,M5_Ocupacion!$D$10:D110,M5_Ocupacion!D110)=1,"Promedio de la actividad y fecha","Observación incluida en promedio")))</f>
        <v/>
      </c>
    </row>
    <row r="906" spans="1:36" ht="55.5" customHeight="1">
      <c r="A906" s="6" t="str">
        <f t="array" ref="A906">IF(902&gt;$S$1204,"",INDEX($T$5:$AJ$1204,MATCH(902,$S$5:$S$1204,0),1))</f>
        <v/>
      </c>
      <c r="B906" s="8" t="str">
        <f t="array" ref="B906">IF(902&gt;$S$1204,"",INDEX($T$5:$AJ$1204,MATCH(902,$S$5:$S$1204,0),2))</f>
        <v/>
      </c>
      <c r="C906" s="10" t="str">
        <f t="array" ref="C906">IF(902&gt;$S$1204,"",INDEX($T$5:$AJ$1204,MATCH(902,$S$5:$S$1204,0),3))</f>
        <v/>
      </c>
      <c r="D906" s="8" t="str">
        <f t="array" ref="D906">IF(902&gt;$S$1204,"",INDEX($T$5:$AJ$1204,MATCH(902,$S$5:$S$1204,0),4))</f>
        <v/>
      </c>
      <c r="E906" s="8" t="str">
        <f t="array" ref="E906">IF(902&gt;$S$1204,"",INDEX($T$5:$AJ$1204,MATCH(902,$S$5:$S$1204,0),5))</f>
        <v/>
      </c>
      <c r="F906" s="8" t="str">
        <f t="array" ref="F906">IF(902&gt;$S$1204,"",INDEX($T$5:$AJ$1204,MATCH(902,$S$5:$S$1204,0),6))</f>
        <v/>
      </c>
      <c r="G906" s="8" t="str">
        <f t="array" ref="G906">IF(902&gt;$S$1204,"",INDEX($T$5:$AJ$1204,MATCH(902,$S$5:$S$1204,0),7))</f>
        <v/>
      </c>
      <c r="H906" s="8" t="str">
        <f t="array" ref="H906">IF(902&gt;$S$1204,"",INDEX($T$5:$AJ$1204,MATCH(902,$S$5:$S$1204,0),8))</f>
        <v/>
      </c>
      <c r="I906" s="8" t="str">
        <f t="array" ref="I906">IF(902&gt;$S$1204,"",INDEX($T$5:$AJ$1204,MATCH(902,$S$5:$S$1204,0),9))</f>
        <v/>
      </c>
      <c r="J906" s="14" t="str">
        <f t="array" ref="J906">IF(902&gt;$S$1204,"",INDEX($T$5:$AJ$1204,MATCH(902,$S$5:$S$1204,0),10))</f>
        <v/>
      </c>
      <c r="K906" s="8" t="str">
        <f t="array" ref="K906">IF(902&gt;$S$1204,"",INDEX($T$5:$AJ$1204,MATCH(902,$S$5:$S$1204,0),11))</f>
        <v/>
      </c>
      <c r="L906" s="8" t="str">
        <f t="array" ref="L906">IF(902&gt;$S$1204,"",INDEX($T$5:$AJ$1204,MATCH(902,$S$5:$S$1204,0),12))</f>
        <v/>
      </c>
      <c r="M906" s="8" t="str">
        <f t="array" ref="M906">IF(902&gt;$S$1204,"",INDEX($T$5:$AJ$1204,MATCH(902,$S$5:$S$1204,0),13))</f>
        <v/>
      </c>
      <c r="N906" s="8" t="str">
        <f t="array" ref="N906">IF(902&gt;$S$1204,"",INDEX($T$5:$AJ$1204,MATCH(902,$S$5:$S$1204,0),14))</f>
        <v/>
      </c>
      <c r="O906" s="15" t="str">
        <f t="array" ref="O906">IF(902&gt;$S$1204,"",INDEX($T$5:$AJ$1204,MATCH(902,$S$5:$S$1204,0),15))</f>
        <v/>
      </c>
      <c r="P906" s="8" t="str">
        <f t="array" ref="P906">IF(902&gt;$S$1204,"",INDEX($T$5:$AJ$1204,MATCH(902,$S$5:$S$1204,0),16))</f>
        <v/>
      </c>
      <c r="Q906" s="8" t="str">
        <f t="array" ref="Q906">IF(902&gt;$S$1204,"",INDEX($T$5:$AJ$1204,MATCH(902,$S$5:$S$1204,0),17))</f>
        <v/>
      </c>
      <c r="R906" s="17"/>
      <c r="S906" s="17">
        <f>S905+IF(M5_Ocupacion!A111="",0,1)</f>
        <v>0</v>
      </c>
      <c r="T906" s="17" t="str">
        <f>IF(M5_Ocupacion!A111="","",IF(M5_Ocupacion!A111="","",M5_Ocupacion!A111))</f>
        <v/>
      </c>
      <c r="U906" s="17" t="str">
        <f>IF(M5_Ocupacion!A111="","",IF(M5_Ocupacion!R111="","",M5_Ocupacion!R111))</f>
        <v/>
      </c>
      <c r="V906" s="17" t="str">
        <f>IF(M5_Ocupacion!A111="","",IF(M5_Ocupacion!D111="","",M5_Ocupacion!D111))</f>
        <v/>
      </c>
      <c r="W906" s="17" t="str">
        <f>IF(M5_Ocupacion!A111="","",IF(M5_Ocupacion!B111="","",M5_Ocupacion!B111))</f>
        <v/>
      </c>
      <c r="X906" s="17" t="str">
        <f>IF(M5_Ocupacion!A111="","",IF(M5_Ocupacion!C111="","",M5_Ocupacion!C111))</f>
        <v/>
      </c>
      <c r="Y906" s="17" t="str">
        <f>IF(M5_Ocupacion!A111="","",IF(M5_Ocupacion!E111="","",M5_Ocupacion!E111))</f>
        <v/>
      </c>
      <c r="Z906" s="17" t="str">
        <f>IF(M5_Ocupacion!A111="","",IF(M5_Ocupacion!F111="","",M5_Ocupacion!F111))</f>
        <v/>
      </c>
      <c r="AA906" s="17" t="str">
        <f>IF(M5_Ocupacion!A111="","","M5 Ocupación")</f>
        <v/>
      </c>
      <c r="AB906" s="17" t="str">
        <f>IF(M5_Ocupacion!A111="","",IF(M5_Ocupacion!G111="","",M5_Ocupacion!G111))</f>
        <v/>
      </c>
      <c r="AC906" s="17" t="str">
        <f>IF(M5_Ocupacion!A111="","",IF(COUNTIFS(M5_Ocupacion!$A$10:A111,M5_Ocupacion!A111,M5_Ocupacion!$D$10:D111,M5_Ocupacion!D111)=1,IF(M5_Ocupacion!M111="","",M5_Ocupacion!M111),""))</f>
        <v/>
      </c>
      <c r="AD906" s="17" t="str">
        <f>IF(M5_Ocupacion!A111="","","MO")</f>
        <v/>
      </c>
      <c r="AE906" s="17" t="str">
        <f>IF(M5_Ocupacion!A111="","",IF(M5_Ocupacion!O111="","",M5_Ocupacion!O111))</f>
        <v/>
      </c>
      <c r="AF906" s="17" t="str">
        <f>IF(M5_Ocupacion!A111="","",IF(M5_Ocupacion!P111="","",M5_Ocupacion!P111))</f>
        <v/>
      </c>
      <c r="AG906" s="17" t="str">
        <f>IF(M5_Ocupacion!A111="","",IF(M5_Ocupacion!Q111="","",M5_Ocupacion!Q111))</f>
        <v/>
      </c>
      <c r="AH906" s="17" t="str">
        <f>IF(M5_Ocupacion!A111="","",IF(M5_Ocupacion!J111="","",M5_Ocupacion!J111))</f>
        <v/>
      </c>
      <c r="AI906" s="17" t="str">
        <f>IF(M5_Ocupacion!A111="","","M5_Ocupacion!111")</f>
        <v/>
      </c>
      <c r="AJ906" s="17" t="str">
        <f>IF(M5_Ocupacion!A111="","",IF(M5_Ocupacion!M111="","Pendiente de medición completa",IF(COUNTIFS(M5_Ocupacion!$A$10:A111,M5_Ocupacion!A111,M5_Ocupacion!$D$10:D111,M5_Ocupacion!D111)=1,"Promedio de la actividad y fecha","Observación incluida en promedio")))</f>
        <v/>
      </c>
    </row>
    <row r="907" spans="1:36" ht="55.5" customHeight="1">
      <c r="A907" s="6" t="str">
        <f t="array" ref="A907">IF(903&gt;$S$1204,"",INDEX($T$5:$AJ$1204,MATCH(903,$S$5:$S$1204,0),1))</f>
        <v/>
      </c>
      <c r="B907" s="8" t="str">
        <f t="array" ref="B907">IF(903&gt;$S$1204,"",INDEX($T$5:$AJ$1204,MATCH(903,$S$5:$S$1204,0),2))</f>
        <v/>
      </c>
      <c r="C907" s="10" t="str">
        <f t="array" ref="C907">IF(903&gt;$S$1204,"",INDEX($T$5:$AJ$1204,MATCH(903,$S$5:$S$1204,0),3))</f>
        <v/>
      </c>
      <c r="D907" s="8" t="str">
        <f t="array" ref="D907">IF(903&gt;$S$1204,"",INDEX($T$5:$AJ$1204,MATCH(903,$S$5:$S$1204,0),4))</f>
        <v/>
      </c>
      <c r="E907" s="8" t="str">
        <f t="array" ref="E907">IF(903&gt;$S$1204,"",INDEX($T$5:$AJ$1204,MATCH(903,$S$5:$S$1204,0),5))</f>
        <v/>
      </c>
      <c r="F907" s="8" t="str">
        <f t="array" ref="F907">IF(903&gt;$S$1204,"",INDEX($T$5:$AJ$1204,MATCH(903,$S$5:$S$1204,0),6))</f>
        <v/>
      </c>
      <c r="G907" s="8" t="str">
        <f t="array" ref="G907">IF(903&gt;$S$1204,"",INDEX($T$5:$AJ$1204,MATCH(903,$S$5:$S$1204,0),7))</f>
        <v/>
      </c>
      <c r="H907" s="8" t="str">
        <f t="array" ref="H907">IF(903&gt;$S$1204,"",INDEX($T$5:$AJ$1204,MATCH(903,$S$5:$S$1204,0),8))</f>
        <v/>
      </c>
      <c r="I907" s="8" t="str">
        <f t="array" ref="I907">IF(903&gt;$S$1204,"",INDEX($T$5:$AJ$1204,MATCH(903,$S$5:$S$1204,0),9))</f>
        <v/>
      </c>
      <c r="J907" s="14" t="str">
        <f t="array" ref="J907">IF(903&gt;$S$1204,"",INDEX($T$5:$AJ$1204,MATCH(903,$S$5:$S$1204,0),10))</f>
        <v/>
      </c>
      <c r="K907" s="8" t="str">
        <f t="array" ref="K907">IF(903&gt;$S$1204,"",INDEX($T$5:$AJ$1204,MATCH(903,$S$5:$S$1204,0),11))</f>
        <v/>
      </c>
      <c r="L907" s="8" t="str">
        <f t="array" ref="L907">IF(903&gt;$S$1204,"",INDEX($T$5:$AJ$1204,MATCH(903,$S$5:$S$1204,0),12))</f>
        <v/>
      </c>
      <c r="M907" s="8" t="str">
        <f t="array" ref="M907">IF(903&gt;$S$1204,"",INDEX($T$5:$AJ$1204,MATCH(903,$S$5:$S$1204,0),13))</f>
        <v/>
      </c>
      <c r="N907" s="8" t="str">
        <f t="array" ref="N907">IF(903&gt;$S$1204,"",INDEX($T$5:$AJ$1204,MATCH(903,$S$5:$S$1204,0),14))</f>
        <v/>
      </c>
      <c r="O907" s="15" t="str">
        <f t="array" ref="O907">IF(903&gt;$S$1204,"",INDEX($T$5:$AJ$1204,MATCH(903,$S$5:$S$1204,0),15))</f>
        <v/>
      </c>
      <c r="P907" s="8" t="str">
        <f t="array" ref="P907">IF(903&gt;$S$1204,"",INDEX($T$5:$AJ$1204,MATCH(903,$S$5:$S$1204,0),16))</f>
        <v/>
      </c>
      <c r="Q907" s="8" t="str">
        <f t="array" ref="Q907">IF(903&gt;$S$1204,"",INDEX($T$5:$AJ$1204,MATCH(903,$S$5:$S$1204,0),17))</f>
        <v/>
      </c>
      <c r="R907" s="17"/>
      <c r="S907" s="17">
        <f>S906+IF(M5_Ocupacion!A112="",0,1)</f>
        <v>0</v>
      </c>
      <c r="T907" s="17" t="str">
        <f>IF(M5_Ocupacion!A112="","",IF(M5_Ocupacion!A112="","",M5_Ocupacion!A112))</f>
        <v/>
      </c>
      <c r="U907" s="17" t="str">
        <f>IF(M5_Ocupacion!A112="","",IF(M5_Ocupacion!R112="","",M5_Ocupacion!R112))</f>
        <v/>
      </c>
      <c r="V907" s="17" t="str">
        <f>IF(M5_Ocupacion!A112="","",IF(M5_Ocupacion!D112="","",M5_Ocupacion!D112))</f>
        <v/>
      </c>
      <c r="W907" s="17" t="str">
        <f>IF(M5_Ocupacion!A112="","",IF(M5_Ocupacion!B112="","",M5_Ocupacion!B112))</f>
        <v/>
      </c>
      <c r="X907" s="17" t="str">
        <f>IF(M5_Ocupacion!A112="","",IF(M5_Ocupacion!C112="","",M5_Ocupacion!C112))</f>
        <v/>
      </c>
      <c r="Y907" s="17" t="str">
        <f>IF(M5_Ocupacion!A112="","",IF(M5_Ocupacion!E112="","",M5_Ocupacion!E112))</f>
        <v/>
      </c>
      <c r="Z907" s="17" t="str">
        <f>IF(M5_Ocupacion!A112="","",IF(M5_Ocupacion!F112="","",M5_Ocupacion!F112))</f>
        <v/>
      </c>
      <c r="AA907" s="17" t="str">
        <f>IF(M5_Ocupacion!A112="","","M5 Ocupación")</f>
        <v/>
      </c>
      <c r="AB907" s="17" t="str">
        <f>IF(M5_Ocupacion!A112="","",IF(M5_Ocupacion!G112="","",M5_Ocupacion!G112))</f>
        <v/>
      </c>
      <c r="AC907" s="17" t="str">
        <f>IF(M5_Ocupacion!A112="","",IF(COUNTIFS(M5_Ocupacion!$A$10:A112,M5_Ocupacion!A112,M5_Ocupacion!$D$10:D112,M5_Ocupacion!D112)=1,IF(M5_Ocupacion!M112="","",M5_Ocupacion!M112),""))</f>
        <v/>
      </c>
      <c r="AD907" s="17" t="str">
        <f>IF(M5_Ocupacion!A112="","","MO")</f>
        <v/>
      </c>
      <c r="AE907" s="17" t="str">
        <f>IF(M5_Ocupacion!A112="","",IF(M5_Ocupacion!O112="","",M5_Ocupacion!O112))</f>
        <v/>
      </c>
      <c r="AF907" s="17" t="str">
        <f>IF(M5_Ocupacion!A112="","",IF(M5_Ocupacion!P112="","",M5_Ocupacion!P112))</f>
        <v/>
      </c>
      <c r="AG907" s="17" t="str">
        <f>IF(M5_Ocupacion!A112="","",IF(M5_Ocupacion!Q112="","",M5_Ocupacion!Q112))</f>
        <v/>
      </c>
      <c r="AH907" s="17" t="str">
        <f>IF(M5_Ocupacion!A112="","",IF(M5_Ocupacion!J112="","",M5_Ocupacion!J112))</f>
        <v/>
      </c>
      <c r="AI907" s="17" t="str">
        <f>IF(M5_Ocupacion!A112="","","M5_Ocupacion!112")</f>
        <v/>
      </c>
      <c r="AJ907" s="17" t="str">
        <f>IF(M5_Ocupacion!A112="","",IF(M5_Ocupacion!M112="","Pendiente de medición completa",IF(COUNTIFS(M5_Ocupacion!$A$10:A112,M5_Ocupacion!A112,M5_Ocupacion!$D$10:D112,M5_Ocupacion!D112)=1,"Promedio de la actividad y fecha","Observación incluida en promedio")))</f>
        <v/>
      </c>
    </row>
    <row r="908" spans="1:36" ht="55.5" customHeight="1">
      <c r="A908" s="6" t="str">
        <f t="array" ref="A908">IF(904&gt;$S$1204,"",INDEX($T$5:$AJ$1204,MATCH(904,$S$5:$S$1204,0),1))</f>
        <v/>
      </c>
      <c r="B908" s="8" t="str">
        <f t="array" ref="B908">IF(904&gt;$S$1204,"",INDEX($T$5:$AJ$1204,MATCH(904,$S$5:$S$1204,0),2))</f>
        <v/>
      </c>
      <c r="C908" s="10" t="str">
        <f t="array" ref="C908">IF(904&gt;$S$1204,"",INDEX($T$5:$AJ$1204,MATCH(904,$S$5:$S$1204,0),3))</f>
        <v/>
      </c>
      <c r="D908" s="8" t="str">
        <f t="array" ref="D908">IF(904&gt;$S$1204,"",INDEX($T$5:$AJ$1204,MATCH(904,$S$5:$S$1204,0),4))</f>
        <v/>
      </c>
      <c r="E908" s="8" t="str">
        <f t="array" ref="E908">IF(904&gt;$S$1204,"",INDEX($T$5:$AJ$1204,MATCH(904,$S$5:$S$1204,0),5))</f>
        <v/>
      </c>
      <c r="F908" s="8" t="str">
        <f t="array" ref="F908">IF(904&gt;$S$1204,"",INDEX($T$5:$AJ$1204,MATCH(904,$S$5:$S$1204,0),6))</f>
        <v/>
      </c>
      <c r="G908" s="8" t="str">
        <f t="array" ref="G908">IF(904&gt;$S$1204,"",INDEX($T$5:$AJ$1204,MATCH(904,$S$5:$S$1204,0),7))</f>
        <v/>
      </c>
      <c r="H908" s="8" t="str">
        <f t="array" ref="H908">IF(904&gt;$S$1204,"",INDEX($T$5:$AJ$1204,MATCH(904,$S$5:$S$1204,0),8))</f>
        <v/>
      </c>
      <c r="I908" s="8" t="str">
        <f t="array" ref="I908">IF(904&gt;$S$1204,"",INDEX($T$5:$AJ$1204,MATCH(904,$S$5:$S$1204,0),9))</f>
        <v/>
      </c>
      <c r="J908" s="14" t="str">
        <f t="array" ref="J908">IF(904&gt;$S$1204,"",INDEX($T$5:$AJ$1204,MATCH(904,$S$5:$S$1204,0),10))</f>
        <v/>
      </c>
      <c r="K908" s="8" t="str">
        <f t="array" ref="K908">IF(904&gt;$S$1204,"",INDEX($T$5:$AJ$1204,MATCH(904,$S$5:$S$1204,0),11))</f>
        <v/>
      </c>
      <c r="L908" s="8" t="str">
        <f t="array" ref="L908">IF(904&gt;$S$1204,"",INDEX($T$5:$AJ$1204,MATCH(904,$S$5:$S$1204,0),12))</f>
        <v/>
      </c>
      <c r="M908" s="8" t="str">
        <f t="array" ref="M908">IF(904&gt;$S$1204,"",INDEX($T$5:$AJ$1204,MATCH(904,$S$5:$S$1204,0),13))</f>
        <v/>
      </c>
      <c r="N908" s="8" t="str">
        <f t="array" ref="N908">IF(904&gt;$S$1204,"",INDEX($T$5:$AJ$1204,MATCH(904,$S$5:$S$1204,0),14))</f>
        <v/>
      </c>
      <c r="O908" s="15" t="str">
        <f t="array" ref="O908">IF(904&gt;$S$1204,"",INDEX($T$5:$AJ$1204,MATCH(904,$S$5:$S$1204,0),15))</f>
        <v/>
      </c>
      <c r="P908" s="8" t="str">
        <f t="array" ref="P908">IF(904&gt;$S$1204,"",INDEX($T$5:$AJ$1204,MATCH(904,$S$5:$S$1204,0),16))</f>
        <v/>
      </c>
      <c r="Q908" s="8" t="str">
        <f t="array" ref="Q908">IF(904&gt;$S$1204,"",INDEX($T$5:$AJ$1204,MATCH(904,$S$5:$S$1204,0),17))</f>
        <v/>
      </c>
      <c r="R908" s="17"/>
      <c r="S908" s="17">
        <f>S907+IF(M5_Ocupacion!A113="",0,1)</f>
        <v>0</v>
      </c>
      <c r="T908" s="17" t="str">
        <f>IF(M5_Ocupacion!A113="","",IF(M5_Ocupacion!A113="","",M5_Ocupacion!A113))</f>
        <v/>
      </c>
      <c r="U908" s="17" t="str">
        <f>IF(M5_Ocupacion!A113="","",IF(M5_Ocupacion!R113="","",M5_Ocupacion!R113))</f>
        <v/>
      </c>
      <c r="V908" s="17" t="str">
        <f>IF(M5_Ocupacion!A113="","",IF(M5_Ocupacion!D113="","",M5_Ocupacion!D113))</f>
        <v/>
      </c>
      <c r="W908" s="17" t="str">
        <f>IF(M5_Ocupacion!A113="","",IF(M5_Ocupacion!B113="","",M5_Ocupacion!B113))</f>
        <v/>
      </c>
      <c r="X908" s="17" t="str">
        <f>IF(M5_Ocupacion!A113="","",IF(M5_Ocupacion!C113="","",M5_Ocupacion!C113))</f>
        <v/>
      </c>
      <c r="Y908" s="17" t="str">
        <f>IF(M5_Ocupacion!A113="","",IF(M5_Ocupacion!E113="","",M5_Ocupacion!E113))</f>
        <v/>
      </c>
      <c r="Z908" s="17" t="str">
        <f>IF(M5_Ocupacion!A113="","",IF(M5_Ocupacion!F113="","",M5_Ocupacion!F113))</f>
        <v/>
      </c>
      <c r="AA908" s="17" t="str">
        <f>IF(M5_Ocupacion!A113="","","M5 Ocupación")</f>
        <v/>
      </c>
      <c r="AB908" s="17" t="str">
        <f>IF(M5_Ocupacion!A113="","",IF(M5_Ocupacion!G113="","",M5_Ocupacion!G113))</f>
        <v/>
      </c>
      <c r="AC908" s="17" t="str">
        <f>IF(M5_Ocupacion!A113="","",IF(COUNTIFS(M5_Ocupacion!$A$10:A113,M5_Ocupacion!A113,M5_Ocupacion!$D$10:D113,M5_Ocupacion!D113)=1,IF(M5_Ocupacion!M113="","",M5_Ocupacion!M113),""))</f>
        <v/>
      </c>
      <c r="AD908" s="17" t="str">
        <f>IF(M5_Ocupacion!A113="","","MO")</f>
        <v/>
      </c>
      <c r="AE908" s="17" t="str">
        <f>IF(M5_Ocupacion!A113="","",IF(M5_Ocupacion!O113="","",M5_Ocupacion!O113))</f>
        <v/>
      </c>
      <c r="AF908" s="17" t="str">
        <f>IF(M5_Ocupacion!A113="","",IF(M5_Ocupacion!P113="","",M5_Ocupacion!P113))</f>
        <v/>
      </c>
      <c r="AG908" s="17" t="str">
        <f>IF(M5_Ocupacion!A113="","",IF(M5_Ocupacion!Q113="","",M5_Ocupacion!Q113))</f>
        <v/>
      </c>
      <c r="AH908" s="17" t="str">
        <f>IF(M5_Ocupacion!A113="","",IF(M5_Ocupacion!J113="","",M5_Ocupacion!J113))</f>
        <v/>
      </c>
      <c r="AI908" s="17" t="str">
        <f>IF(M5_Ocupacion!A113="","","M5_Ocupacion!113")</f>
        <v/>
      </c>
      <c r="AJ908" s="17" t="str">
        <f>IF(M5_Ocupacion!A113="","",IF(M5_Ocupacion!M113="","Pendiente de medición completa",IF(COUNTIFS(M5_Ocupacion!$A$10:A113,M5_Ocupacion!A113,M5_Ocupacion!$D$10:D113,M5_Ocupacion!D113)=1,"Promedio de la actividad y fecha","Observación incluida en promedio")))</f>
        <v/>
      </c>
    </row>
    <row r="909" spans="1:36" ht="55.5" customHeight="1">
      <c r="A909" s="6" t="str">
        <f t="array" ref="A909">IF(905&gt;$S$1204,"",INDEX($T$5:$AJ$1204,MATCH(905,$S$5:$S$1204,0),1))</f>
        <v/>
      </c>
      <c r="B909" s="8" t="str">
        <f t="array" ref="B909">IF(905&gt;$S$1204,"",INDEX($T$5:$AJ$1204,MATCH(905,$S$5:$S$1204,0),2))</f>
        <v/>
      </c>
      <c r="C909" s="10" t="str">
        <f t="array" ref="C909">IF(905&gt;$S$1204,"",INDEX($T$5:$AJ$1204,MATCH(905,$S$5:$S$1204,0),3))</f>
        <v/>
      </c>
      <c r="D909" s="8" t="str">
        <f t="array" ref="D909">IF(905&gt;$S$1204,"",INDEX($T$5:$AJ$1204,MATCH(905,$S$5:$S$1204,0),4))</f>
        <v/>
      </c>
      <c r="E909" s="8" t="str">
        <f t="array" ref="E909">IF(905&gt;$S$1204,"",INDEX($T$5:$AJ$1204,MATCH(905,$S$5:$S$1204,0),5))</f>
        <v/>
      </c>
      <c r="F909" s="8" t="str">
        <f t="array" ref="F909">IF(905&gt;$S$1204,"",INDEX($T$5:$AJ$1204,MATCH(905,$S$5:$S$1204,0),6))</f>
        <v/>
      </c>
      <c r="G909" s="8" t="str">
        <f t="array" ref="G909">IF(905&gt;$S$1204,"",INDEX($T$5:$AJ$1204,MATCH(905,$S$5:$S$1204,0),7))</f>
        <v/>
      </c>
      <c r="H909" s="8" t="str">
        <f t="array" ref="H909">IF(905&gt;$S$1204,"",INDEX($T$5:$AJ$1204,MATCH(905,$S$5:$S$1204,0),8))</f>
        <v/>
      </c>
      <c r="I909" s="8" t="str">
        <f t="array" ref="I909">IF(905&gt;$S$1204,"",INDEX($T$5:$AJ$1204,MATCH(905,$S$5:$S$1204,0),9))</f>
        <v/>
      </c>
      <c r="J909" s="14" t="str">
        <f t="array" ref="J909">IF(905&gt;$S$1204,"",INDEX($T$5:$AJ$1204,MATCH(905,$S$5:$S$1204,0),10))</f>
        <v/>
      </c>
      <c r="K909" s="8" t="str">
        <f t="array" ref="K909">IF(905&gt;$S$1204,"",INDEX($T$5:$AJ$1204,MATCH(905,$S$5:$S$1204,0),11))</f>
        <v/>
      </c>
      <c r="L909" s="8" t="str">
        <f t="array" ref="L909">IF(905&gt;$S$1204,"",INDEX($T$5:$AJ$1204,MATCH(905,$S$5:$S$1204,0),12))</f>
        <v/>
      </c>
      <c r="M909" s="8" t="str">
        <f t="array" ref="M909">IF(905&gt;$S$1204,"",INDEX($T$5:$AJ$1204,MATCH(905,$S$5:$S$1204,0),13))</f>
        <v/>
      </c>
      <c r="N909" s="8" t="str">
        <f t="array" ref="N909">IF(905&gt;$S$1204,"",INDEX($T$5:$AJ$1204,MATCH(905,$S$5:$S$1204,0),14))</f>
        <v/>
      </c>
      <c r="O909" s="15" t="str">
        <f t="array" ref="O909">IF(905&gt;$S$1204,"",INDEX($T$5:$AJ$1204,MATCH(905,$S$5:$S$1204,0),15))</f>
        <v/>
      </c>
      <c r="P909" s="8" t="str">
        <f t="array" ref="P909">IF(905&gt;$S$1204,"",INDEX($T$5:$AJ$1204,MATCH(905,$S$5:$S$1204,0),16))</f>
        <v/>
      </c>
      <c r="Q909" s="8" t="str">
        <f t="array" ref="Q909">IF(905&gt;$S$1204,"",INDEX($T$5:$AJ$1204,MATCH(905,$S$5:$S$1204,0),17))</f>
        <v/>
      </c>
      <c r="R909" s="17"/>
      <c r="S909" s="17">
        <f>S908+IF(M5_Ocupacion!A114="",0,1)</f>
        <v>0</v>
      </c>
      <c r="T909" s="17" t="str">
        <f>IF(M5_Ocupacion!A114="","",IF(M5_Ocupacion!A114="","",M5_Ocupacion!A114))</f>
        <v/>
      </c>
      <c r="U909" s="17" t="str">
        <f>IF(M5_Ocupacion!A114="","",IF(M5_Ocupacion!R114="","",M5_Ocupacion!R114))</f>
        <v/>
      </c>
      <c r="V909" s="17" t="str">
        <f>IF(M5_Ocupacion!A114="","",IF(M5_Ocupacion!D114="","",M5_Ocupacion!D114))</f>
        <v/>
      </c>
      <c r="W909" s="17" t="str">
        <f>IF(M5_Ocupacion!A114="","",IF(M5_Ocupacion!B114="","",M5_Ocupacion!B114))</f>
        <v/>
      </c>
      <c r="X909" s="17" t="str">
        <f>IF(M5_Ocupacion!A114="","",IF(M5_Ocupacion!C114="","",M5_Ocupacion!C114))</f>
        <v/>
      </c>
      <c r="Y909" s="17" t="str">
        <f>IF(M5_Ocupacion!A114="","",IF(M5_Ocupacion!E114="","",M5_Ocupacion!E114))</f>
        <v/>
      </c>
      <c r="Z909" s="17" t="str">
        <f>IF(M5_Ocupacion!A114="","",IF(M5_Ocupacion!F114="","",M5_Ocupacion!F114))</f>
        <v/>
      </c>
      <c r="AA909" s="17" t="str">
        <f>IF(M5_Ocupacion!A114="","","M5 Ocupación")</f>
        <v/>
      </c>
      <c r="AB909" s="17" t="str">
        <f>IF(M5_Ocupacion!A114="","",IF(M5_Ocupacion!G114="","",M5_Ocupacion!G114))</f>
        <v/>
      </c>
      <c r="AC909" s="17" t="str">
        <f>IF(M5_Ocupacion!A114="","",IF(COUNTIFS(M5_Ocupacion!$A$10:A114,M5_Ocupacion!A114,M5_Ocupacion!$D$10:D114,M5_Ocupacion!D114)=1,IF(M5_Ocupacion!M114="","",M5_Ocupacion!M114),""))</f>
        <v/>
      </c>
      <c r="AD909" s="17" t="str">
        <f>IF(M5_Ocupacion!A114="","","MO")</f>
        <v/>
      </c>
      <c r="AE909" s="17" t="str">
        <f>IF(M5_Ocupacion!A114="","",IF(M5_Ocupacion!O114="","",M5_Ocupacion!O114))</f>
        <v/>
      </c>
      <c r="AF909" s="17" t="str">
        <f>IF(M5_Ocupacion!A114="","",IF(M5_Ocupacion!P114="","",M5_Ocupacion!P114))</f>
        <v/>
      </c>
      <c r="AG909" s="17" t="str">
        <f>IF(M5_Ocupacion!A114="","",IF(M5_Ocupacion!Q114="","",M5_Ocupacion!Q114))</f>
        <v/>
      </c>
      <c r="AH909" s="17" t="str">
        <f>IF(M5_Ocupacion!A114="","",IF(M5_Ocupacion!J114="","",M5_Ocupacion!J114))</f>
        <v/>
      </c>
      <c r="AI909" s="17" t="str">
        <f>IF(M5_Ocupacion!A114="","","M5_Ocupacion!114")</f>
        <v/>
      </c>
      <c r="AJ909" s="17" t="str">
        <f>IF(M5_Ocupacion!A114="","",IF(M5_Ocupacion!M114="","Pendiente de medición completa",IF(COUNTIFS(M5_Ocupacion!$A$10:A114,M5_Ocupacion!A114,M5_Ocupacion!$D$10:D114,M5_Ocupacion!D114)=1,"Promedio de la actividad y fecha","Observación incluida en promedio")))</f>
        <v/>
      </c>
    </row>
    <row r="910" spans="1:36" ht="55.5" customHeight="1">
      <c r="A910" s="6" t="str">
        <f t="array" ref="A910">IF(906&gt;$S$1204,"",INDEX($T$5:$AJ$1204,MATCH(906,$S$5:$S$1204,0),1))</f>
        <v/>
      </c>
      <c r="B910" s="8" t="str">
        <f t="array" ref="B910">IF(906&gt;$S$1204,"",INDEX($T$5:$AJ$1204,MATCH(906,$S$5:$S$1204,0),2))</f>
        <v/>
      </c>
      <c r="C910" s="10" t="str">
        <f t="array" ref="C910">IF(906&gt;$S$1204,"",INDEX($T$5:$AJ$1204,MATCH(906,$S$5:$S$1204,0),3))</f>
        <v/>
      </c>
      <c r="D910" s="8" t="str">
        <f t="array" ref="D910">IF(906&gt;$S$1204,"",INDEX($T$5:$AJ$1204,MATCH(906,$S$5:$S$1204,0),4))</f>
        <v/>
      </c>
      <c r="E910" s="8" t="str">
        <f t="array" ref="E910">IF(906&gt;$S$1204,"",INDEX($T$5:$AJ$1204,MATCH(906,$S$5:$S$1204,0),5))</f>
        <v/>
      </c>
      <c r="F910" s="8" t="str">
        <f t="array" ref="F910">IF(906&gt;$S$1204,"",INDEX($T$5:$AJ$1204,MATCH(906,$S$5:$S$1204,0),6))</f>
        <v/>
      </c>
      <c r="G910" s="8" t="str">
        <f t="array" ref="G910">IF(906&gt;$S$1204,"",INDEX($T$5:$AJ$1204,MATCH(906,$S$5:$S$1204,0),7))</f>
        <v/>
      </c>
      <c r="H910" s="8" t="str">
        <f t="array" ref="H910">IF(906&gt;$S$1204,"",INDEX($T$5:$AJ$1204,MATCH(906,$S$5:$S$1204,0),8))</f>
        <v/>
      </c>
      <c r="I910" s="8" t="str">
        <f t="array" ref="I910">IF(906&gt;$S$1204,"",INDEX($T$5:$AJ$1204,MATCH(906,$S$5:$S$1204,0),9))</f>
        <v/>
      </c>
      <c r="J910" s="14" t="str">
        <f t="array" ref="J910">IF(906&gt;$S$1204,"",INDEX($T$5:$AJ$1204,MATCH(906,$S$5:$S$1204,0),10))</f>
        <v/>
      </c>
      <c r="K910" s="8" t="str">
        <f t="array" ref="K910">IF(906&gt;$S$1204,"",INDEX($T$5:$AJ$1204,MATCH(906,$S$5:$S$1204,0),11))</f>
        <v/>
      </c>
      <c r="L910" s="8" t="str">
        <f t="array" ref="L910">IF(906&gt;$S$1204,"",INDEX($T$5:$AJ$1204,MATCH(906,$S$5:$S$1204,0),12))</f>
        <v/>
      </c>
      <c r="M910" s="8" t="str">
        <f t="array" ref="M910">IF(906&gt;$S$1204,"",INDEX($T$5:$AJ$1204,MATCH(906,$S$5:$S$1204,0),13))</f>
        <v/>
      </c>
      <c r="N910" s="8" t="str">
        <f t="array" ref="N910">IF(906&gt;$S$1204,"",INDEX($T$5:$AJ$1204,MATCH(906,$S$5:$S$1204,0),14))</f>
        <v/>
      </c>
      <c r="O910" s="15" t="str">
        <f t="array" ref="O910">IF(906&gt;$S$1204,"",INDEX($T$5:$AJ$1204,MATCH(906,$S$5:$S$1204,0),15))</f>
        <v/>
      </c>
      <c r="P910" s="8" t="str">
        <f t="array" ref="P910">IF(906&gt;$S$1204,"",INDEX($T$5:$AJ$1204,MATCH(906,$S$5:$S$1204,0),16))</f>
        <v/>
      </c>
      <c r="Q910" s="8" t="str">
        <f t="array" ref="Q910">IF(906&gt;$S$1204,"",INDEX($T$5:$AJ$1204,MATCH(906,$S$5:$S$1204,0),17))</f>
        <v/>
      </c>
      <c r="R910" s="17"/>
      <c r="S910" s="17">
        <f>S909+IF(M5_Ocupacion!A115="",0,1)</f>
        <v>0</v>
      </c>
      <c r="T910" s="17" t="str">
        <f>IF(M5_Ocupacion!A115="","",IF(M5_Ocupacion!A115="","",M5_Ocupacion!A115))</f>
        <v/>
      </c>
      <c r="U910" s="17" t="str">
        <f>IF(M5_Ocupacion!A115="","",IF(M5_Ocupacion!R115="","",M5_Ocupacion!R115))</f>
        <v/>
      </c>
      <c r="V910" s="17" t="str">
        <f>IF(M5_Ocupacion!A115="","",IF(M5_Ocupacion!D115="","",M5_Ocupacion!D115))</f>
        <v/>
      </c>
      <c r="W910" s="17" t="str">
        <f>IF(M5_Ocupacion!A115="","",IF(M5_Ocupacion!B115="","",M5_Ocupacion!B115))</f>
        <v/>
      </c>
      <c r="X910" s="17" t="str">
        <f>IF(M5_Ocupacion!A115="","",IF(M5_Ocupacion!C115="","",M5_Ocupacion!C115))</f>
        <v/>
      </c>
      <c r="Y910" s="17" t="str">
        <f>IF(M5_Ocupacion!A115="","",IF(M5_Ocupacion!E115="","",M5_Ocupacion!E115))</f>
        <v/>
      </c>
      <c r="Z910" s="17" t="str">
        <f>IF(M5_Ocupacion!A115="","",IF(M5_Ocupacion!F115="","",M5_Ocupacion!F115))</f>
        <v/>
      </c>
      <c r="AA910" s="17" t="str">
        <f>IF(M5_Ocupacion!A115="","","M5 Ocupación")</f>
        <v/>
      </c>
      <c r="AB910" s="17" t="str">
        <f>IF(M5_Ocupacion!A115="","",IF(M5_Ocupacion!G115="","",M5_Ocupacion!G115))</f>
        <v/>
      </c>
      <c r="AC910" s="17" t="str">
        <f>IF(M5_Ocupacion!A115="","",IF(COUNTIFS(M5_Ocupacion!$A$10:A115,M5_Ocupacion!A115,M5_Ocupacion!$D$10:D115,M5_Ocupacion!D115)=1,IF(M5_Ocupacion!M115="","",M5_Ocupacion!M115),""))</f>
        <v/>
      </c>
      <c r="AD910" s="17" t="str">
        <f>IF(M5_Ocupacion!A115="","","MO")</f>
        <v/>
      </c>
      <c r="AE910" s="17" t="str">
        <f>IF(M5_Ocupacion!A115="","",IF(M5_Ocupacion!O115="","",M5_Ocupacion!O115))</f>
        <v/>
      </c>
      <c r="AF910" s="17" t="str">
        <f>IF(M5_Ocupacion!A115="","",IF(M5_Ocupacion!P115="","",M5_Ocupacion!P115))</f>
        <v/>
      </c>
      <c r="AG910" s="17" t="str">
        <f>IF(M5_Ocupacion!A115="","",IF(M5_Ocupacion!Q115="","",M5_Ocupacion!Q115))</f>
        <v/>
      </c>
      <c r="AH910" s="17" t="str">
        <f>IF(M5_Ocupacion!A115="","",IF(M5_Ocupacion!J115="","",M5_Ocupacion!J115))</f>
        <v/>
      </c>
      <c r="AI910" s="17" t="str">
        <f>IF(M5_Ocupacion!A115="","","M5_Ocupacion!115")</f>
        <v/>
      </c>
      <c r="AJ910" s="17" t="str">
        <f>IF(M5_Ocupacion!A115="","",IF(M5_Ocupacion!M115="","Pendiente de medición completa",IF(COUNTIFS(M5_Ocupacion!$A$10:A115,M5_Ocupacion!A115,M5_Ocupacion!$D$10:D115,M5_Ocupacion!D115)=1,"Promedio de la actividad y fecha","Observación incluida en promedio")))</f>
        <v/>
      </c>
    </row>
    <row r="911" spans="1:36" ht="55.5" customHeight="1">
      <c r="A911" s="6" t="str">
        <f t="array" ref="A911">IF(907&gt;$S$1204,"",INDEX($T$5:$AJ$1204,MATCH(907,$S$5:$S$1204,0),1))</f>
        <v/>
      </c>
      <c r="B911" s="8" t="str">
        <f t="array" ref="B911">IF(907&gt;$S$1204,"",INDEX($T$5:$AJ$1204,MATCH(907,$S$5:$S$1204,0),2))</f>
        <v/>
      </c>
      <c r="C911" s="10" t="str">
        <f t="array" ref="C911">IF(907&gt;$S$1204,"",INDEX($T$5:$AJ$1204,MATCH(907,$S$5:$S$1204,0),3))</f>
        <v/>
      </c>
      <c r="D911" s="8" t="str">
        <f t="array" ref="D911">IF(907&gt;$S$1204,"",INDEX($T$5:$AJ$1204,MATCH(907,$S$5:$S$1204,0),4))</f>
        <v/>
      </c>
      <c r="E911" s="8" t="str">
        <f t="array" ref="E911">IF(907&gt;$S$1204,"",INDEX($T$5:$AJ$1204,MATCH(907,$S$5:$S$1204,0),5))</f>
        <v/>
      </c>
      <c r="F911" s="8" t="str">
        <f t="array" ref="F911">IF(907&gt;$S$1204,"",INDEX($T$5:$AJ$1204,MATCH(907,$S$5:$S$1204,0),6))</f>
        <v/>
      </c>
      <c r="G911" s="8" t="str">
        <f t="array" ref="G911">IF(907&gt;$S$1204,"",INDEX($T$5:$AJ$1204,MATCH(907,$S$5:$S$1204,0),7))</f>
        <v/>
      </c>
      <c r="H911" s="8" t="str">
        <f t="array" ref="H911">IF(907&gt;$S$1204,"",INDEX($T$5:$AJ$1204,MATCH(907,$S$5:$S$1204,0),8))</f>
        <v/>
      </c>
      <c r="I911" s="8" t="str">
        <f t="array" ref="I911">IF(907&gt;$S$1204,"",INDEX($T$5:$AJ$1204,MATCH(907,$S$5:$S$1204,0),9))</f>
        <v/>
      </c>
      <c r="J911" s="14" t="str">
        <f t="array" ref="J911">IF(907&gt;$S$1204,"",INDEX($T$5:$AJ$1204,MATCH(907,$S$5:$S$1204,0),10))</f>
        <v/>
      </c>
      <c r="K911" s="8" t="str">
        <f t="array" ref="K911">IF(907&gt;$S$1204,"",INDEX($T$5:$AJ$1204,MATCH(907,$S$5:$S$1204,0),11))</f>
        <v/>
      </c>
      <c r="L911" s="8" t="str">
        <f t="array" ref="L911">IF(907&gt;$S$1204,"",INDEX($T$5:$AJ$1204,MATCH(907,$S$5:$S$1204,0),12))</f>
        <v/>
      </c>
      <c r="M911" s="8" t="str">
        <f t="array" ref="M911">IF(907&gt;$S$1204,"",INDEX($T$5:$AJ$1204,MATCH(907,$S$5:$S$1204,0),13))</f>
        <v/>
      </c>
      <c r="N911" s="8" t="str">
        <f t="array" ref="N911">IF(907&gt;$S$1204,"",INDEX($T$5:$AJ$1204,MATCH(907,$S$5:$S$1204,0),14))</f>
        <v/>
      </c>
      <c r="O911" s="15" t="str">
        <f t="array" ref="O911">IF(907&gt;$S$1204,"",INDEX($T$5:$AJ$1204,MATCH(907,$S$5:$S$1204,0),15))</f>
        <v/>
      </c>
      <c r="P911" s="8" t="str">
        <f t="array" ref="P911">IF(907&gt;$S$1204,"",INDEX($T$5:$AJ$1204,MATCH(907,$S$5:$S$1204,0),16))</f>
        <v/>
      </c>
      <c r="Q911" s="8" t="str">
        <f t="array" ref="Q911">IF(907&gt;$S$1204,"",INDEX($T$5:$AJ$1204,MATCH(907,$S$5:$S$1204,0),17))</f>
        <v/>
      </c>
      <c r="R911" s="17"/>
      <c r="S911" s="17">
        <f>S910+IF(M5_Ocupacion!A116="",0,1)</f>
        <v>0</v>
      </c>
      <c r="T911" s="17" t="str">
        <f>IF(M5_Ocupacion!A116="","",IF(M5_Ocupacion!A116="","",M5_Ocupacion!A116))</f>
        <v/>
      </c>
      <c r="U911" s="17" t="str">
        <f>IF(M5_Ocupacion!A116="","",IF(M5_Ocupacion!R116="","",M5_Ocupacion!R116))</f>
        <v/>
      </c>
      <c r="V911" s="17" t="str">
        <f>IF(M5_Ocupacion!A116="","",IF(M5_Ocupacion!D116="","",M5_Ocupacion!D116))</f>
        <v/>
      </c>
      <c r="W911" s="17" t="str">
        <f>IF(M5_Ocupacion!A116="","",IF(M5_Ocupacion!B116="","",M5_Ocupacion!B116))</f>
        <v/>
      </c>
      <c r="X911" s="17" t="str">
        <f>IF(M5_Ocupacion!A116="","",IF(M5_Ocupacion!C116="","",M5_Ocupacion!C116))</f>
        <v/>
      </c>
      <c r="Y911" s="17" t="str">
        <f>IF(M5_Ocupacion!A116="","",IF(M5_Ocupacion!E116="","",M5_Ocupacion!E116))</f>
        <v/>
      </c>
      <c r="Z911" s="17" t="str">
        <f>IF(M5_Ocupacion!A116="","",IF(M5_Ocupacion!F116="","",M5_Ocupacion!F116))</f>
        <v/>
      </c>
      <c r="AA911" s="17" t="str">
        <f>IF(M5_Ocupacion!A116="","","M5 Ocupación")</f>
        <v/>
      </c>
      <c r="AB911" s="17" t="str">
        <f>IF(M5_Ocupacion!A116="","",IF(M5_Ocupacion!G116="","",M5_Ocupacion!G116))</f>
        <v/>
      </c>
      <c r="AC911" s="17" t="str">
        <f>IF(M5_Ocupacion!A116="","",IF(COUNTIFS(M5_Ocupacion!$A$10:A116,M5_Ocupacion!A116,M5_Ocupacion!$D$10:D116,M5_Ocupacion!D116)=1,IF(M5_Ocupacion!M116="","",M5_Ocupacion!M116),""))</f>
        <v/>
      </c>
      <c r="AD911" s="17" t="str">
        <f>IF(M5_Ocupacion!A116="","","MO")</f>
        <v/>
      </c>
      <c r="AE911" s="17" t="str">
        <f>IF(M5_Ocupacion!A116="","",IF(M5_Ocupacion!O116="","",M5_Ocupacion!O116))</f>
        <v/>
      </c>
      <c r="AF911" s="17" t="str">
        <f>IF(M5_Ocupacion!A116="","",IF(M5_Ocupacion!P116="","",M5_Ocupacion!P116))</f>
        <v/>
      </c>
      <c r="AG911" s="17" t="str">
        <f>IF(M5_Ocupacion!A116="","",IF(M5_Ocupacion!Q116="","",M5_Ocupacion!Q116))</f>
        <v/>
      </c>
      <c r="AH911" s="17" t="str">
        <f>IF(M5_Ocupacion!A116="","",IF(M5_Ocupacion!J116="","",M5_Ocupacion!J116))</f>
        <v/>
      </c>
      <c r="AI911" s="17" t="str">
        <f>IF(M5_Ocupacion!A116="","","M5_Ocupacion!116")</f>
        <v/>
      </c>
      <c r="AJ911" s="17" t="str">
        <f>IF(M5_Ocupacion!A116="","",IF(M5_Ocupacion!M116="","Pendiente de medición completa",IF(COUNTIFS(M5_Ocupacion!$A$10:A116,M5_Ocupacion!A116,M5_Ocupacion!$D$10:D116,M5_Ocupacion!D116)=1,"Promedio de la actividad y fecha","Observación incluida en promedio")))</f>
        <v/>
      </c>
    </row>
    <row r="912" spans="1:36" ht="55.5" customHeight="1">
      <c r="A912" s="6" t="str">
        <f t="array" ref="A912">IF(908&gt;$S$1204,"",INDEX($T$5:$AJ$1204,MATCH(908,$S$5:$S$1204,0),1))</f>
        <v/>
      </c>
      <c r="B912" s="8" t="str">
        <f t="array" ref="B912">IF(908&gt;$S$1204,"",INDEX($T$5:$AJ$1204,MATCH(908,$S$5:$S$1204,0),2))</f>
        <v/>
      </c>
      <c r="C912" s="10" t="str">
        <f t="array" ref="C912">IF(908&gt;$S$1204,"",INDEX($T$5:$AJ$1204,MATCH(908,$S$5:$S$1204,0),3))</f>
        <v/>
      </c>
      <c r="D912" s="8" t="str">
        <f t="array" ref="D912">IF(908&gt;$S$1204,"",INDEX($T$5:$AJ$1204,MATCH(908,$S$5:$S$1204,0),4))</f>
        <v/>
      </c>
      <c r="E912" s="8" t="str">
        <f t="array" ref="E912">IF(908&gt;$S$1204,"",INDEX($T$5:$AJ$1204,MATCH(908,$S$5:$S$1204,0),5))</f>
        <v/>
      </c>
      <c r="F912" s="8" t="str">
        <f t="array" ref="F912">IF(908&gt;$S$1204,"",INDEX($T$5:$AJ$1204,MATCH(908,$S$5:$S$1204,0),6))</f>
        <v/>
      </c>
      <c r="G912" s="8" t="str">
        <f t="array" ref="G912">IF(908&gt;$S$1204,"",INDEX($T$5:$AJ$1204,MATCH(908,$S$5:$S$1204,0),7))</f>
        <v/>
      </c>
      <c r="H912" s="8" t="str">
        <f t="array" ref="H912">IF(908&gt;$S$1204,"",INDEX($T$5:$AJ$1204,MATCH(908,$S$5:$S$1204,0),8))</f>
        <v/>
      </c>
      <c r="I912" s="8" t="str">
        <f t="array" ref="I912">IF(908&gt;$S$1204,"",INDEX($T$5:$AJ$1204,MATCH(908,$S$5:$S$1204,0),9))</f>
        <v/>
      </c>
      <c r="J912" s="14" t="str">
        <f t="array" ref="J912">IF(908&gt;$S$1204,"",INDEX($T$5:$AJ$1204,MATCH(908,$S$5:$S$1204,0),10))</f>
        <v/>
      </c>
      <c r="K912" s="8" t="str">
        <f t="array" ref="K912">IF(908&gt;$S$1204,"",INDEX($T$5:$AJ$1204,MATCH(908,$S$5:$S$1204,0),11))</f>
        <v/>
      </c>
      <c r="L912" s="8" t="str">
        <f t="array" ref="L912">IF(908&gt;$S$1204,"",INDEX($T$5:$AJ$1204,MATCH(908,$S$5:$S$1204,0),12))</f>
        <v/>
      </c>
      <c r="M912" s="8" t="str">
        <f t="array" ref="M912">IF(908&gt;$S$1204,"",INDEX($T$5:$AJ$1204,MATCH(908,$S$5:$S$1204,0),13))</f>
        <v/>
      </c>
      <c r="N912" s="8" t="str">
        <f t="array" ref="N912">IF(908&gt;$S$1204,"",INDEX($T$5:$AJ$1204,MATCH(908,$S$5:$S$1204,0),14))</f>
        <v/>
      </c>
      <c r="O912" s="15" t="str">
        <f t="array" ref="O912">IF(908&gt;$S$1204,"",INDEX($T$5:$AJ$1204,MATCH(908,$S$5:$S$1204,0),15))</f>
        <v/>
      </c>
      <c r="P912" s="8" t="str">
        <f t="array" ref="P912">IF(908&gt;$S$1204,"",INDEX($T$5:$AJ$1204,MATCH(908,$S$5:$S$1204,0),16))</f>
        <v/>
      </c>
      <c r="Q912" s="8" t="str">
        <f t="array" ref="Q912">IF(908&gt;$S$1204,"",INDEX($T$5:$AJ$1204,MATCH(908,$S$5:$S$1204,0),17))</f>
        <v/>
      </c>
      <c r="R912" s="17"/>
      <c r="S912" s="17">
        <f>S911+IF(M5_Ocupacion!A117="",0,1)</f>
        <v>0</v>
      </c>
      <c r="T912" s="17" t="str">
        <f>IF(M5_Ocupacion!A117="","",IF(M5_Ocupacion!A117="","",M5_Ocupacion!A117))</f>
        <v/>
      </c>
      <c r="U912" s="17" t="str">
        <f>IF(M5_Ocupacion!A117="","",IF(M5_Ocupacion!R117="","",M5_Ocupacion!R117))</f>
        <v/>
      </c>
      <c r="V912" s="17" t="str">
        <f>IF(M5_Ocupacion!A117="","",IF(M5_Ocupacion!D117="","",M5_Ocupacion!D117))</f>
        <v/>
      </c>
      <c r="W912" s="17" t="str">
        <f>IF(M5_Ocupacion!A117="","",IF(M5_Ocupacion!B117="","",M5_Ocupacion!B117))</f>
        <v/>
      </c>
      <c r="X912" s="17" t="str">
        <f>IF(M5_Ocupacion!A117="","",IF(M5_Ocupacion!C117="","",M5_Ocupacion!C117))</f>
        <v/>
      </c>
      <c r="Y912" s="17" t="str">
        <f>IF(M5_Ocupacion!A117="","",IF(M5_Ocupacion!E117="","",M5_Ocupacion!E117))</f>
        <v/>
      </c>
      <c r="Z912" s="17" t="str">
        <f>IF(M5_Ocupacion!A117="","",IF(M5_Ocupacion!F117="","",M5_Ocupacion!F117))</f>
        <v/>
      </c>
      <c r="AA912" s="17" t="str">
        <f>IF(M5_Ocupacion!A117="","","M5 Ocupación")</f>
        <v/>
      </c>
      <c r="AB912" s="17" t="str">
        <f>IF(M5_Ocupacion!A117="","",IF(M5_Ocupacion!G117="","",M5_Ocupacion!G117))</f>
        <v/>
      </c>
      <c r="AC912" s="17" t="str">
        <f>IF(M5_Ocupacion!A117="","",IF(COUNTIFS(M5_Ocupacion!$A$10:A117,M5_Ocupacion!A117,M5_Ocupacion!$D$10:D117,M5_Ocupacion!D117)=1,IF(M5_Ocupacion!M117="","",M5_Ocupacion!M117),""))</f>
        <v/>
      </c>
      <c r="AD912" s="17" t="str">
        <f>IF(M5_Ocupacion!A117="","","MO")</f>
        <v/>
      </c>
      <c r="AE912" s="17" t="str">
        <f>IF(M5_Ocupacion!A117="","",IF(M5_Ocupacion!O117="","",M5_Ocupacion!O117))</f>
        <v/>
      </c>
      <c r="AF912" s="17" t="str">
        <f>IF(M5_Ocupacion!A117="","",IF(M5_Ocupacion!P117="","",M5_Ocupacion!P117))</f>
        <v/>
      </c>
      <c r="AG912" s="17" t="str">
        <f>IF(M5_Ocupacion!A117="","",IF(M5_Ocupacion!Q117="","",M5_Ocupacion!Q117))</f>
        <v/>
      </c>
      <c r="AH912" s="17" t="str">
        <f>IF(M5_Ocupacion!A117="","",IF(M5_Ocupacion!J117="","",M5_Ocupacion!J117))</f>
        <v/>
      </c>
      <c r="AI912" s="17" t="str">
        <f>IF(M5_Ocupacion!A117="","","M5_Ocupacion!117")</f>
        <v/>
      </c>
      <c r="AJ912" s="17" t="str">
        <f>IF(M5_Ocupacion!A117="","",IF(M5_Ocupacion!M117="","Pendiente de medición completa",IF(COUNTIFS(M5_Ocupacion!$A$10:A117,M5_Ocupacion!A117,M5_Ocupacion!$D$10:D117,M5_Ocupacion!D117)=1,"Promedio de la actividad y fecha","Observación incluida en promedio")))</f>
        <v/>
      </c>
    </row>
    <row r="913" spans="1:36" ht="55.5" customHeight="1">
      <c r="A913" s="6" t="str">
        <f t="array" ref="A913">IF(909&gt;$S$1204,"",INDEX($T$5:$AJ$1204,MATCH(909,$S$5:$S$1204,0),1))</f>
        <v/>
      </c>
      <c r="B913" s="8" t="str">
        <f t="array" ref="B913">IF(909&gt;$S$1204,"",INDEX($T$5:$AJ$1204,MATCH(909,$S$5:$S$1204,0),2))</f>
        <v/>
      </c>
      <c r="C913" s="10" t="str">
        <f t="array" ref="C913">IF(909&gt;$S$1204,"",INDEX($T$5:$AJ$1204,MATCH(909,$S$5:$S$1204,0),3))</f>
        <v/>
      </c>
      <c r="D913" s="8" t="str">
        <f t="array" ref="D913">IF(909&gt;$S$1204,"",INDEX($T$5:$AJ$1204,MATCH(909,$S$5:$S$1204,0),4))</f>
        <v/>
      </c>
      <c r="E913" s="8" t="str">
        <f t="array" ref="E913">IF(909&gt;$S$1204,"",INDEX($T$5:$AJ$1204,MATCH(909,$S$5:$S$1204,0),5))</f>
        <v/>
      </c>
      <c r="F913" s="8" t="str">
        <f t="array" ref="F913">IF(909&gt;$S$1204,"",INDEX($T$5:$AJ$1204,MATCH(909,$S$5:$S$1204,0),6))</f>
        <v/>
      </c>
      <c r="G913" s="8" t="str">
        <f t="array" ref="G913">IF(909&gt;$S$1204,"",INDEX($T$5:$AJ$1204,MATCH(909,$S$5:$S$1204,0),7))</f>
        <v/>
      </c>
      <c r="H913" s="8" t="str">
        <f t="array" ref="H913">IF(909&gt;$S$1204,"",INDEX($T$5:$AJ$1204,MATCH(909,$S$5:$S$1204,0),8))</f>
        <v/>
      </c>
      <c r="I913" s="8" t="str">
        <f t="array" ref="I913">IF(909&gt;$S$1204,"",INDEX($T$5:$AJ$1204,MATCH(909,$S$5:$S$1204,0),9))</f>
        <v/>
      </c>
      <c r="J913" s="14" t="str">
        <f t="array" ref="J913">IF(909&gt;$S$1204,"",INDEX($T$5:$AJ$1204,MATCH(909,$S$5:$S$1204,0),10))</f>
        <v/>
      </c>
      <c r="K913" s="8" t="str">
        <f t="array" ref="K913">IF(909&gt;$S$1204,"",INDEX($T$5:$AJ$1204,MATCH(909,$S$5:$S$1204,0),11))</f>
        <v/>
      </c>
      <c r="L913" s="8" t="str">
        <f t="array" ref="L913">IF(909&gt;$S$1204,"",INDEX($T$5:$AJ$1204,MATCH(909,$S$5:$S$1204,0),12))</f>
        <v/>
      </c>
      <c r="M913" s="8" t="str">
        <f t="array" ref="M913">IF(909&gt;$S$1204,"",INDEX($T$5:$AJ$1204,MATCH(909,$S$5:$S$1204,0),13))</f>
        <v/>
      </c>
      <c r="N913" s="8" t="str">
        <f t="array" ref="N913">IF(909&gt;$S$1204,"",INDEX($T$5:$AJ$1204,MATCH(909,$S$5:$S$1204,0),14))</f>
        <v/>
      </c>
      <c r="O913" s="15" t="str">
        <f t="array" ref="O913">IF(909&gt;$S$1204,"",INDEX($T$5:$AJ$1204,MATCH(909,$S$5:$S$1204,0),15))</f>
        <v/>
      </c>
      <c r="P913" s="8" t="str">
        <f t="array" ref="P913">IF(909&gt;$S$1204,"",INDEX($T$5:$AJ$1204,MATCH(909,$S$5:$S$1204,0),16))</f>
        <v/>
      </c>
      <c r="Q913" s="8" t="str">
        <f t="array" ref="Q913">IF(909&gt;$S$1204,"",INDEX($T$5:$AJ$1204,MATCH(909,$S$5:$S$1204,0),17))</f>
        <v/>
      </c>
      <c r="R913" s="17"/>
      <c r="S913" s="17">
        <f>S912+IF(M5_Ocupacion!A118="",0,1)</f>
        <v>0</v>
      </c>
      <c r="T913" s="17" t="str">
        <f>IF(M5_Ocupacion!A118="","",IF(M5_Ocupacion!A118="","",M5_Ocupacion!A118))</f>
        <v/>
      </c>
      <c r="U913" s="17" t="str">
        <f>IF(M5_Ocupacion!A118="","",IF(M5_Ocupacion!R118="","",M5_Ocupacion!R118))</f>
        <v/>
      </c>
      <c r="V913" s="17" t="str">
        <f>IF(M5_Ocupacion!A118="","",IF(M5_Ocupacion!D118="","",M5_Ocupacion!D118))</f>
        <v/>
      </c>
      <c r="W913" s="17" t="str">
        <f>IF(M5_Ocupacion!A118="","",IF(M5_Ocupacion!B118="","",M5_Ocupacion!B118))</f>
        <v/>
      </c>
      <c r="X913" s="17" t="str">
        <f>IF(M5_Ocupacion!A118="","",IF(M5_Ocupacion!C118="","",M5_Ocupacion!C118))</f>
        <v/>
      </c>
      <c r="Y913" s="17" t="str">
        <f>IF(M5_Ocupacion!A118="","",IF(M5_Ocupacion!E118="","",M5_Ocupacion!E118))</f>
        <v/>
      </c>
      <c r="Z913" s="17" t="str">
        <f>IF(M5_Ocupacion!A118="","",IF(M5_Ocupacion!F118="","",M5_Ocupacion!F118))</f>
        <v/>
      </c>
      <c r="AA913" s="17" t="str">
        <f>IF(M5_Ocupacion!A118="","","M5 Ocupación")</f>
        <v/>
      </c>
      <c r="AB913" s="17" t="str">
        <f>IF(M5_Ocupacion!A118="","",IF(M5_Ocupacion!G118="","",M5_Ocupacion!G118))</f>
        <v/>
      </c>
      <c r="AC913" s="17" t="str">
        <f>IF(M5_Ocupacion!A118="","",IF(COUNTIFS(M5_Ocupacion!$A$10:A118,M5_Ocupacion!A118,M5_Ocupacion!$D$10:D118,M5_Ocupacion!D118)=1,IF(M5_Ocupacion!M118="","",M5_Ocupacion!M118),""))</f>
        <v/>
      </c>
      <c r="AD913" s="17" t="str">
        <f>IF(M5_Ocupacion!A118="","","MO")</f>
        <v/>
      </c>
      <c r="AE913" s="17" t="str">
        <f>IF(M5_Ocupacion!A118="","",IF(M5_Ocupacion!O118="","",M5_Ocupacion!O118))</f>
        <v/>
      </c>
      <c r="AF913" s="17" t="str">
        <f>IF(M5_Ocupacion!A118="","",IF(M5_Ocupacion!P118="","",M5_Ocupacion!P118))</f>
        <v/>
      </c>
      <c r="AG913" s="17" t="str">
        <f>IF(M5_Ocupacion!A118="","",IF(M5_Ocupacion!Q118="","",M5_Ocupacion!Q118))</f>
        <v/>
      </c>
      <c r="AH913" s="17" t="str">
        <f>IF(M5_Ocupacion!A118="","",IF(M5_Ocupacion!J118="","",M5_Ocupacion!J118))</f>
        <v/>
      </c>
      <c r="AI913" s="17" t="str">
        <f>IF(M5_Ocupacion!A118="","","M5_Ocupacion!118")</f>
        <v/>
      </c>
      <c r="AJ913" s="17" t="str">
        <f>IF(M5_Ocupacion!A118="","",IF(M5_Ocupacion!M118="","Pendiente de medición completa",IF(COUNTIFS(M5_Ocupacion!$A$10:A118,M5_Ocupacion!A118,M5_Ocupacion!$D$10:D118,M5_Ocupacion!D118)=1,"Promedio de la actividad y fecha","Observación incluida en promedio")))</f>
        <v/>
      </c>
    </row>
    <row r="914" spans="1:36" ht="55.5" customHeight="1">
      <c r="A914" s="6" t="str">
        <f t="array" ref="A914">IF(910&gt;$S$1204,"",INDEX($T$5:$AJ$1204,MATCH(910,$S$5:$S$1204,0),1))</f>
        <v/>
      </c>
      <c r="B914" s="8" t="str">
        <f t="array" ref="B914">IF(910&gt;$S$1204,"",INDEX($T$5:$AJ$1204,MATCH(910,$S$5:$S$1204,0),2))</f>
        <v/>
      </c>
      <c r="C914" s="10" t="str">
        <f t="array" ref="C914">IF(910&gt;$S$1204,"",INDEX($T$5:$AJ$1204,MATCH(910,$S$5:$S$1204,0),3))</f>
        <v/>
      </c>
      <c r="D914" s="8" t="str">
        <f t="array" ref="D914">IF(910&gt;$S$1204,"",INDEX($T$5:$AJ$1204,MATCH(910,$S$5:$S$1204,0),4))</f>
        <v/>
      </c>
      <c r="E914" s="8" t="str">
        <f t="array" ref="E914">IF(910&gt;$S$1204,"",INDEX($T$5:$AJ$1204,MATCH(910,$S$5:$S$1204,0),5))</f>
        <v/>
      </c>
      <c r="F914" s="8" t="str">
        <f t="array" ref="F914">IF(910&gt;$S$1204,"",INDEX($T$5:$AJ$1204,MATCH(910,$S$5:$S$1204,0),6))</f>
        <v/>
      </c>
      <c r="G914" s="8" t="str">
        <f t="array" ref="G914">IF(910&gt;$S$1204,"",INDEX($T$5:$AJ$1204,MATCH(910,$S$5:$S$1204,0),7))</f>
        <v/>
      </c>
      <c r="H914" s="8" t="str">
        <f t="array" ref="H914">IF(910&gt;$S$1204,"",INDEX($T$5:$AJ$1204,MATCH(910,$S$5:$S$1204,0),8))</f>
        <v/>
      </c>
      <c r="I914" s="8" t="str">
        <f t="array" ref="I914">IF(910&gt;$S$1204,"",INDEX($T$5:$AJ$1204,MATCH(910,$S$5:$S$1204,0),9))</f>
        <v/>
      </c>
      <c r="J914" s="14" t="str">
        <f t="array" ref="J914">IF(910&gt;$S$1204,"",INDEX($T$5:$AJ$1204,MATCH(910,$S$5:$S$1204,0),10))</f>
        <v/>
      </c>
      <c r="K914" s="8" t="str">
        <f t="array" ref="K914">IF(910&gt;$S$1204,"",INDEX($T$5:$AJ$1204,MATCH(910,$S$5:$S$1204,0),11))</f>
        <v/>
      </c>
      <c r="L914" s="8" t="str">
        <f t="array" ref="L914">IF(910&gt;$S$1204,"",INDEX($T$5:$AJ$1204,MATCH(910,$S$5:$S$1204,0),12))</f>
        <v/>
      </c>
      <c r="M914" s="8" t="str">
        <f t="array" ref="M914">IF(910&gt;$S$1204,"",INDEX($T$5:$AJ$1204,MATCH(910,$S$5:$S$1204,0),13))</f>
        <v/>
      </c>
      <c r="N914" s="8" t="str">
        <f t="array" ref="N914">IF(910&gt;$S$1204,"",INDEX($T$5:$AJ$1204,MATCH(910,$S$5:$S$1204,0),14))</f>
        <v/>
      </c>
      <c r="O914" s="15" t="str">
        <f t="array" ref="O914">IF(910&gt;$S$1204,"",INDEX($T$5:$AJ$1204,MATCH(910,$S$5:$S$1204,0),15))</f>
        <v/>
      </c>
      <c r="P914" s="8" t="str">
        <f t="array" ref="P914">IF(910&gt;$S$1204,"",INDEX($T$5:$AJ$1204,MATCH(910,$S$5:$S$1204,0),16))</f>
        <v/>
      </c>
      <c r="Q914" s="8" t="str">
        <f t="array" ref="Q914">IF(910&gt;$S$1204,"",INDEX($T$5:$AJ$1204,MATCH(910,$S$5:$S$1204,0),17))</f>
        <v/>
      </c>
      <c r="R914" s="17"/>
      <c r="S914" s="17">
        <f>S913+IF(M5_Ocupacion!A119="",0,1)</f>
        <v>0</v>
      </c>
      <c r="T914" s="17" t="str">
        <f>IF(M5_Ocupacion!A119="","",IF(M5_Ocupacion!A119="","",M5_Ocupacion!A119))</f>
        <v/>
      </c>
      <c r="U914" s="17" t="str">
        <f>IF(M5_Ocupacion!A119="","",IF(M5_Ocupacion!R119="","",M5_Ocupacion!R119))</f>
        <v/>
      </c>
      <c r="V914" s="17" t="str">
        <f>IF(M5_Ocupacion!A119="","",IF(M5_Ocupacion!D119="","",M5_Ocupacion!D119))</f>
        <v/>
      </c>
      <c r="W914" s="17" t="str">
        <f>IF(M5_Ocupacion!A119="","",IF(M5_Ocupacion!B119="","",M5_Ocupacion!B119))</f>
        <v/>
      </c>
      <c r="X914" s="17" t="str">
        <f>IF(M5_Ocupacion!A119="","",IF(M5_Ocupacion!C119="","",M5_Ocupacion!C119))</f>
        <v/>
      </c>
      <c r="Y914" s="17" t="str">
        <f>IF(M5_Ocupacion!A119="","",IF(M5_Ocupacion!E119="","",M5_Ocupacion!E119))</f>
        <v/>
      </c>
      <c r="Z914" s="17" t="str">
        <f>IF(M5_Ocupacion!A119="","",IF(M5_Ocupacion!F119="","",M5_Ocupacion!F119))</f>
        <v/>
      </c>
      <c r="AA914" s="17" t="str">
        <f>IF(M5_Ocupacion!A119="","","M5 Ocupación")</f>
        <v/>
      </c>
      <c r="AB914" s="17" t="str">
        <f>IF(M5_Ocupacion!A119="","",IF(M5_Ocupacion!G119="","",M5_Ocupacion!G119))</f>
        <v/>
      </c>
      <c r="AC914" s="17" t="str">
        <f>IF(M5_Ocupacion!A119="","",IF(COUNTIFS(M5_Ocupacion!$A$10:A119,M5_Ocupacion!A119,M5_Ocupacion!$D$10:D119,M5_Ocupacion!D119)=1,IF(M5_Ocupacion!M119="","",M5_Ocupacion!M119),""))</f>
        <v/>
      </c>
      <c r="AD914" s="17" t="str">
        <f>IF(M5_Ocupacion!A119="","","MO")</f>
        <v/>
      </c>
      <c r="AE914" s="17" t="str">
        <f>IF(M5_Ocupacion!A119="","",IF(M5_Ocupacion!O119="","",M5_Ocupacion!O119))</f>
        <v/>
      </c>
      <c r="AF914" s="17" t="str">
        <f>IF(M5_Ocupacion!A119="","",IF(M5_Ocupacion!P119="","",M5_Ocupacion!P119))</f>
        <v/>
      </c>
      <c r="AG914" s="17" t="str">
        <f>IF(M5_Ocupacion!A119="","",IF(M5_Ocupacion!Q119="","",M5_Ocupacion!Q119))</f>
        <v/>
      </c>
      <c r="AH914" s="17" t="str">
        <f>IF(M5_Ocupacion!A119="","",IF(M5_Ocupacion!J119="","",M5_Ocupacion!J119))</f>
        <v/>
      </c>
      <c r="AI914" s="17" t="str">
        <f>IF(M5_Ocupacion!A119="","","M5_Ocupacion!119")</f>
        <v/>
      </c>
      <c r="AJ914" s="17" t="str">
        <f>IF(M5_Ocupacion!A119="","",IF(M5_Ocupacion!M119="","Pendiente de medición completa",IF(COUNTIFS(M5_Ocupacion!$A$10:A119,M5_Ocupacion!A119,M5_Ocupacion!$D$10:D119,M5_Ocupacion!D119)=1,"Promedio de la actividad y fecha","Observación incluida en promedio")))</f>
        <v/>
      </c>
    </row>
    <row r="915" spans="1:36" ht="55.5" customHeight="1">
      <c r="A915" s="6" t="str">
        <f t="array" ref="A915">IF(911&gt;$S$1204,"",INDEX($T$5:$AJ$1204,MATCH(911,$S$5:$S$1204,0),1))</f>
        <v/>
      </c>
      <c r="B915" s="8" t="str">
        <f t="array" ref="B915">IF(911&gt;$S$1204,"",INDEX($T$5:$AJ$1204,MATCH(911,$S$5:$S$1204,0),2))</f>
        <v/>
      </c>
      <c r="C915" s="10" t="str">
        <f t="array" ref="C915">IF(911&gt;$S$1204,"",INDEX($T$5:$AJ$1204,MATCH(911,$S$5:$S$1204,0),3))</f>
        <v/>
      </c>
      <c r="D915" s="8" t="str">
        <f t="array" ref="D915">IF(911&gt;$S$1204,"",INDEX($T$5:$AJ$1204,MATCH(911,$S$5:$S$1204,0),4))</f>
        <v/>
      </c>
      <c r="E915" s="8" t="str">
        <f t="array" ref="E915">IF(911&gt;$S$1204,"",INDEX($T$5:$AJ$1204,MATCH(911,$S$5:$S$1204,0),5))</f>
        <v/>
      </c>
      <c r="F915" s="8" t="str">
        <f t="array" ref="F915">IF(911&gt;$S$1204,"",INDEX($T$5:$AJ$1204,MATCH(911,$S$5:$S$1204,0),6))</f>
        <v/>
      </c>
      <c r="G915" s="8" t="str">
        <f t="array" ref="G915">IF(911&gt;$S$1204,"",INDEX($T$5:$AJ$1204,MATCH(911,$S$5:$S$1204,0),7))</f>
        <v/>
      </c>
      <c r="H915" s="8" t="str">
        <f t="array" ref="H915">IF(911&gt;$S$1204,"",INDEX($T$5:$AJ$1204,MATCH(911,$S$5:$S$1204,0),8))</f>
        <v/>
      </c>
      <c r="I915" s="8" t="str">
        <f t="array" ref="I915">IF(911&gt;$S$1204,"",INDEX($T$5:$AJ$1204,MATCH(911,$S$5:$S$1204,0),9))</f>
        <v/>
      </c>
      <c r="J915" s="14" t="str">
        <f t="array" ref="J915">IF(911&gt;$S$1204,"",INDEX($T$5:$AJ$1204,MATCH(911,$S$5:$S$1204,0),10))</f>
        <v/>
      </c>
      <c r="K915" s="8" t="str">
        <f t="array" ref="K915">IF(911&gt;$S$1204,"",INDEX($T$5:$AJ$1204,MATCH(911,$S$5:$S$1204,0),11))</f>
        <v/>
      </c>
      <c r="L915" s="8" t="str">
        <f t="array" ref="L915">IF(911&gt;$S$1204,"",INDEX($T$5:$AJ$1204,MATCH(911,$S$5:$S$1204,0),12))</f>
        <v/>
      </c>
      <c r="M915" s="8" t="str">
        <f t="array" ref="M915">IF(911&gt;$S$1204,"",INDEX($T$5:$AJ$1204,MATCH(911,$S$5:$S$1204,0),13))</f>
        <v/>
      </c>
      <c r="N915" s="8" t="str">
        <f t="array" ref="N915">IF(911&gt;$S$1204,"",INDEX($T$5:$AJ$1204,MATCH(911,$S$5:$S$1204,0),14))</f>
        <v/>
      </c>
      <c r="O915" s="15" t="str">
        <f t="array" ref="O915">IF(911&gt;$S$1204,"",INDEX($T$5:$AJ$1204,MATCH(911,$S$5:$S$1204,0),15))</f>
        <v/>
      </c>
      <c r="P915" s="8" t="str">
        <f t="array" ref="P915">IF(911&gt;$S$1204,"",INDEX($T$5:$AJ$1204,MATCH(911,$S$5:$S$1204,0),16))</f>
        <v/>
      </c>
      <c r="Q915" s="8" t="str">
        <f t="array" ref="Q915">IF(911&gt;$S$1204,"",INDEX($T$5:$AJ$1204,MATCH(911,$S$5:$S$1204,0),17))</f>
        <v/>
      </c>
      <c r="R915" s="17"/>
      <c r="S915" s="17">
        <f>S914+IF(M5_Ocupacion!A120="",0,1)</f>
        <v>0</v>
      </c>
      <c r="T915" s="17" t="str">
        <f>IF(M5_Ocupacion!A120="","",IF(M5_Ocupacion!A120="","",M5_Ocupacion!A120))</f>
        <v/>
      </c>
      <c r="U915" s="17" t="str">
        <f>IF(M5_Ocupacion!A120="","",IF(M5_Ocupacion!R120="","",M5_Ocupacion!R120))</f>
        <v/>
      </c>
      <c r="V915" s="17" t="str">
        <f>IF(M5_Ocupacion!A120="","",IF(M5_Ocupacion!D120="","",M5_Ocupacion!D120))</f>
        <v/>
      </c>
      <c r="W915" s="17" t="str">
        <f>IF(M5_Ocupacion!A120="","",IF(M5_Ocupacion!B120="","",M5_Ocupacion!B120))</f>
        <v/>
      </c>
      <c r="X915" s="17" t="str">
        <f>IF(M5_Ocupacion!A120="","",IF(M5_Ocupacion!C120="","",M5_Ocupacion!C120))</f>
        <v/>
      </c>
      <c r="Y915" s="17" t="str">
        <f>IF(M5_Ocupacion!A120="","",IF(M5_Ocupacion!E120="","",M5_Ocupacion!E120))</f>
        <v/>
      </c>
      <c r="Z915" s="17" t="str">
        <f>IF(M5_Ocupacion!A120="","",IF(M5_Ocupacion!F120="","",M5_Ocupacion!F120))</f>
        <v/>
      </c>
      <c r="AA915" s="17" t="str">
        <f>IF(M5_Ocupacion!A120="","","M5 Ocupación")</f>
        <v/>
      </c>
      <c r="AB915" s="17" t="str">
        <f>IF(M5_Ocupacion!A120="","",IF(M5_Ocupacion!G120="","",M5_Ocupacion!G120))</f>
        <v/>
      </c>
      <c r="AC915" s="17" t="str">
        <f>IF(M5_Ocupacion!A120="","",IF(COUNTIFS(M5_Ocupacion!$A$10:A120,M5_Ocupacion!A120,M5_Ocupacion!$D$10:D120,M5_Ocupacion!D120)=1,IF(M5_Ocupacion!M120="","",M5_Ocupacion!M120),""))</f>
        <v/>
      </c>
      <c r="AD915" s="17" t="str">
        <f>IF(M5_Ocupacion!A120="","","MO")</f>
        <v/>
      </c>
      <c r="AE915" s="17" t="str">
        <f>IF(M5_Ocupacion!A120="","",IF(M5_Ocupacion!O120="","",M5_Ocupacion!O120))</f>
        <v/>
      </c>
      <c r="AF915" s="17" t="str">
        <f>IF(M5_Ocupacion!A120="","",IF(M5_Ocupacion!P120="","",M5_Ocupacion!P120))</f>
        <v/>
      </c>
      <c r="AG915" s="17" t="str">
        <f>IF(M5_Ocupacion!A120="","",IF(M5_Ocupacion!Q120="","",M5_Ocupacion!Q120))</f>
        <v/>
      </c>
      <c r="AH915" s="17" t="str">
        <f>IF(M5_Ocupacion!A120="","",IF(M5_Ocupacion!J120="","",M5_Ocupacion!J120))</f>
        <v/>
      </c>
      <c r="AI915" s="17" t="str">
        <f>IF(M5_Ocupacion!A120="","","M5_Ocupacion!120")</f>
        <v/>
      </c>
      <c r="AJ915" s="17" t="str">
        <f>IF(M5_Ocupacion!A120="","",IF(M5_Ocupacion!M120="","Pendiente de medición completa",IF(COUNTIFS(M5_Ocupacion!$A$10:A120,M5_Ocupacion!A120,M5_Ocupacion!$D$10:D120,M5_Ocupacion!D120)=1,"Promedio de la actividad y fecha","Observación incluida en promedio")))</f>
        <v/>
      </c>
    </row>
    <row r="916" spans="1:36" ht="55.5" customHeight="1">
      <c r="A916" s="6" t="str">
        <f t="array" ref="A916">IF(912&gt;$S$1204,"",INDEX($T$5:$AJ$1204,MATCH(912,$S$5:$S$1204,0),1))</f>
        <v/>
      </c>
      <c r="B916" s="8" t="str">
        <f t="array" ref="B916">IF(912&gt;$S$1204,"",INDEX($T$5:$AJ$1204,MATCH(912,$S$5:$S$1204,0),2))</f>
        <v/>
      </c>
      <c r="C916" s="10" t="str">
        <f t="array" ref="C916">IF(912&gt;$S$1204,"",INDEX($T$5:$AJ$1204,MATCH(912,$S$5:$S$1204,0),3))</f>
        <v/>
      </c>
      <c r="D916" s="8" t="str">
        <f t="array" ref="D916">IF(912&gt;$S$1204,"",INDEX($T$5:$AJ$1204,MATCH(912,$S$5:$S$1204,0),4))</f>
        <v/>
      </c>
      <c r="E916" s="8" t="str">
        <f t="array" ref="E916">IF(912&gt;$S$1204,"",INDEX($T$5:$AJ$1204,MATCH(912,$S$5:$S$1204,0),5))</f>
        <v/>
      </c>
      <c r="F916" s="8" t="str">
        <f t="array" ref="F916">IF(912&gt;$S$1204,"",INDEX($T$5:$AJ$1204,MATCH(912,$S$5:$S$1204,0),6))</f>
        <v/>
      </c>
      <c r="G916" s="8" t="str">
        <f t="array" ref="G916">IF(912&gt;$S$1204,"",INDEX($T$5:$AJ$1204,MATCH(912,$S$5:$S$1204,0),7))</f>
        <v/>
      </c>
      <c r="H916" s="8" t="str">
        <f t="array" ref="H916">IF(912&gt;$S$1204,"",INDEX($T$5:$AJ$1204,MATCH(912,$S$5:$S$1204,0),8))</f>
        <v/>
      </c>
      <c r="I916" s="8" t="str">
        <f t="array" ref="I916">IF(912&gt;$S$1204,"",INDEX($T$5:$AJ$1204,MATCH(912,$S$5:$S$1204,0),9))</f>
        <v/>
      </c>
      <c r="J916" s="14" t="str">
        <f t="array" ref="J916">IF(912&gt;$S$1204,"",INDEX($T$5:$AJ$1204,MATCH(912,$S$5:$S$1204,0),10))</f>
        <v/>
      </c>
      <c r="K916" s="8" t="str">
        <f t="array" ref="K916">IF(912&gt;$S$1204,"",INDEX($T$5:$AJ$1204,MATCH(912,$S$5:$S$1204,0),11))</f>
        <v/>
      </c>
      <c r="L916" s="8" t="str">
        <f t="array" ref="L916">IF(912&gt;$S$1204,"",INDEX($T$5:$AJ$1204,MATCH(912,$S$5:$S$1204,0),12))</f>
        <v/>
      </c>
      <c r="M916" s="8" t="str">
        <f t="array" ref="M916">IF(912&gt;$S$1204,"",INDEX($T$5:$AJ$1204,MATCH(912,$S$5:$S$1204,0),13))</f>
        <v/>
      </c>
      <c r="N916" s="8" t="str">
        <f t="array" ref="N916">IF(912&gt;$S$1204,"",INDEX($T$5:$AJ$1204,MATCH(912,$S$5:$S$1204,0),14))</f>
        <v/>
      </c>
      <c r="O916" s="15" t="str">
        <f t="array" ref="O916">IF(912&gt;$S$1204,"",INDEX($T$5:$AJ$1204,MATCH(912,$S$5:$S$1204,0),15))</f>
        <v/>
      </c>
      <c r="P916" s="8" t="str">
        <f t="array" ref="P916">IF(912&gt;$S$1204,"",INDEX($T$5:$AJ$1204,MATCH(912,$S$5:$S$1204,0),16))</f>
        <v/>
      </c>
      <c r="Q916" s="8" t="str">
        <f t="array" ref="Q916">IF(912&gt;$S$1204,"",INDEX($T$5:$AJ$1204,MATCH(912,$S$5:$S$1204,0),17))</f>
        <v/>
      </c>
      <c r="R916" s="17"/>
      <c r="S916" s="17">
        <f>S915+IF(M5_Ocupacion!A121="",0,1)</f>
        <v>0</v>
      </c>
      <c r="T916" s="17" t="str">
        <f>IF(M5_Ocupacion!A121="","",IF(M5_Ocupacion!A121="","",M5_Ocupacion!A121))</f>
        <v/>
      </c>
      <c r="U916" s="17" t="str">
        <f>IF(M5_Ocupacion!A121="","",IF(M5_Ocupacion!R121="","",M5_Ocupacion!R121))</f>
        <v/>
      </c>
      <c r="V916" s="17" t="str">
        <f>IF(M5_Ocupacion!A121="","",IF(M5_Ocupacion!D121="","",M5_Ocupacion!D121))</f>
        <v/>
      </c>
      <c r="W916" s="17" t="str">
        <f>IF(M5_Ocupacion!A121="","",IF(M5_Ocupacion!B121="","",M5_Ocupacion!B121))</f>
        <v/>
      </c>
      <c r="X916" s="17" t="str">
        <f>IF(M5_Ocupacion!A121="","",IF(M5_Ocupacion!C121="","",M5_Ocupacion!C121))</f>
        <v/>
      </c>
      <c r="Y916" s="17" t="str">
        <f>IF(M5_Ocupacion!A121="","",IF(M5_Ocupacion!E121="","",M5_Ocupacion!E121))</f>
        <v/>
      </c>
      <c r="Z916" s="17" t="str">
        <f>IF(M5_Ocupacion!A121="","",IF(M5_Ocupacion!F121="","",M5_Ocupacion!F121))</f>
        <v/>
      </c>
      <c r="AA916" s="17" t="str">
        <f>IF(M5_Ocupacion!A121="","","M5 Ocupación")</f>
        <v/>
      </c>
      <c r="AB916" s="17" t="str">
        <f>IF(M5_Ocupacion!A121="","",IF(M5_Ocupacion!G121="","",M5_Ocupacion!G121))</f>
        <v/>
      </c>
      <c r="AC916" s="17" t="str">
        <f>IF(M5_Ocupacion!A121="","",IF(COUNTIFS(M5_Ocupacion!$A$10:A121,M5_Ocupacion!A121,M5_Ocupacion!$D$10:D121,M5_Ocupacion!D121)=1,IF(M5_Ocupacion!M121="","",M5_Ocupacion!M121),""))</f>
        <v/>
      </c>
      <c r="AD916" s="17" t="str">
        <f>IF(M5_Ocupacion!A121="","","MO")</f>
        <v/>
      </c>
      <c r="AE916" s="17" t="str">
        <f>IF(M5_Ocupacion!A121="","",IF(M5_Ocupacion!O121="","",M5_Ocupacion!O121))</f>
        <v/>
      </c>
      <c r="AF916" s="17" t="str">
        <f>IF(M5_Ocupacion!A121="","",IF(M5_Ocupacion!P121="","",M5_Ocupacion!P121))</f>
        <v/>
      </c>
      <c r="AG916" s="17" t="str">
        <f>IF(M5_Ocupacion!A121="","",IF(M5_Ocupacion!Q121="","",M5_Ocupacion!Q121))</f>
        <v/>
      </c>
      <c r="AH916" s="17" t="str">
        <f>IF(M5_Ocupacion!A121="","",IF(M5_Ocupacion!J121="","",M5_Ocupacion!J121))</f>
        <v/>
      </c>
      <c r="AI916" s="17" t="str">
        <f>IF(M5_Ocupacion!A121="","","M5_Ocupacion!121")</f>
        <v/>
      </c>
      <c r="AJ916" s="17" t="str">
        <f>IF(M5_Ocupacion!A121="","",IF(M5_Ocupacion!M121="","Pendiente de medición completa",IF(COUNTIFS(M5_Ocupacion!$A$10:A121,M5_Ocupacion!A121,M5_Ocupacion!$D$10:D121,M5_Ocupacion!D121)=1,"Promedio de la actividad y fecha","Observación incluida en promedio")))</f>
        <v/>
      </c>
    </row>
    <row r="917" spans="1:36" ht="55.5" customHeight="1">
      <c r="A917" s="6" t="str">
        <f t="array" ref="A917">IF(913&gt;$S$1204,"",INDEX($T$5:$AJ$1204,MATCH(913,$S$5:$S$1204,0),1))</f>
        <v/>
      </c>
      <c r="B917" s="8" t="str">
        <f t="array" ref="B917">IF(913&gt;$S$1204,"",INDEX($T$5:$AJ$1204,MATCH(913,$S$5:$S$1204,0),2))</f>
        <v/>
      </c>
      <c r="C917" s="10" t="str">
        <f t="array" ref="C917">IF(913&gt;$S$1204,"",INDEX($T$5:$AJ$1204,MATCH(913,$S$5:$S$1204,0),3))</f>
        <v/>
      </c>
      <c r="D917" s="8" t="str">
        <f t="array" ref="D917">IF(913&gt;$S$1204,"",INDEX($T$5:$AJ$1204,MATCH(913,$S$5:$S$1204,0),4))</f>
        <v/>
      </c>
      <c r="E917" s="8" t="str">
        <f t="array" ref="E917">IF(913&gt;$S$1204,"",INDEX($T$5:$AJ$1204,MATCH(913,$S$5:$S$1204,0),5))</f>
        <v/>
      </c>
      <c r="F917" s="8" t="str">
        <f t="array" ref="F917">IF(913&gt;$S$1204,"",INDEX($T$5:$AJ$1204,MATCH(913,$S$5:$S$1204,0),6))</f>
        <v/>
      </c>
      <c r="G917" s="8" t="str">
        <f t="array" ref="G917">IF(913&gt;$S$1204,"",INDEX($T$5:$AJ$1204,MATCH(913,$S$5:$S$1204,0),7))</f>
        <v/>
      </c>
      <c r="H917" s="8" t="str">
        <f t="array" ref="H917">IF(913&gt;$S$1204,"",INDEX($T$5:$AJ$1204,MATCH(913,$S$5:$S$1204,0),8))</f>
        <v/>
      </c>
      <c r="I917" s="8" t="str">
        <f t="array" ref="I917">IF(913&gt;$S$1204,"",INDEX($T$5:$AJ$1204,MATCH(913,$S$5:$S$1204,0),9))</f>
        <v/>
      </c>
      <c r="J917" s="14" t="str">
        <f t="array" ref="J917">IF(913&gt;$S$1204,"",INDEX($T$5:$AJ$1204,MATCH(913,$S$5:$S$1204,0),10))</f>
        <v/>
      </c>
      <c r="K917" s="8" t="str">
        <f t="array" ref="K917">IF(913&gt;$S$1204,"",INDEX($T$5:$AJ$1204,MATCH(913,$S$5:$S$1204,0),11))</f>
        <v/>
      </c>
      <c r="L917" s="8" t="str">
        <f t="array" ref="L917">IF(913&gt;$S$1204,"",INDEX($T$5:$AJ$1204,MATCH(913,$S$5:$S$1204,0),12))</f>
        <v/>
      </c>
      <c r="M917" s="8" t="str">
        <f t="array" ref="M917">IF(913&gt;$S$1204,"",INDEX($T$5:$AJ$1204,MATCH(913,$S$5:$S$1204,0),13))</f>
        <v/>
      </c>
      <c r="N917" s="8" t="str">
        <f t="array" ref="N917">IF(913&gt;$S$1204,"",INDEX($T$5:$AJ$1204,MATCH(913,$S$5:$S$1204,0),14))</f>
        <v/>
      </c>
      <c r="O917" s="15" t="str">
        <f t="array" ref="O917">IF(913&gt;$S$1204,"",INDEX($T$5:$AJ$1204,MATCH(913,$S$5:$S$1204,0),15))</f>
        <v/>
      </c>
      <c r="P917" s="8" t="str">
        <f t="array" ref="P917">IF(913&gt;$S$1204,"",INDEX($T$5:$AJ$1204,MATCH(913,$S$5:$S$1204,0),16))</f>
        <v/>
      </c>
      <c r="Q917" s="8" t="str">
        <f t="array" ref="Q917">IF(913&gt;$S$1204,"",INDEX($T$5:$AJ$1204,MATCH(913,$S$5:$S$1204,0),17))</f>
        <v/>
      </c>
      <c r="R917" s="17"/>
      <c r="S917" s="17">
        <f>S916+IF(M5_Ocupacion!A122="",0,1)</f>
        <v>0</v>
      </c>
      <c r="T917" s="17" t="str">
        <f>IF(M5_Ocupacion!A122="","",IF(M5_Ocupacion!A122="","",M5_Ocupacion!A122))</f>
        <v/>
      </c>
      <c r="U917" s="17" t="str">
        <f>IF(M5_Ocupacion!A122="","",IF(M5_Ocupacion!R122="","",M5_Ocupacion!R122))</f>
        <v/>
      </c>
      <c r="V917" s="17" t="str">
        <f>IF(M5_Ocupacion!A122="","",IF(M5_Ocupacion!D122="","",M5_Ocupacion!D122))</f>
        <v/>
      </c>
      <c r="W917" s="17" t="str">
        <f>IF(M5_Ocupacion!A122="","",IF(M5_Ocupacion!B122="","",M5_Ocupacion!B122))</f>
        <v/>
      </c>
      <c r="X917" s="17" t="str">
        <f>IF(M5_Ocupacion!A122="","",IF(M5_Ocupacion!C122="","",M5_Ocupacion!C122))</f>
        <v/>
      </c>
      <c r="Y917" s="17" t="str">
        <f>IF(M5_Ocupacion!A122="","",IF(M5_Ocupacion!E122="","",M5_Ocupacion!E122))</f>
        <v/>
      </c>
      <c r="Z917" s="17" t="str">
        <f>IF(M5_Ocupacion!A122="","",IF(M5_Ocupacion!F122="","",M5_Ocupacion!F122))</f>
        <v/>
      </c>
      <c r="AA917" s="17" t="str">
        <f>IF(M5_Ocupacion!A122="","","M5 Ocupación")</f>
        <v/>
      </c>
      <c r="AB917" s="17" t="str">
        <f>IF(M5_Ocupacion!A122="","",IF(M5_Ocupacion!G122="","",M5_Ocupacion!G122))</f>
        <v/>
      </c>
      <c r="AC917" s="17" t="str">
        <f>IF(M5_Ocupacion!A122="","",IF(COUNTIFS(M5_Ocupacion!$A$10:A122,M5_Ocupacion!A122,M5_Ocupacion!$D$10:D122,M5_Ocupacion!D122)=1,IF(M5_Ocupacion!M122="","",M5_Ocupacion!M122),""))</f>
        <v/>
      </c>
      <c r="AD917" s="17" t="str">
        <f>IF(M5_Ocupacion!A122="","","MO")</f>
        <v/>
      </c>
      <c r="AE917" s="17" t="str">
        <f>IF(M5_Ocupacion!A122="","",IF(M5_Ocupacion!O122="","",M5_Ocupacion!O122))</f>
        <v/>
      </c>
      <c r="AF917" s="17" t="str">
        <f>IF(M5_Ocupacion!A122="","",IF(M5_Ocupacion!P122="","",M5_Ocupacion!P122))</f>
        <v/>
      </c>
      <c r="AG917" s="17" t="str">
        <f>IF(M5_Ocupacion!A122="","",IF(M5_Ocupacion!Q122="","",M5_Ocupacion!Q122))</f>
        <v/>
      </c>
      <c r="AH917" s="17" t="str">
        <f>IF(M5_Ocupacion!A122="","",IF(M5_Ocupacion!J122="","",M5_Ocupacion!J122))</f>
        <v/>
      </c>
      <c r="AI917" s="17" t="str">
        <f>IF(M5_Ocupacion!A122="","","M5_Ocupacion!122")</f>
        <v/>
      </c>
      <c r="AJ917" s="17" t="str">
        <f>IF(M5_Ocupacion!A122="","",IF(M5_Ocupacion!M122="","Pendiente de medición completa",IF(COUNTIFS(M5_Ocupacion!$A$10:A122,M5_Ocupacion!A122,M5_Ocupacion!$D$10:D122,M5_Ocupacion!D122)=1,"Promedio de la actividad y fecha","Observación incluida en promedio")))</f>
        <v/>
      </c>
    </row>
    <row r="918" spans="1:36" ht="55.5" customHeight="1">
      <c r="A918" s="6" t="str">
        <f t="array" ref="A918">IF(914&gt;$S$1204,"",INDEX($T$5:$AJ$1204,MATCH(914,$S$5:$S$1204,0),1))</f>
        <v/>
      </c>
      <c r="B918" s="8" t="str">
        <f t="array" ref="B918">IF(914&gt;$S$1204,"",INDEX($T$5:$AJ$1204,MATCH(914,$S$5:$S$1204,0),2))</f>
        <v/>
      </c>
      <c r="C918" s="10" t="str">
        <f t="array" ref="C918">IF(914&gt;$S$1204,"",INDEX($T$5:$AJ$1204,MATCH(914,$S$5:$S$1204,0),3))</f>
        <v/>
      </c>
      <c r="D918" s="8" t="str">
        <f t="array" ref="D918">IF(914&gt;$S$1204,"",INDEX($T$5:$AJ$1204,MATCH(914,$S$5:$S$1204,0),4))</f>
        <v/>
      </c>
      <c r="E918" s="8" t="str">
        <f t="array" ref="E918">IF(914&gt;$S$1204,"",INDEX($T$5:$AJ$1204,MATCH(914,$S$5:$S$1204,0),5))</f>
        <v/>
      </c>
      <c r="F918" s="8" t="str">
        <f t="array" ref="F918">IF(914&gt;$S$1204,"",INDEX($T$5:$AJ$1204,MATCH(914,$S$5:$S$1204,0),6))</f>
        <v/>
      </c>
      <c r="G918" s="8" t="str">
        <f t="array" ref="G918">IF(914&gt;$S$1204,"",INDEX($T$5:$AJ$1204,MATCH(914,$S$5:$S$1204,0),7))</f>
        <v/>
      </c>
      <c r="H918" s="8" t="str">
        <f t="array" ref="H918">IF(914&gt;$S$1204,"",INDEX($T$5:$AJ$1204,MATCH(914,$S$5:$S$1204,0),8))</f>
        <v/>
      </c>
      <c r="I918" s="8" t="str">
        <f t="array" ref="I918">IF(914&gt;$S$1204,"",INDEX($T$5:$AJ$1204,MATCH(914,$S$5:$S$1204,0),9))</f>
        <v/>
      </c>
      <c r="J918" s="14" t="str">
        <f t="array" ref="J918">IF(914&gt;$S$1204,"",INDEX($T$5:$AJ$1204,MATCH(914,$S$5:$S$1204,0),10))</f>
        <v/>
      </c>
      <c r="K918" s="8" t="str">
        <f t="array" ref="K918">IF(914&gt;$S$1204,"",INDEX($T$5:$AJ$1204,MATCH(914,$S$5:$S$1204,0),11))</f>
        <v/>
      </c>
      <c r="L918" s="8" t="str">
        <f t="array" ref="L918">IF(914&gt;$S$1204,"",INDEX($T$5:$AJ$1204,MATCH(914,$S$5:$S$1204,0),12))</f>
        <v/>
      </c>
      <c r="M918" s="8" t="str">
        <f t="array" ref="M918">IF(914&gt;$S$1204,"",INDEX($T$5:$AJ$1204,MATCH(914,$S$5:$S$1204,0),13))</f>
        <v/>
      </c>
      <c r="N918" s="8" t="str">
        <f t="array" ref="N918">IF(914&gt;$S$1204,"",INDEX($T$5:$AJ$1204,MATCH(914,$S$5:$S$1204,0),14))</f>
        <v/>
      </c>
      <c r="O918" s="15" t="str">
        <f t="array" ref="O918">IF(914&gt;$S$1204,"",INDEX($T$5:$AJ$1204,MATCH(914,$S$5:$S$1204,0),15))</f>
        <v/>
      </c>
      <c r="P918" s="8" t="str">
        <f t="array" ref="P918">IF(914&gt;$S$1204,"",INDEX($T$5:$AJ$1204,MATCH(914,$S$5:$S$1204,0),16))</f>
        <v/>
      </c>
      <c r="Q918" s="8" t="str">
        <f t="array" ref="Q918">IF(914&gt;$S$1204,"",INDEX($T$5:$AJ$1204,MATCH(914,$S$5:$S$1204,0),17))</f>
        <v/>
      </c>
      <c r="R918" s="17"/>
      <c r="S918" s="17">
        <f>S917+IF(M5_Ocupacion!A123="",0,1)</f>
        <v>0</v>
      </c>
      <c r="T918" s="17" t="str">
        <f>IF(M5_Ocupacion!A123="","",IF(M5_Ocupacion!A123="","",M5_Ocupacion!A123))</f>
        <v/>
      </c>
      <c r="U918" s="17" t="str">
        <f>IF(M5_Ocupacion!A123="","",IF(M5_Ocupacion!R123="","",M5_Ocupacion!R123))</f>
        <v/>
      </c>
      <c r="V918" s="17" t="str">
        <f>IF(M5_Ocupacion!A123="","",IF(M5_Ocupacion!D123="","",M5_Ocupacion!D123))</f>
        <v/>
      </c>
      <c r="W918" s="17" t="str">
        <f>IF(M5_Ocupacion!A123="","",IF(M5_Ocupacion!B123="","",M5_Ocupacion!B123))</f>
        <v/>
      </c>
      <c r="X918" s="17" t="str">
        <f>IF(M5_Ocupacion!A123="","",IF(M5_Ocupacion!C123="","",M5_Ocupacion!C123))</f>
        <v/>
      </c>
      <c r="Y918" s="17" t="str">
        <f>IF(M5_Ocupacion!A123="","",IF(M5_Ocupacion!E123="","",M5_Ocupacion!E123))</f>
        <v/>
      </c>
      <c r="Z918" s="17" t="str">
        <f>IF(M5_Ocupacion!A123="","",IF(M5_Ocupacion!F123="","",M5_Ocupacion!F123))</f>
        <v/>
      </c>
      <c r="AA918" s="17" t="str">
        <f>IF(M5_Ocupacion!A123="","","M5 Ocupación")</f>
        <v/>
      </c>
      <c r="AB918" s="17" t="str">
        <f>IF(M5_Ocupacion!A123="","",IF(M5_Ocupacion!G123="","",M5_Ocupacion!G123))</f>
        <v/>
      </c>
      <c r="AC918" s="17" t="str">
        <f>IF(M5_Ocupacion!A123="","",IF(COUNTIFS(M5_Ocupacion!$A$10:A123,M5_Ocupacion!A123,M5_Ocupacion!$D$10:D123,M5_Ocupacion!D123)=1,IF(M5_Ocupacion!M123="","",M5_Ocupacion!M123),""))</f>
        <v/>
      </c>
      <c r="AD918" s="17" t="str">
        <f>IF(M5_Ocupacion!A123="","","MO")</f>
        <v/>
      </c>
      <c r="AE918" s="17" t="str">
        <f>IF(M5_Ocupacion!A123="","",IF(M5_Ocupacion!O123="","",M5_Ocupacion!O123))</f>
        <v/>
      </c>
      <c r="AF918" s="17" t="str">
        <f>IF(M5_Ocupacion!A123="","",IF(M5_Ocupacion!P123="","",M5_Ocupacion!P123))</f>
        <v/>
      </c>
      <c r="AG918" s="17" t="str">
        <f>IF(M5_Ocupacion!A123="","",IF(M5_Ocupacion!Q123="","",M5_Ocupacion!Q123))</f>
        <v/>
      </c>
      <c r="AH918" s="17" t="str">
        <f>IF(M5_Ocupacion!A123="","",IF(M5_Ocupacion!J123="","",M5_Ocupacion!J123))</f>
        <v/>
      </c>
      <c r="AI918" s="17" t="str">
        <f>IF(M5_Ocupacion!A123="","","M5_Ocupacion!123")</f>
        <v/>
      </c>
      <c r="AJ918" s="17" t="str">
        <f>IF(M5_Ocupacion!A123="","",IF(M5_Ocupacion!M123="","Pendiente de medición completa",IF(COUNTIFS(M5_Ocupacion!$A$10:A123,M5_Ocupacion!A123,M5_Ocupacion!$D$10:D123,M5_Ocupacion!D123)=1,"Promedio de la actividad y fecha","Observación incluida en promedio")))</f>
        <v/>
      </c>
    </row>
    <row r="919" spans="1:36" ht="55.5" customHeight="1">
      <c r="A919" s="6" t="str">
        <f t="array" ref="A919">IF(915&gt;$S$1204,"",INDEX($T$5:$AJ$1204,MATCH(915,$S$5:$S$1204,0),1))</f>
        <v/>
      </c>
      <c r="B919" s="8" t="str">
        <f t="array" ref="B919">IF(915&gt;$S$1204,"",INDEX($T$5:$AJ$1204,MATCH(915,$S$5:$S$1204,0),2))</f>
        <v/>
      </c>
      <c r="C919" s="10" t="str">
        <f t="array" ref="C919">IF(915&gt;$S$1204,"",INDEX($T$5:$AJ$1204,MATCH(915,$S$5:$S$1204,0),3))</f>
        <v/>
      </c>
      <c r="D919" s="8" t="str">
        <f t="array" ref="D919">IF(915&gt;$S$1204,"",INDEX($T$5:$AJ$1204,MATCH(915,$S$5:$S$1204,0),4))</f>
        <v/>
      </c>
      <c r="E919" s="8" t="str">
        <f t="array" ref="E919">IF(915&gt;$S$1204,"",INDEX($T$5:$AJ$1204,MATCH(915,$S$5:$S$1204,0),5))</f>
        <v/>
      </c>
      <c r="F919" s="8" t="str">
        <f t="array" ref="F919">IF(915&gt;$S$1204,"",INDEX($T$5:$AJ$1204,MATCH(915,$S$5:$S$1204,0),6))</f>
        <v/>
      </c>
      <c r="G919" s="8" t="str">
        <f t="array" ref="G919">IF(915&gt;$S$1204,"",INDEX($T$5:$AJ$1204,MATCH(915,$S$5:$S$1204,0),7))</f>
        <v/>
      </c>
      <c r="H919" s="8" t="str">
        <f t="array" ref="H919">IF(915&gt;$S$1204,"",INDEX($T$5:$AJ$1204,MATCH(915,$S$5:$S$1204,0),8))</f>
        <v/>
      </c>
      <c r="I919" s="8" t="str">
        <f t="array" ref="I919">IF(915&gt;$S$1204,"",INDEX($T$5:$AJ$1204,MATCH(915,$S$5:$S$1204,0),9))</f>
        <v/>
      </c>
      <c r="J919" s="14" t="str">
        <f t="array" ref="J919">IF(915&gt;$S$1204,"",INDEX($T$5:$AJ$1204,MATCH(915,$S$5:$S$1204,0),10))</f>
        <v/>
      </c>
      <c r="K919" s="8" t="str">
        <f t="array" ref="K919">IF(915&gt;$S$1204,"",INDEX($T$5:$AJ$1204,MATCH(915,$S$5:$S$1204,0),11))</f>
        <v/>
      </c>
      <c r="L919" s="8" t="str">
        <f t="array" ref="L919">IF(915&gt;$S$1204,"",INDEX($T$5:$AJ$1204,MATCH(915,$S$5:$S$1204,0),12))</f>
        <v/>
      </c>
      <c r="M919" s="8" t="str">
        <f t="array" ref="M919">IF(915&gt;$S$1204,"",INDEX($T$5:$AJ$1204,MATCH(915,$S$5:$S$1204,0),13))</f>
        <v/>
      </c>
      <c r="N919" s="8" t="str">
        <f t="array" ref="N919">IF(915&gt;$S$1204,"",INDEX($T$5:$AJ$1204,MATCH(915,$S$5:$S$1204,0),14))</f>
        <v/>
      </c>
      <c r="O919" s="15" t="str">
        <f t="array" ref="O919">IF(915&gt;$S$1204,"",INDEX($T$5:$AJ$1204,MATCH(915,$S$5:$S$1204,0),15))</f>
        <v/>
      </c>
      <c r="P919" s="8" t="str">
        <f t="array" ref="P919">IF(915&gt;$S$1204,"",INDEX($T$5:$AJ$1204,MATCH(915,$S$5:$S$1204,0),16))</f>
        <v/>
      </c>
      <c r="Q919" s="8" t="str">
        <f t="array" ref="Q919">IF(915&gt;$S$1204,"",INDEX($T$5:$AJ$1204,MATCH(915,$S$5:$S$1204,0),17))</f>
        <v/>
      </c>
      <c r="R919" s="17"/>
      <c r="S919" s="17">
        <f>S918+IF(M5_Ocupacion!A124="",0,1)</f>
        <v>0</v>
      </c>
      <c r="T919" s="17" t="str">
        <f>IF(M5_Ocupacion!A124="","",IF(M5_Ocupacion!A124="","",M5_Ocupacion!A124))</f>
        <v/>
      </c>
      <c r="U919" s="17" t="str">
        <f>IF(M5_Ocupacion!A124="","",IF(M5_Ocupacion!R124="","",M5_Ocupacion!R124))</f>
        <v/>
      </c>
      <c r="V919" s="17" t="str">
        <f>IF(M5_Ocupacion!A124="","",IF(M5_Ocupacion!D124="","",M5_Ocupacion!D124))</f>
        <v/>
      </c>
      <c r="W919" s="17" t="str">
        <f>IF(M5_Ocupacion!A124="","",IF(M5_Ocupacion!B124="","",M5_Ocupacion!B124))</f>
        <v/>
      </c>
      <c r="X919" s="17" t="str">
        <f>IF(M5_Ocupacion!A124="","",IF(M5_Ocupacion!C124="","",M5_Ocupacion!C124))</f>
        <v/>
      </c>
      <c r="Y919" s="17" t="str">
        <f>IF(M5_Ocupacion!A124="","",IF(M5_Ocupacion!E124="","",M5_Ocupacion!E124))</f>
        <v/>
      </c>
      <c r="Z919" s="17" t="str">
        <f>IF(M5_Ocupacion!A124="","",IF(M5_Ocupacion!F124="","",M5_Ocupacion!F124))</f>
        <v/>
      </c>
      <c r="AA919" s="17" t="str">
        <f>IF(M5_Ocupacion!A124="","","M5 Ocupación")</f>
        <v/>
      </c>
      <c r="AB919" s="17" t="str">
        <f>IF(M5_Ocupacion!A124="","",IF(M5_Ocupacion!G124="","",M5_Ocupacion!G124))</f>
        <v/>
      </c>
      <c r="AC919" s="17" t="str">
        <f>IF(M5_Ocupacion!A124="","",IF(COUNTIFS(M5_Ocupacion!$A$10:A124,M5_Ocupacion!A124,M5_Ocupacion!$D$10:D124,M5_Ocupacion!D124)=1,IF(M5_Ocupacion!M124="","",M5_Ocupacion!M124),""))</f>
        <v/>
      </c>
      <c r="AD919" s="17" t="str">
        <f>IF(M5_Ocupacion!A124="","","MO")</f>
        <v/>
      </c>
      <c r="AE919" s="17" t="str">
        <f>IF(M5_Ocupacion!A124="","",IF(M5_Ocupacion!O124="","",M5_Ocupacion!O124))</f>
        <v/>
      </c>
      <c r="AF919" s="17" t="str">
        <f>IF(M5_Ocupacion!A124="","",IF(M5_Ocupacion!P124="","",M5_Ocupacion!P124))</f>
        <v/>
      </c>
      <c r="AG919" s="17" t="str">
        <f>IF(M5_Ocupacion!A124="","",IF(M5_Ocupacion!Q124="","",M5_Ocupacion!Q124))</f>
        <v/>
      </c>
      <c r="AH919" s="17" t="str">
        <f>IF(M5_Ocupacion!A124="","",IF(M5_Ocupacion!J124="","",M5_Ocupacion!J124))</f>
        <v/>
      </c>
      <c r="AI919" s="17" t="str">
        <f>IF(M5_Ocupacion!A124="","","M5_Ocupacion!124")</f>
        <v/>
      </c>
      <c r="AJ919" s="17" t="str">
        <f>IF(M5_Ocupacion!A124="","",IF(M5_Ocupacion!M124="","Pendiente de medición completa",IF(COUNTIFS(M5_Ocupacion!$A$10:A124,M5_Ocupacion!A124,M5_Ocupacion!$D$10:D124,M5_Ocupacion!D124)=1,"Promedio de la actividad y fecha","Observación incluida en promedio")))</f>
        <v/>
      </c>
    </row>
    <row r="920" spans="1:36" ht="55.5" customHeight="1">
      <c r="A920" s="6" t="str">
        <f t="array" ref="A920">IF(916&gt;$S$1204,"",INDEX($T$5:$AJ$1204,MATCH(916,$S$5:$S$1204,0),1))</f>
        <v/>
      </c>
      <c r="B920" s="8" t="str">
        <f t="array" ref="B920">IF(916&gt;$S$1204,"",INDEX($T$5:$AJ$1204,MATCH(916,$S$5:$S$1204,0),2))</f>
        <v/>
      </c>
      <c r="C920" s="10" t="str">
        <f t="array" ref="C920">IF(916&gt;$S$1204,"",INDEX($T$5:$AJ$1204,MATCH(916,$S$5:$S$1204,0),3))</f>
        <v/>
      </c>
      <c r="D920" s="8" t="str">
        <f t="array" ref="D920">IF(916&gt;$S$1204,"",INDEX($T$5:$AJ$1204,MATCH(916,$S$5:$S$1204,0),4))</f>
        <v/>
      </c>
      <c r="E920" s="8" t="str">
        <f t="array" ref="E920">IF(916&gt;$S$1204,"",INDEX($T$5:$AJ$1204,MATCH(916,$S$5:$S$1204,0),5))</f>
        <v/>
      </c>
      <c r="F920" s="8" t="str">
        <f t="array" ref="F920">IF(916&gt;$S$1204,"",INDEX($T$5:$AJ$1204,MATCH(916,$S$5:$S$1204,0),6))</f>
        <v/>
      </c>
      <c r="G920" s="8" t="str">
        <f t="array" ref="G920">IF(916&gt;$S$1204,"",INDEX($T$5:$AJ$1204,MATCH(916,$S$5:$S$1204,0),7))</f>
        <v/>
      </c>
      <c r="H920" s="8" t="str">
        <f t="array" ref="H920">IF(916&gt;$S$1204,"",INDEX($T$5:$AJ$1204,MATCH(916,$S$5:$S$1204,0),8))</f>
        <v/>
      </c>
      <c r="I920" s="8" t="str">
        <f t="array" ref="I920">IF(916&gt;$S$1204,"",INDEX($T$5:$AJ$1204,MATCH(916,$S$5:$S$1204,0),9))</f>
        <v/>
      </c>
      <c r="J920" s="14" t="str">
        <f t="array" ref="J920">IF(916&gt;$S$1204,"",INDEX($T$5:$AJ$1204,MATCH(916,$S$5:$S$1204,0),10))</f>
        <v/>
      </c>
      <c r="K920" s="8" t="str">
        <f t="array" ref="K920">IF(916&gt;$S$1204,"",INDEX($T$5:$AJ$1204,MATCH(916,$S$5:$S$1204,0),11))</f>
        <v/>
      </c>
      <c r="L920" s="8" t="str">
        <f t="array" ref="L920">IF(916&gt;$S$1204,"",INDEX($T$5:$AJ$1204,MATCH(916,$S$5:$S$1204,0),12))</f>
        <v/>
      </c>
      <c r="M920" s="8" t="str">
        <f t="array" ref="M920">IF(916&gt;$S$1204,"",INDEX($T$5:$AJ$1204,MATCH(916,$S$5:$S$1204,0),13))</f>
        <v/>
      </c>
      <c r="N920" s="8" t="str">
        <f t="array" ref="N920">IF(916&gt;$S$1204,"",INDEX($T$5:$AJ$1204,MATCH(916,$S$5:$S$1204,0),14))</f>
        <v/>
      </c>
      <c r="O920" s="15" t="str">
        <f t="array" ref="O920">IF(916&gt;$S$1204,"",INDEX($T$5:$AJ$1204,MATCH(916,$S$5:$S$1204,0),15))</f>
        <v/>
      </c>
      <c r="P920" s="8" t="str">
        <f t="array" ref="P920">IF(916&gt;$S$1204,"",INDEX($T$5:$AJ$1204,MATCH(916,$S$5:$S$1204,0),16))</f>
        <v/>
      </c>
      <c r="Q920" s="8" t="str">
        <f t="array" ref="Q920">IF(916&gt;$S$1204,"",INDEX($T$5:$AJ$1204,MATCH(916,$S$5:$S$1204,0),17))</f>
        <v/>
      </c>
      <c r="R920" s="17"/>
      <c r="S920" s="17">
        <f>S919+IF(M5_Ocupacion!A125="",0,1)</f>
        <v>0</v>
      </c>
      <c r="T920" s="17" t="str">
        <f>IF(M5_Ocupacion!A125="","",IF(M5_Ocupacion!A125="","",M5_Ocupacion!A125))</f>
        <v/>
      </c>
      <c r="U920" s="17" t="str">
        <f>IF(M5_Ocupacion!A125="","",IF(M5_Ocupacion!R125="","",M5_Ocupacion!R125))</f>
        <v/>
      </c>
      <c r="V920" s="17" t="str">
        <f>IF(M5_Ocupacion!A125="","",IF(M5_Ocupacion!D125="","",M5_Ocupacion!D125))</f>
        <v/>
      </c>
      <c r="W920" s="17" t="str">
        <f>IF(M5_Ocupacion!A125="","",IF(M5_Ocupacion!B125="","",M5_Ocupacion!B125))</f>
        <v/>
      </c>
      <c r="X920" s="17" t="str">
        <f>IF(M5_Ocupacion!A125="","",IF(M5_Ocupacion!C125="","",M5_Ocupacion!C125))</f>
        <v/>
      </c>
      <c r="Y920" s="17" t="str">
        <f>IF(M5_Ocupacion!A125="","",IF(M5_Ocupacion!E125="","",M5_Ocupacion!E125))</f>
        <v/>
      </c>
      <c r="Z920" s="17" t="str">
        <f>IF(M5_Ocupacion!A125="","",IF(M5_Ocupacion!F125="","",M5_Ocupacion!F125))</f>
        <v/>
      </c>
      <c r="AA920" s="17" t="str">
        <f>IF(M5_Ocupacion!A125="","","M5 Ocupación")</f>
        <v/>
      </c>
      <c r="AB920" s="17" t="str">
        <f>IF(M5_Ocupacion!A125="","",IF(M5_Ocupacion!G125="","",M5_Ocupacion!G125))</f>
        <v/>
      </c>
      <c r="AC920" s="17" t="str">
        <f>IF(M5_Ocupacion!A125="","",IF(COUNTIFS(M5_Ocupacion!$A$10:A125,M5_Ocupacion!A125,M5_Ocupacion!$D$10:D125,M5_Ocupacion!D125)=1,IF(M5_Ocupacion!M125="","",M5_Ocupacion!M125),""))</f>
        <v/>
      </c>
      <c r="AD920" s="17" t="str">
        <f>IF(M5_Ocupacion!A125="","","MO")</f>
        <v/>
      </c>
      <c r="AE920" s="17" t="str">
        <f>IF(M5_Ocupacion!A125="","",IF(M5_Ocupacion!O125="","",M5_Ocupacion!O125))</f>
        <v/>
      </c>
      <c r="AF920" s="17" t="str">
        <f>IF(M5_Ocupacion!A125="","",IF(M5_Ocupacion!P125="","",M5_Ocupacion!P125))</f>
        <v/>
      </c>
      <c r="AG920" s="17" t="str">
        <f>IF(M5_Ocupacion!A125="","",IF(M5_Ocupacion!Q125="","",M5_Ocupacion!Q125))</f>
        <v/>
      </c>
      <c r="AH920" s="17" t="str">
        <f>IF(M5_Ocupacion!A125="","",IF(M5_Ocupacion!J125="","",M5_Ocupacion!J125))</f>
        <v/>
      </c>
      <c r="AI920" s="17" t="str">
        <f>IF(M5_Ocupacion!A125="","","M5_Ocupacion!125")</f>
        <v/>
      </c>
      <c r="AJ920" s="17" t="str">
        <f>IF(M5_Ocupacion!A125="","",IF(M5_Ocupacion!M125="","Pendiente de medición completa",IF(COUNTIFS(M5_Ocupacion!$A$10:A125,M5_Ocupacion!A125,M5_Ocupacion!$D$10:D125,M5_Ocupacion!D125)=1,"Promedio de la actividad y fecha","Observación incluida en promedio")))</f>
        <v/>
      </c>
    </row>
    <row r="921" spans="1:36" ht="55.5" customHeight="1">
      <c r="A921" s="6" t="str">
        <f t="array" ref="A921">IF(917&gt;$S$1204,"",INDEX($T$5:$AJ$1204,MATCH(917,$S$5:$S$1204,0),1))</f>
        <v/>
      </c>
      <c r="B921" s="8" t="str">
        <f t="array" ref="B921">IF(917&gt;$S$1204,"",INDEX($T$5:$AJ$1204,MATCH(917,$S$5:$S$1204,0),2))</f>
        <v/>
      </c>
      <c r="C921" s="10" t="str">
        <f t="array" ref="C921">IF(917&gt;$S$1204,"",INDEX($T$5:$AJ$1204,MATCH(917,$S$5:$S$1204,0),3))</f>
        <v/>
      </c>
      <c r="D921" s="8" t="str">
        <f t="array" ref="D921">IF(917&gt;$S$1204,"",INDEX($T$5:$AJ$1204,MATCH(917,$S$5:$S$1204,0),4))</f>
        <v/>
      </c>
      <c r="E921" s="8" t="str">
        <f t="array" ref="E921">IF(917&gt;$S$1204,"",INDEX($T$5:$AJ$1204,MATCH(917,$S$5:$S$1204,0),5))</f>
        <v/>
      </c>
      <c r="F921" s="8" t="str">
        <f t="array" ref="F921">IF(917&gt;$S$1204,"",INDEX($T$5:$AJ$1204,MATCH(917,$S$5:$S$1204,0),6))</f>
        <v/>
      </c>
      <c r="G921" s="8" t="str">
        <f t="array" ref="G921">IF(917&gt;$S$1204,"",INDEX($T$5:$AJ$1204,MATCH(917,$S$5:$S$1204,0),7))</f>
        <v/>
      </c>
      <c r="H921" s="8" t="str">
        <f t="array" ref="H921">IF(917&gt;$S$1204,"",INDEX($T$5:$AJ$1204,MATCH(917,$S$5:$S$1204,0),8))</f>
        <v/>
      </c>
      <c r="I921" s="8" t="str">
        <f t="array" ref="I921">IF(917&gt;$S$1204,"",INDEX($T$5:$AJ$1204,MATCH(917,$S$5:$S$1204,0),9))</f>
        <v/>
      </c>
      <c r="J921" s="14" t="str">
        <f t="array" ref="J921">IF(917&gt;$S$1204,"",INDEX($T$5:$AJ$1204,MATCH(917,$S$5:$S$1204,0),10))</f>
        <v/>
      </c>
      <c r="K921" s="8" t="str">
        <f t="array" ref="K921">IF(917&gt;$S$1204,"",INDEX($T$5:$AJ$1204,MATCH(917,$S$5:$S$1204,0),11))</f>
        <v/>
      </c>
      <c r="L921" s="8" t="str">
        <f t="array" ref="L921">IF(917&gt;$S$1204,"",INDEX($T$5:$AJ$1204,MATCH(917,$S$5:$S$1204,0),12))</f>
        <v/>
      </c>
      <c r="M921" s="8" t="str">
        <f t="array" ref="M921">IF(917&gt;$S$1204,"",INDEX($T$5:$AJ$1204,MATCH(917,$S$5:$S$1204,0),13))</f>
        <v/>
      </c>
      <c r="N921" s="8" t="str">
        <f t="array" ref="N921">IF(917&gt;$S$1204,"",INDEX($T$5:$AJ$1204,MATCH(917,$S$5:$S$1204,0),14))</f>
        <v/>
      </c>
      <c r="O921" s="15" t="str">
        <f t="array" ref="O921">IF(917&gt;$S$1204,"",INDEX($T$5:$AJ$1204,MATCH(917,$S$5:$S$1204,0),15))</f>
        <v/>
      </c>
      <c r="P921" s="8" t="str">
        <f t="array" ref="P921">IF(917&gt;$S$1204,"",INDEX($T$5:$AJ$1204,MATCH(917,$S$5:$S$1204,0),16))</f>
        <v/>
      </c>
      <c r="Q921" s="8" t="str">
        <f t="array" ref="Q921">IF(917&gt;$S$1204,"",INDEX($T$5:$AJ$1204,MATCH(917,$S$5:$S$1204,0),17))</f>
        <v/>
      </c>
      <c r="R921" s="17"/>
      <c r="S921" s="17">
        <f>S920+IF(M5_Ocupacion!A126="",0,1)</f>
        <v>0</v>
      </c>
      <c r="T921" s="17" t="str">
        <f>IF(M5_Ocupacion!A126="","",IF(M5_Ocupacion!A126="","",M5_Ocupacion!A126))</f>
        <v/>
      </c>
      <c r="U921" s="17" t="str">
        <f>IF(M5_Ocupacion!A126="","",IF(M5_Ocupacion!R126="","",M5_Ocupacion!R126))</f>
        <v/>
      </c>
      <c r="V921" s="17" t="str">
        <f>IF(M5_Ocupacion!A126="","",IF(M5_Ocupacion!D126="","",M5_Ocupacion!D126))</f>
        <v/>
      </c>
      <c r="W921" s="17" t="str">
        <f>IF(M5_Ocupacion!A126="","",IF(M5_Ocupacion!B126="","",M5_Ocupacion!B126))</f>
        <v/>
      </c>
      <c r="X921" s="17" t="str">
        <f>IF(M5_Ocupacion!A126="","",IF(M5_Ocupacion!C126="","",M5_Ocupacion!C126))</f>
        <v/>
      </c>
      <c r="Y921" s="17" t="str">
        <f>IF(M5_Ocupacion!A126="","",IF(M5_Ocupacion!E126="","",M5_Ocupacion!E126))</f>
        <v/>
      </c>
      <c r="Z921" s="17" t="str">
        <f>IF(M5_Ocupacion!A126="","",IF(M5_Ocupacion!F126="","",M5_Ocupacion!F126))</f>
        <v/>
      </c>
      <c r="AA921" s="17" t="str">
        <f>IF(M5_Ocupacion!A126="","","M5 Ocupación")</f>
        <v/>
      </c>
      <c r="AB921" s="17" t="str">
        <f>IF(M5_Ocupacion!A126="","",IF(M5_Ocupacion!G126="","",M5_Ocupacion!G126))</f>
        <v/>
      </c>
      <c r="AC921" s="17" t="str">
        <f>IF(M5_Ocupacion!A126="","",IF(COUNTIFS(M5_Ocupacion!$A$10:A126,M5_Ocupacion!A126,M5_Ocupacion!$D$10:D126,M5_Ocupacion!D126)=1,IF(M5_Ocupacion!M126="","",M5_Ocupacion!M126),""))</f>
        <v/>
      </c>
      <c r="AD921" s="17" t="str">
        <f>IF(M5_Ocupacion!A126="","","MO")</f>
        <v/>
      </c>
      <c r="AE921" s="17" t="str">
        <f>IF(M5_Ocupacion!A126="","",IF(M5_Ocupacion!O126="","",M5_Ocupacion!O126))</f>
        <v/>
      </c>
      <c r="AF921" s="17" t="str">
        <f>IF(M5_Ocupacion!A126="","",IF(M5_Ocupacion!P126="","",M5_Ocupacion!P126))</f>
        <v/>
      </c>
      <c r="AG921" s="17" t="str">
        <f>IF(M5_Ocupacion!A126="","",IF(M5_Ocupacion!Q126="","",M5_Ocupacion!Q126))</f>
        <v/>
      </c>
      <c r="AH921" s="17" t="str">
        <f>IF(M5_Ocupacion!A126="","",IF(M5_Ocupacion!J126="","",M5_Ocupacion!J126))</f>
        <v/>
      </c>
      <c r="AI921" s="17" t="str">
        <f>IF(M5_Ocupacion!A126="","","M5_Ocupacion!126")</f>
        <v/>
      </c>
      <c r="AJ921" s="17" t="str">
        <f>IF(M5_Ocupacion!A126="","",IF(M5_Ocupacion!M126="","Pendiente de medición completa",IF(COUNTIFS(M5_Ocupacion!$A$10:A126,M5_Ocupacion!A126,M5_Ocupacion!$D$10:D126,M5_Ocupacion!D126)=1,"Promedio de la actividad y fecha","Observación incluida en promedio")))</f>
        <v/>
      </c>
    </row>
    <row r="922" spans="1:36" ht="55.5" customHeight="1">
      <c r="A922" s="6" t="str">
        <f t="array" ref="A922">IF(918&gt;$S$1204,"",INDEX($T$5:$AJ$1204,MATCH(918,$S$5:$S$1204,0),1))</f>
        <v/>
      </c>
      <c r="B922" s="8" t="str">
        <f t="array" ref="B922">IF(918&gt;$S$1204,"",INDEX($T$5:$AJ$1204,MATCH(918,$S$5:$S$1204,0),2))</f>
        <v/>
      </c>
      <c r="C922" s="10" t="str">
        <f t="array" ref="C922">IF(918&gt;$S$1204,"",INDEX($T$5:$AJ$1204,MATCH(918,$S$5:$S$1204,0),3))</f>
        <v/>
      </c>
      <c r="D922" s="8" t="str">
        <f t="array" ref="D922">IF(918&gt;$S$1204,"",INDEX($T$5:$AJ$1204,MATCH(918,$S$5:$S$1204,0),4))</f>
        <v/>
      </c>
      <c r="E922" s="8" t="str">
        <f t="array" ref="E922">IF(918&gt;$S$1204,"",INDEX($T$5:$AJ$1204,MATCH(918,$S$5:$S$1204,0),5))</f>
        <v/>
      </c>
      <c r="F922" s="8" t="str">
        <f t="array" ref="F922">IF(918&gt;$S$1204,"",INDEX($T$5:$AJ$1204,MATCH(918,$S$5:$S$1204,0),6))</f>
        <v/>
      </c>
      <c r="G922" s="8" t="str">
        <f t="array" ref="G922">IF(918&gt;$S$1204,"",INDEX($T$5:$AJ$1204,MATCH(918,$S$5:$S$1204,0),7))</f>
        <v/>
      </c>
      <c r="H922" s="8" t="str">
        <f t="array" ref="H922">IF(918&gt;$S$1204,"",INDEX($T$5:$AJ$1204,MATCH(918,$S$5:$S$1204,0),8))</f>
        <v/>
      </c>
      <c r="I922" s="8" t="str">
        <f t="array" ref="I922">IF(918&gt;$S$1204,"",INDEX($T$5:$AJ$1204,MATCH(918,$S$5:$S$1204,0),9))</f>
        <v/>
      </c>
      <c r="J922" s="14" t="str">
        <f t="array" ref="J922">IF(918&gt;$S$1204,"",INDEX($T$5:$AJ$1204,MATCH(918,$S$5:$S$1204,0),10))</f>
        <v/>
      </c>
      <c r="K922" s="8" t="str">
        <f t="array" ref="K922">IF(918&gt;$S$1204,"",INDEX($T$5:$AJ$1204,MATCH(918,$S$5:$S$1204,0),11))</f>
        <v/>
      </c>
      <c r="L922" s="8" t="str">
        <f t="array" ref="L922">IF(918&gt;$S$1204,"",INDEX($T$5:$AJ$1204,MATCH(918,$S$5:$S$1204,0),12))</f>
        <v/>
      </c>
      <c r="M922" s="8" t="str">
        <f t="array" ref="M922">IF(918&gt;$S$1204,"",INDEX($T$5:$AJ$1204,MATCH(918,$S$5:$S$1204,0),13))</f>
        <v/>
      </c>
      <c r="N922" s="8" t="str">
        <f t="array" ref="N922">IF(918&gt;$S$1204,"",INDEX($T$5:$AJ$1204,MATCH(918,$S$5:$S$1204,0),14))</f>
        <v/>
      </c>
      <c r="O922" s="15" t="str">
        <f t="array" ref="O922">IF(918&gt;$S$1204,"",INDEX($T$5:$AJ$1204,MATCH(918,$S$5:$S$1204,0),15))</f>
        <v/>
      </c>
      <c r="P922" s="8" t="str">
        <f t="array" ref="P922">IF(918&gt;$S$1204,"",INDEX($T$5:$AJ$1204,MATCH(918,$S$5:$S$1204,0),16))</f>
        <v/>
      </c>
      <c r="Q922" s="8" t="str">
        <f t="array" ref="Q922">IF(918&gt;$S$1204,"",INDEX($T$5:$AJ$1204,MATCH(918,$S$5:$S$1204,0),17))</f>
        <v/>
      </c>
      <c r="R922" s="17"/>
      <c r="S922" s="17">
        <f>S921+IF(M5_Ocupacion!A127="",0,1)</f>
        <v>0</v>
      </c>
      <c r="T922" s="17" t="str">
        <f>IF(M5_Ocupacion!A127="","",IF(M5_Ocupacion!A127="","",M5_Ocupacion!A127))</f>
        <v/>
      </c>
      <c r="U922" s="17" t="str">
        <f>IF(M5_Ocupacion!A127="","",IF(M5_Ocupacion!R127="","",M5_Ocupacion!R127))</f>
        <v/>
      </c>
      <c r="V922" s="17" t="str">
        <f>IF(M5_Ocupacion!A127="","",IF(M5_Ocupacion!D127="","",M5_Ocupacion!D127))</f>
        <v/>
      </c>
      <c r="W922" s="17" t="str">
        <f>IF(M5_Ocupacion!A127="","",IF(M5_Ocupacion!B127="","",M5_Ocupacion!B127))</f>
        <v/>
      </c>
      <c r="X922" s="17" t="str">
        <f>IF(M5_Ocupacion!A127="","",IF(M5_Ocupacion!C127="","",M5_Ocupacion!C127))</f>
        <v/>
      </c>
      <c r="Y922" s="17" t="str">
        <f>IF(M5_Ocupacion!A127="","",IF(M5_Ocupacion!E127="","",M5_Ocupacion!E127))</f>
        <v/>
      </c>
      <c r="Z922" s="17" t="str">
        <f>IF(M5_Ocupacion!A127="","",IF(M5_Ocupacion!F127="","",M5_Ocupacion!F127))</f>
        <v/>
      </c>
      <c r="AA922" s="17" t="str">
        <f>IF(M5_Ocupacion!A127="","","M5 Ocupación")</f>
        <v/>
      </c>
      <c r="AB922" s="17" t="str">
        <f>IF(M5_Ocupacion!A127="","",IF(M5_Ocupacion!G127="","",M5_Ocupacion!G127))</f>
        <v/>
      </c>
      <c r="AC922" s="17" t="str">
        <f>IF(M5_Ocupacion!A127="","",IF(COUNTIFS(M5_Ocupacion!$A$10:A127,M5_Ocupacion!A127,M5_Ocupacion!$D$10:D127,M5_Ocupacion!D127)=1,IF(M5_Ocupacion!M127="","",M5_Ocupacion!M127),""))</f>
        <v/>
      </c>
      <c r="AD922" s="17" t="str">
        <f>IF(M5_Ocupacion!A127="","","MO")</f>
        <v/>
      </c>
      <c r="AE922" s="17" t="str">
        <f>IF(M5_Ocupacion!A127="","",IF(M5_Ocupacion!O127="","",M5_Ocupacion!O127))</f>
        <v/>
      </c>
      <c r="AF922" s="17" t="str">
        <f>IF(M5_Ocupacion!A127="","",IF(M5_Ocupacion!P127="","",M5_Ocupacion!P127))</f>
        <v/>
      </c>
      <c r="AG922" s="17" t="str">
        <f>IF(M5_Ocupacion!A127="","",IF(M5_Ocupacion!Q127="","",M5_Ocupacion!Q127))</f>
        <v/>
      </c>
      <c r="AH922" s="17" t="str">
        <f>IF(M5_Ocupacion!A127="","",IF(M5_Ocupacion!J127="","",M5_Ocupacion!J127))</f>
        <v/>
      </c>
      <c r="AI922" s="17" t="str">
        <f>IF(M5_Ocupacion!A127="","","M5_Ocupacion!127")</f>
        <v/>
      </c>
      <c r="AJ922" s="17" t="str">
        <f>IF(M5_Ocupacion!A127="","",IF(M5_Ocupacion!M127="","Pendiente de medición completa",IF(COUNTIFS(M5_Ocupacion!$A$10:A127,M5_Ocupacion!A127,M5_Ocupacion!$D$10:D127,M5_Ocupacion!D127)=1,"Promedio de la actividad y fecha","Observación incluida en promedio")))</f>
        <v/>
      </c>
    </row>
    <row r="923" spans="1:36" ht="55.5" customHeight="1">
      <c r="A923" s="6" t="str">
        <f t="array" ref="A923">IF(919&gt;$S$1204,"",INDEX($T$5:$AJ$1204,MATCH(919,$S$5:$S$1204,0),1))</f>
        <v/>
      </c>
      <c r="B923" s="8" t="str">
        <f t="array" ref="B923">IF(919&gt;$S$1204,"",INDEX($T$5:$AJ$1204,MATCH(919,$S$5:$S$1204,0),2))</f>
        <v/>
      </c>
      <c r="C923" s="10" t="str">
        <f t="array" ref="C923">IF(919&gt;$S$1204,"",INDEX($T$5:$AJ$1204,MATCH(919,$S$5:$S$1204,0),3))</f>
        <v/>
      </c>
      <c r="D923" s="8" t="str">
        <f t="array" ref="D923">IF(919&gt;$S$1204,"",INDEX($T$5:$AJ$1204,MATCH(919,$S$5:$S$1204,0),4))</f>
        <v/>
      </c>
      <c r="E923" s="8" t="str">
        <f t="array" ref="E923">IF(919&gt;$S$1204,"",INDEX($T$5:$AJ$1204,MATCH(919,$S$5:$S$1204,0),5))</f>
        <v/>
      </c>
      <c r="F923" s="8" t="str">
        <f t="array" ref="F923">IF(919&gt;$S$1204,"",INDEX($T$5:$AJ$1204,MATCH(919,$S$5:$S$1204,0),6))</f>
        <v/>
      </c>
      <c r="G923" s="8" t="str">
        <f t="array" ref="G923">IF(919&gt;$S$1204,"",INDEX($T$5:$AJ$1204,MATCH(919,$S$5:$S$1204,0),7))</f>
        <v/>
      </c>
      <c r="H923" s="8" t="str">
        <f t="array" ref="H923">IF(919&gt;$S$1204,"",INDEX($T$5:$AJ$1204,MATCH(919,$S$5:$S$1204,0),8))</f>
        <v/>
      </c>
      <c r="I923" s="8" t="str">
        <f t="array" ref="I923">IF(919&gt;$S$1204,"",INDEX($T$5:$AJ$1204,MATCH(919,$S$5:$S$1204,0),9))</f>
        <v/>
      </c>
      <c r="J923" s="14" t="str">
        <f t="array" ref="J923">IF(919&gt;$S$1204,"",INDEX($T$5:$AJ$1204,MATCH(919,$S$5:$S$1204,0),10))</f>
        <v/>
      </c>
      <c r="K923" s="8" t="str">
        <f t="array" ref="K923">IF(919&gt;$S$1204,"",INDEX($T$5:$AJ$1204,MATCH(919,$S$5:$S$1204,0),11))</f>
        <v/>
      </c>
      <c r="L923" s="8" t="str">
        <f t="array" ref="L923">IF(919&gt;$S$1204,"",INDEX($T$5:$AJ$1204,MATCH(919,$S$5:$S$1204,0),12))</f>
        <v/>
      </c>
      <c r="M923" s="8" t="str">
        <f t="array" ref="M923">IF(919&gt;$S$1204,"",INDEX($T$5:$AJ$1204,MATCH(919,$S$5:$S$1204,0),13))</f>
        <v/>
      </c>
      <c r="N923" s="8" t="str">
        <f t="array" ref="N923">IF(919&gt;$S$1204,"",INDEX($T$5:$AJ$1204,MATCH(919,$S$5:$S$1204,0),14))</f>
        <v/>
      </c>
      <c r="O923" s="15" t="str">
        <f t="array" ref="O923">IF(919&gt;$S$1204,"",INDEX($T$5:$AJ$1204,MATCH(919,$S$5:$S$1204,0),15))</f>
        <v/>
      </c>
      <c r="P923" s="8" t="str">
        <f t="array" ref="P923">IF(919&gt;$S$1204,"",INDEX($T$5:$AJ$1204,MATCH(919,$S$5:$S$1204,0),16))</f>
        <v/>
      </c>
      <c r="Q923" s="8" t="str">
        <f t="array" ref="Q923">IF(919&gt;$S$1204,"",INDEX($T$5:$AJ$1204,MATCH(919,$S$5:$S$1204,0),17))</f>
        <v/>
      </c>
      <c r="R923" s="17"/>
      <c r="S923" s="17">
        <f>S922+IF(M5_Ocupacion!A128="",0,1)</f>
        <v>0</v>
      </c>
      <c r="T923" s="17" t="str">
        <f>IF(M5_Ocupacion!A128="","",IF(M5_Ocupacion!A128="","",M5_Ocupacion!A128))</f>
        <v/>
      </c>
      <c r="U923" s="17" t="str">
        <f>IF(M5_Ocupacion!A128="","",IF(M5_Ocupacion!R128="","",M5_Ocupacion!R128))</f>
        <v/>
      </c>
      <c r="V923" s="17" t="str">
        <f>IF(M5_Ocupacion!A128="","",IF(M5_Ocupacion!D128="","",M5_Ocupacion!D128))</f>
        <v/>
      </c>
      <c r="W923" s="17" t="str">
        <f>IF(M5_Ocupacion!A128="","",IF(M5_Ocupacion!B128="","",M5_Ocupacion!B128))</f>
        <v/>
      </c>
      <c r="X923" s="17" t="str">
        <f>IF(M5_Ocupacion!A128="","",IF(M5_Ocupacion!C128="","",M5_Ocupacion!C128))</f>
        <v/>
      </c>
      <c r="Y923" s="17" t="str">
        <f>IF(M5_Ocupacion!A128="","",IF(M5_Ocupacion!E128="","",M5_Ocupacion!E128))</f>
        <v/>
      </c>
      <c r="Z923" s="17" t="str">
        <f>IF(M5_Ocupacion!A128="","",IF(M5_Ocupacion!F128="","",M5_Ocupacion!F128))</f>
        <v/>
      </c>
      <c r="AA923" s="17" t="str">
        <f>IF(M5_Ocupacion!A128="","","M5 Ocupación")</f>
        <v/>
      </c>
      <c r="AB923" s="17" t="str">
        <f>IF(M5_Ocupacion!A128="","",IF(M5_Ocupacion!G128="","",M5_Ocupacion!G128))</f>
        <v/>
      </c>
      <c r="AC923" s="17" t="str">
        <f>IF(M5_Ocupacion!A128="","",IF(COUNTIFS(M5_Ocupacion!$A$10:A128,M5_Ocupacion!A128,M5_Ocupacion!$D$10:D128,M5_Ocupacion!D128)=1,IF(M5_Ocupacion!M128="","",M5_Ocupacion!M128),""))</f>
        <v/>
      </c>
      <c r="AD923" s="17" t="str">
        <f>IF(M5_Ocupacion!A128="","","MO")</f>
        <v/>
      </c>
      <c r="AE923" s="17" t="str">
        <f>IF(M5_Ocupacion!A128="","",IF(M5_Ocupacion!O128="","",M5_Ocupacion!O128))</f>
        <v/>
      </c>
      <c r="AF923" s="17" t="str">
        <f>IF(M5_Ocupacion!A128="","",IF(M5_Ocupacion!P128="","",M5_Ocupacion!P128))</f>
        <v/>
      </c>
      <c r="AG923" s="17" t="str">
        <f>IF(M5_Ocupacion!A128="","",IF(M5_Ocupacion!Q128="","",M5_Ocupacion!Q128))</f>
        <v/>
      </c>
      <c r="AH923" s="17" t="str">
        <f>IF(M5_Ocupacion!A128="","",IF(M5_Ocupacion!J128="","",M5_Ocupacion!J128))</f>
        <v/>
      </c>
      <c r="AI923" s="17" t="str">
        <f>IF(M5_Ocupacion!A128="","","M5_Ocupacion!128")</f>
        <v/>
      </c>
      <c r="AJ923" s="17" t="str">
        <f>IF(M5_Ocupacion!A128="","",IF(M5_Ocupacion!M128="","Pendiente de medición completa",IF(COUNTIFS(M5_Ocupacion!$A$10:A128,M5_Ocupacion!A128,M5_Ocupacion!$D$10:D128,M5_Ocupacion!D128)=1,"Promedio de la actividad y fecha","Observación incluida en promedio")))</f>
        <v/>
      </c>
    </row>
    <row r="924" spans="1:36" ht="55.5" customHeight="1">
      <c r="A924" s="6" t="str">
        <f t="array" ref="A924">IF(920&gt;$S$1204,"",INDEX($T$5:$AJ$1204,MATCH(920,$S$5:$S$1204,0),1))</f>
        <v/>
      </c>
      <c r="B924" s="8" t="str">
        <f t="array" ref="B924">IF(920&gt;$S$1204,"",INDEX($T$5:$AJ$1204,MATCH(920,$S$5:$S$1204,0),2))</f>
        <v/>
      </c>
      <c r="C924" s="10" t="str">
        <f t="array" ref="C924">IF(920&gt;$S$1204,"",INDEX($T$5:$AJ$1204,MATCH(920,$S$5:$S$1204,0),3))</f>
        <v/>
      </c>
      <c r="D924" s="8" t="str">
        <f t="array" ref="D924">IF(920&gt;$S$1204,"",INDEX($T$5:$AJ$1204,MATCH(920,$S$5:$S$1204,0),4))</f>
        <v/>
      </c>
      <c r="E924" s="8" t="str">
        <f t="array" ref="E924">IF(920&gt;$S$1204,"",INDEX($T$5:$AJ$1204,MATCH(920,$S$5:$S$1204,0),5))</f>
        <v/>
      </c>
      <c r="F924" s="8" t="str">
        <f t="array" ref="F924">IF(920&gt;$S$1204,"",INDEX($T$5:$AJ$1204,MATCH(920,$S$5:$S$1204,0),6))</f>
        <v/>
      </c>
      <c r="G924" s="8" t="str">
        <f t="array" ref="G924">IF(920&gt;$S$1204,"",INDEX($T$5:$AJ$1204,MATCH(920,$S$5:$S$1204,0),7))</f>
        <v/>
      </c>
      <c r="H924" s="8" t="str">
        <f t="array" ref="H924">IF(920&gt;$S$1204,"",INDEX($T$5:$AJ$1204,MATCH(920,$S$5:$S$1204,0),8))</f>
        <v/>
      </c>
      <c r="I924" s="8" t="str">
        <f t="array" ref="I924">IF(920&gt;$S$1204,"",INDEX($T$5:$AJ$1204,MATCH(920,$S$5:$S$1204,0),9))</f>
        <v/>
      </c>
      <c r="J924" s="14" t="str">
        <f t="array" ref="J924">IF(920&gt;$S$1204,"",INDEX($T$5:$AJ$1204,MATCH(920,$S$5:$S$1204,0),10))</f>
        <v/>
      </c>
      <c r="K924" s="8" t="str">
        <f t="array" ref="K924">IF(920&gt;$S$1204,"",INDEX($T$5:$AJ$1204,MATCH(920,$S$5:$S$1204,0),11))</f>
        <v/>
      </c>
      <c r="L924" s="8" t="str">
        <f t="array" ref="L924">IF(920&gt;$S$1204,"",INDEX($T$5:$AJ$1204,MATCH(920,$S$5:$S$1204,0),12))</f>
        <v/>
      </c>
      <c r="M924" s="8" t="str">
        <f t="array" ref="M924">IF(920&gt;$S$1204,"",INDEX($T$5:$AJ$1204,MATCH(920,$S$5:$S$1204,0),13))</f>
        <v/>
      </c>
      <c r="N924" s="8" t="str">
        <f t="array" ref="N924">IF(920&gt;$S$1204,"",INDEX($T$5:$AJ$1204,MATCH(920,$S$5:$S$1204,0),14))</f>
        <v/>
      </c>
      <c r="O924" s="15" t="str">
        <f t="array" ref="O924">IF(920&gt;$S$1204,"",INDEX($T$5:$AJ$1204,MATCH(920,$S$5:$S$1204,0),15))</f>
        <v/>
      </c>
      <c r="P924" s="8" t="str">
        <f t="array" ref="P924">IF(920&gt;$S$1204,"",INDEX($T$5:$AJ$1204,MATCH(920,$S$5:$S$1204,0),16))</f>
        <v/>
      </c>
      <c r="Q924" s="8" t="str">
        <f t="array" ref="Q924">IF(920&gt;$S$1204,"",INDEX($T$5:$AJ$1204,MATCH(920,$S$5:$S$1204,0),17))</f>
        <v/>
      </c>
      <c r="R924" s="17"/>
      <c r="S924" s="17">
        <f>S923+IF(M5_Ocupacion!A129="",0,1)</f>
        <v>0</v>
      </c>
      <c r="T924" s="17" t="str">
        <f>IF(M5_Ocupacion!A129="","",IF(M5_Ocupacion!A129="","",M5_Ocupacion!A129))</f>
        <v/>
      </c>
      <c r="U924" s="17" t="str">
        <f>IF(M5_Ocupacion!A129="","",IF(M5_Ocupacion!R129="","",M5_Ocupacion!R129))</f>
        <v/>
      </c>
      <c r="V924" s="17" t="str">
        <f>IF(M5_Ocupacion!A129="","",IF(M5_Ocupacion!D129="","",M5_Ocupacion!D129))</f>
        <v/>
      </c>
      <c r="W924" s="17" t="str">
        <f>IF(M5_Ocupacion!A129="","",IF(M5_Ocupacion!B129="","",M5_Ocupacion!B129))</f>
        <v/>
      </c>
      <c r="X924" s="17" t="str">
        <f>IF(M5_Ocupacion!A129="","",IF(M5_Ocupacion!C129="","",M5_Ocupacion!C129))</f>
        <v/>
      </c>
      <c r="Y924" s="17" t="str">
        <f>IF(M5_Ocupacion!A129="","",IF(M5_Ocupacion!E129="","",M5_Ocupacion!E129))</f>
        <v/>
      </c>
      <c r="Z924" s="17" t="str">
        <f>IF(M5_Ocupacion!A129="","",IF(M5_Ocupacion!F129="","",M5_Ocupacion!F129))</f>
        <v/>
      </c>
      <c r="AA924" s="17" t="str">
        <f>IF(M5_Ocupacion!A129="","","M5 Ocupación")</f>
        <v/>
      </c>
      <c r="AB924" s="17" t="str">
        <f>IF(M5_Ocupacion!A129="","",IF(M5_Ocupacion!G129="","",M5_Ocupacion!G129))</f>
        <v/>
      </c>
      <c r="AC924" s="17" t="str">
        <f>IF(M5_Ocupacion!A129="","",IF(COUNTIFS(M5_Ocupacion!$A$10:A129,M5_Ocupacion!A129,M5_Ocupacion!$D$10:D129,M5_Ocupacion!D129)=1,IF(M5_Ocupacion!M129="","",M5_Ocupacion!M129),""))</f>
        <v/>
      </c>
      <c r="AD924" s="17" t="str">
        <f>IF(M5_Ocupacion!A129="","","MO")</f>
        <v/>
      </c>
      <c r="AE924" s="17" t="str">
        <f>IF(M5_Ocupacion!A129="","",IF(M5_Ocupacion!O129="","",M5_Ocupacion!O129))</f>
        <v/>
      </c>
      <c r="AF924" s="17" t="str">
        <f>IF(M5_Ocupacion!A129="","",IF(M5_Ocupacion!P129="","",M5_Ocupacion!P129))</f>
        <v/>
      </c>
      <c r="AG924" s="17" t="str">
        <f>IF(M5_Ocupacion!A129="","",IF(M5_Ocupacion!Q129="","",M5_Ocupacion!Q129))</f>
        <v/>
      </c>
      <c r="AH924" s="17" t="str">
        <f>IF(M5_Ocupacion!A129="","",IF(M5_Ocupacion!J129="","",M5_Ocupacion!J129))</f>
        <v/>
      </c>
      <c r="AI924" s="17" t="str">
        <f>IF(M5_Ocupacion!A129="","","M5_Ocupacion!129")</f>
        <v/>
      </c>
      <c r="AJ924" s="17" t="str">
        <f>IF(M5_Ocupacion!A129="","",IF(M5_Ocupacion!M129="","Pendiente de medición completa",IF(COUNTIFS(M5_Ocupacion!$A$10:A129,M5_Ocupacion!A129,M5_Ocupacion!$D$10:D129,M5_Ocupacion!D129)=1,"Promedio de la actividad y fecha","Observación incluida en promedio")))</f>
        <v/>
      </c>
    </row>
    <row r="925" spans="1:36" ht="55.5" customHeight="1">
      <c r="A925" s="6" t="str">
        <f t="array" ref="A925">IF(921&gt;$S$1204,"",INDEX($T$5:$AJ$1204,MATCH(921,$S$5:$S$1204,0),1))</f>
        <v/>
      </c>
      <c r="B925" s="8" t="str">
        <f t="array" ref="B925">IF(921&gt;$S$1204,"",INDEX($T$5:$AJ$1204,MATCH(921,$S$5:$S$1204,0),2))</f>
        <v/>
      </c>
      <c r="C925" s="10" t="str">
        <f t="array" ref="C925">IF(921&gt;$S$1204,"",INDEX($T$5:$AJ$1204,MATCH(921,$S$5:$S$1204,0),3))</f>
        <v/>
      </c>
      <c r="D925" s="8" t="str">
        <f t="array" ref="D925">IF(921&gt;$S$1204,"",INDEX($T$5:$AJ$1204,MATCH(921,$S$5:$S$1204,0),4))</f>
        <v/>
      </c>
      <c r="E925" s="8" t="str">
        <f t="array" ref="E925">IF(921&gt;$S$1204,"",INDEX($T$5:$AJ$1204,MATCH(921,$S$5:$S$1204,0),5))</f>
        <v/>
      </c>
      <c r="F925" s="8" t="str">
        <f t="array" ref="F925">IF(921&gt;$S$1204,"",INDEX($T$5:$AJ$1204,MATCH(921,$S$5:$S$1204,0),6))</f>
        <v/>
      </c>
      <c r="G925" s="8" t="str">
        <f t="array" ref="G925">IF(921&gt;$S$1204,"",INDEX($T$5:$AJ$1204,MATCH(921,$S$5:$S$1204,0),7))</f>
        <v/>
      </c>
      <c r="H925" s="8" t="str">
        <f t="array" ref="H925">IF(921&gt;$S$1204,"",INDEX($T$5:$AJ$1204,MATCH(921,$S$5:$S$1204,0),8))</f>
        <v/>
      </c>
      <c r="I925" s="8" t="str">
        <f t="array" ref="I925">IF(921&gt;$S$1204,"",INDEX($T$5:$AJ$1204,MATCH(921,$S$5:$S$1204,0),9))</f>
        <v/>
      </c>
      <c r="J925" s="14" t="str">
        <f t="array" ref="J925">IF(921&gt;$S$1204,"",INDEX($T$5:$AJ$1204,MATCH(921,$S$5:$S$1204,0),10))</f>
        <v/>
      </c>
      <c r="K925" s="8" t="str">
        <f t="array" ref="K925">IF(921&gt;$S$1204,"",INDEX($T$5:$AJ$1204,MATCH(921,$S$5:$S$1204,0),11))</f>
        <v/>
      </c>
      <c r="L925" s="8" t="str">
        <f t="array" ref="L925">IF(921&gt;$S$1204,"",INDEX($T$5:$AJ$1204,MATCH(921,$S$5:$S$1204,0),12))</f>
        <v/>
      </c>
      <c r="M925" s="8" t="str">
        <f t="array" ref="M925">IF(921&gt;$S$1204,"",INDEX($T$5:$AJ$1204,MATCH(921,$S$5:$S$1204,0),13))</f>
        <v/>
      </c>
      <c r="N925" s="8" t="str">
        <f t="array" ref="N925">IF(921&gt;$S$1204,"",INDEX($T$5:$AJ$1204,MATCH(921,$S$5:$S$1204,0),14))</f>
        <v/>
      </c>
      <c r="O925" s="15" t="str">
        <f t="array" ref="O925">IF(921&gt;$S$1204,"",INDEX($T$5:$AJ$1204,MATCH(921,$S$5:$S$1204,0),15))</f>
        <v/>
      </c>
      <c r="P925" s="8" t="str">
        <f t="array" ref="P925">IF(921&gt;$S$1204,"",INDEX($T$5:$AJ$1204,MATCH(921,$S$5:$S$1204,0),16))</f>
        <v/>
      </c>
      <c r="Q925" s="8" t="str">
        <f t="array" ref="Q925">IF(921&gt;$S$1204,"",INDEX($T$5:$AJ$1204,MATCH(921,$S$5:$S$1204,0),17))</f>
        <v/>
      </c>
      <c r="R925" s="17"/>
      <c r="S925" s="17">
        <f>S924+IF(M5_Ocupacion!A130="",0,1)</f>
        <v>0</v>
      </c>
      <c r="T925" s="17" t="str">
        <f>IF(M5_Ocupacion!A130="","",IF(M5_Ocupacion!A130="","",M5_Ocupacion!A130))</f>
        <v/>
      </c>
      <c r="U925" s="17" t="str">
        <f>IF(M5_Ocupacion!A130="","",IF(M5_Ocupacion!R130="","",M5_Ocupacion!R130))</f>
        <v/>
      </c>
      <c r="V925" s="17" t="str">
        <f>IF(M5_Ocupacion!A130="","",IF(M5_Ocupacion!D130="","",M5_Ocupacion!D130))</f>
        <v/>
      </c>
      <c r="W925" s="17" t="str">
        <f>IF(M5_Ocupacion!A130="","",IF(M5_Ocupacion!B130="","",M5_Ocupacion!B130))</f>
        <v/>
      </c>
      <c r="X925" s="17" t="str">
        <f>IF(M5_Ocupacion!A130="","",IF(M5_Ocupacion!C130="","",M5_Ocupacion!C130))</f>
        <v/>
      </c>
      <c r="Y925" s="17" t="str">
        <f>IF(M5_Ocupacion!A130="","",IF(M5_Ocupacion!E130="","",M5_Ocupacion!E130))</f>
        <v/>
      </c>
      <c r="Z925" s="17" t="str">
        <f>IF(M5_Ocupacion!A130="","",IF(M5_Ocupacion!F130="","",M5_Ocupacion!F130))</f>
        <v/>
      </c>
      <c r="AA925" s="17" t="str">
        <f>IF(M5_Ocupacion!A130="","","M5 Ocupación")</f>
        <v/>
      </c>
      <c r="AB925" s="17" t="str">
        <f>IF(M5_Ocupacion!A130="","",IF(M5_Ocupacion!G130="","",M5_Ocupacion!G130))</f>
        <v/>
      </c>
      <c r="AC925" s="17" t="str">
        <f>IF(M5_Ocupacion!A130="","",IF(COUNTIFS(M5_Ocupacion!$A$10:A130,M5_Ocupacion!A130,M5_Ocupacion!$D$10:D130,M5_Ocupacion!D130)=1,IF(M5_Ocupacion!M130="","",M5_Ocupacion!M130),""))</f>
        <v/>
      </c>
      <c r="AD925" s="17" t="str">
        <f>IF(M5_Ocupacion!A130="","","MO")</f>
        <v/>
      </c>
      <c r="AE925" s="17" t="str">
        <f>IF(M5_Ocupacion!A130="","",IF(M5_Ocupacion!O130="","",M5_Ocupacion!O130))</f>
        <v/>
      </c>
      <c r="AF925" s="17" t="str">
        <f>IF(M5_Ocupacion!A130="","",IF(M5_Ocupacion!P130="","",M5_Ocupacion!P130))</f>
        <v/>
      </c>
      <c r="AG925" s="17" t="str">
        <f>IF(M5_Ocupacion!A130="","",IF(M5_Ocupacion!Q130="","",M5_Ocupacion!Q130))</f>
        <v/>
      </c>
      <c r="AH925" s="17" t="str">
        <f>IF(M5_Ocupacion!A130="","",IF(M5_Ocupacion!J130="","",M5_Ocupacion!J130))</f>
        <v/>
      </c>
      <c r="AI925" s="17" t="str">
        <f>IF(M5_Ocupacion!A130="","","M5_Ocupacion!130")</f>
        <v/>
      </c>
      <c r="AJ925" s="17" t="str">
        <f>IF(M5_Ocupacion!A130="","",IF(M5_Ocupacion!M130="","Pendiente de medición completa",IF(COUNTIFS(M5_Ocupacion!$A$10:A130,M5_Ocupacion!A130,M5_Ocupacion!$D$10:D130,M5_Ocupacion!D130)=1,"Promedio de la actividad y fecha","Observación incluida en promedio")))</f>
        <v/>
      </c>
    </row>
    <row r="926" spans="1:36" ht="55.5" customHeight="1">
      <c r="A926" s="6" t="str">
        <f t="array" ref="A926">IF(922&gt;$S$1204,"",INDEX($T$5:$AJ$1204,MATCH(922,$S$5:$S$1204,0),1))</f>
        <v/>
      </c>
      <c r="B926" s="8" t="str">
        <f t="array" ref="B926">IF(922&gt;$S$1204,"",INDEX($T$5:$AJ$1204,MATCH(922,$S$5:$S$1204,0),2))</f>
        <v/>
      </c>
      <c r="C926" s="10" t="str">
        <f t="array" ref="C926">IF(922&gt;$S$1204,"",INDEX($T$5:$AJ$1204,MATCH(922,$S$5:$S$1204,0),3))</f>
        <v/>
      </c>
      <c r="D926" s="8" t="str">
        <f t="array" ref="D926">IF(922&gt;$S$1204,"",INDEX($T$5:$AJ$1204,MATCH(922,$S$5:$S$1204,0),4))</f>
        <v/>
      </c>
      <c r="E926" s="8" t="str">
        <f t="array" ref="E926">IF(922&gt;$S$1204,"",INDEX($T$5:$AJ$1204,MATCH(922,$S$5:$S$1204,0),5))</f>
        <v/>
      </c>
      <c r="F926" s="8" t="str">
        <f t="array" ref="F926">IF(922&gt;$S$1204,"",INDEX($T$5:$AJ$1204,MATCH(922,$S$5:$S$1204,0),6))</f>
        <v/>
      </c>
      <c r="G926" s="8" t="str">
        <f t="array" ref="G926">IF(922&gt;$S$1204,"",INDEX($T$5:$AJ$1204,MATCH(922,$S$5:$S$1204,0),7))</f>
        <v/>
      </c>
      <c r="H926" s="8" t="str">
        <f t="array" ref="H926">IF(922&gt;$S$1204,"",INDEX($T$5:$AJ$1204,MATCH(922,$S$5:$S$1204,0),8))</f>
        <v/>
      </c>
      <c r="I926" s="8" t="str">
        <f t="array" ref="I926">IF(922&gt;$S$1204,"",INDEX($T$5:$AJ$1204,MATCH(922,$S$5:$S$1204,0),9))</f>
        <v/>
      </c>
      <c r="J926" s="14" t="str">
        <f t="array" ref="J926">IF(922&gt;$S$1204,"",INDEX($T$5:$AJ$1204,MATCH(922,$S$5:$S$1204,0),10))</f>
        <v/>
      </c>
      <c r="K926" s="8" t="str">
        <f t="array" ref="K926">IF(922&gt;$S$1204,"",INDEX($T$5:$AJ$1204,MATCH(922,$S$5:$S$1204,0),11))</f>
        <v/>
      </c>
      <c r="L926" s="8" t="str">
        <f t="array" ref="L926">IF(922&gt;$S$1204,"",INDEX($T$5:$AJ$1204,MATCH(922,$S$5:$S$1204,0),12))</f>
        <v/>
      </c>
      <c r="M926" s="8" t="str">
        <f t="array" ref="M926">IF(922&gt;$S$1204,"",INDEX($T$5:$AJ$1204,MATCH(922,$S$5:$S$1204,0),13))</f>
        <v/>
      </c>
      <c r="N926" s="8" t="str">
        <f t="array" ref="N926">IF(922&gt;$S$1204,"",INDEX($T$5:$AJ$1204,MATCH(922,$S$5:$S$1204,0),14))</f>
        <v/>
      </c>
      <c r="O926" s="15" t="str">
        <f t="array" ref="O926">IF(922&gt;$S$1204,"",INDEX($T$5:$AJ$1204,MATCH(922,$S$5:$S$1204,0),15))</f>
        <v/>
      </c>
      <c r="P926" s="8" t="str">
        <f t="array" ref="P926">IF(922&gt;$S$1204,"",INDEX($T$5:$AJ$1204,MATCH(922,$S$5:$S$1204,0),16))</f>
        <v/>
      </c>
      <c r="Q926" s="8" t="str">
        <f t="array" ref="Q926">IF(922&gt;$S$1204,"",INDEX($T$5:$AJ$1204,MATCH(922,$S$5:$S$1204,0),17))</f>
        <v/>
      </c>
      <c r="R926" s="17"/>
      <c r="S926" s="17">
        <f>S925+IF(M5_Ocupacion!A131="",0,1)</f>
        <v>0</v>
      </c>
      <c r="T926" s="17" t="str">
        <f>IF(M5_Ocupacion!A131="","",IF(M5_Ocupacion!A131="","",M5_Ocupacion!A131))</f>
        <v/>
      </c>
      <c r="U926" s="17" t="str">
        <f>IF(M5_Ocupacion!A131="","",IF(M5_Ocupacion!R131="","",M5_Ocupacion!R131))</f>
        <v/>
      </c>
      <c r="V926" s="17" t="str">
        <f>IF(M5_Ocupacion!A131="","",IF(M5_Ocupacion!D131="","",M5_Ocupacion!D131))</f>
        <v/>
      </c>
      <c r="W926" s="17" t="str">
        <f>IF(M5_Ocupacion!A131="","",IF(M5_Ocupacion!B131="","",M5_Ocupacion!B131))</f>
        <v/>
      </c>
      <c r="X926" s="17" t="str">
        <f>IF(M5_Ocupacion!A131="","",IF(M5_Ocupacion!C131="","",M5_Ocupacion!C131))</f>
        <v/>
      </c>
      <c r="Y926" s="17" t="str">
        <f>IF(M5_Ocupacion!A131="","",IF(M5_Ocupacion!E131="","",M5_Ocupacion!E131))</f>
        <v/>
      </c>
      <c r="Z926" s="17" t="str">
        <f>IF(M5_Ocupacion!A131="","",IF(M5_Ocupacion!F131="","",M5_Ocupacion!F131))</f>
        <v/>
      </c>
      <c r="AA926" s="17" t="str">
        <f>IF(M5_Ocupacion!A131="","","M5 Ocupación")</f>
        <v/>
      </c>
      <c r="AB926" s="17" t="str">
        <f>IF(M5_Ocupacion!A131="","",IF(M5_Ocupacion!G131="","",M5_Ocupacion!G131))</f>
        <v/>
      </c>
      <c r="AC926" s="17" t="str">
        <f>IF(M5_Ocupacion!A131="","",IF(COUNTIFS(M5_Ocupacion!$A$10:A131,M5_Ocupacion!A131,M5_Ocupacion!$D$10:D131,M5_Ocupacion!D131)=1,IF(M5_Ocupacion!M131="","",M5_Ocupacion!M131),""))</f>
        <v/>
      </c>
      <c r="AD926" s="17" t="str">
        <f>IF(M5_Ocupacion!A131="","","MO")</f>
        <v/>
      </c>
      <c r="AE926" s="17" t="str">
        <f>IF(M5_Ocupacion!A131="","",IF(M5_Ocupacion!O131="","",M5_Ocupacion!O131))</f>
        <v/>
      </c>
      <c r="AF926" s="17" t="str">
        <f>IF(M5_Ocupacion!A131="","",IF(M5_Ocupacion!P131="","",M5_Ocupacion!P131))</f>
        <v/>
      </c>
      <c r="AG926" s="17" t="str">
        <f>IF(M5_Ocupacion!A131="","",IF(M5_Ocupacion!Q131="","",M5_Ocupacion!Q131))</f>
        <v/>
      </c>
      <c r="AH926" s="17" t="str">
        <f>IF(M5_Ocupacion!A131="","",IF(M5_Ocupacion!J131="","",M5_Ocupacion!J131))</f>
        <v/>
      </c>
      <c r="AI926" s="17" t="str">
        <f>IF(M5_Ocupacion!A131="","","M5_Ocupacion!131")</f>
        <v/>
      </c>
      <c r="AJ926" s="17" t="str">
        <f>IF(M5_Ocupacion!A131="","",IF(M5_Ocupacion!M131="","Pendiente de medición completa",IF(COUNTIFS(M5_Ocupacion!$A$10:A131,M5_Ocupacion!A131,M5_Ocupacion!$D$10:D131,M5_Ocupacion!D131)=1,"Promedio de la actividad y fecha","Observación incluida en promedio")))</f>
        <v/>
      </c>
    </row>
    <row r="927" spans="1:36" ht="55.5" customHeight="1">
      <c r="A927" s="6" t="str">
        <f t="array" ref="A927">IF(923&gt;$S$1204,"",INDEX($T$5:$AJ$1204,MATCH(923,$S$5:$S$1204,0),1))</f>
        <v/>
      </c>
      <c r="B927" s="8" t="str">
        <f t="array" ref="B927">IF(923&gt;$S$1204,"",INDEX($T$5:$AJ$1204,MATCH(923,$S$5:$S$1204,0),2))</f>
        <v/>
      </c>
      <c r="C927" s="10" t="str">
        <f t="array" ref="C927">IF(923&gt;$S$1204,"",INDEX($T$5:$AJ$1204,MATCH(923,$S$5:$S$1204,0),3))</f>
        <v/>
      </c>
      <c r="D927" s="8" t="str">
        <f t="array" ref="D927">IF(923&gt;$S$1204,"",INDEX($T$5:$AJ$1204,MATCH(923,$S$5:$S$1204,0),4))</f>
        <v/>
      </c>
      <c r="E927" s="8" t="str">
        <f t="array" ref="E927">IF(923&gt;$S$1204,"",INDEX($T$5:$AJ$1204,MATCH(923,$S$5:$S$1204,0),5))</f>
        <v/>
      </c>
      <c r="F927" s="8" t="str">
        <f t="array" ref="F927">IF(923&gt;$S$1204,"",INDEX($T$5:$AJ$1204,MATCH(923,$S$5:$S$1204,0),6))</f>
        <v/>
      </c>
      <c r="G927" s="8" t="str">
        <f t="array" ref="G927">IF(923&gt;$S$1204,"",INDEX($T$5:$AJ$1204,MATCH(923,$S$5:$S$1204,0),7))</f>
        <v/>
      </c>
      <c r="H927" s="8" t="str">
        <f t="array" ref="H927">IF(923&gt;$S$1204,"",INDEX($T$5:$AJ$1204,MATCH(923,$S$5:$S$1204,0),8))</f>
        <v/>
      </c>
      <c r="I927" s="8" t="str">
        <f t="array" ref="I927">IF(923&gt;$S$1204,"",INDEX($T$5:$AJ$1204,MATCH(923,$S$5:$S$1204,0),9))</f>
        <v/>
      </c>
      <c r="J927" s="14" t="str">
        <f t="array" ref="J927">IF(923&gt;$S$1204,"",INDEX($T$5:$AJ$1204,MATCH(923,$S$5:$S$1204,0),10))</f>
        <v/>
      </c>
      <c r="K927" s="8" t="str">
        <f t="array" ref="K927">IF(923&gt;$S$1204,"",INDEX($T$5:$AJ$1204,MATCH(923,$S$5:$S$1204,0),11))</f>
        <v/>
      </c>
      <c r="L927" s="8" t="str">
        <f t="array" ref="L927">IF(923&gt;$S$1204,"",INDEX($T$5:$AJ$1204,MATCH(923,$S$5:$S$1204,0),12))</f>
        <v/>
      </c>
      <c r="M927" s="8" t="str">
        <f t="array" ref="M927">IF(923&gt;$S$1204,"",INDEX($T$5:$AJ$1204,MATCH(923,$S$5:$S$1204,0),13))</f>
        <v/>
      </c>
      <c r="N927" s="8" t="str">
        <f t="array" ref="N927">IF(923&gt;$S$1204,"",INDEX($T$5:$AJ$1204,MATCH(923,$S$5:$S$1204,0),14))</f>
        <v/>
      </c>
      <c r="O927" s="15" t="str">
        <f t="array" ref="O927">IF(923&gt;$S$1204,"",INDEX($T$5:$AJ$1204,MATCH(923,$S$5:$S$1204,0),15))</f>
        <v/>
      </c>
      <c r="P927" s="8" t="str">
        <f t="array" ref="P927">IF(923&gt;$S$1204,"",INDEX($T$5:$AJ$1204,MATCH(923,$S$5:$S$1204,0),16))</f>
        <v/>
      </c>
      <c r="Q927" s="8" t="str">
        <f t="array" ref="Q927">IF(923&gt;$S$1204,"",INDEX($T$5:$AJ$1204,MATCH(923,$S$5:$S$1204,0),17))</f>
        <v/>
      </c>
      <c r="R927" s="17"/>
      <c r="S927" s="17">
        <f>S926+IF(M5_Ocupacion!A132="",0,1)</f>
        <v>0</v>
      </c>
      <c r="T927" s="17" t="str">
        <f>IF(M5_Ocupacion!A132="","",IF(M5_Ocupacion!A132="","",M5_Ocupacion!A132))</f>
        <v/>
      </c>
      <c r="U927" s="17" t="str">
        <f>IF(M5_Ocupacion!A132="","",IF(M5_Ocupacion!R132="","",M5_Ocupacion!R132))</f>
        <v/>
      </c>
      <c r="V927" s="17" t="str">
        <f>IF(M5_Ocupacion!A132="","",IF(M5_Ocupacion!D132="","",M5_Ocupacion!D132))</f>
        <v/>
      </c>
      <c r="W927" s="17" t="str">
        <f>IF(M5_Ocupacion!A132="","",IF(M5_Ocupacion!B132="","",M5_Ocupacion!B132))</f>
        <v/>
      </c>
      <c r="X927" s="17" t="str">
        <f>IF(M5_Ocupacion!A132="","",IF(M5_Ocupacion!C132="","",M5_Ocupacion!C132))</f>
        <v/>
      </c>
      <c r="Y927" s="17" t="str">
        <f>IF(M5_Ocupacion!A132="","",IF(M5_Ocupacion!E132="","",M5_Ocupacion!E132))</f>
        <v/>
      </c>
      <c r="Z927" s="17" t="str">
        <f>IF(M5_Ocupacion!A132="","",IF(M5_Ocupacion!F132="","",M5_Ocupacion!F132))</f>
        <v/>
      </c>
      <c r="AA927" s="17" t="str">
        <f>IF(M5_Ocupacion!A132="","","M5 Ocupación")</f>
        <v/>
      </c>
      <c r="AB927" s="17" t="str">
        <f>IF(M5_Ocupacion!A132="","",IF(M5_Ocupacion!G132="","",M5_Ocupacion!G132))</f>
        <v/>
      </c>
      <c r="AC927" s="17" t="str">
        <f>IF(M5_Ocupacion!A132="","",IF(COUNTIFS(M5_Ocupacion!$A$10:A132,M5_Ocupacion!A132,M5_Ocupacion!$D$10:D132,M5_Ocupacion!D132)=1,IF(M5_Ocupacion!M132="","",M5_Ocupacion!M132),""))</f>
        <v/>
      </c>
      <c r="AD927" s="17" t="str">
        <f>IF(M5_Ocupacion!A132="","","MO")</f>
        <v/>
      </c>
      <c r="AE927" s="17" t="str">
        <f>IF(M5_Ocupacion!A132="","",IF(M5_Ocupacion!O132="","",M5_Ocupacion!O132))</f>
        <v/>
      </c>
      <c r="AF927" s="17" t="str">
        <f>IF(M5_Ocupacion!A132="","",IF(M5_Ocupacion!P132="","",M5_Ocupacion!P132))</f>
        <v/>
      </c>
      <c r="AG927" s="17" t="str">
        <f>IF(M5_Ocupacion!A132="","",IF(M5_Ocupacion!Q132="","",M5_Ocupacion!Q132))</f>
        <v/>
      </c>
      <c r="AH927" s="17" t="str">
        <f>IF(M5_Ocupacion!A132="","",IF(M5_Ocupacion!J132="","",M5_Ocupacion!J132))</f>
        <v/>
      </c>
      <c r="AI927" s="17" t="str">
        <f>IF(M5_Ocupacion!A132="","","M5_Ocupacion!132")</f>
        <v/>
      </c>
      <c r="AJ927" s="17" t="str">
        <f>IF(M5_Ocupacion!A132="","",IF(M5_Ocupacion!M132="","Pendiente de medición completa",IF(COUNTIFS(M5_Ocupacion!$A$10:A132,M5_Ocupacion!A132,M5_Ocupacion!$D$10:D132,M5_Ocupacion!D132)=1,"Promedio de la actividad y fecha","Observación incluida en promedio")))</f>
        <v/>
      </c>
    </row>
    <row r="928" spans="1:36" ht="55.5" customHeight="1">
      <c r="A928" s="6" t="str">
        <f t="array" ref="A928">IF(924&gt;$S$1204,"",INDEX($T$5:$AJ$1204,MATCH(924,$S$5:$S$1204,0),1))</f>
        <v/>
      </c>
      <c r="B928" s="8" t="str">
        <f t="array" ref="B928">IF(924&gt;$S$1204,"",INDEX($T$5:$AJ$1204,MATCH(924,$S$5:$S$1204,0),2))</f>
        <v/>
      </c>
      <c r="C928" s="10" t="str">
        <f t="array" ref="C928">IF(924&gt;$S$1204,"",INDEX($T$5:$AJ$1204,MATCH(924,$S$5:$S$1204,0),3))</f>
        <v/>
      </c>
      <c r="D928" s="8" t="str">
        <f t="array" ref="D928">IF(924&gt;$S$1204,"",INDEX($T$5:$AJ$1204,MATCH(924,$S$5:$S$1204,0),4))</f>
        <v/>
      </c>
      <c r="E928" s="8" t="str">
        <f t="array" ref="E928">IF(924&gt;$S$1204,"",INDEX($T$5:$AJ$1204,MATCH(924,$S$5:$S$1204,0),5))</f>
        <v/>
      </c>
      <c r="F928" s="8" t="str">
        <f t="array" ref="F928">IF(924&gt;$S$1204,"",INDEX($T$5:$AJ$1204,MATCH(924,$S$5:$S$1204,0),6))</f>
        <v/>
      </c>
      <c r="G928" s="8" t="str">
        <f t="array" ref="G928">IF(924&gt;$S$1204,"",INDEX($T$5:$AJ$1204,MATCH(924,$S$5:$S$1204,0),7))</f>
        <v/>
      </c>
      <c r="H928" s="8" t="str">
        <f t="array" ref="H928">IF(924&gt;$S$1204,"",INDEX($T$5:$AJ$1204,MATCH(924,$S$5:$S$1204,0),8))</f>
        <v/>
      </c>
      <c r="I928" s="8" t="str">
        <f t="array" ref="I928">IF(924&gt;$S$1204,"",INDEX($T$5:$AJ$1204,MATCH(924,$S$5:$S$1204,0),9))</f>
        <v/>
      </c>
      <c r="J928" s="14" t="str">
        <f t="array" ref="J928">IF(924&gt;$S$1204,"",INDEX($T$5:$AJ$1204,MATCH(924,$S$5:$S$1204,0),10))</f>
        <v/>
      </c>
      <c r="K928" s="8" t="str">
        <f t="array" ref="K928">IF(924&gt;$S$1204,"",INDEX($T$5:$AJ$1204,MATCH(924,$S$5:$S$1204,0),11))</f>
        <v/>
      </c>
      <c r="L928" s="8" t="str">
        <f t="array" ref="L928">IF(924&gt;$S$1204,"",INDEX($T$5:$AJ$1204,MATCH(924,$S$5:$S$1204,0),12))</f>
        <v/>
      </c>
      <c r="M928" s="8" t="str">
        <f t="array" ref="M928">IF(924&gt;$S$1204,"",INDEX($T$5:$AJ$1204,MATCH(924,$S$5:$S$1204,0),13))</f>
        <v/>
      </c>
      <c r="N928" s="8" t="str">
        <f t="array" ref="N928">IF(924&gt;$S$1204,"",INDEX($T$5:$AJ$1204,MATCH(924,$S$5:$S$1204,0),14))</f>
        <v/>
      </c>
      <c r="O928" s="15" t="str">
        <f t="array" ref="O928">IF(924&gt;$S$1204,"",INDEX($T$5:$AJ$1204,MATCH(924,$S$5:$S$1204,0),15))</f>
        <v/>
      </c>
      <c r="P928" s="8" t="str">
        <f t="array" ref="P928">IF(924&gt;$S$1204,"",INDEX($T$5:$AJ$1204,MATCH(924,$S$5:$S$1204,0),16))</f>
        <v/>
      </c>
      <c r="Q928" s="8" t="str">
        <f t="array" ref="Q928">IF(924&gt;$S$1204,"",INDEX($T$5:$AJ$1204,MATCH(924,$S$5:$S$1204,0),17))</f>
        <v/>
      </c>
      <c r="R928" s="17"/>
      <c r="S928" s="17">
        <f>S927+IF(M5_Ocupacion!A133="",0,1)</f>
        <v>0</v>
      </c>
      <c r="T928" s="17" t="str">
        <f>IF(M5_Ocupacion!A133="","",IF(M5_Ocupacion!A133="","",M5_Ocupacion!A133))</f>
        <v/>
      </c>
      <c r="U928" s="17" t="str">
        <f>IF(M5_Ocupacion!A133="","",IF(M5_Ocupacion!R133="","",M5_Ocupacion!R133))</f>
        <v/>
      </c>
      <c r="V928" s="17" t="str">
        <f>IF(M5_Ocupacion!A133="","",IF(M5_Ocupacion!D133="","",M5_Ocupacion!D133))</f>
        <v/>
      </c>
      <c r="W928" s="17" t="str">
        <f>IF(M5_Ocupacion!A133="","",IF(M5_Ocupacion!B133="","",M5_Ocupacion!B133))</f>
        <v/>
      </c>
      <c r="X928" s="17" t="str">
        <f>IF(M5_Ocupacion!A133="","",IF(M5_Ocupacion!C133="","",M5_Ocupacion!C133))</f>
        <v/>
      </c>
      <c r="Y928" s="17" t="str">
        <f>IF(M5_Ocupacion!A133="","",IF(M5_Ocupacion!E133="","",M5_Ocupacion!E133))</f>
        <v/>
      </c>
      <c r="Z928" s="17" t="str">
        <f>IF(M5_Ocupacion!A133="","",IF(M5_Ocupacion!F133="","",M5_Ocupacion!F133))</f>
        <v/>
      </c>
      <c r="AA928" s="17" t="str">
        <f>IF(M5_Ocupacion!A133="","","M5 Ocupación")</f>
        <v/>
      </c>
      <c r="AB928" s="17" t="str">
        <f>IF(M5_Ocupacion!A133="","",IF(M5_Ocupacion!G133="","",M5_Ocupacion!G133))</f>
        <v/>
      </c>
      <c r="AC928" s="17" t="str">
        <f>IF(M5_Ocupacion!A133="","",IF(COUNTIFS(M5_Ocupacion!$A$10:A133,M5_Ocupacion!A133,M5_Ocupacion!$D$10:D133,M5_Ocupacion!D133)=1,IF(M5_Ocupacion!M133="","",M5_Ocupacion!M133),""))</f>
        <v/>
      </c>
      <c r="AD928" s="17" t="str">
        <f>IF(M5_Ocupacion!A133="","","MO")</f>
        <v/>
      </c>
      <c r="AE928" s="17" t="str">
        <f>IF(M5_Ocupacion!A133="","",IF(M5_Ocupacion!O133="","",M5_Ocupacion!O133))</f>
        <v/>
      </c>
      <c r="AF928" s="17" t="str">
        <f>IF(M5_Ocupacion!A133="","",IF(M5_Ocupacion!P133="","",M5_Ocupacion!P133))</f>
        <v/>
      </c>
      <c r="AG928" s="17" t="str">
        <f>IF(M5_Ocupacion!A133="","",IF(M5_Ocupacion!Q133="","",M5_Ocupacion!Q133))</f>
        <v/>
      </c>
      <c r="AH928" s="17" t="str">
        <f>IF(M5_Ocupacion!A133="","",IF(M5_Ocupacion!J133="","",M5_Ocupacion!J133))</f>
        <v/>
      </c>
      <c r="AI928" s="17" t="str">
        <f>IF(M5_Ocupacion!A133="","","M5_Ocupacion!133")</f>
        <v/>
      </c>
      <c r="AJ928" s="17" t="str">
        <f>IF(M5_Ocupacion!A133="","",IF(M5_Ocupacion!M133="","Pendiente de medición completa",IF(COUNTIFS(M5_Ocupacion!$A$10:A133,M5_Ocupacion!A133,M5_Ocupacion!$D$10:D133,M5_Ocupacion!D133)=1,"Promedio de la actividad y fecha","Observación incluida en promedio")))</f>
        <v/>
      </c>
    </row>
    <row r="929" spans="1:36" ht="55.5" customHeight="1">
      <c r="A929" s="6" t="str">
        <f t="array" ref="A929">IF(925&gt;$S$1204,"",INDEX($T$5:$AJ$1204,MATCH(925,$S$5:$S$1204,0),1))</f>
        <v/>
      </c>
      <c r="B929" s="8" t="str">
        <f t="array" ref="B929">IF(925&gt;$S$1204,"",INDEX($T$5:$AJ$1204,MATCH(925,$S$5:$S$1204,0),2))</f>
        <v/>
      </c>
      <c r="C929" s="10" t="str">
        <f t="array" ref="C929">IF(925&gt;$S$1204,"",INDEX($T$5:$AJ$1204,MATCH(925,$S$5:$S$1204,0),3))</f>
        <v/>
      </c>
      <c r="D929" s="8" t="str">
        <f t="array" ref="D929">IF(925&gt;$S$1204,"",INDEX($T$5:$AJ$1204,MATCH(925,$S$5:$S$1204,0),4))</f>
        <v/>
      </c>
      <c r="E929" s="8" t="str">
        <f t="array" ref="E929">IF(925&gt;$S$1204,"",INDEX($T$5:$AJ$1204,MATCH(925,$S$5:$S$1204,0),5))</f>
        <v/>
      </c>
      <c r="F929" s="8" t="str">
        <f t="array" ref="F929">IF(925&gt;$S$1204,"",INDEX($T$5:$AJ$1204,MATCH(925,$S$5:$S$1204,0),6))</f>
        <v/>
      </c>
      <c r="G929" s="8" t="str">
        <f t="array" ref="G929">IF(925&gt;$S$1204,"",INDEX($T$5:$AJ$1204,MATCH(925,$S$5:$S$1204,0),7))</f>
        <v/>
      </c>
      <c r="H929" s="8" t="str">
        <f t="array" ref="H929">IF(925&gt;$S$1204,"",INDEX($T$5:$AJ$1204,MATCH(925,$S$5:$S$1204,0),8))</f>
        <v/>
      </c>
      <c r="I929" s="8" t="str">
        <f t="array" ref="I929">IF(925&gt;$S$1204,"",INDEX($T$5:$AJ$1204,MATCH(925,$S$5:$S$1204,0),9))</f>
        <v/>
      </c>
      <c r="J929" s="14" t="str">
        <f t="array" ref="J929">IF(925&gt;$S$1204,"",INDEX($T$5:$AJ$1204,MATCH(925,$S$5:$S$1204,0),10))</f>
        <v/>
      </c>
      <c r="K929" s="8" t="str">
        <f t="array" ref="K929">IF(925&gt;$S$1204,"",INDEX($T$5:$AJ$1204,MATCH(925,$S$5:$S$1204,0),11))</f>
        <v/>
      </c>
      <c r="L929" s="8" t="str">
        <f t="array" ref="L929">IF(925&gt;$S$1204,"",INDEX($T$5:$AJ$1204,MATCH(925,$S$5:$S$1204,0),12))</f>
        <v/>
      </c>
      <c r="M929" s="8" t="str">
        <f t="array" ref="M929">IF(925&gt;$S$1204,"",INDEX($T$5:$AJ$1204,MATCH(925,$S$5:$S$1204,0),13))</f>
        <v/>
      </c>
      <c r="N929" s="8" t="str">
        <f t="array" ref="N929">IF(925&gt;$S$1204,"",INDEX($T$5:$AJ$1204,MATCH(925,$S$5:$S$1204,0),14))</f>
        <v/>
      </c>
      <c r="O929" s="15" t="str">
        <f t="array" ref="O929">IF(925&gt;$S$1204,"",INDEX($T$5:$AJ$1204,MATCH(925,$S$5:$S$1204,0),15))</f>
        <v/>
      </c>
      <c r="P929" s="8" t="str">
        <f t="array" ref="P929">IF(925&gt;$S$1204,"",INDEX($T$5:$AJ$1204,MATCH(925,$S$5:$S$1204,0),16))</f>
        <v/>
      </c>
      <c r="Q929" s="8" t="str">
        <f t="array" ref="Q929">IF(925&gt;$S$1204,"",INDEX($T$5:$AJ$1204,MATCH(925,$S$5:$S$1204,0),17))</f>
        <v/>
      </c>
      <c r="R929" s="17"/>
      <c r="S929" s="17">
        <f>S928+IF(M5_Ocupacion!A134="",0,1)</f>
        <v>0</v>
      </c>
      <c r="T929" s="17" t="str">
        <f>IF(M5_Ocupacion!A134="","",IF(M5_Ocupacion!A134="","",M5_Ocupacion!A134))</f>
        <v/>
      </c>
      <c r="U929" s="17" t="str">
        <f>IF(M5_Ocupacion!A134="","",IF(M5_Ocupacion!R134="","",M5_Ocupacion!R134))</f>
        <v/>
      </c>
      <c r="V929" s="17" t="str">
        <f>IF(M5_Ocupacion!A134="","",IF(M5_Ocupacion!D134="","",M5_Ocupacion!D134))</f>
        <v/>
      </c>
      <c r="W929" s="17" t="str">
        <f>IF(M5_Ocupacion!A134="","",IF(M5_Ocupacion!B134="","",M5_Ocupacion!B134))</f>
        <v/>
      </c>
      <c r="X929" s="17" t="str">
        <f>IF(M5_Ocupacion!A134="","",IF(M5_Ocupacion!C134="","",M5_Ocupacion!C134))</f>
        <v/>
      </c>
      <c r="Y929" s="17" t="str">
        <f>IF(M5_Ocupacion!A134="","",IF(M5_Ocupacion!E134="","",M5_Ocupacion!E134))</f>
        <v/>
      </c>
      <c r="Z929" s="17" t="str">
        <f>IF(M5_Ocupacion!A134="","",IF(M5_Ocupacion!F134="","",M5_Ocupacion!F134))</f>
        <v/>
      </c>
      <c r="AA929" s="17" t="str">
        <f>IF(M5_Ocupacion!A134="","","M5 Ocupación")</f>
        <v/>
      </c>
      <c r="AB929" s="17" t="str">
        <f>IF(M5_Ocupacion!A134="","",IF(M5_Ocupacion!G134="","",M5_Ocupacion!G134))</f>
        <v/>
      </c>
      <c r="AC929" s="17" t="str">
        <f>IF(M5_Ocupacion!A134="","",IF(COUNTIFS(M5_Ocupacion!$A$10:A134,M5_Ocupacion!A134,M5_Ocupacion!$D$10:D134,M5_Ocupacion!D134)=1,IF(M5_Ocupacion!M134="","",M5_Ocupacion!M134),""))</f>
        <v/>
      </c>
      <c r="AD929" s="17" t="str">
        <f>IF(M5_Ocupacion!A134="","","MO")</f>
        <v/>
      </c>
      <c r="AE929" s="17" t="str">
        <f>IF(M5_Ocupacion!A134="","",IF(M5_Ocupacion!O134="","",M5_Ocupacion!O134))</f>
        <v/>
      </c>
      <c r="AF929" s="17" t="str">
        <f>IF(M5_Ocupacion!A134="","",IF(M5_Ocupacion!P134="","",M5_Ocupacion!P134))</f>
        <v/>
      </c>
      <c r="AG929" s="17" t="str">
        <f>IF(M5_Ocupacion!A134="","",IF(M5_Ocupacion!Q134="","",M5_Ocupacion!Q134))</f>
        <v/>
      </c>
      <c r="AH929" s="17" t="str">
        <f>IF(M5_Ocupacion!A134="","",IF(M5_Ocupacion!J134="","",M5_Ocupacion!J134))</f>
        <v/>
      </c>
      <c r="AI929" s="17" t="str">
        <f>IF(M5_Ocupacion!A134="","","M5_Ocupacion!134")</f>
        <v/>
      </c>
      <c r="AJ929" s="17" t="str">
        <f>IF(M5_Ocupacion!A134="","",IF(M5_Ocupacion!M134="","Pendiente de medición completa",IF(COUNTIFS(M5_Ocupacion!$A$10:A134,M5_Ocupacion!A134,M5_Ocupacion!$D$10:D134,M5_Ocupacion!D134)=1,"Promedio de la actividad y fecha","Observación incluida en promedio")))</f>
        <v/>
      </c>
    </row>
    <row r="930" spans="1:36" ht="55.5" customHeight="1">
      <c r="A930" s="6" t="str">
        <f t="array" ref="A930">IF(926&gt;$S$1204,"",INDEX($T$5:$AJ$1204,MATCH(926,$S$5:$S$1204,0),1))</f>
        <v/>
      </c>
      <c r="B930" s="8" t="str">
        <f t="array" ref="B930">IF(926&gt;$S$1204,"",INDEX($T$5:$AJ$1204,MATCH(926,$S$5:$S$1204,0),2))</f>
        <v/>
      </c>
      <c r="C930" s="10" t="str">
        <f t="array" ref="C930">IF(926&gt;$S$1204,"",INDEX($T$5:$AJ$1204,MATCH(926,$S$5:$S$1204,0),3))</f>
        <v/>
      </c>
      <c r="D930" s="8" t="str">
        <f t="array" ref="D930">IF(926&gt;$S$1204,"",INDEX($T$5:$AJ$1204,MATCH(926,$S$5:$S$1204,0),4))</f>
        <v/>
      </c>
      <c r="E930" s="8" t="str">
        <f t="array" ref="E930">IF(926&gt;$S$1204,"",INDEX($T$5:$AJ$1204,MATCH(926,$S$5:$S$1204,0),5))</f>
        <v/>
      </c>
      <c r="F930" s="8" t="str">
        <f t="array" ref="F930">IF(926&gt;$S$1204,"",INDEX($T$5:$AJ$1204,MATCH(926,$S$5:$S$1204,0),6))</f>
        <v/>
      </c>
      <c r="G930" s="8" t="str">
        <f t="array" ref="G930">IF(926&gt;$S$1204,"",INDEX($T$5:$AJ$1204,MATCH(926,$S$5:$S$1204,0),7))</f>
        <v/>
      </c>
      <c r="H930" s="8" t="str">
        <f t="array" ref="H930">IF(926&gt;$S$1204,"",INDEX($T$5:$AJ$1204,MATCH(926,$S$5:$S$1204,0),8))</f>
        <v/>
      </c>
      <c r="I930" s="8" t="str">
        <f t="array" ref="I930">IF(926&gt;$S$1204,"",INDEX($T$5:$AJ$1204,MATCH(926,$S$5:$S$1204,0),9))</f>
        <v/>
      </c>
      <c r="J930" s="14" t="str">
        <f t="array" ref="J930">IF(926&gt;$S$1204,"",INDEX($T$5:$AJ$1204,MATCH(926,$S$5:$S$1204,0),10))</f>
        <v/>
      </c>
      <c r="K930" s="8" t="str">
        <f t="array" ref="K930">IF(926&gt;$S$1204,"",INDEX($T$5:$AJ$1204,MATCH(926,$S$5:$S$1204,0),11))</f>
        <v/>
      </c>
      <c r="L930" s="8" t="str">
        <f t="array" ref="L930">IF(926&gt;$S$1204,"",INDEX($T$5:$AJ$1204,MATCH(926,$S$5:$S$1204,0),12))</f>
        <v/>
      </c>
      <c r="M930" s="8" t="str">
        <f t="array" ref="M930">IF(926&gt;$S$1204,"",INDEX($T$5:$AJ$1204,MATCH(926,$S$5:$S$1204,0),13))</f>
        <v/>
      </c>
      <c r="N930" s="8" t="str">
        <f t="array" ref="N930">IF(926&gt;$S$1204,"",INDEX($T$5:$AJ$1204,MATCH(926,$S$5:$S$1204,0),14))</f>
        <v/>
      </c>
      <c r="O930" s="15" t="str">
        <f t="array" ref="O930">IF(926&gt;$S$1204,"",INDEX($T$5:$AJ$1204,MATCH(926,$S$5:$S$1204,0),15))</f>
        <v/>
      </c>
      <c r="P930" s="8" t="str">
        <f t="array" ref="P930">IF(926&gt;$S$1204,"",INDEX($T$5:$AJ$1204,MATCH(926,$S$5:$S$1204,0),16))</f>
        <v/>
      </c>
      <c r="Q930" s="8" t="str">
        <f t="array" ref="Q930">IF(926&gt;$S$1204,"",INDEX($T$5:$AJ$1204,MATCH(926,$S$5:$S$1204,0),17))</f>
        <v/>
      </c>
      <c r="R930" s="17"/>
      <c r="S930" s="17">
        <f>S929+IF(M5_Ocupacion!A135="",0,1)</f>
        <v>0</v>
      </c>
      <c r="T930" s="17" t="str">
        <f>IF(M5_Ocupacion!A135="","",IF(M5_Ocupacion!A135="","",M5_Ocupacion!A135))</f>
        <v/>
      </c>
      <c r="U930" s="17" t="str">
        <f>IF(M5_Ocupacion!A135="","",IF(M5_Ocupacion!R135="","",M5_Ocupacion!R135))</f>
        <v/>
      </c>
      <c r="V930" s="17" t="str">
        <f>IF(M5_Ocupacion!A135="","",IF(M5_Ocupacion!D135="","",M5_Ocupacion!D135))</f>
        <v/>
      </c>
      <c r="W930" s="17" t="str">
        <f>IF(M5_Ocupacion!A135="","",IF(M5_Ocupacion!B135="","",M5_Ocupacion!B135))</f>
        <v/>
      </c>
      <c r="X930" s="17" t="str">
        <f>IF(M5_Ocupacion!A135="","",IF(M5_Ocupacion!C135="","",M5_Ocupacion!C135))</f>
        <v/>
      </c>
      <c r="Y930" s="17" t="str">
        <f>IF(M5_Ocupacion!A135="","",IF(M5_Ocupacion!E135="","",M5_Ocupacion!E135))</f>
        <v/>
      </c>
      <c r="Z930" s="17" t="str">
        <f>IF(M5_Ocupacion!A135="","",IF(M5_Ocupacion!F135="","",M5_Ocupacion!F135))</f>
        <v/>
      </c>
      <c r="AA930" s="17" t="str">
        <f>IF(M5_Ocupacion!A135="","","M5 Ocupación")</f>
        <v/>
      </c>
      <c r="AB930" s="17" t="str">
        <f>IF(M5_Ocupacion!A135="","",IF(M5_Ocupacion!G135="","",M5_Ocupacion!G135))</f>
        <v/>
      </c>
      <c r="AC930" s="17" t="str">
        <f>IF(M5_Ocupacion!A135="","",IF(COUNTIFS(M5_Ocupacion!$A$10:A135,M5_Ocupacion!A135,M5_Ocupacion!$D$10:D135,M5_Ocupacion!D135)=1,IF(M5_Ocupacion!M135="","",M5_Ocupacion!M135),""))</f>
        <v/>
      </c>
      <c r="AD930" s="17" t="str">
        <f>IF(M5_Ocupacion!A135="","","MO")</f>
        <v/>
      </c>
      <c r="AE930" s="17" t="str">
        <f>IF(M5_Ocupacion!A135="","",IF(M5_Ocupacion!O135="","",M5_Ocupacion!O135))</f>
        <v/>
      </c>
      <c r="AF930" s="17" t="str">
        <f>IF(M5_Ocupacion!A135="","",IF(M5_Ocupacion!P135="","",M5_Ocupacion!P135))</f>
        <v/>
      </c>
      <c r="AG930" s="17" t="str">
        <f>IF(M5_Ocupacion!A135="","",IF(M5_Ocupacion!Q135="","",M5_Ocupacion!Q135))</f>
        <v/>
      </c>
      <c r="AH930" s="17" t="str">
        <f>IF(M5_Ocupacion!A135="","",IF(M5_Ocupacion!J135="","",M5_Ocupacion!J135))</f>
        <v/>
      </c>
      <c r="AI930" s="17" t="str">
        <f>IF(M5_Ocupacion!A135="","","M5_Ocupacion!135")</f>
        <v/>
      </c>
      <c r="AJ930" s="17" t="str">
        <f>IF(M5_Ocupacion!A135="","",IF(M5_Ocupacion!M135="","Pendiente de medición completa",IF(COUNTIFS(M5_Ocupacion!$A$10:A135,M5_Ocupacion!A135,M5_Ocupacion!$D$10:D135,M5_Ocupacion!D135)=1,"Promedio de la actividad y fecha","Observación incluida en promedio")))</f>
        <v/>
      </c>
    </row>
    <row r="931" spans="1:36" ht="55.5" customHeight="1">
      <c r="A931" s="6" t="str">
        <f t="array" ref="A931">IF(927&gt;$S$1204,"",INDEX($T$5:$AJ$1204,MATCH(927,$S$5:$S$1204,0),1))</f>
        <v/>
      </c>
      <c r="B931" s="8" t="str">
        <f t="array" ref="B931">IF(927&gt;$S$1204,"",INDEX($T$5:$AJ$1204,MATCH(927,$S$5:$S$1204,0),2))</f>
        <v/>
      </c>
      <c r="C931" s="10" t="str">
        <f t="array" ref="C931">IF(927&gt;$S$1204,"",INDEX($T$5:$AJ$1204,MATCH(927,$S$5:$S$1204,0),3))</f>
        <v/>
      </c>
      <c r="D931" s="8" t="str">
        <f t="array" ref="D931">IF(927&gt;$S$1204,"",INDEX($T$5:$AJ$1204,MATCH(927,$S$5:$S$1204,0),4))</f>
        <v/>
      </c>
      <c r="E931" s="8" t="str">
        <f t="array" ref="E931">IF(927&gt;$S$1204,"",INDEX($T$5:$AJ$1204,MATCH(927,$S$5:$S$1204,0),5))</f>
        <v/>
      </c>
      <c r="F931" s="8" t="str">
        <f t="array" ref="F931">IF(927&gt;$S$1204,"",INDEX($T$5:$AJ$1204,MATCH(927,$S$5:$S$1204,0),6))</f>
        <v/>
      </c>
      <c r="G931" s="8" t="str">
        <f t="array" ref="G931">IF(927&gt;$S$1204,"",INDEX($T$5:$AJ$1204,MATCH(927,$S$5:$S$1204,0),7))</f>
        <v/>
      </c>
      <c r="H931" s="8" t="str">
        <f t="array" ref="H931">IF(927&gt;$S$1204,"",INDEX($T$5:$AJ$1204,MATCH(927,$S$5:$S$1204,0),8))</f>
        <v/>
      </c>
      <c r="I931" s="8" t="str">
        <f t="array" ref="I931">IF(927&gt;$S$1204,"",INDEX($T$5:$AJ$1204,MATCH(927,$S$5:$S$1204,0),9))</f>
        <v/>
      </c>
      <c r="J931" s="14" t="str">
        <f t="array" ref="J931">IF(927&gt;$S$1204,"",INDEX($T$5:$AJ$1204,MATCH(927,$S$5:$S$1204,0),10))</f>
        <v/>
      </c>
      <c r="K931" s="8" t="str">
        <f t="array" ref="K931">IF(927&gt;$S$1204,"",INDEX($T$5:$AJ$1204,MATCH(927,$S$5:$S$1204,0),11))</f>
        <v/>
      </c>
      <c r="L931" s="8" t="str">
        <f t="array" ref="L931">IF(927&gt;$S$1204,"",INDEX($T$5:$AJ$1204,MATCH(927,$S$5:$S$1204,0),12))</f>
        <v/>
      </c>
      <c r="M931" s="8" t="str">
        <f t="array" ref="M931">IF(927&gt;$S$1204,"",INDEX($T$5:$AJ$1204,MATCH(927,$S$5:$S$1204,0),13))</f>
        <v/>
      </c>
      <c r="N931" s="8" t="str">
        <f t="array" ref="N931">IF(927&gt;$S$1204,"",INDEX($T$5:$AJ$1204,MATCH(927,$S$5:$S$1204,0),14))</f>
        <v/>
      </c>
      <c r="O931" s="15" t="str">
        <f t="array" ref="O931">IF(927&gt;$S$1204,"",INDEX($T$5:$AJ$1204,MATCH(927,$S$5:$S$1204,0),15))</f>
        <v/>
      </c>
      <c r="P931" s="8" t="str">
        <f t="array" ref="P931">IF(927&gt;$S$1204,"",INDEX($T$5:$AJ$1204,MATCH(927,$S$5:$S$1204,0),16))</f>
        <v/>
      </c>
      <c r="Q931" s="8" t="str">
        <f t="array" ref="Q931">IF(927&gt;$S$1204,"",INDEX($T$5:$AJ$1204,MATCH(927,$S$5:$S$1204,0),17))</f>
        <v/>
      </c>
      <c r="R931" s="17"/>
      <c r="S931" s="17">
        <f>S930+IF(M5_Ocupacion!A136="",0,1)</f>
        <v>0</v>
      </c>
      <c r="T931" s="17" t="str">
        <f>IF(M5_Ocupacion!A136="","",IF(M5_Ocupacion!A136="","",M5_Ocupacion!A136))</f>
        <v/>
      </c>
      <c r="U931" s="17" t="str">
        <f>IF(M5_Ocupacion!A136="","",IF(M5_Ocupacion!R136="","",M5_Ocupacion!R136))</f>
        <v/>
      </c>
      <c r="V931" s="17" t="str">
        <f>IF(M5_Ocupacion!A136="","",IF(M5_Ocupacion!D136="","",M5_Ocupacion!D136))</f>
        <v/>
      </c>
      <c r="W931" s="17" t="str">
        <f>IF(M5_Ocupacion!A136="","",IF(M5_Ocupacion!B136="","",M5_Ocupacion!B136))</f>
        <v/>
      </c>
      <c r="X931" s="17" t="str">
        <f>IF(M5_Ocupacion!A136="","",IF(M5_Ocupacion!C136="","",M5_Ocupacion!C136))</f>
        <v/>
      </c>
      <c r="Y931" s="17" t="str">
        <f>IF(M5_Ocupacion!A136="","",IF(M5_Ocupacion!E136="","",M5_Ocupacion!E136))</f>
        <v/>
      </c>
      <c r="Z931" s="17" t="str">
        <f>IF(M5_Ocupacion!A136="","",IF(M5_Ocupacion!F136="","",M5_Ocupacion!F136))</f>
        <v/>
      </c>
      <c r="AA931" s="17" t="str">
        <f>IF(M5_Ocupacion!A136="","","M5 Ocupación")</f>
        <v/>
      </c>
      <c r="AB931" s="17" t="str">
        <f>IF(M5_Ocupacion!A136="","",IF(M5_Ocupacion!G136="","",M5_Ocupacion!G136))</f>
        <v/>
      </c>
      <c r="AC931" s="17" t="str">
        <f>IF(M5_Ocupacion!A136="","",IF(COUNTIFS(M5_Ocupacion!$A$10:A136,M5_Ocupacion!A136,M5_Ocupacion!$D$10:D136,M5_Ocupacion!D136)=1,IF(M5_Ocupacion!M136="","",M5_Ocupacion!M136),""))</f>
        <v/>
      </c>
      <c r="AD931" s="17" t="str">
        <f>IF(M5_Ocupacion!A136="","","MO")</f>
        <v/>
      </c>
      <c r="AE931" s="17" t="str">
        <f>IF(M5_Ocupacion!A136="","",IF(M5_Ocupacion!O136="","",M5_Ocupacion!O136))</f>
        <v/>
      </c>
      <c r="AF931" s="17" t="str">
        <f>IF(M5_Ocupacion!A136="","",IF(M5_Ocupacion!P136="","",M5_Ocupacion!P136))</f>
        <v/>
      </c>
      <c r="AG931" s="17" t="str">
        <f>IF(M5_Ocupacion!A136="","",IF(M5_Ocupacion!Q136="","",M5_Ocupacion!Q136))</f>
        <v/>
      </c>
      <c r="AH931" s="17" t="str">
        <f>IF(M5_Ocupacion!A136="","",IF(M5_Ocupacion!J136="","",M5_Ocupacion!J136))</f>
        <v/>
      </c>
      <c r="AI931" s="17" t="str">
        <f>IF(M5_Ocupacion!A136="","","M5_Ocupacion!136")</f>
        <v/>
      </c>
      <c r="AJ931" s="17" t="str">
        <f>IF(M5_Ocupacion!A136="","",IF(M5_Ocupacion!M136="","Pendiente de medición completa",IF(COUNTIFS(M5_Ocupacion!$A$10:A136,M5_Ocupacion!A136,M5_Ocupacion!$D$10:D136,M5_Ocupacion!D136)=1,"Promedio de la actividad y fecha","Observación incluida en promedio")))</f>
        <v/>
      </c>
    </row>
    <row r="932" spans="1:36" ht="55.5" customHeight="1">
      <c r="A932" s="6" t="str">
        <f t="array" ref="A932">IF(928&gt;$S$1204,"",INDEX($T$5:$AJ$1204,MATCH(928,$S$5:$S$1204,0),1))</f>
        <v/>
      </c>
      <c r="B932" s="8" t="str">
        <f t="array" ref="B932">IF(928&gt;$S$1204,"",INDEX($T$5:$AJ$1204,MATCH(928,$S$5:$S$1204,0),2))</f>
        <v/>
      </c>
      <c r="C932" s="10" t="str">
        <f t="array" ref="C932">IF(928&gt;$S$1204,"",INDEX($T$5:$AJ$1204,MATCH(928,$S$5:$S$1204,0),3))</f>
        <v/>
      </c>
      <c r="D932" s="8" t="str">
        <f t="array" ref="D932">IF(928&gt;$S$1204,"",INDEX($T$5:$AJ$1204,MATCH(928,$S$5:$S$1204,0),4))</f>
        <v/>
      </c>
      <c r="E932" s="8" t="str">
        <f t="array" ref="E932">IF(928&gt;$S$1204,"",INDEX($T$5:$AJ$1204,MATCH(928,$S$5:$S$1204,0),5))</f>
        <v/>
      </c>
      <c r="F932" s="8" t="str">
        <f t="array" ref="F932">IF(928&gt;$S$1204,"",INDEX($T$5:$AJ$1204,MATCH(928,$S$5:$S$1204,0),6))</f>
        <v/>
      </c>
      <c r="G932" s="8" t="str">
        <f t="array" ref="G932">IF(928&gt;$S$1204,"",INDEX($T$5:$AJ$1204,MATCH(928,$S$5:$S$1204,0),7))</f>
        <v/>
      </c>
      <c r="H932" s="8" t="str">
        <f t="array" ref="H932">IF(928&gt;$S$1204,"",INDEX($T$5:$AJ$1204,MATCH(928,$S$5:$S$1204,0),8))</f>
        <v/>
      </c>
      <c r="I932" s="8" t="str">
        <f t="array" ref="I932">IF(928&gt;$S$1204,"",INDEX($T$5:$AJ$1204,MATCH(928,$S$5:$S$1204,0),9))</f>
        <v/>
      </c>
      <c r="J932" s="14" t="str">
        <f t="array" ref="J932">IF(928&gt;$S$1204,"",INDEX($T$5:$AJ$1204,MATCH(928,$S$5:$S$1204,0),10))</f>
        <v/>
      </c>
      <c r="K932" s="8" t="str">
        <f t="array" ref="K932">IF(928&gt;$S$1204,"",INDEX($T$5:$AJ$1204,MATCH(928,$S$5:$S$1204,0),11))</f>
        <v/>
      </c>
      <c r="L932" s="8" t="str">
        <f t="array" ref="L932">IF(928&gt;$S$1204,"",INDEX($T$5:$AJ$1204,MATCH(928,$S$5:$S$1204,0),12))</f>
        <v/>
      </c>
      <c r="M932" s="8" t="str">
        <f t="array" ref="M932">IF(928&gt;$S$1204,"",INDEX($T$5:$AJ$1204,MATCH(928,$S$5:$S$1204,0),13))</f>
        <v/>
      </c>
      <c r="N932" s="8" t="str">
        <f t="array" ref="N932">IF(928&gt;$S$1204,"",INDEX($T$5:$AJ$1204,MATCH(928,$S$5:$S$1204,0),14))</f>
        <v/>
      </c>
      <c r="O932" s="15" t="str">
        <f t="array" ref="O932">IF(928&gt;$S$1204,"",INDEX($T$5:$AJ$1204,MATCH(928,$S$5:$S$1204,0),15))</f>
        <v/>
      </c>
      <c r="P932" s="8" t="str">
        <f t="array" ref="P932">IF(928&gt;$S$1204,"",INDEX($T$5:$AJ$1204,MATCH(928,$S$5:$S$1204,0),16))</f>
        <v/>
      </c>
      <c r="Q932" s="8" t="str">
        <f t="array" ref="Q932">IF(928&gt;$S$1204,"",INDEX($T$5:$AJ$1204,MATCH(928,$S$5:$S$1204,0),17))</f>
        <v/>
      </c>
      <c r="R932" s="17"/>
      <c r="S932" s="17">
        <f>S931+IF(M5_Ocupacion!A137="",0,1)</f>
        <v>0</v>
      </c>
      <c r="T932" s="17" t="str">
        <f>IF(M5_Ocupacion!A137="","",IF(M5_Ocupacion!A137="","",M5_Ocupacion!A137))</f>
        <v/>
      </c>
      <c r="U932" s="17" t="str">
        <f>IF(M5_Ocupacion!A137="","",IF(M5_Ocupacion!R137="","",M5_Ocupacion!R137))</f>
        <v/>
      </c>
      <c r="V932" s="17" t="str">
        <f>IF(M5_Ocupacion!A137="","",IF(M5_Ocupacion!D137="","",M5_Ocupacion!D137))</f>
        <v/>
      </c>
      <c r="W932" s="17" t="str">
        <f>IF(M5_Ocupacion!A137="","",IF(M5_Ocupacion!B137="","",M5_Ocupacion!B137))</f>
        <v/>
      </c>
      <c r="X932" s="17" t="str">
        <f>IF(M5_Ocupacion!A137="","",IF(M5_Ocupacion!C137="","",M5_Ocupacion!C137))</f>
        <v/>
      </c>
      <c r="Y932" s="17" t="str">
        <f>IF(M5_Ocupacion!A137="","",IF(M5_Ocupacion!E137="","",M5_Ocupacion!E137))</f>
        <v/>
      </c>
      <c r="Z932" s="17" t="str">
        <f>IF(M5_Ocupacion!A137="","",IF(M5_Ocupacion!F137="","",M5_Ocupacion!F137))</f>
        <v/>
      </c>
      <c r="AA932" s="17" t="str">
        <f>IF(M5_Ocupacion!A137="","","M5 Ocupación")</f>
        <v/>
      </c>
      <c r="AB932" s="17" t="str">
        <f>IF(M5_Ocupacion!A137="","",IF(M5_Ocupacion!G137="","",M5_Ocupacion!G137))</f>
        <v/>
      </c>
      <c r="AC932" s="17" t="str">
        <f>IF(M5_Ocupacion!A137="","",IF(COUNTIFS(M5_Ocupacion!$A$10:A137,M5_Ocupacion!A137,M5_Ocupacion!$D$10:D137,M5_Ocupacion!D137)=1,IF(M5_Ocupacion!M137="","",M5_Ocupacion!M137),""))</f>
        <v/>
      </c>
      <c r="AD932" s="17" t="str">
        <f>IF(M5_Ocupacion!A137="","","MO")</f>
        <v/>
      </c>
      <c r="AE932" s="17" t="str">
        <f>IF(M5_Ocupacion!A137="","",IF(M5_Ocupacion!O137="","",M5_Ocupacion!O137))</f>
        <v/>
      </c>
      <c r="AF932" s="17" t="str">
        <f>IF(M5_Ocupacion!A137="","",IF(M5_Ocupacion!P137="","",M5_Ocupacion!P137))</f>
        <v/>
      </c>
      <c r="AG932" s="17" t="str">
        <f>IF(M5_Ocupacion!A137="","",IF(M5_Ocupacion!Q137="","",M5_Ocupacion!Q137))</f>
        <v/>
      </c>
      <c r="AH932" s="17" t="str">
        <f>IF(M5_Ocupacion!A137="","",IF(M5_Ocupacion!J137="","",M5_Ocupacion!J137))</f>
        <v/>
      </c>
      <c r="AI932" s="17" t="str">
        <f>IF(M5_Ocupacion!A137="","","M5_Ocupacion!137")</f>
        <v/>
      </c>
      <c r="AJ932" s="17" t="str">
        <f>IF(M5_Ocupacion!A137="","",IF(M5_Ocupacion!M137="","Pendiente de medición completa",IF(COUNTIFS(M5_Ocupacion!$A$10:A137,M5_Ocupacion!A137,M5_Ocupacion!$D$10:D137,M5_Ocupacion!D137)=1,"Promedio de la actividad y fecha","Observación incluida en promedio")))</f>
        <v/>
      </c>
    </row>
    <row r="933" spans="1:36" ht="55.5" customHeight="1">
      <c r="A933" s="6" t="str">
        <f t="array" ref="A933">IF(929&gt;$S$1204,"",INDEX($T$5:$AJ$1204,MATCH(929,$S$5:$S$1204,0),1))</f>
        <v/>
      </c>
      <c r="B933" s="8" t="str">
        <f t="array" ref="B933">IF(929&gt;$S$1204,"",INDEX($T$5:$AJ$1204,MATCH(929,$S$5:$S$1204,0),2))</f>
        <v/>
      </c>
      <c r="C933" s="10" t="str">
        <f t="array" ref="C933">IF(929&gt;$S$1204,"",INDEX($T$5:$AJ$1204,MATCH(929,$S$5:$S$1204,0),3))</f>
        <v/>
      </c>
      <c r="D933" s="8" t="str">
        <f t="array" ref="D933">IF(929&gt;$S$1204,"",INDEX($T$5:$AJ$1204,MATCH(929,$S$5:$S$1204,0),4))</f>
        <v/>
      </c>
      <c r="E933" s="8" t="str">
        <f t="array" ref="E933">IF(929&gt;$S$1204,"",INDEX($T$5:$AJ$1204,MATCH(929,$S$5:$S$1204,0),5))</f>
        <v/>
      </c>
      <c r="F933" s="8" t="str">
        <f t="array" ref="F933">IF(929&gt;$S$1204,"",INDEX($T$5:$AJ$1204,MATCH(929,$S$5:$S$1204,0),6))</f>
        <v/>
      </c>
      <c r="G933" s="8" t="str">
        <f t="array" ref="G933">IF(929&gt;$S$1204,"",INDEX($T$5:$AJ$1204,MATCH(929,$S$5:$S$1204,0),7))</f>
        <v/>
      </c>
      <c r="H933" s="8" t="str">
        <f t="array" ref="H933">IF(929&gt;$S$1204,"",INDEX($T$5:$AJ$1204,MATCH(929,$S$5:$S$1204,0),8))</f>
        <v/>
      </c>
      <c r="I933" s="8" t="str">
        <f t="array" ref="I933">IF(929&gt;$S$1204,"",INDEX($T$5:$AJ$1204,MATCH(929,$S$5:$S$1204,0),9))</f>
        <v/>
      </c>
      <c r="J933" s="14" t="str">
        <f t="array" ref="J933">IF(929&gt;$S$1204,"",INDEX($T$5:$AJ$1204,MATCH(929,$S$5:$S$1204,0),10))</f>
        <v/>
      </c>
      <c r="K933" s="8" t="str">
        <f t="array" ref="K933">IF(929&gt;$S$1204,"",INDEX($T$5:$AJ$1204,MATCH(929,$S$5:$S$1204,0),11))</f>
        <v/>
      </c>
      <c r="L933" s="8" t="str">
        <f t="array" ref="L933">IF(929&gt;$S$1204,"",INDEX($T$5:$AJ$1204,MATCH(929,$S$5:$S$1204,0),12))</f>
        <v/>
      </c>
      <c r="M933" s="8" t="str">
        <f t="array" ref="M933">IF(929&gt;$S$1204,"",INDEX($T$5:$AJ$1204,MATCH(929,$S$5:$S$1204,0),13))</f>
        <v/>
      </c>
      <c r="N933" s="8" t="str">
        <f t="array" ref="N933">IF(929&gt;$S$1204,"",INDEX($T$5:$AJ$1204,MATCH(929,$S$5:$S$1204,0),14))</f>
        <v/>
      </c>
      <c r="O933" s="15" t="str">
        <f t="array" ref="O933">IF(929&gt;$S$1204,"",INDEX($T$5:$AJ$1204,MATCH(929,$S$5:$S$1204,0),15))</f>
        <v/>
      </c>
      <c r="P933" s="8" t="str">
        <f t="array" ref="P933">IF(929&gt;$S$1204,"",INDEX($T$5:$AJ$1204,MATCH(929,$S$5:$S$1204,0),16))</f>
        <v/>
      </c>
      <c r="Q933" s="8" t="str">
        <f t="array" ref="Q933">IF(929&gt;$S$1204,"",INDEX($T$5:$AJ$1204,MATCH(929,$S$5:$S$1204,0),17))</f>
        <v/>
      </c>
      <c r="R933" s="17"/>
      <c r="S933" s="17">
        <f>S932+IF(M5_Ocupacion!A138="",0,1)</f>
        <v>0</v>
      </c>
      <c r="T933" s="17" t="str">
        <f>IF(M5_Ocupacion!A138="","",IF(M5_Ocupacion!A138="","",M5_Ocupacion!A138))</f>
        <v/>
      </c>
      <c r="U933" s="17" t="str">
        <f>IF(M5_Ocupacion!A138="","",IF(M5_Ocupacion!R138="","",M5_Ocupacion!R138))</f>
        <v/>
      </c>
      <c r="V933" s="17" t="str">
        <f>IF(M5_Ocupacion!A138="","",IF(M5_Ocupacion!D138="","",M5_Ocupacion!D138))</f>
        <v/>
      </c>
      <c r="W933" s="17" t="str">
        <f>IF(M5_Ocupacion!A138="","",IF(M5_Ocupacion!B138="","",M5_Ocupacion!B138))</f>
        <v/>
      </c>
      <c r="X933" s="17" t="str">
        <f>IF(M5_Ocupacion!A138="","",IF(M5_Ocupacion!C138="","",M5_Ocupacion!C138))</f>
        <v/>
      </c>
      <c r="Y933" s="17" t="str">
        <f>IF(M5_Ocupacion!A138="","",IF(M5_Ocupacion!E138="","",M5_Ocupacion!E138))</f>
        <v/>
      </c>
      <c r="Z933" s="17" t="str">
        <f>IF(M5_Ocupacion!A138="","",IF(M5_Ocupacion!F138="","",M5_Ocupacion!F138))</f>
        <v/>
      </c>
      <c r="AA933" s="17" t="str">
        <f>IF(M5_Ocupacion!A138="","","M5 Ocupación")</f>
        <v/>
      </c>
      <c r="AB933" s="17" t="str">
        <f>IF(M5_Ocupacion!A138="","",IF(M5_Ocupacion!G138="","",M5_Ocupacion!G138))</f>
        <v/>
      </c>
      <c r="AC933" s="17" t="str">
        <f>IF(M5_Ocupacion!A138="","",IF(COUNTIFS(M5_Ocupacion!$A$10:A138,M5_Ocupacion!A138,M5_Ocupacion!$D$10:D138,M5_Ocupacion!D138)=1,IF(M5_Ocupacion!M138="","",M5_Ocupacion!M138),""))</f>
        <v/>
      </c>
      <c r="AD933" s="17" t="str">
        <f>IF(M5_Ocupacion!A138="","","MO")</f>
        <v/>
      </c>
      <c r="AE933" s="17" t="str">
        <f>IF(M5_Ocupacion!A138="","",IF(M5_Ocupacion!O138="","",M5_Ocupacion!O138))</f>
        <v/>
      </c>
      <c r="AF933" s="17" t="str">
        <f>IF(M5_Ocupacion!A138="","",IF(M5_Ocupacion!P138="","",M5_Ocupacion!P138))</f>
        <v/>
      </c>
      <c r="AG933" s="17" t="str">
        <f>IF(M5_Ocupacion!A138="","",IF(M5_Ocupacion!Q138="","",M5_Ocupacion!Q138))</f>
        <v/>
      </c>
      <c r="AH933" s="17" t="str">
        <f>IF(M5_Ocupacion!A138="","",IF(M5_Ocupacion!J138="","",M5_Ocupacion!J138))</f>
        <v/>
      </c>
      <c r="AI933" s="17" t="str">
        <f>IF(M5_Ocupacion!A138="","","M5_Ocupacion!138")</f>
        <v/>
      </c>
      <c r="AJ933" s="17" t="str">
        <f>IF(M5_Ocupacion!A138="","",IF(M5_Ocupacion!M138="","Pendiente de medición completa",IF(COUNTIFS(M5_Ocupacion!$A$10:A138,M5_Ocupacion!A138,M5_Ocupacion!$D$10:D138,M5_Ocupacion!D138)=1,"Promedio de la actividad y fecha","Observación incluida en promedio")))</f>
        <v/>
      </c>
    </row>
    <row r="934" spans="1:36" ht="55.5" customHeight="1">
      <c r="A934" s="6" t="str">
        <f t="array" ref="A934">IF(930&gt;$S$1204,"",INDEX($T$5:$AJ$1204,MATCH(930,$S$5:$S$1204,0),1))</f>
        <v/>
      </c>
      <c r="B934" s="8" t="str">
        <f t="array" ref="B934">IF(930&gt;$S$1204,"",INDEX($T$5:$AJ$1204,MATCH(930,$S$5:$S$1204,0),2))</f>
        <v/>
      </c>
      <c r="C934" s="10" t="str">
        <f t="array" ref="C934">IF(930&gt;$S$1204,"",INDEX($T$5:$AJ$1204,MATCH(930,$S$5:$S$1204,0),3))</f>
        <v/>
      </c>
      <c r="D934" s="8" t="str">
        <f t="array" ref="D934">IF(930&gt;$S$1204,"",INDEX($T$5:$AJ$1204,MATCH(930,$S$5:$S$1204,0),4))</f>
        <v/>
      </c>
      <c r="E934" s="8" t="str">
        <f t="array" ref="E934">IF(930&gt;$S$1204,"",INDEX($T$5:$AJ$1204,MATCH(930,$S$5:$S$1204,0),5))</f>
        <v/>
      </c>
      <c r="F934" s="8" t="str">
        <f t="array" ref="F934">IF(930&gt;$S$1204,"",INDEX($T$5:$AJ$1204,MATCH(930,$S$5:$S$1204,0),6))</f>
        <v/>
      </c>
      <c r="G934" s="8" t="str">
        <f t="array" ref="G934">IF(930&gt;$S$1204,"",INDEX($T$5:$AJ$1204,MATCH(930,$S$5:$S$1204,0),7))</f>
        <v/>
      </c>
      <c r="H934" s="8" t="str">
        <f t="array" ref="H934">IF(930&gt;$S$1204,"",INDEX($T$5:$AJ$1204,MATCH(930,$S$5:$S$1204,0),8))</f>
        <v/>
      </c>
      <c r="I934" s="8" t="str">
        <f t="array" ref="I934">IF(930&gt;$S$1204,"",INDEX($T$5:$AJ$1204,MATCH(930,$S$5:$S$1204,0),9))</f>
        <v/>
      </c>
      <c r="J934" s="14" t="str">
        <f t="array" ref="J934">IF(930&gt;$S$1204,"",INDEX($T$5:$AJ$1204,MATCH(930,$S$5:$S$1204,0),10))</f>
        <v/>
      </c>
      <c r="K934" s="8" t="str">
        <f t="array" ref="K934">IF(930&gt;$S$1204,"",INDEX($T$5:$AJ$1204,MATCH(930,$S$5:$S$1204,0),11))</f>
        <v/>
      </c>
      <c r="L934" s="8" t="str">
        <f t="array" ref="L934">IF(930&gt;$S$1204,"",INDEX($T$5:$AJ$1204,MATCH(930,$S$5:$S$1204,0),12))</f>
        <v/>
      </c>
      <c r="M934" s="8" t="str">
        <f t="array" ref="M934">IF(930&gt;$S$1204,"",INDEX($T$5:$AJ$1204,MATCH(930,$S$5:$S$1204,0),13))</f>
        <v/>
      </c>
      <c r="N934" s="8" t="str">
        <f t="array" ref="N934">IF(930&gt;$S$1204,"",INDEX($T$5:$AJ$1204,MATCH(930,$S$5:$S$1204,0),14))</f>
        <v/>
      </c>
      <c r="O934" s="15" t="str">
        <f t="array" ref="O934">IF(930&gt;$S$1204,"",INDEX($T$5:$AJ$1204,MATCH(930,$S$5:$S$1204,0),15))</f>
        <v/>
      </c>
      <c r="P934" s="8" t="str">
        <f t="array" ref="P934">IF(930&gt;$S$1204,"",INDEX($T$5:$AJ$1204,MATCH(930,$S$5:$S$1204,0),16))</f>
        <v/>
      </c>
      <c r="Q934" s="8" t="str">
        <f t="array" ref="Q934">IF(930&gt;$S$1204,"",INDEX($T$5:$AJ$1204,MATCH(930,$S$5:$S$1204,0),17))</f>
        <v/>
      </c>
      <c r="R934" s="17"/>
      <c r="S934" s="17">
        <f>S933+IF(M5_Ocupacion!A139="",0,1)</f>
        <v>0</v>
      </c>
      <c r="T934" s="17" t="str">
        <f>IF(M5_Ocupacion!A139="","",IF(M5_Ocupacion!A139="","",M5_Ocupacion!A139))</f>
        <v/>
      </c>
      <c r="U934" s="17" t="str">
        <f>IF(M5_Ocupacion!A139="","",IF(M5_Ocupacion!R139="","",M5_Ocupacion!R139))</f>
        <v/>
      </c>
      <c r="V934" s="17" t="str">
        <f>IF(M5_Ocupacion!A139="","",IF(M5_Ocupacion!D139="","",M5_Ocupacion!D139))</f>
        <v/>
      </c>
      <c r="W934" s="17" t="str">
        <f>IF(M5_Ocupacion!A139="","",IF(M5_Ocupacion!B139="","",M5_Ocupacion!B139))</f>
        <v/>
      </c>
      <c r="X934" s="17" t="str">
        <f>IF(M5_Ocupacion!A139="","",IF(M5_Ocupacion!C139="","",M5_Ocupacion!C139))</f>
        <v/>
      </c>
      <c r="Y934" s="17" t="str">
        <f>IF(M5_Ocupacion!A139="","",IF(M5_Ocupacion!E139="","",M5_Ocupacion!E139))</f>
        <v/>
      </c>
      <c r="Z934" s="17" t="str">
        <f>IF(M5_Ocupacion!A139="","",IF(M5_Ocupacion!F139="","",M5_Ocupacion!F139))</f>
        <v/>
      </c>
      <c r="AA934" s="17" t="str">
        <f>IF(M5_Ocupacion!A139="","","M5 Ocupación")</f>
        <v/>
      </c>
      <c r="AB934" s="17" t="str">
        <f>IF(M5_Ocupacion!A139="","",IF(M5_Ocupacion!G139="","",M5_Ocupacion!G139))</f>
        <v/>
      </c>
      <c r="AC934" s="17" t="str">
        <f>IF(M5_Ocupacion!A139="","",IF(COUNTIFS(M5_Ocupacion!$A$10:A139,M5_Ocupacion!A139,M5_Ocupacion!$D$10:D139,M5_Ocupacion!D139)=1,IF(M5_Ocupacion!M139="","",M5_Ocupacion!M139),""))</f>
        <v/>
      </c>
      <c r="AD934" s="17" t="str">
        <f>IF(M5_Ocupacion!A139="","","MO")</f>
        <v/>
      </c>
      <c r="AE934" s="17" t="str">
        <f>IF(M5_Ocupacion!A139="","",IF(M5_Ocupacion!O139="","",M5_Ocupacion!O139))</f>
        <v/>
      </c>
      <c r="AF934" s="17" t="str">
        <f>IF(M5_Ocupacion!A139="","",IF(M5_Ocupacion!P139="","",M5_Ocupacion!P139))</f>
        <v/>
      </c>
      <c r="AG934" s="17" t="str">
        <f>IF(M5_Ocupacion!A139="","",IF(M5_Ocupacion!Q139="","",M5_Ocupacion!Q139))</f>
        <v/>
      </c>
      <c r="AH934" s="17" t="str">
        <f>IF(M5_Ocupacion!A139="","",IF(M5_Ocupacion!J139="","",M5_Ocupacion!J139))</f>
        <v/>
      </c>
      <c r="AI934" s="17" t="str">
        <f>IF(M5_Ocupacion!A139="","","M5_Ocupacion!139")</f>
        <v/>
      </c>
      <c r="AJ934" s="17" t="str">
        <f>IF(M5_Ocupacion!A139="","",IF(M5_Ocupacion!M139="","Pendiente de medición completa",IF(COUNTIFS(M5_Ocupacion!$A$10:A139,M5_Ocupacion!A139,M5_Ocupacion!$D$10:D139,M5_Ocupacion!D139)=1,"Promedio de la actividad y fecha","Observación incluida en promedio")))</f>
        <v/>
      </c>
    </row>
    <row r="935" spans="1:36" ht="55.5" customHeight="1">
      <c r="A935" s="6" t="str">
        <f t="array" ref="A935">IF(931&gt;$S$1204,"",INDEX($T$5:$AJ$1204,MATCH(931,$S$5:$S$1204,0),1))</f>
        <v/>
      </c>
      <c r="B935" s="8" t="str">
        <f t="array" ref="B935">IF(931&gt;$S$1204,"",INDEX($T$5:$AJ$1204,MATCH(931,$S$5:$S$1204,0),2))</f>
        <v/>
      </c>
      <c r="C935" s="10" t="str">
        <f t="array" ref="C935">IF(931&gt;$S$1204,"",INDEX($T$5:$AJ$1204,MATCH(931,$S$5:$S$1204,0),3))</f>
        <v/>
      </c>
      <c r="D935" s="8" t="str">
        <f t="array" ref="D935">IF(931&gt;$S$1204,"",INDEX($T$5:$AJ$1204,MATCH(931,$S$5:$S$1204,0),4))</f>
        <v/>
      </c>
      <c r="E935" s="8" t="str">
        <f t="array" ref="E935">IF(931&gt;$S$1204,"",INDEX($T$5:$AJ$1204,MATCH(931,$S$5:$S$1204,0),5))</f>
        <v/>
      </c>
      <c r="F935" s="8" t="str">
        <f t="array" ref="F935">IF(931&gt;$S$1204,"",INDEX($T$5:$AJ$1204,MATCH(931,$S$5:$S$1204,0),6))</f>
        <v/>
      </c>
      <c r="G935" s="8" t="str">
        <f t="array" ref="G935">IF(931&gt;$S$1204,"",INDEX($T$5:$AJ$1204,MATCH(931,$S$5:$S$1204,0),7))</f>
        <v/>
      </c>
      <c r="H935" s="8" t="str">
        <f t="array" ref="H935">IF(931&gt;$S$1204,"",INDEX($T$5:$AJ$1204,MATCH(931,$S$5:$S$1204,0),8))</f>
        <v/>
      </c>
      <c r="I935" s="8" t="str">
        <f t="array" ref="I935">IF(931&gt;$S$1204,"",INDEX($T$5:$AJ$1204,MATCH(931,$S$5:$S$1204,0),9))</f>
        <v/>
      </c>
      <c r="J935" s="14" t="str">
        <f t="array" ref="J935">IF(931&gt;$S$1204,"",INDEX($T$5:$AJ$1204,MATCH(931,$S$5:$S$1204,0),10))</f>
        <v/>
      </c>
      <c r="K935" s="8" t="str">
        <f t="array" ref="K935">IF(931&gt;$S$1204,"",INDEX($T$5:$AJ$1204,MATCH(931,$S$5:$S$1204,0),11))</f>
        <v/>
      </c>
      <c r="L935" s="8" t="str">
        <f t="array" ref="L935">IF(931&gt;$S$1204,"",INDEX($T$5:$AJ$1204,MATCH(931,$S$5:$S$1204,0),12))</f>
        <v/>
      </c>
      <c r="M935" s="8" t="str">
        <f t="array" ref="M935">IF(931&gt;$S$1204,"",INDEX($T$5:$AJ$1204,MATCH(931,$S$5:$S$1204,0),13))</f>
        <v/>
      </c>
      <c r="N935" s="8" t="str">
        <f t="array" ref="N935">IF(931&gt;$S$1204,"",INDEX($T$5:$AJ$1204,MATCH(931,$S$5:$S$1204,0),14))</f>
        <v/>
      </c>
      <c r="O935" s="15" t="str">
        <f t="array" ref="O935">IF(931&gt;$S$1204,"",INDEX($T$5:$AJ$1204,MATCH(931,$S$5:$S$1204,0),15))</f>
        <v/>
      </c>
      <c r="P935" s="8" t="str">
        <f t="array" ref="P935">IF(931&gt;$S$1204,"",INDEX($T$5:$AJ$1204,MATCH(931,$S$5:$S$1204,0),16))</f>
        <v/>
      </c>
      <c r="Q935" s="8" t="str">
        <f t="array" ref="Q935">IF(931&gt;$S$1204,"",INDEX($T$5:$AJ$1204,MATCH(931,$S$5:$S$1204,0),17))</f>
        <v/>
      </c>
      <c r="R935" s="17"/>
      <c r="S935" s="17">
        <f>S934+IF(M5_Ocupacion!A140="",0,1)</f>
        <v>0</v>
      </c>
      <c r="T935" s="17" t="str">
        <f>IF(M5_Ocupacion!A140="","",IF(M5_Ocupacion!A140="","",M5_Ocupacion!A140))</f>
        <v/>
      </c>
      <c r="U935" s="17" t="str">
        <f>IF(M5_Ocupacion!A140="","",IF(M5_Ocupacion!R140="","",M5_Ocupacion!R140))</f>
        <v/>
      </c>
      <c r="V935" s="17" t="str">
        <f>IF(M5_Ocupacion!A140="","",IF(M5_Ocupacion!D140="","",M5_Ocupacion!D140))</f>
        <v/>
      </c>
      <c r="W935" s="17" t="str">
        <f>IF(M5_Ocupacion!A140="","",IF(M5_Ocupacion!B140="","",M5_Ocupacion!B140))</f>
        <v/>
      </c>
      <c r="X935" s="17" t="str">
        <f>IF(M5_Ocupacion!A140="","",IF(M5_Ocupacion!C140="","",M5_Ocupacion!C140))</f>
        <v/>
      </c>
      <c r="Y935" s="17" t="str">
        <f>IF(M5_Ocupacion!A140="","",IF(M5_Ocupacion!E140="","",M5_Ocupacion!E140))</f>
        <v/>
      </c>
      <c r="Z935" s="17" t="str">
        <f>IF(M5_Ocupacion!A140="","",IF(M5_Ocupacion!F140="","",M5_Ocupacion!F140))</f>
        <v/>
      </c>
      <c r="AA935" s="17" t="str">
        <f>IF(M5_Ocupacion!A140="","","M5 Ocupación")</f>
        <v/>
      </c>
      <c r="AB935" s="17" t="str">
        <f>IF(M5_Ocupacion!A140="","",IF(M5_Ocupacion!G140="","",M5_Ocupacion!G140))</f>
        <v/>
      </c>
      <c r="AC935" s="17" t="str">
        <f>IF(M5_Ocupacion!A140="","",IF(COUNTIFS(M5_Ocupacion!$A$10:A140,M5_Ocupacion!A140,M5_Ocupacion!$D$10:D140,M5_Ocupacion!D140)=1,IF(M5_Ocupacion!M140="","",M5_Ocupacion!M140),""))</f>
        <v/>
      </c>
      <c r="AD935" s="17" t="str">
        <f>IF(M5_Ocupacion!A140="","","MO")</f>
        <v/>
      </c>
      <c r="AE935" s="17" t="str">
        <f>IF(M5_Ocupacion!A140="","",IF(M5_Ocupacion!O140="","",M5_Ocupacion!O140))</f>
        <v/>
      </c>
      <c r="AF935" s="17" t="str">
        <f>IF(M5_Ocupacion!A140="","",IF(M5_Ocupacion!P140="","",M5_Ocupacion!P140))</f>
        <v/>
      </c>
      <c r="AG935" s="17" t="str">
        <f>IF(M5_Ocupacion!A140="","",IF(M5_Ocupacion!Q140="","",M5_Ocupacion!Q140))</f>
        <v/>
      </c>
      <c r="AH935" s="17" t="str">
        <f>IF(M5_Ocupacion!A140="","",IF(M5_Ocupacion!J140="","",M5_Ocupacion!J140))</f>
        <v/>
      </c>
      <c r="AI935" s="17" t="str">
        <f>IF(M5_Ocupacion!A140="","","M5_Ocupacion!140")</f>
        <v/>
      </c>
      <c r="AJ935" s="17" t="str">
        <f>IF(M5_Ocupacion!A140="","",IF(M5_Ocupacion!M140="","Pendiente de medición completa",IF(COUNTIFS(M5_Ocupacion!$A$10:A140,M5_Ocupacion!A140,M5_Ocupacion!$D$10:D140,M5_Ocupacion!D140)=1,"Promedio de la actividad y fecha","Observación incluida en promedio")))</f>
        <v/>
      </c>
    </row>
    <row r="936" spans="1:36" ht="55.5" customHeight="1">
      <c r="A936" s="6" t="str">
        <f t="array" ref="A936">IF(932&gt;$S$1204,"",INDEX($T$5:$AJ$1204,MATCH(932,$S$5:$S$1204,0),1))</f>
        <v/>
      </c>
      <c r="B936" s="8" t="str">
        <f t="array" ref="B936">IF(932&gt;$S$1204,"",INDEX($T$5:$AJ$1204,MATCH(932,$S$5:$S$1204,0),2))</f>
        <v/>
      </c>
      <c r="C936" s="10" t="str">
        <f t="array" ref="C936">IF(932&gt;$S$1204,"",INDEX($T$5:$AJ$1204,MATCH(932,$S$5:$S$1204,0),3))</f>
        <v/>
      </c>
      <c r="D936" s="8" t="str">
        <f t="array" ref="D936">IF(932&gt;$S$1204,"",INDEX($T$5:$AJ$1204,MATCH(932,$S$5:$S$1204,0),4))</f>
        <v/>
      </c>
      <c r="E936" s="8" t="str">
        <f t="array" ref="E936">IF(932&gt;$S$1204,"",INDEX($T$5:$AJ$1204,MATCH(932,$S$5:$S$1204,0),5))</f>
        <v/>
      </c>
      <c r="F936" s="8" t="str">
        <f t="array" ref="F936">IF(932&gt;$S$1204,"",INDEX($T$5:$AJ$1204,MATCH(932,$S$5:$S$1204,0),6))</f>
        <v/>
      </c>
      <c r="G936" s="8" t="str">
        <f t="array" ref="G936">IF(932&gt;$S$1204,"",INDEX($T$5:$AJ$1204,MATCH(932,$S$5:$S$1204,0),7))</f>
        <v/>
      </c>
      <c r="H936" s="8" t="str">
        <f t="array" ref="H936">IF(932&gt;$S$1204,"",INDEX($T$5:$AJ$1204,MATCH(932,$S$5:$S$1204,0),8))</f>
        <v/>
      </c>
      <c r="I936" s="8" t="str">
        <f t="array" ref="I936">IF(932&gt;$S$1204,"",INDEX($T$5:$AJ$1204,MATCH(932,$S$5:$S$1204,0),9))</f>
        <v/>
      </c>
      <c r="J936" s="14" t="str">
        <f t="array" ref="J936">IF(932&gt;$S$1204,"",INDEX($T$5:$AJ$1204,MATCH(932,$S$5:$S$1204,0),10))</f>
        <v/>
      </c>
      <c r="K936" s="8" t="str">
        <f t="array" ref="K936">IF(932&gt;$S$1204,"",INDEX($T$5:$AJ$1204,MATCH(932,$S$5:$S$1204,0),11))</f>
        <v/>
      </c>
      <c r="L936" s="8" t="str">
        <f t="array" ref="L936">IF(932&gt;$S$1204,"",INDEX($T$5:$AJ$1204,MATCH(932,$S$5:$S$1204,0),12))</f>
        <v/>
      </c>
      <c r="M936" s="8" t="str">
        <f t="array" ref="M936">IF(932&gt;$S$1204,"",INDEX($T$5:$AJ$1204,MATCH(932,$S$5:$S$1204,0),13))</f>
        <v/>
      </c>
      <c r="N936" s="8" t="str">
        <f t="array" ref="N936">IF(932&gt;$S$1204,"",INDEX($T$5:$AJ$1204,MATCH(932,$S$5:$S$1204,0),14))</f>
        <v/>
      </c>
      <c r="O936" s="15" t="str">
        <f t="array" ref="O936">IF(932&gt;$S$1204,"",INDEX($T$5:$AJ$1204,MATCH(932,$S$5:$S$1204,0),15))</f>
        <v/>
      </c>
      <c r="P936" s="8" t="str">
        <f t="array" ref="P936">IF(932&gt;$S$1204,"",INDEX($T$5:$AJ$1204,MATCH(932,$S$5:$S$1204,0),16))</f>
        <v/>
      </c>
      <c r="Q936" s="8" t="str">
        <f t="array" ref="Q936">IF(932&gt;$S$1204,"",INDEX($T$5:$AJ$1204,MATCH(932,$S$5:$S$1204,0),17))</f>
        <v/>
      </c>
      <c r="R936" s="17"/>
      <c r="S936" s="17">
        <f>S935+IF(M5_Ocupacion!A141="",0,1)</f>
        <v>0</v>
      </c>
      <c r="T936" s="17" t="str">
        <f>IF(M5_Ocupacion!A141="","",IF(M5_Ocupacion!A141="","",M5_Ocupacion!A141))</f>
        <v/>
      </c>
      <c r="U936" s="17" t="str">
        <f>IF(M5_Ocupacion!A141="","",IF(M5_Ocupacion!R141="","",M5_Ocupacion!R141))</f>
        <v/>
      </c>
      <c r="V936" s="17" t="str">
        <f>IF(M5_Ocupacion!A141="","",IF(M5_Ocupacion!D141="","",M5_Ocupacion!D141))</f>
        <v/>
      </c>
      <c r="W936" s="17" t="str">
        <f>IF(M5_Ocupacion!A141="","",IF(M5_Ocupacion!B141="","",M5_Ocupacion!B141))</f>
        <v/>
      </c>
      <c r="X936" s="17" t="str">
        <f>IF(M5_Ocupacion!A141="","",IF(M5_Ocupacion!C141="","",M5_Ocupacion!C141))</f>
        <v/>
      </c>
      <c r="Y936" s="17" t="str">
        <f>IF(M5_Ocupacion!A141="","",IF(M5_Ocupacion!E141="","",M5_Ocupacion!E141))</f>
        <v/>
      </c>
      <c r="Z936" s="17" t="str">
        <f>IF(M5_Ocupacion!A141="","",IF(M5_Ocupacion!F141="","",M5_Ocupacion!F141))</f>
        <v/>
      </c>
      <c r="AA936" s="17" t="str">
        <f>IF(M5_Ocupacion!A141="","","M5 Ocupación")</f>
        <v/>
      </c>
      <c r="AB936" s="17" t="str">
        <f>IF(M5_Ocupacion!A141="","",IF(M5_Ocupacion!G141="","",M5_Ocupacion!G141))</f>
        <v/>
      </c>
      <c r="AC936" s="17" t="str">
        <f>IF(M5_Ocupacion!A141="","",IF(COUNTIFS(M5_Ocupacion!$A$10:A141,M5_Ocupacion!A141,M5_Ocupacion!$D$10:D141,M5_Ocupacion!D141)=1,IF(M5_Ocupacion!M141="","",M5_Ocupacion!M141),""))</f>
        <v/>
      </c>
      <c r="AD936" s="17" t="str">
        <f>IF(M5_Ocupacion!A141="","","MO")</f>
        <v/>
      </c>
      <c r="AE936" s="17" t="str">
        <f>IF(M5_Ocupacion!A141="","",IF(M5_Ocupacion!O141="","",M5_Ocupacion!O141))</f>
        <v/>
      </c>
      <c r="AF936" s="17" t="str">
        <f>IF(M5_Ocupacion!A141="","",IF(M5_Ocupacion!P141="","",M5_Ocupacion!P141))</f>
        <v/>
      </c>
      <c r="AG936" s="17" t="str">
        <f>IF(M5_Ocupacion!A141="","",IF(M5_Ocupacion!Q141="","",M5_Ocupacion!Q141))</f>
        <v/>
      </c>
      <c r="AH936" s="17" t="str">
        <f>IF(M5_Ocupacion!A141="","",IF(M5_Ocupacion!J141="","",M5_Ocupacion!J141))</f>
        <v/>
      </c>
      <c r="AI936" s="17" t="str">
        <f>IF(M5_Ocupacion!A141="","","M5_Ocupacion!141")</f>
        <v/>
      </c>
      <c r="AJ936" s="17" t="str">
        <f>IF(M5_Ocupacion!A141="","",IF(M5_Ocupacion!M141="","Pendiente de medición completa",IF(COUNTIFS(M5_Ocupacion!$A$10:A141,M5_Ocupacion!A141,M5_Ocupacion!$D$10:D141,M5_Ocupacion!D141)=1,"Promedio de la actividad y fecha","Observación incluida en promedio")))</f>
        <v/>
      </c>
    </row>
    <row r="937" spans="1:36" ht="55.5" customHeight="1">
      <c r="A937" s="6" t="str">
        <f t="array" ref="A937">IF(933&gt;$S$1204,"",INDEX($T$5:$AJ$1204,MATCH(933,$S$5:$S$1204,0),1))</f>
        <v/>
      </c>
      <c r="B937" s="8" t="str">
        <f t="array" ref="B937">IF(933&gt;$S$1204,"",INDEX($T$5:$AJ$1204,MATCH(933,$S$5:$S$1204,0),2))</f>
        <v/>
      </c>
      <c r="C937" s="10" t="str">
        <f t="array" ref="C937">IF(933&gt;$S$1204,"",INDEX($T$5:$AJ$1204,MATCH(933,$S$5:$S$1204,0),3))</f>
        <v/>
      </c>
      <c r="D937" s="8" t="str">
        <f t="array" ref="D937">IF(933&gt;$S$1204,"",INDEX($T$5:$AJ$1204,MATCH(933,$S$5:$S$1204,0),4))</f>
        <v/>
      </c>
      <c r="E937" s="8" t="str">
        <f t="array" ref="E937">IF(933&gt;$S$1204,"",INDEX($T$5:$AJ$1204,MATCH(933,$S$5:$S$1204,0),5))</f>
        <v/>
      </c>
      <c r="F937" s="8" t="str">
        <f t="array" ref="F937">IF(933&gt;$S$1204,"",INDEX($T$5:$AJ$1204,MATCH(933,$S$5:$S$1204,0),6))</f>
        <v/>
      </c>
      <c r="G937" s="8" t="str">
        <f t="array" ref="G937">IF(933&gt;$S$1204,"",INDEX($T$5:$AJ$1204,MATCH(933,$S$5:$S$1204,0),7))</f>
        <v/>
      </c>
      <c r="H937" s="8" t="str">
        <f t="array" ref="H937">IF(933&gt;$S$1204,"",INDEX($T$5:$AJ$1204,MATCH(933,$S$5:$S$1204,0),8))</f>
        <v/>
      </c>
      <c r="I937" s="8" t="str">
        <f t="array" ref="I937">IF(933&gt;$S$1204,"",INDEX($T$5:$AJ$1204,MATCH(933,$S$5:$S$1204,0),9))</f>
        <v/>
      </c>
      <c r="J937" s="14" t="str">
        <f t="array" ref="J937">IF(933&gt;$S$1204,"",INDEX($T$5:$AJ$1204,MATCH(933,$S$5:$S$1204,0),10))</f>
        <v/>
      </c>
      <c r="K937" s="8" t="str">
        <f t="array" ref="K937">IF(933&gt;$S$1204,"",INDEX($T$5:$AJ$1204,MATCH(933,$S$5:$S$1204,0),11))</f>
        <v/>
      </c>
      <c r="L937" s="8" t="str">
        <f t="array" ref="L937">IF(933&gt;$S$1204,"",INDEX($T$5:$AJ$1204,MATCH(933,$S$5:$S$1204,0),12))</f>
        <v/>
      </c>
      <c r="M937" s="8" t="str">
        <f t="array" ref="M937">IF(933&gt;$S$1204,"",INDEX($T$5:$AJ$1204,MATCH(933,$S$5:$S$1204,0),13))</f>
        <v/>
      </c>
      <c r="N937" s="8" t="str">
        <f t="array" ref="N937">IF(933&gt;$S$1204,"",INDEX($T$5:$AJ$1204,MATCH(933,$S$5:$S$1204,0),14))</f>
        <v/>
      </c>
      <c r="O937" s="15" t="str">
        <f t="array" ref="O937">IF(933&gt;$S$1204,"",INDEX($T$5:$AJ$1204,MATCH(933,$S$5:$S$1204,0),15))</f>
        <v/>
      </c>
      <c r="P937" s="8" t="str">
        <f t="array" ref="P937">IF(933&gt;$S$1204,"",INDEX($T$5:$AJ$1204,MATCH(933,$S$5:$S$1204,0),16))</f>
        <v/>
      </c>
      <c r="Q937" s="8" t="str">
        <f t="array" ref="Q937">IF(933&gt;$S$1204,"",INDEX($T$5:$AJ$1204,MATCH(933,$S$5:$S$1204,0),17))</f>
        <v/>
      </c>
      <c r="R937" s="17"/>
      <c r="S937" s="17">
        <f>S936+IF(M5_Ocupacion!A142="",0,1)</f>
        <v>0</v>
      </c>
      <c r="T937" s="17" t="str">
        <f>IF(M5_Ocupacion!A142="","",IF(M5_Ocupacion!A142="","",M5_Ocupacion!A142))</f>
        <v/>
      </c>
      <c r="U937" s="17" t="str">
        <f>IF(M5_Ocupacion!A142="","",IF(M5_Ocupacion!R142="","",M5_Ocupacion!R142))</f>
        <v/>
      </c>
      <c r="V937" s="17" t="str">
        <f>IF(M5_Ocupacion!A142="","",IF(M5_Ocupacion!D142="","",M5_Ocupacion!D142))</f>
        <v/>
      </c>
      <c r="W937" s="17" t="str">
        <f>IF(M5_Ocupacion!A142="","",IF(M5_Ocupacion!B142="","",M5_Ocupacion!B142))</f>
        <v/>
      </c>
      <c r="X937" s="17" t="str">
        <f>IF(M5_Ocupacion!A142="","",IF(M5_Ocupacion!C142="","",M5_Ocupacion!C142))</f>
        <v/>
      </c>
      <c r="Y937" s="17" t="str">
        <f>IF(M5_Ocupacion!A142="","",IF(M5_Ocupacion!E142="","",M5_Ocupacion!E142))</f>
        <v/>
      </c>
      <c r="Z937" s="17" t="str">
        <f>IF(M5_Ocupacion!A142="","",IF(M5_Ocupacion!F142="","",M5_Ocupacion!F142))</f>
        <v/>
      </c>
      <c r="AA937" s="17" t="str">
        <f>IF(M5_Ocupacion!A142="","","M5 Ocupación")</f>
        <v/>
      </c>
      <c r="AB937" s="17" t="str">
        <f>IF(M5_Ocupacion!A142="","",IF(M5_Ocupacion!G142="","",M5_Ocupacion!G142))</f>
        <v/>
      </c>
      <c r="AC937" s="17" t="str">
        <f>IF(M5_Ocupacion!A142="","",IF(COUNTIFS(M5_Ocupacion!$A$10:A142,M5_Ocupacion!A142,M5_Ocupacion!$D$10:D142,M5_Ocupacion!D142)=1,IF(M5_Ocupacion!M142="","",M5_Ocupacion!M142),""))</f>
        <v/>
      </c>
      <c r="AD937" s="17" t="str">
        <f>IF(M5_Ocupacion!A142="","","MO")</f>
        <v/>
      </c>
      <c r="AE937" s="17" t="str">
        <f>IF(M5_Ocupacion!A142="","",IF(M5_Ocupacion!O142="","",M5_Ocupacion!O142))</f>
        <v/>
      </c>
      <c r="AF937" s="17" t="str">
        <f>IF(M5_Ocupacion!A142="","",IF(M5_Ocupacion!P142="","",M5_Ocupacion!P142))</f>
        <v/>
      </c>
      <c r="AG937" s="17" t="str">
        <f>IF(M5_Ocupacion!A142="","",IF(M5_Ocupacion!Q142="","",M5_Ocupacion!Q142))</f>
        <v/>
      </c>
      <c r="AH937" s="17" t="str">
        <f>IF(M5_Ocupacion!A142="","",IF(M5_Ocupacion!J142="","",M5_Ocupacion!J142))</f>
        <v/>
      </c>
      <c r="AI937" s="17" t="str">
        <f>IF(M5_Ocupacion!A142="","","M5_Ocupacion!142")</f>
        <v/>
      </c>
      <c r="AJ937" s="17" t="str">
        <f>IF(M5_Ocupacion!A142="","",IF(M5_Ocupacion!M142="","Pendiente de medición completa",IF(COUNTIFS(M5_Ocupacion!$A$10:A142,M5_Ocupacion!A142,M5_Ocupacion!$D$10:D142,M5_Ocupacion!D142)=1,"Promedio de la actividad y fecha","Observación incluida en promedio")))</f>
        <v/>
      </c>
    </row>
    <row r="938" spans="1:36" ht="55.5" customHeight="1">
      <c r="A938" s="6" t="str">
        <f t="array" ref="A938">IF(934&gt;$S$1204,"",INDEX($T$5:$AJ$1204,MATCH(934,$S$5:$S$1204,0),1))</f>
        <v/>
      </c>
      <c r="B938" s="8" t="str">
        <f t="array" ref="B938">IF(934&gt;$S$1204,"",INDEX($T$5:$AJ$1204,MATCH(934,$S$5:$S$1204,0),2))</f>
        <v/>
      </c>
      <c r="C938" s="10" t="str">
        <f t="array" ref="C938">IF(934&gt;$S$1204,"",INDEX($T$5:$AJ$1204,MATCH(934,$S$5:$S$1204,0),3))</f>
        <v/>
      </c>
      <c r="D938" s="8" t="str">
        <f t="array" ref="D938">IF(934&gt;$S$1204,"",INDEX($T$5:$AJ$1204,MATCH(934,$S$5:$S$1204,0),4))</f>
        <v/>
      </c>
      <c r="E938" s="8" t="str">
        <f t="array" ref="E938">IF(934&gt;$S$1204,"",INDEX($T$5:$AJ$1204,MATCH(934,$S$5:$S$1204,0),5))</f>
        <v/>
      </c>
      <c r="F938" s="8" t="str">
        <f t="array" ref="F938">IF(934&gt;$S$1204,"",INDEX($T$5:$AJ$1204,MATCH(934,$S$5:$S$1204,0),6))</f>
        <v/>
      </c>
      <c r="G938" s="8" t="str">
        <f t="array" ref="G938">IF(934&gt;$S$1204,"",INDEX($T$5:$AJ$1204,MATCH(934,$S$5:$S$1204,0),7))</f>
        <v/>
      </c>
      <c r="H938" s="8" t="str">
        <f t="array" ref="H938">IF(934&gt;$S$1204,"",INDEX($T$5:$AJ$1204,MATCH(934,$S$5:$S$1204,0),8))</f>
        <v/>
      </c>
      <c r="I938" s="8" t="str">
        <f t="array" ref="I938">IF(934&gt;$S$1204,"",INDEX($T$5:$AJ$1204,MATCH(934,$S$5:$S$1204,0),9))</f>
        <v/>
      </c>
      <c r="J938" s="14" t="str">
        <f t="array" ref="J938">IF(934&gt;$S$1204,"",INDEX($T$5:$AJ$1204,MATCH(934,$S$5:$S$1204,0),10))</f>
        <v/>
      </c>
      <c r="K938" s="8" t="str">
        <f t="array" ref="K938">IF(934&gt;$S$1204,"",INDEX($T$5:$AJ$1204,MATCH(934,$S$5:$S$1204,0),11))</f>
        <v/>
      </c>
      <c r="L938" s="8" t="str">
        <f t="array" ref="L938">IF(934&gt;$S$1204,"",INDEX($T$5:$AJ$1204,MATCH(934,$S$5:$S$1204,0),12))</f>
        <v/>
      </c>
      <c r="M938" s="8" t="str">
        <f t="array" ref="M938">IF(934&gt;$S$1204,"",INDEX($T$5:$AJ$1204,MATCH(934,$S$5:$S$1204,0),13))</f>
        <v/>
      </c>
      <c r="N938" s="8" t="str">
        <f t="array" ref="N938">IF(934&gt;$S$1204,"",INDEX($T$5:$AJ$1204,MATCH(934,$S$5:$S$1204,0),14))</f>
        <v/>
      </c>
      <c r="O938" s="15" t="str">
        <f t="array" ref="O938">IF(934&gt;$S$1204,"",INDEX($T$5:$AJ$1204,MATCH(934,$S$5:$S$1204,0),15))</f>
        <v/>
      </c>
      <c r="P938" s="8" t="str">
        <f t="array" ref="P938">IF(934&gt;$S$1204,"",INDEX($T$5:$AJ$1204,MATCH(934,$S$5:$S$1204,0),16))</f>
        <v/>
      </c>
      <c r="Q938" s="8" t="str">
        <f t="array" ref="Q938">IF(934&gt;$S$1204,"",INDEX($T$5:$AJ$1204,MATCH(934,$S$5:$S$1204,0),17))</f>
        <v/>
      </c>
      <c r="R938" s="17"/>
      <c r="S938" s="17">
        <f>S937+IF(M5_Ocupacion!A143="",0,1)</f>
        <v>0</v>
      </c>
      <c r="T938" s="17" t="str">
        <f>IF(M5_Ocupacion!A143="","",IF(M5_Ocupacion!A143="","",M5_Ocupacion!A143))</f>
        <v/>
      </c>
      <c r="U938" s="17" t="str">
        <f>IF(M5_Ocupacion!A143="","",IF(M5_Ocupacion!R143="","",M5_Ocupacion!R143))</f>
        <v/>
      </c>
      <c r="V938" s="17" t="str">
        <f>IF(M5_Ocupacion!A143="","",IF(M5_Ocupacion!D143="","",M5_Ocupacion!D143))</f>
        <v/>
      </c>
      <c r="W938" s="17" t="str">
        <f>IF(M5_Ocupacion!A143="","",IF(M5_Ocupacion!B143="","",M5_Ocupacion!B143))</f>
        <v/>
      </c>
      <c r="X938" s="17" t="str">
        <f>IF(M5_Ocupacion!A143="","",IF(M5_Ocupacion!C143="","",M5_Ocupacion!C143))</f>
        <v/>
      </c>
      <c r="Y938" s="17" t="str">
        <f>IF(M5_Ocupacion!A143="","",IF(M5_Ocupacion!E143="","",M5_Ocupacion!E143))</f>
        <v/>
      </c>
      <c r="Z938" s="17" t="str">
        <f>IF(M5_Ocupacion!A143="","",IF(M5_Ocupacion!F143="","",M5_Ocupacion!F143))</f>
        <v/>
      </c>
      <c r="AA938" s="17" t="str">
        <f>IF(M5_Ocupacion!A143="","","M5 Ocupación")</f>
        <v/>
      </c>
      <c r="AB938" s="17" t="str">
        <f>IF(M5_Ocupacion!A143="","",IF(M5_Ocupacion!G143="","",M5_Ocupacion!G143))</f>
        <v/>
      </c>
      <c r="AC938" s="17" t="str">
        <f>IF(M5_Ocupacion!A143="","",IF(COUNTIFS(M5_Ocupacion!$A$10:A143,M5_Ocupacion!A143,M5_Ocupacion!$D$10:D143,M5_Ocupacion!D143)=1,IF(M5_Ocupacion!M143="","",M5_Ocupacion!M143),""))</f>
        <v/>
      </c>
      <c r="AD938" s="17" t="str">
        <f>IF(M5_Ocupacion!A143="","","MO")</f>
        <v/>
      </c>
      <c r="AE938" s="17" t="str">
        <f>IF(M5_Ocupacion!A143="","",IF(M5_Ocupacion!O143="","",M5_Ocupacion!O143))</f>
        <v/>
      </c>
      <c r="AF938" s="17" t="str">
        <f>IF(M5_Ocupacion!A143="","",IF(M5_Ocupacion!P143="","",M5_Ocupacion!P143))</f>
        <v/>
      </c>
      <c r="AG938" s="17" t="str">
        <f>IF(M5_Ocupacion!A143="","",IF(M5_Ocupacion!Q143="","",M5_Ocupacion!Q143))</f>
        <v/>
      </c>
      <c r="AH938" s="17" t="str">
        <f>IF(M5_Ocupacion!A143="","",IF(M5_Ocupacion!J143="","",M5_Ocupacion!J143))</f>
        <v/>
      </c>
      <c r="AI938" s="17" t="str">
        <f>IF(M5_Ocupacion!A143="","","M5_Ocupacion!143")</f>
        <v/>
      </c>
      <c r="AJ938" s="17" t="str">
        <f>IF(M5_Ocupacion!A143="","",IF(M5_Ocupacion!M143="","Pendiente de medición completa",IF(COUNTIFS(M5_Ocupacion!$A$10:A143,M5_Ocupacion!A143,M5_Ocupacion!$D$10:D143,M5_Ocupacion!D143)=1,"Promedio de la actividad y fecha","Observación incluida en promedio")))</f>
        <v/>
      </c>
    </row>
    <row r="939" spans="1:36" ht="55.5" customHeight="1">
      <c r="A939" s="6" t="str">
        <f t="array" ref="A939">IF(935&gt;$S$1204,"",INDEX($T$5:$AJ$1204,MATCH(935,$S$5:$S$1204,0),1))</f>
        <v/>
      </c>
      <c r="B939" s="8" t="str">
        <f t="array" ref="B939">IF(935&gt;$S$1204,"",INDEX($T$5:$AJ$1204,MATCH(935,$S$5:$S$1204,0),2))</f>
        <v/>
      </c>
      <c r="C939" s="10" t="str">
        <f t="array" ref="C939">IF(935&gt;$S$1204,"",INDEX($T$5:$AJ$1204,MATCH(935,$S$5:$S$1204,0),3))</f>
        <v/>
      </c>
      <c r="D939" s="8" t="str">
        <f t="array" ref="D939">IF(935&gt;$S$1204,"",INDEX($T$5:$AJ$1204,MATCH(935,$S$5:$S$1204,0),4))</f>
        <v/>
      </c>
      <c r="E939" s="8" t="str">
        <f t="array" ref="E939">IF(935&gt;$S$1204,"",INDEX($T$5:$AJ$1204,MATCH(935,$S$5:$S$1204,0),5))</f>
        <v/>
      </c>
      <c r="F939" s="8" t="str">
        <f t="array" ref="F939">IF(935&gt;$S$1204,"",INDEX($T$5:$AJ$1204,MATCH(935,$S$5:$S$1204,0),6))</f>
        <v/>
      </c>
      <c r="G939" s="8" t="str">
        <f t="array" ref="G939">IF(935&gt;$S$1204,"",INDEX($T$5:$AJ$1204,MATCH(935,$S$5:$S$1204,0),7))</f>
        <v/>
      </c>
      <c r="H939" s="8" t="str">
        <f t="array" ref="H939">IF(935&gt;$S$1204,"",INDEX($T$5:$AJ$1204,MATCH(935,$S$5:$S$1204,0),8))</f>
        <v/>
      </c>
      <c r="I939" s="8" t="str">
        <f t="array" ref="I939">IF(935&gt;$S$1204,"",INDEX($T$5:$AJ$1204,MATCH(935,$S$5:$S$1204,0),9))</f>
        <v/>
      </c>
      <c r="J939" s="14" t="str">
        <f t="array" ref="J939">IF(935&gt;$S$1204,"",INDEX($T$5:$AJ$1204,MATCH(935,$S$5:$S$1204,0),10))</f>
        <v/>
      </c>
      <c r="K939" s="8" t="str">
        <f t="array" ref="K939">IF(935&gt;$S$1204,"",INDEX($T$5:$AJ$1204,MATCH(935,$S$5:$S$1204,0),11))</f>
        <v/>
      </c>
      <c r="L939" s="8" t="str">
        <f t="array" ref="L939">IF(935&gt;$S$1204,"",INDEX($T$5:$AJ$1204,MATCH(935,$S$5:$S$1204,0),12))</f>
        <v/>
      </c>
      <c r="M939" s="8" t="str">
        <f t="array" ref="M939">IF(935&gt;$S$1204,"",INDEX($T$5:$AJ$1204,MATCH(935,$S$5:$S$1204,0),13))</f>
        <v/>
      </c>
      <c r="N939" s="8" t="str">
        <f t="array" ref="N939">IF(935&gt;$S$1204,"",INDEX($T$5:$AJ$1204,MATCH(935,$S$5:$S$1204,0),14))</f>
        <v/>
      </c>
      <c r="O939" s="15" t="str">
        <f t="array" ref="O939">IF(935&gt;$S$1204,"",INDEX($T$5:$AJ$1204,MATCH(935,$S$5:$S$1204,0),15))</f>
        <v/>
      </c>
      <c r="P939" s="8" t="str">
        <f t="array" ref="P939">IF(935&gt;$S$1204,"",INDEX($T$5:$AJ$1204,MATCH(935,$S$5:$S$1204,0),16))</f>
        <v/>
      </c>
      <c r="Q939" s="8" t="str">
        <f t="array" ref="Q939">IF(935&gt;$S$1204,"",INDEX($T$5:$AJ$1204,MATCH(935,$S$5:$S$1204,0),17))</f>
        <v/>
      </c>
      <c r="R939" s="17"/>
      <c r="S939" s="17">
        <f>S938+IF(M5_Ocupacion!A144="",0,1)</f>
        <v>0</v>
      </c>
      <c r="T939" s="17" t="str">
        <f>IF(M5_Ocupacion!A144="","",IF(M5_Ocupacion!A144="","",M5_Ocupacion!A144))</f>
        <v/>
      </c>
      <c r="U939" s="17" t="str">
        <f>IF(M5_Ocupacion!A144="","",IF(M5_Ocupacion!R144="","",M5_Ocupacion!R144))</f>
        <v/>
      </c>
      <c r="V939" s="17" t="str">
        <f>IF(M5_Ocupacion!A144="","",IF(M5_Ocupacion!D144="","",M5_Ocupacion!D144))</f>
        <v/>
      </c>
      <c r="W939" s="17" t="str">
        <f>IF(M5_Ocupacion!A144="","",IF(M5_Ocupacion!B144="","",M5_Ocupacion!B144))</f>
        <v/>
      </c>
      <c r="X939" s="17" t="str">
        <f>IF(M5_Ocupacion!A144="","",IF(M5_Ocupacion!C144="","",M5_Ocupacion!C144))</f>
        <v/>
      </c>
      <c r="Y939" s="17" t="str">
        <f>IF(M5_Ocupacion!A144="","",IF(M5_Ocupacion!E144="","",M5_Ocupacion!E144))</f>
        <v/>
      </c>
      <c r="Z939" s="17" t="str">
        <f>IF(M5_Ocupacion!A144="","",IF(M5_Ocupacion!F144="","",M5_Ocupacion!F144))</f>
        <v/>
      </c>
      <c r="AA939" s="17" t="str">
        <f>IF(M5_Ocupacion!A144="","","M5 Ocupación")</f>
        <v/>
      </c>
      <c r="AB939" s="17" t="str">
        <f>IF(M5_Ocupacion!A144="","",IF(M5_Ocupacion!G144="","",M5_Ocupacion!G144))</f>
        <v/>
      </c>
      <c r="AC939" s="17" t="str">
        <f>IF(M5_Ocupacion!A144="","",IF(COUNTIFS(M5_Ocupacion!$A$10:A144,M5_Ocupacion!A144,M5_Ocupacion!$D$10:D144,M5_Ocupacion!D144)=1,IF(M5_Ocupacion!M144="","",M5_Ocupacion!M144),""))</f>
        <v/>
      </c>
      <c r="AD939" s="17" t="str">
        <f>IF(M5_Ocupacion!A144="","","MO")</f>
        <v/>
      </c>
      <c r="AE939" s="17" t="str">
        <f>IF(M5_Ocupacion!A144="","",IF(M5_Ocupacion!O144="","",M5_Ocupacion!O144))</f>
        <v/>
      </c>
      <c r="AF939" s="17" t="str">
        <f>IF(M5_Ocupacion!A144="","",IF(M5_Ocupacion!P144="","",M5_Ocupacion!P144))</f>
        <v/>
      </c>
      <c r="AG939" s="17" t="str">
        <f>IF(M5_Ocupacion!A144="","",IF(M5_Ocupacion!Q144="","",M5_Ocupacion!Q144))</f>
        <v/>
      </c>
      <c r="AH939" s="17" t="str">
        <f>IF(M5_Ocupacion!A144="","",IF(M5_Ocupacion!J144="","",M5_Ocupacion!J144))</f>
        <v/>
      </c>
      <c r="AI939" s="17" t="str">
        <f>IF(M5_Ocupacion!A144="","","M5_Ocupacion!144")</f>
        <v/>
      </c>
      <c r="AJ939" s="17" t="str">
        <f>IF(M5_Ocupacion!A144="","",IF(M5_Ocupacion!M144="","Pendiente de medición completa",IF(COUNTIFS(M5_Ocupacion!$A$10:A144,M5_Ocupacion!A144,M5_Ocupacion!$D$10:D144,M5_Ocupacion!D144)=1,"Promedio de la actividad y fecha","Observación incluida en promedio")))</f>
        <v/>
      </c>
    </row>
    <row r="940" spans="1:36" ht="55.5" customHeight="1">
      <c r="A940" s="6" t="str">
        <f t="array" ref="A940">IF(936&gt;$S$1204,"",INDEX($T$5:$AJ$1204,MATCH(936,$S$5:$S$1204,0),1))</f>
        <v/>
      </c>
      <c r="B940" s="8" t="str">
        <f t="array" ref="B940">IF(936&gt;$S$1204,"",INDEX($T$5:$AJ$1204,MATCH(936,$S$5:$S$1204,0),2))</f>
        <v/>
      </c>
      <c r="C940" s="10" t="str">
        <f t="array" ref="C940">IF(936&gt;$S$1204,"",INDEX($T$5:$AJ$1204,MATCH(936,$S$5:$S$1204,0),3))</f>
        <v/>
      </c>
      <c r="D940" s="8" t="str">
        <f t="array" ref="D940">IF(936&gt;$S$1204,"",INDEX($T$5:$AJ$1204,MATCH(936,$S$5:$S$1204,0),4))</f>
        <v/>
      </c>
      <c r="E940" s="8" t="str">
        <f t="array" ref="E940">IF(936&gt;$S$1204,"",INDEX($T$5:$AJ$1204,MATCH(936,$S$5:$S$1204,0),5))</f>
        <v/>
      </c>
      <c r="F940" s="8" t="str">
        <f t="array" ref="F940">IF(936&gt;$S$1204,"",INDEX($T$5:$AJ$1204,MATCH(936,$S$5:$S$1204,0),6))</f>
        <v/>
      </c>
      <c r="G940" s="8" t="str">
        <f t="array" ref="G940">IF(936&gt;$S$1204,"",INDEX($T$5:$AJ$1204,MATCH(936,$S$5:$S$1204,0),7))</f>
        <v/>
      </c>
      <c r="H940" s="8" t="str">
        <f t="array" ref="H940">IF(936&gt;$S$1204,"",INDEX($T$5:$AJ$1204,MATCH(936,$S$5:$S$1204,0),8))</f>
        <v/>
      </c>
      <c r="I940" s="8" t="str">
        <f t="array" ref="I940">IF(936&gt;$S$1204,"",INDEX($T$5:$AJ$1204,MATCH(936,$S$5:$S$1204,0),9))</f>
        <v/>
      </c>
      <c r="J940" s="14" t="str">
        <f t="array" ref="J940">IF(936&gt;$S$1204,"",INDEX($T$5:$AJ$1204,MATCH(936,$S$5:$S$1204,0),10))</f>
        <v/>
      </c>
      <c r="K940" s="8" t="str">
        <f t="array" ref="K940">IF(936&gt;$S$1204,"",INDEX($T$5:$AJ$1204,MATCH(936,$S$5:$S$1204,0),11))</f>
        <v/>
      </c>
      <c r="L940" s="8" t="str">
        <f t="array" ref="L940">IF(936&gt;$S$1204,"",INDEX($T$5:$AJ$1204,MATCH(936,$S$5:$S$1204,0),12))</f>
        <v/>
      </c>
      <c r="M940" s="8" t="str">
        <f t="array" ref="M940">IF(936&gt;$S$1204,"",INDEX($T$5:$AJ$1204,MATCH(936,$S$5:$S$1204,0),13))</f>
        <v/>
      </c>
      <c r="N940" s="8" t="str">
        <f t="array" ref="N940">IF(936&gt;$S$1204,"",INDEX($T$5:$AJ$1204,MATCH(936,$S$5:$S$1204,0),14))</f>
        <v/>
      </c>
      <c r="O940" s="15" t="str">
        <f t="array" ref="O940">IF(936&gt;$S$1204,"",INDEX($T$5:$AJ$1204,MATCH(936,$S$5:$S$1204,0),15))</f>
        <v/>
      </c>
      <c r="P940" s="8" t="str">
        <f t="array" ref="P940">IF(936&gt;$S$1204,"",INDEX($T$5:$AJ$1204,MATCH(936,$S$5:$S$1204,0),16))</f>
        <v/>
      </c>
      <c r="Q940" s="8" t="str">
        <f t="array" ref="Q940">IF(936&gt;$S$1204,"",INDEX($T$5:$AJ$1204,MATCH(936,$S$5:$S$1204,0),17))</f>
        <v/>
      </c>
      <c r="R940" s="17"/>
      <c r="S940" s="17">
        <f>S939+IF(M5_Ocupacion!A145="",0,1)</f>
        <v>0</v>
      </c>
      <c r="T940" s="17" t="str">
        <f>IF(M5_Ocupacion!A145="","",IF(M5_Ocupacion!A145="","",M5_Ocupacion!A145))</f>
        <v/>
      </c>
      <c r="U940" s="17" t="str">
        <f>IF(M5_Ocupacion!A145="","",IF(M5_Ocupacion!R145="","",M5_Ocupacion!R145))</f>
        <v/>
      </c>
      <c r="V940" s="17" t="str">
        <f>IF(M5_Ocupacion!A145="","",IF(M5_Ocupacion!D145="","",M5_Ocupacion!D145))</f>
        <v/>
      </c>
      <c r="W940" s="17" t="str">
        <f>IF(M5_Ocupacion!A145="","",IF(M5_Ocupacion!B145="","",M5_Ocupacion!B145))</f>
        <v/>
      </c>
      <c r="X940" s="17" t="str">
        <f>IF(M5_Ocupacion!A145="","",IF(M5_Ocupacion!C145="","",M5_Ocupacion!C145))</f>
        <v/>
      </c>
      <c r="Y940" s="17" t="str">
        <f>IF(M5_Ocupacion!A145="","",IF(M5_Ocupacion!E145="","",M5_Ocupacion!E145))</f>
        <v/>
      </c>
      <c r="Z940" s="17" t="str">
        <f>IF(M5_Ocupacion!A145="","",IF(M5_Ocupacion!F145="","",M5_Ocupacion!F145))</f>
        <v/>
      </c>
      <c r="AA940" s="17" t="str">
        <f>IF(M5_Ocupacion!A145="","","M5 Ocupación")</f>
        <v/>
      </c>
      <c r="AB940" s="17" t="str">
        <f>IF(M5_Ocupacion!A145="","",IF(M5_Ocupacion!G145="","",M5_Ocupacion!G145))</f>
        <v/>
      </c>
      <c r="AC940" s="17" t="str">
        <f>IF(M5_Ocupacion!A145="","",IF(COUNTIFS(M5_Ocupacion!$A$10:A145,M5_Ocupacion!A145,M5_Ocupacion!$D$10:D145,M5_Ocupacion!D145)=1,IF(M5_Ocupacion!M145="","",M5_Ocupacion!M145),""))</f>
        <v/>
      </c>
      <c r="AD940" s="17" t="str">
        <f>IF(M5_Ocupacion!A145="","","MO")</f>
        <v/>
      </c>
      <c r="AE940" s="17" t="str">
        <f>IF(M5_Ocupacion!A145="","",IF(M5_Ocupacion!O145="","",M5_Ocupacion!O145))</f>
        <v/>
      </c>
      <c r="AF940" s="17" t="str">
        <f>IF(M5_Ocupacion!A145="","",IF(M5_Ocupacion!P145="","",M5_Ocupacion!P145))</f>
        <v/>
      </c>
      <c r="AG940" s="17" t="str">
        <f>IF(M5_Ocupacion!A145="","",IF(M5_Ocupacion!Q145="","",M5_Ocupacion!Q145))</f>
        <v/>
      </c>
      <c r="AH940" s="17" t="str">
        <f>IF(M5_Ocupacion!A145="","",IF(M5_Ocupacion!J145="","",M5_Ocupacion!J145))</f>
        <v/>
      </c>
      <c r="AI940" s="17" t="str">
        <f>IF(M5_Ocupacion!A145="","","M5_Ocupacion!145")</f>
        <v/>
      </c>
      <c r="AJ940" s="17" t="str">
        <f>IF(M5_Ocupacion!A145="","",IF(M5_Ocupacion!M145="","Pendiente de medición completa",IF(COUNTIFS(M5_Ocupacion!$A$10:A145,M5_Ocupacion!A145,M5_Ocupacion!$D$10:D145,M5_Ocupacion!D145)=1,"Promedio de la actividad y fecha","Observación incluida en promedio")))</f>
        <v/>
      </c>
    </row>
    <row r="941" spans="1:36" ht="55.5" customHeight="1">
      <c r="A941" s="6" t="str">
        <f t="array" ref="A941">IF(937&gt;$S$1204,"",INDEX($T$5:$AJ$1204,MATCH(937,$S$5:$S$1204,0),1))</f>
        <v/>
      </c>
      <c r="B941" s="8" t="str">
        <f t="array" ref="B941">IF(937&gt;$S$1204,"",INDEX($T$5:$AJ$1204,MATCH(937,$S$5:$S$1204,0),2))</f>
        <v/>
      </c>
      <c r="C941" s="10" t="str">
        <f t="array" ref="C941">IF(937&gt;$S$1204,"",INDEX($T$5:$AJ$1204,MATCH(937,$S$5:$S$1204,0),3))</f>
        <v/>
      </c>
      <c r="D941" s="8" t="str">
        <f t="array" ref="D941">IF(937&gt;$S$1204,"",INDEX($T$5:$AJ$1204,MATCH(937,$S$5:$S$1204,0),4))</f>
        <v/>
      </c>
      <c r="E941" s="8" t="str">
        <f t="array" ref="E941">IF(937&gt;$S$1204,"",INDEX($T$5:$AJ$1204,MATCH(937,$S$5:$S$1204,0),5))</f>
        <v/>
      </c>
      <c r="F941" s="8" t="str">
        <f t="array" ref="F941">IF(937&gt;$S$1204,"",INDEX($T$5:$AJ$1204,MATCH(937,$S$5:$S$1204,0),6))</f>
        <v/>
      </c>
      <c r="G941" s="8" t="str">
        <f t="array" ref="G941">IF(937&gt;$S$1204,"",INDEX($T$5:$AJ$1204,MATCH(937,$S$5:$S$1204,0),7))</f>
        <v/>
      </c>
      <c r="H941" s="8" t="str">
        <f t="array" ref="H941">IF(937&gt;$S$1204,"",INDEX($T$5:$AJ$1204,MATCH(937,$S$5:$S$1204,0),8))</f>
        <v/>
      </c>
      <c r="I941" s="8" t="str">
        <f t="array" ref="I941">IF(937&gt;$S$1204,"",INDEX($T$5:$AJ$1204,MATCH(937,$S$5:$S$1204,0),9))</f>
        <v/>
      </c>
      <c r="J941" s="14" t="str">
        <f t="array" ref="J941">IF(937&gt;$S$1204,"",INDEX($T$5:$AJ$1204,MATCH(937,$S$5:$S$1204,0),10))</f>
        <v/>
      </c>
      <c r="K941" s="8" t="str">
        <f t="array" ref="K941">IF(937&gt;$S$1204,"",INDEX($T$5:$AJ$1204,MATCH(937,$S$5:$S$1204,0),11))</f>
        <v/>
      </c>
      <c r="L941" s="8" t="str">
        <f t="array" ref="L941">IF(937&gt;$S$1204,"",INDEX($T$5:$AJ$1204,MATCH(937,$S$5:$S$1204,0),12))</f>
        <v/>
      </c>
      <c r="M941" s="8" t="str">
        <f t="array" ref="M941">IF(937&gt;$S$1204,"",INDEX($T$5:$AJ$1204,MATCH(937,$S$5:$S$1204,0),13))</f>
        <v/>
      </c>
      <c r="N941" s="8" t="str">
        <f t="array" ref="N941">IF(937&gt;$S$1204,"",INDEX($T$5:$AJ$1204,MATCH(937,$S$5:$S$1204,0),14))</f>
        <v/>
      </c>
      <c r="O941" s="15" t="str">
        <f t="array" ref="O941">IF(937&gt;$S$1204,"",INDEX($T$5:$AJ$1204,MATCH(937,$S$5:$S$1204,0),15))</f>
        <v/>
      </c>
      <c r="P941" s="8" t="str">
        <f t="array" ref="P941">IF(937&gt;$S$1204,"",INDEX($T$5:$AJ$1204,MATCH(937,$S$5:$S$1204,0),16))</f>
        <v/>
      </c>
      <c r="Q941" s="8" t="str">
        <f t="array" ref="Q941">IF(937&gt;$S$1204,"",INDEX($T$5:$AJ$1204,MATCH(937,$S$5:$S$1204,0),17))</f>
        <v/>
      </c>
      <c r="R941" s="17"/>
      <c r="S941" s="17">
        <f>S940+IF(M5_Ocupacion!A146="",0,1)</f>
        <v>0</v>
      </c>
      <c r="T941" s="17" t="str">
        <f>IF(M5_Ocupacion!A146="","",IF(M5_Ocupacion!A146="","",M5_Ocupacion!A146))</f>
        <v/>
      </c>
      <c r="U941" s="17" t="str">
        <f>IF(M5_Ocupacion!A146="","",IF(M5_Ocupacion!R146="","",M5_Ocupacion!R146))</f>
        <v/>
      </c>
      <c r="V941" s="17" t="str">
        <f>IF(M5_Ocupacion!A146="","",IF(M5_Ocupacion!D146="","",M5_Ocupacion!D146))</f>
        <v/>
      </c>
      <c r="W941" s="17" t="str">
        <f>IF(M5_Ocupacion!A146="","",IF(M5_Ocupacion!B146="","",M5_Ocupacion!B146))</f>
        <v/>
      </c>
      <c r="X941" s="17" t="str">
        <f>IF(M5_Ocupacion!A146="","",IF(M5_Ocupacion!C146="","",M5_Ocupacion!C146))</f>
        <v/>
      </c>
      <c r="Y941" s="17" t="str">
        <f>IF(M5_Ocupacion!A146="","",IF(M5_Ocupacion!E146="","",M5_Ocupacion!E146))</f>
        <v/>
      </c>
      <c r="Z941" s="17" t="str">
        <f>IF(M5_Ocupacion!A146="","",IF(M5_Ocupacion!F146="","",M5_Ocupacion!F146))</f>
        <v/>
      </c>
      <c r="AA941" s="17" t="str">
        <f>IF(M5_Ocupacion!A146="","","M5 Ocupación")</f>
        <v/>
      </c>
      <c r="AB941" s="17" t="str">
        <f>IF(M5_Ocupacion!A146="","",IF(M5_Ocupacion!G146="","",M5_Ocupacion!G146))</f>
        <v/>
      </c>
      <c r="AC941" s="17" t="str">
        <f>IF(M5_Ocupacion!A146="","",IF(COUNTIFS(M5_Ocupacion!$A$10:A146,M5_Ocupacion!A146,M5_Ocupacion!$D$10:D146,M5_Ocupacion!D146)=1,IF(M5_Ocupacion!M146="","",M5_Ocupacion!M146),""))</f>
        <v/>
      </c>
      <c r="AD941" s="17" t="str">
        <f>IF(M5_Ocupacion!A146="","","MO")</f>
        <v/>
      </c>
      <c r="AE941" s="17" t="str">
        <f>IF(M5_Ocupacion!A146="","",IF(M5_Ocupacion!O146="","",M5_Ocupacion!O146))</f>
        <v/>
      </c>
      <c r="AF941" s="17" t="str">
        <f>IF(M5_Ocupacion!A146="","",IF(M5_Ocupacion!P146="","",M5_Ocupacion!P146))</f>
        <v/>
      </c>
      <c r="AG941" s="17" t="str">
        <f>IF(M5_Ocupacion!A146="","",IF(M5_Ocupacion!Q146="","",M5_Ocupacion!Q146))</f>
        <v/>
      </c>
      <c r="AH941" s="17" t="str">
        <f>IF(M5_Ocupacion!A146="","",IF(M5_Ocupacion!J146="","",M5_Ocupacion!J146))</f>
        <v/>
      </c>
      <c r="AI941" s="17" t="str">
        <f>IF(M5_Ocupacion!A146="","","M5_Ocupacion!146")</f>
        <v/>
      </c>
      <c r="AJ941" s="17" t="str">
        <f>IF(M5_Ocupacion!A146="","",IF(M5_Ocupacion!M146="","Pendiente de medición completa",IF(COUNTIFS(M5_Ocupacion!$A$10:A146,M5_Ocupacion!A146,M5_Ocupacion!$D$10:D146,M5_Ocupacion!D146)=1,"Promedio de la actividad y fecha","Observación incluida en promedio")))</f>
        <v/>
      </c>
    </row>
    <row r="942" spans="1:36" ht="55.5" customHeight="1">
      <c r="A942" s="6" t="str">
        <f t="array" ref="A942">IF(938&gt;$S$1204,"",INDEX($T$5:$AJ$1204,MATCH(938,$S$5:$S$1204,0),1))</f>
        <v/>
      </c>
      <c r="B942" s="8" t="str">
        <f t="array" ref="B942">IF(938&gt;$S$1204,"",INDEX($T$5:$AJ$1204,MATCH(938,$S$5:$S$1204,0),2))</f>
        <v/>
      </c>
      <c r="C942" s="10" t="str">
        <f t="array" ref="C942">IF(938&gt;$S$1204,"",INDEX($T$5:$AJ$1204,MATCH(938,$S$5:$S$1204,0),3))</f>
        <v/>
      </c>
      <c r="D942" s="8" t="str">
        <f t="array" ref="D942">IF(938&gt;$S$1204,"",INDEX($T$5:$AJ$1204,MATCH(938,$S$5:$S$1204,0),4))</f>
        <v/>
      </c>
      <c r="E942" s="8" t="str">
        <f t="array" ref="E942">IF(938&gt;$S$1204,"",INDEX($T$5:$AJ$1204,MATCH(938,$S$5:$S$1204,0),5))</f>
        <v/>
      </c>
      <c r="F942" s="8" t="str">
        <f t="array" ref="F942">IF(938&gt;$S$1204,"",INDEX($T$5:$AJ$1204,MATCH(938,$S$5:$S$1204,0),6))</f>
        <v/>
      </c>
      <c r="G942" s="8" t="str">
        <f t="array" ref="G942">IF(938&gt;$S$1204,"",INDEX($T$5:$AJ$1204,MATCH(938,$S$5:$S$1204,0),7))</f>
        <v/>
      </c>
      <c r="H942" s="8" t="str">
        <f t="array" ref="H942">IF(938&gt;$S$1204,"",INDEX($T$5:$AJ$1204,MATCH(938,$S$5:$S$1204,0),8))</f>
        <v/>
      </c>
      <c r="I942" s="8" t="str">
        <f t="array" ref="I942">IF(938&gt;$S$1204,"",INDEX($T$5:$AJ$1204,MATCH(938,$S$5:$S$1204,0),9))</f>
        <v/>
      </c>
      <c r="J942" s="14" t="str">
        <f t="array" ref="J942">IF(938&gt;$S$1204,"",INDEX($T$5:$AJ$1204,MATCH(938,$S$5:$S$1204,0),10))</f>
        <v/>
      </c>
      <c r="K942" s="8" t="str">
        <f t="array" ref="K942">IF(938&gt;$S$1204,"",INDEX($T$5:$AJ$1204,MATCH(938,$S$5:$S$1204,0),11))</f>
        <v/>
      </c>
      <c r="L942" s="8" t="str">
        <f t="array" ref="L942">IF(938&gt;$S$1204,"",INDEX($T$5:$AJ$1204,MATCH(938,$S$5:$S$1204,0),12))</f>
        <v/>
      </c>
      <c r="M942" s="8" t="str">
        <f t="array" ref="M942">IF(938&gt;$S$1204,"",INDEX($T$5:$AJ$1204,MATCH(938,$S$5:$S$1204,0),13))</f>
        <v/>
      </c>
      <c r="N942" s="8" t="str">
        <f t="array" ref="N942">IF(938&gt;$S$1204,"",INDEX($T$5:$AJ$1204,MATCH(938,$S$5:$S$1204,0),14))</f>
        <v/>
      </c>
      <c r="O942" s="15" t="str">
        <f t="array" ref="O942">IF(938&gt;$S$1204,"",INDEX($T$5:$AJ$1204,MATCH(938,$S$5:$S$1204,0),15))</f>
        <v/>
      </c>
      <c r="P942" s="8" t="str">
        <f t="array" ref="P942">IF(938&gt;$S$1204,"",INDEX($T$5:$AJ$1204,MATCH(938,$S$5:$S$1204,0),16))</f>
        <v/>
      </c>
      <c r="Q942" s="8" t="str">
        <f t="array" ref="Q942">IF(938&gt;$S$1204,"",INDEX($T$5:$AJ$1204,MATCH(938,$S$5:$S$1204,0),17))</f>
        <v/>
      </c>
      <c r="R942" s="17"/>
      <c r="S942" s="17">
        <f>S941+IF(M5_Ocupacion!A147="",0,1)</f>
        <v>0</v>
      </c>
      <c r="T942" s="17" t="str">
        <f>IF(M5_Ocupacion!A147="","",IF(M5_Ocupacion!A147="","",M5_Ocupacion!A147))</f>
        <v/>
      </c>
      <c r="U942" s="17" t="str">
        <f>IF(M5_Ocupacion!A147="","",IF(M5_Ocupacion!R147="","",M5_Ocupacion!R147))</f>
        <v/>
      </c>
      <c r="V942" s="17" t="str">
        <f>IF(M5_Ocupacion!A147="","",IF(M5_Ocupacion!D147="","",M5_Ocupacion!D147))</f>
        <v/>
      </c>
      <c r="W942" s="17" t="str">
        <f>IF(M5_Ocupacion!A147="","",IF(M5_Ocupacion!B147="","",M5_Ocupacion!B147))</f>
        <v/>
      </c>
      <c r="X942" s="17" t="str">
        <f>IF(M5_Ocupacion!A147="","",IF(M5_Ocupacion!C147="","",M5_Ocupacion!C147))</f>
        <v/>
      </c>
      <c r="Y942" s="17" t="str">
        <f>IF(M5_Ocupacion!A147="","",IF(M5_Ocupacion!E147="","",M5_Ocupacion!E147))</f>
        <v/>
      </c>
      <c r="Z942" s="17" t="str">
        <f>IF(M5_Ocupacion!A147="","",IF(M5_Ocupacion!F147="","",M5_Ocupacion!F147))</f>
        <v/>
      </c>
      <c r="AA942" s="17" t="str">
        <f>IF(M5_Ocupacion!A147="","","M5 Ocupación")</f>
        <v/>
      </c>
      <c r="AB942" s="17" t="str">
        <f>IF(M5_Ocupacion!A147="","",IF(M5_Ocupacion!G147="","",M5_Ocupacion!G147))</f>
        <v/>
      </c>
      <c r="AC942" s="17" t="str">
        <f>IF(M5_Ocupacion!A147="","",IF(COUNTIFS(M5_Ocupacion!$A$10:A147,M5_Ocupacion!A147,M5_Ocupacion!$D$10:D147,M5_Ocupacion!D147)=1,IF(M5_Ocupacion!M147="","",M5_Ocupacion!M147),""))</f>
        <v/>
      </c>
      <c r="AD942" s="17" t="str">
        <f>IF(M5_Ocupacion!A147="","","MO")</f>
        <v/>
      </c>
      <c r="AE942" s="17" t="str">
        <f>IF(M5_Ocupacion!A147="","",IF(M5_Ocupacion!O147="","",M5_Ocupacion!O147))</f>
        <v/>
      </c>
      <c r="AF942" s="17" t="str">
        <f>IF(M5_Ocupacion!A147="","",IF(M5_Ocupacion!P147="","",M5_Ocupacion!P147))</f>
        <v/>
      </c>
      <c r="AG942" s="17" t="str">
        <f>IF(M5_Ocupacion!A147="","",IF(M5_Ocupacion!Q147="","",M5_Ocupacion!Q147))</f>
        <v/>
      </c>
      <c r="AH942" s="17" t="str">
        <f>IF(M5_Ocupacion!A147="","",IF(M5_Ocupacion!J147="","",M5_Ocupacion!J147))</f>
        <v/>
      </c>
      <c r="AI942" s="17" t="str">
        <f>IF(M5_Ocupacion!A147="","","M5_Ocupacion!147")</f>
        <v/>
      </c>
      <c r="AJ942" s="17" t="str">
        <f>IF(M5_Ocupacion!A147="","",IF(M5_Ocupacion!M147="","Pendiente de medición completa",IF(COUNTIFS(M5_Ocupacion!$A$10:A147,M5_Ocupacion!A147,M5_Ocupacion!$D$10:D147,M5_Ocupacion!D147)=1,"Promedio de la actividad y fecha","Observación incluida en promedio")))</f>
        <v/>
      </c>
    </row>
    <row r="943" spans="1:36" ht="55.5" customHeight="1">
      <c r="A943" s="6" t="str">
        <f t="array" ref="A943">IF(939&gt;$S$1204,"",INDEX($T$5:$AJ$1204,MATCH(939,$S$5:$S$1204,0),1))</f>
        <v/>
      </c>
      <c r="B943" s="8" t="str">
        <f t="array" ref="B943">IF(939&gt;$S$1204,"",INDEX($T$5:$AJ$1204,MATCH(939,$S$5:$S$1204,0),2))</f>
        <v/>
      </c>
      <c r="C943" s="10" t="str">
        <f t="array" ref="C943">IF(939&gt;$S$1204,"",INDEX($T$5:$AJ$1204,MATCH(939,$S$5:$S$1204,0),3))</f>
        <v/>
      </c>
      <c r="D943" s="8" t="str">
        <f t="array" ref="D943">IF(939&gt;$S$1204,"",INDEX($T$5:$AJ$1204,MATCH(939,$S$5:$S$1204,0),4))</f>
        <v/>
      </c>
      <c r="E943" s="8" t="str">
        <f t="array" ref="E943">IF(939&gt;$S$1204,"",INDEX($T$5:$AJ$1204,MATCH(939,$S$5:$S$1204,0),5))</f>
        <v/>
      </c>
      <c r="F943" s="8" t="str">
        <f t="array" ref="F943">IF(939&gt;$S$1204,"",INDEX($T$5:$AJ$1204,MATCH(939,$S$5:$S$1204,0),6))</f>
        <v/>
      </c>
      <c r="G943" s="8" t="str">
        <f t="array" ref="G943">IF(939&gt;$S$1204,"",INDEX($T$5:$AJ$1204,MATCH(939,$S$5:$S$1204,0),7))</f>
        <v/>
      </c>
      <c r="H943" s="8" t="str">
        <f t="array" ref="H943">IF(939&gt;$S$1204,"",INDEX($T$5:$AJ$1204,MATCH(939,$S$5:$S$1204,0),8))</f>
        <v/>
      </c>
      <c r="I943" s="8" t="str">
        <f t="array" ref="I943">IF(939&gt;$S$1204,"",INDEX($T$5:$AJ$1204,MATCH(939,$S$5:$S$1204,0),9))</f>
        <v/>
      </c>
      <c r="J943" s="14" t="str">
        <f t="array" ref="J943">IF(939&gt;$S$1204,"",INDEX($T$5:$AJ$1204,MATCH(939,$S$5:$S$1204,0),10))</f>
        <v/>
      </c>
      <c r="K943" s="8" t="str">
        <f t="array" ref="K943">IF(939&gt;$S$1204,"",INDEX($T$5:$AJ$1204,MATCH(939,$S$5:$S$1204,0),11))</f>
        <v/>
      </c>
      <c r="L943" s="8" t="str">
        <f t="array" ref="L943">IF(939&gt;$S$1204,"",INDEX($T$5:$AJ$1204,MATCH(939,$S$5:$S$1204,0),12))</f>
        <v/>
      </c>
      <c r="M943" s="8" t="str">
        <f t="array" ref="M943">IF(939&gt;$S$1204,"",INDEX($T$5:$AJ$1204,MATCH(939,$S$5:$S$1204,0),13))</f>
        <v/>
      </c>
      <c r="N943" s="8" t="str">
        <f t="array" ref="N943">IF(939&gt;$S$1204,"",INDEX($T$5:$AJ$1204,MATCH(939,$S$5:$S$1204,0),14))</f>
        <v/>
      </c>
      <c r="O943" s="15" t="str">
        <f t="array" ref="O943">IF(939&gt;$S$1204,"",INDEX($T$5:$AJ$1204,MATCH(939,$S$5:$S$1204,0),15))</f>
        <v/>
      </c>
      <c r="P943" s="8" t="str">
        <f t="array" ref="P943">IF(939&gt;$S$1204,"",INDEX($T$5:$AJ$1204,MATCH(939,$S$5:$S$1204,0),16))</f>
        <v/>
      </c>
      <c r="Q943" s="8" t="str">
        <f t="array" ref="Q943">IF(939&gt;$S$1204,"",INDEX($T$5:$AJ$1204,MATCH(939,$S$5:$S$1204,0),17))</f>
        <v/>
      </c>
      <c r="R943" s="17"/>
      <c r="S943" s="17">
        <f>S942+IF(M5_Ocupacion!A148="",0,1)</f>
        <v>0</v>
      </c>
      <c r="T943" s="17" t="str">
        <f>IF(M5_Ocupacion!A148="","",IF(M5_Ocupacion!A148="","",M5_Ocupacion!A148))</f>
        <v/>
      </c>
      <c r="U943" s="17" t="str">
        <f>IF(M5_Ocupacion!A148="","",IF(M5_Ocupacion!R148="","",M5_Ocupacion!R148))</f>
        <v/>
      </c>
      <c r="V943" s="17" t="str">
        <f>IF(M5_Ocupacion!A148="","",IF(M5_Ocupacion!D148="","",M5_Ocupacion!D148))</f>
        <v/>
      </c>
      <c r="W943" s="17" t="str">
        <f>IF(M5_Ocupacion!A148="","",IF(M5_Ocupacion!B148="","",M5_Ocupacion!B148))</f>
        <v/>
      </c>
      <c r="X943" s="17" t="str">
        <f>IF(M5_Ocupacion!A148="","",IF(M5_Ocupacion!C148="","",M5_Ocupacion!C148))</f>
        <v/>
      </c>
      <c r="Y943" s="17" t="str">
        <f>IF(M5_Ocupacion!A148="","",IF(M5_Ocupacion!E148="","",M5_Ocupacion!E148))</f>
        <v/>
      </c>
      <c r="Z943" s="17" t="str">
        <f>IF(M5_Ocupacion!A148="","",IF(M5_Ocupacion!F148="","",M5_Ocupacion!F148))</f>
        <v/>
      </c>
      <c r="AA943" s="17" t="str">
        <f>IF(M5_Ocupacion!A148="","","M5 Ocupación")</f>
        <v/>
      </c>
      <c r="AB943" s="17" t="str">
        <f>IF(M5_Ocupacion!A148="","",IF(M5_Ocupacion!G148="","",M5_Ocupacion!G148))</f>
        <v/>
      </c>
      <c r="AC943" s="17" t="str">
        <f>IF(M5_Ocupacion!A148="","",IF(COUNTIFS(M5_Ocupacion!$A$10:A148,M5_Ocupacion!A148,M5_Ocupacion!$D$10:D148,M5_Ocupacion!D148)=1,IF(M5_Ocupacion!M148="","",M5_Ocupacion!M148),""))</f>
        <v/>
      </c>
      <c r="AD943" s="17" t="str">
        <f>IF(M5_Ocupacion!A148="","","MO")</f>
        <v/>
      </c>
      <c r="AE943" s="17" t="str">
        <f>IF(M5_Ocupacion!A148="","",IF(M5_Ocupacion!O148="","",M5_Ocupacion!O148))</f>
        <v/>
      </c>
      <c r="AF943" s="17" t="str">
        <f>IF(M5_Ocupacion!A148="","",IF(M5_Ocupacion!P148="","",M5_Ocupacion!P148))</f>
        <v/>
      </c>
      <c r="AG943" s="17" t="str">
        <f>IF(M5_Ocupacion!A148="","",IF(M5_Ocupacion!Q148="","",M5_Ocupacion!Q148))</f>
        <v/>
      </c>
      <c r="AH943" s="17" t="str">
        <f>IF(M5_Ocupacion!A148="","",IF(M5_Ocupacion!J148="","",M5_Ocupacion!J148))</f>
        <v/>
      </c>
      <c r="AI943" s="17" t="str">
        <f>IF(M5_Ocupacion!A148="","","M5_Ocupacion!148")</f>
        <v/>
      </c>
      <c r="AJ943" s="17" t="str">
        <f>IF(M5_Ocupacion!A148="","",IF(M5_Ocupacion!M148="","Pendiente de medición completa",IF(COUNTIFS(M5_Ocupacion!$A$10:A148,M5_Ocupacion!A148,M5_Ocupacion!$D$10:D148,M5_Ocupacion!D148)=1,"Promedio de la actividad y fecha","Observación incluida en promedio")))</f>
        <v/>
      </c>
    </row>
    <row r="944" spans="1:36" ht="55.5" customHeight="1">
      <c r="A944" s="6" t="str">
        <f t="array" ref="A944">IF(940&gt;$S$1204,"",INDEX($T$5:$AJ$1204,MATCH(940,$S$5:$S$1204,0),1))</f>
        <v/>
      </c>
      <c r="B944" s="8" t="str">
        <f t="array" ref="B944">IF(940&gt;$S$1204,"",INDEX($T$5:$AJ$1204,MATCH(940,$S$5:$S$1204,0),2))</f>
        <v/>
      </c>
      <c r="C944" s="10" t="str">
        <f t="array" ref="C944">IF(940&gt;$S$1204,"",INDEX($T$5:$AJ$1204,MATCH(940,$S$5:$S$1204,0),3))</f>
        <v/>
      </c>
      <c r="D944" s="8" t="str">
        <f t="array" ref="D944">IF(940&gt;$S$1204,"",INDEX($T$5:$AJ$1204,MATCH(940,$S$5:$S$1204,0),4))</f>
        <v/>
      </c>
      <c r="E944" s="8" t="str">
        <f t="array" ref="E944">IF(940&gt;$S$1204,"",INDEX($T$5:$AJ$1204,MATCH(940,$S$5:$S$1204,0),5))</f>
        <v/>
      </c>
      <c r="F944" s="8" t="str">
        <f t="array" ref="F944">IF(940&gt;$S$1204,"",INDEX($T$5:$AJ$1204,MATCH(940,$S$5:$S$1204,0),6))</f>
        <v/>
      </c>
      <c r="G944" s="8" t="str">
        <f t="array" ref="G944">IF(940&gt;$S$1204,"",INDEX($T$5:$AJ$1204,MATCH(940,$S$5:$S$1204,0),7))</f>
        <v/>
      </c>
      <c r="H944" s="8" t="str">
        <f t="array" ref="H944">IF(940&gt;$S$1204,"",INDEX($T$5:$AJ$1204,MATCH(940,$S$5:$S$1204,0),8))</f>
        <v/>
      </c>
      <c r="I944" s="8" t="str">
        <f t="array" ref="I944">IF(940&gt;$S$1204,"",INDEX($T$5:$AJ$1204,MATCH(940,$S$5:$S$1204,0),9))</f>
        <v/>
      </c>
      <c r="J944" s="14" t="str">
        <f t="array" ref="J944">IF(940&gt;$S$1204,"",INDEX($T$5:$AJ$1204,MATCH(940,$S$5:$S$1204,0),10))</f>
        <v/>
      </c>
      <c r="K944" s="8" t="str">
        <f t="array" ref="K944">IF(940&gt;$S$1204,"",INDEX($T$5:$AJ$1204,MATCH(940,$S$5:$S$1204,0),11))</f>
        <v/>
      </c>
      <c r="L944" s="8" t="str">
        <f t="array" ref="L944">IF(940&gt;$S$1204,"",INDEX($T$5:$AJ$1204,MATCH(940,$S$5:$S$1204,0),12))</f>
        <v/>
      </c>
      <c r="M944" s="8" t="str">
        <f t="array" ref="M944">IF(940&gt;$S$1204,"",INDEX($T$5:$AJ$1204,MATCH(940,$S$5:$S$1204,0),13))</f>
        <v/>
      </c>
      <c r="N944" s="8" t="str">
        <f t="array" ref="N944">IF(940&gt;$S$1204,"",INDEX($T$5:$AJ$1204,MATCH(940,$S$5:$S$1204,0),14))</f>
        <v/>
      </c>
      <c r="O944" s="15" t="str">
        <f t="array" ref="O944">IF(940&gt;$S$1204,"",INDEX($T$5:$AJ$1204,MATCH(940,$S$5:$S$1204,0),15))</f>
        <v/>
      </c>
      <c r="P944" s="8" t="str">
        <f t="array" ref="P944">IF(940&gt;$S$1204,"",INDEX($T$5:$AJ$1204,MATCH(940,$S$5:$S$1204,0),16))</f>
        <v/>
      </c>
      <c r="Q944" s="8" t="str">
        <f t="array" ref="Q944">IF(940&gt;$S$1204,"",INDEX($T$5:$AJ$1204,MATCH(940,$S$5:$S$1204,0),17))</f>
        <v/>
      </c>
      <c r="R944" s="17"/>
      <c r="S944" s="17">
        <f>S943+IF(M5_Ocupacion!A149="",0,1)</f>
        <v>0</v>
      </c>
      <c r="T944" s="17" t="str">
        <f>IF(M5_Ocupacion!A149="","",IF(M5_Ocupacion!A149="","",M5_Ocupacion!A149))</f>
        <v/>
      </c>
      <c r="U944" s="17" t="str">
        <f>IF(M5_Ocupacion!A149="","",IF(M5_Ocupacion!R149="","",M5_Ocupacion!R149))</f>
        <v/>
      </c>
      <c r="V944" s="17" t="str">
        <f>IF(M5_Ocupacion!A149="","",IF(M5_Ocupacion!D149="","",M5_Ocupacion!D149))</f>
        <v/>
      </c>
      <c r="W944" s="17" t="str">
        <f>IF(M5_Ocupacion!A149="","",IF(M5_Ocupacion!B149="","",M5_Ocupacion!B149))</f>
        <v/>
      </c>
      <c r="X944" s="17" t="str">
        <f>IF(M5_Ocupacion!A149="","",IF(M5_Ocupacion!C149="","",M5_Ocupacion!C149))</f>
        <v/>
      </c>
      <c r="Y944" s="17" t="str">
        <f>IF(M5_Ocupacion!A149="","",IF(M5_Ocupacion!E149="","",M5_Ocupacion!E149))</f>
        <v/>
      </c>
      <c r="Z944" s="17" t="str">
        <f>IF(M5_Ocupacion!A149="","",IF(M5_Ocupacion!F149="","",M5_Ocupacion!F149))</f>
        <v/>
      </c>
      <c r="AA944" s="17" t="str">
        <f>IF(M5_Ocupacion!A149="","","M5 Ocupación")</f>
        <v/>
      </c>
      <c r="AB944" s="17" t="str">
        <f>IF(M5_Ocupacion!A149="","",IF(M5_Ocupacion!G149="","",M5_Ocupacion!G149))</f>
        <v/>
      </c>
      <c r="AC944" s="17" t="str">
        <f>IF(M5_Ocupacion!A149="","",IF(COUNTIFS(M5_Ocupacion!$A$10:A149,M5_Ocupacion!A149,M5_Ocupacion!$D$10:D149,M5_Ocupacion!D149)=1,IF(M5_Ocupacion!M149="","",M5_Ocupacion!M149),""))</f>
        <v/>
      </c>
      <c r="AD944" s="17" t="str">
        <f>IF(M5_Ocupacion!A149="","","MO")</f>
        <v/>
      </c>
      <c r="AE944" s="17" t="str">
        <f>IF(M5_Ocupacion!A149="","",IF(M5_Ocupacion!O149="","",M5_Ocupacion!O149))</f>
        <v/>
      </c>
      <c r="AF944" s="17" t="str">
        <f>IF(M5_Ocupacion!A149="","",IF(M5_Ocupacion!P149="","",M5_Ocupacion!P149))</f>
        <v/>
      </c>
      <c r="AG944" s="17" t="str">
        <f>IF(M5_Ocupacion!A149="","",IF(M5_Ocupacion!Q149="","",M5_Ocupacion!Q149))</f>
        <v/>
      </c>
      <c r="AH944" s="17" t="str">
        <f>IF(M5_Ocupacion!A149="","",IF(M5_Ocupacion!J149="","",M5_Ocupacion!J149))</f>
        <v/>
      </c>
      <c r="AI944" s="17" t="str">
        <f>IF(M5_Ocupacion!A149="","","M5_Ocupacion!149")</f>
        <v/>
      </c>
      <c r="AJ944" s="17" t="str">
        <f>IF(M5_Ocupacion!A149="","",IF(M5_Ocupacion!M149="","Pendiente de medición completa",IF(COUNTIFS(M5_Ocupacion!$A$10:A149,M5_Ocupacion!A149,M5_Ocupacion!$D$10:D149,M5_Ocupacion!D149)=1,"Promedio de la actividad y fecha","Observación incluida en promedio")))</f>
        <v/>
      </c>
    </row>
    <row r="945" spans="1:36" ht="55.5" customHeight="1">
      <c r="A945" s="6" t="str">
        <f t="array" ref="A945">IF(941&gt;$S$1204,"",INDEX($T$5:$AJ$1204,MATCH(941,$S$5:$S$1204,0),1))</f>
        <v/>
      </c>
      <c r="B945" s="8" t="str">
        <f t="array" ref="B945">IF(941&gt;$S$1204,"",INDEX($T$5:$AJ$1204,MATCH(941,$S$5:$S$1204,0),2))</f>
        <v/>
      </c>
      <c r="C945" s="10" t="str">
        <f t="array" ref="C945">IF(941&gt;$S$1204,"",INDEX($T$5:$AJ$1204,MATCH(941,$S$5:$S$1204,0),3))</f>
        <v/>
      </c>
      <c r="D945" s="8" t="str">
        <f t="array" ref="D945">IF(941&gt;$S$1204,"",INDEX($T$5:$AJ$1204,MATCH(941,$S$5:$S$1204,0),4))</f>
        <v/>
      </c>
      <c r="E945" s="8" t="str">
        <f t="array" ref="E945">IF(941&gt;$S$1204,"",INDEX($T$5:$AJ$1204,MATCH(941,$S$5:$S$1204,0),5))</f>
        <v/>
      </c>
      <c r="F945" s="8" t="str">
        <f t="array" ref="F945">IF(941&gt;$S$1204,"",INDEX($T$5:$AJ$1204,MATCH(941,$S$5:$S$1204,0),6))</f>
        <v/>
      </c>
      <c r="G945" s="8" t="str">
        <f t="array" ref="G945">IF(941&gt;$S$1204,"",INDEX($T$5:$AJ$1204,MATCH(941,$S$5:$S$1204,0),7))</f>
        <v/>
      </c>
      <c r="H945" s="8" t="str">
        <f t="array" ref="H945">IF(941&gt;$S$1204,"",INDEX($T$5:$AJ$1204,MATCH(941,$S$5:$S$1204,0),8))</f>
        <v/>
      </c>
      <c r="I945" s="8" t="str">
        <f t="array" ref="I945">IF(941&gt;$S$1204,"",INDEX($T$5:$AJ$1204,MATCH(941,$S$5:$S$1204,0),9))</f>
        <v/>
      </c>
      <c r="J945" s="14" t="str">
        <f t="array" ref="J945">IF(941&gt;$S$1204,"",INDEX($T$5:$AJ$1204,MATCH(941,$S$5:$S$1204,0),10))</f>
        <v/>
      </c>
      <c r="K945" s="8" t="str">
        <f t="array" ref="K945">IF(941&gt;$S$1204,"",INDEX($T$5:$AJ$1204,MATCH(941,$S$5:$S$1204,0),11))</f>
        <v/>
      </c>
      <c r="L945" s="8" t="str">
        <f t="array" ref="L945">IF(941&gt;$S$1204,"",INDEX($T$5:$AJ$1204,MATCH(941,$S$5:$S$1204,0),12))</f>
        <v/>
      </c>
      <c r="M945" s="8" t="str">
        <f t="array" ref="M945">IF(941&gt;$S$1204,"",INDEX($T$5:$AJ$1204,MATCH(941,$S$5:$S$1204,0),13))</f>
        <v/>
      </c>
      <c r="N945" s="8" t="str">
        <f t="array" ref="N945">IF(941&gt;$S$1204,"",INDEX($T$5:$AJ$1204,MATCH(941,$S$5:$S$1204,0),14))</f>
        <v/>
      </c>
      <c r="O945" s="15" t="str">
        <f t="array" ref="O945">IF(941&gt;$S$1204,"",INDEX($T$5:$AJ$1204,MATCH(941,$S$5:$S$1204,0),15))</f>
        <v/>
      </c>
      <c r="P945" s="8" t="str">
        <f t="array" ref="P945">IF(941&gt;$S$1204,"",INDEX($T$5:$AJ$1204,MATCH(941,$S$5:$S$1204,0),16))</f>
        <v/>
      </c>
      <c r="Q945" s="8" t="str">
        <f t="array" ref="Q945">IF(941&gt;$S$1204,"",INDEX($T$5:$AJ$1204,MATCH(941,$S$5:$S$1204,0),17))</f>
        <v/>
      </c>
      <c r="R945" s="17"/>
      <c r="S945" s="17">
        <f>S944+IF(M5_Ocupacion!A150="",0,1)</f>
        <v>0</v>
      </c>
      <c r="T945" s="17" t="str">
        <f>IF(M5_Ocupacion!A150="","",IF(M5_Ocupacion!A150="","",M5_Ocupacion!A150))</f>
        <v/>
      </c>
      <c r="U945" s="17" t="str">
        <f>IF(M5_Ocupacion!A150="","",IF(M5_Ocupacion!R150="","",M5_Ocupacion!R150))</f>
        <v/>
      </c>
      <c r="V945" s="17" t="str">
        <f>IF(M5_Ocupacion!A150="","",IF(M5_Ocupacion!D150="","",M5_Ocupacion!D150))</f>
        <v/>
      </c>
      <c r="W945" s="17" t="str">
        <f>IF(M5_Ocupacion!A150="","",IF(M5_Ocupacion!B150="","",M5_Ocupacion!B150))</f>
        <v/>
      </c>
      <c r="X945" s="17" t="str">
        <f>IF(M5_Ocupacion!A150="","",IF(M5_Ocupacion!C150="","",M5_Ocupacion!C150))</f>
        <v/>
      </c>
      <c r="Y945" s="17" t="str">
        <f>IF(M5_Ocupacion!A150="","",IF(M5_Ocupacion!E150="","",M5_Ocupacion!E150))</f>
        <v/>
      </c>
      <c r="Z945" s="17" t="str">
        <f>IF(M5_Ocupacion!A150="","",IF(M5_Ocupacion!F150="","",M5_Ocupacion!F150))</f>
        <v/>
      </c>
      <c r="AA945" s="17" t="str">
        <f>IF(M5_Ocupacion!A150="","","M5 Ocupación")</f>
        <v/>
      </c>
      <c r="AB945" s="17" t="str">
        <f>IF(M5_Ocupacion!A150="","",IF(M5_Ocupacion!G150="","",M5_Ocupacion!G150))</f>
        <v/>
      </c>
      <c r="AC945" s="17" t="str">
        <f>IF(M5_Ocupacion!A150="","",IF(COUNTIFS(M5_Ocupacion!$A$10:A150,M5_Ocupacion!A150,M5_Ocupacion!$D$10:D150,M5_Ocupacion!D150)=1,IF(M5_Ocupacion!M150="","",M5_Ocupacion!M150),""))</f>
        <v/>
      </c>
      <c r="AD945" s="17" t="str">
        <f>IF(M5_Ocupacion!A150="","","MO")</f>
        <v/>
      </c>
      <c r="AE945" s="17" t="str">
        <f>IF(M5_Ocupacion!A150="","",IF(M5_Ocupacion!O150="","",M5_Ocupacion!O150))</f>
        <v/>
      </c>
      <c r="AF945" s="17" t="str">
        <f>IF(M5_Ocupacion!A150="","",IF(M5_Ocupacion!P150="","",M5_Ocupacion!P150))</f>
        <v/>
      </c>
      <c r="AG945" s="17" t="str">
        <f>IF(M5_Ocupacion!A150="","",IF(M5_Ocupacion!Q150="","",M5_Ocupacion!Q150))</f>
        <v/>
      </c>
      <c r="AH945" s="17" t="str">
        <f>IF(M5_Ocupacion!A150="","",IF(M5_Ocupacion!J150="","",M5_Ocupacion!J150))</f>
        <v/>
      </c>
      <c r="AI945" s="17" t="str">
        <f>IF(M5_Ocupacion!A150="","","M5_Ocupacion!150")</f>
        <v/>
      </c>
      <c r="AJ945" s="17" t="str">
        <f>IF(M5_Ocupacion!A150="","",IF(M5_Ocupacion!M150="","Pendiente de medición completa",IF(COUNTIFS(M5_Ocupacion!$A$10:A150,M5_Ocupacion!A150,M5_Ocupacion!$D$10:D150,M5_Ocupacion!D150)=1,"Promedio de la actividad y fecha","Observación incluida en promedio")))</f>
        <v/>
      </c>
    </row>
    <row r="946" spans="1:36" ht="55.5" customHeight="1">
      <c r="A946" s="6" t="str">
        <f t="array" ref="A946">IF(942&gt;$S$1204,"",INDEX($T$5:$AJ$1204,MATCH(942,$S$5:$S$1204,0),1))</f>
        <v/>
      </c>
      <c r="B946" s="8" t="str">
        <f t="array" ref="B946">IF(942&gt;$S$1204,"",INDEX($T$5:$AJ$1204,MATCH(942,$S$5:$S$1204,0),2))</f>
        <v/>
      </c>
      <c r="C946" s="10" t="str">
        <f t="array" ref="C946">IF(942&gt;$S$1204,"",INDEX($T$5:$AJ$1204,MATCH(942,$S$5:$S$1204,0),3))</f>
        <v/>
      </c>
      <c r="D946" s="8" t="str">
        <f t="array" ref="D946">IF(942&gt;$S$1204,"",INDEX($T$5:$AJ$1204,MATCH(942,$S$5:$S$1204,0),4))</f>
        <v/>
      </c>
      <c r="E946" s="8" t="str">
        <f t="array" ref="E946">IF(942&gt;$S$1204,"",INDEX($T$5:$AJ$1204,MATCH(942,$S$5:$S$1204,0),5))</f>
        <v/>
      </c>
      <c r="F946" s="8" t="str">
        <f t="array" ref="F946">IF(942&gt;$S$1204,"",INDEX($T$5:$AJ$1204,MATCH(942,$S$5:$S$1204,0),6))</f>
        <v/>
      </c>
      <c r="G946" s="8" t="str">
        <f t="array" ref="G946">IF(942&gt;$S$1204,"",INDEX($T$5:$AJ$1204,MATCH(942,$S$5:$S$1204,0),7))</f>
        <v/>
      </c>
      <c r="H946" s="8" t="str">
        <f t="array" ref="H946">IF(942&gt;$S$1204,"",INDEX($T$5:$AJ$1204,MATCH(942,$S$5:$S$1204,0),8))</f>
        <v/>
      </c>
      <c r="I946" s="8" t="str">
        <f t="array" ref="I946">IF(942&gt;$S$1204,"",INDEX($T$5:$AJ$1204,MATCH(942,$S$5:$S$1204,0),9))</f>
        <v/>
      </c>
      <c r="J946" s="14" t="str">
        <f t="array" ref="J946">IF(942&gt;$S$1204,"",INDEX($T$5:$AJ$1204,MATCH(942,$S$5:$S$1204,0),10))</f>
        <v/>
      </c>
      <c r="K946" s="8" t="str">
        <f t="array" ref="K946">IF(942&gt;$S$1204,"",INDEX($T$5:$AJ$1204,MATCH(942,$S$5:$S$1204,0),11))</f>
        <v/>
      </c>
      <c r="L946" s="8" t="str">
        <f t="array" ref="L946">IF(942&gt;$S$1204,"",INDEX($T$5:$AJ$1204,MATCH(942,$S$5:$S$1204,0),12))</f>
        <v/>
      </c>
      <c r="M946" s="8" t="str">
        <f t="array" ref="M946">IF(942&gt;$S$1204,"",INDEX($T$5:$AJ$1204,MATCH(942,$S$5:$S$1204,0),13))</f>
        <v/>
      </c>
      <c r="N946" s="8" t="str">
        <f t="array" ref="N946">IF(942&gt;$S$1204,"",INDEX($T$5:$AJ$1204,MATCH(942,$S$5:$S$1204,0),14))</f>
        <v/>
      </c>
      <c r="O946" s="15" t="str">
        <f t="array" ref="O946">IF(942&gt;$S$1204,"",INDEX($T$5:$AJ$1204,MATCH(942,$S$5:$S$1204,0),15))</f>
        <v/>
      </c>
      <c r="P946" s="8" t="str">
        <f t="array" ref="P946">IF(942&gt;$S$1204,"",INDEX($T$5:$AJ$1204,MATCH(942,$S$5:$S$1204,0),16))</f>
        <v/>
      </c>
      <c r="Q946" s="8" t="str">
        <f t="array" ref="Q946">IF(942&gt;$S$1204,"",INDEX($T$5:$AJ$1204,MATCH(942,$S$5:$S$1204,0),17))</f>
        <v/>
      </c>
      <c r="R946" s="17"/>
      <c r="S946" s="17">
        <f>S945+IF(M5_Ocupacion!A151="",0,1)</f>
        <v>0</v>
      </c>
      <c r="T946" s="17" t="str">
        <f>IF(M5_Ocupacion!A151="","",IF(M5_Ocupacion!A151="","",M5_Ocupacion!A151))</f>
        <v/>
      </c>
      <c r="U946" s="17" t="str">
        <f>IF(M5_Ocupacion!A151="","",IF(M5_Ocupacion!R151="","",M5_Ocupacion!R151))</f>
        <v/>
      </c>
      <c r="V946" s="17" t="str">
        <f>IF(M5_Ocupacion!A151="","",IF(M5_Ocupacion!D151="","",M5_Ocupacion!D151))</f>
        <v/>
      </c>
      <c r="W946" s="17" t="str">
        <f>IF(M5_Ocupacion!A151="","",IF(M5_Ocupacion!B151="","",M5_Ocupacion!B151))</f>
        <v/>
      </c>
      <c r="X946" s="17" t="str">
        <f>IF(M5_Ocupacion!A151="","",IF(M5_Ocupacion!C151="","",M5_Ocupacion!C151))</f>
        <v/>
      </c>
      <c r="Y946" s="17" t="str">
        <f>IF(M5_Ocupacion!A151="","",IF(M5_Ocupacion!E151="","",M5_Ocupacion!E151))</f>
        <v/>
      </c>
      <c r="Z946" s="17" t="str">
        <f>IF(M5_Ocupacion!A151="","",IF(M5_Ocupacion!F151="","",M5_Ocupacion!F151))</f>
        <v/>
      </c>
      <c r="AA946" s="17" t="str">
        <f>IF(M5_Ocupacion!A151="","","M5 Ocupación")</f>
        <v/>
      </c>
      <c r="AB946" s="17" t="str">
        <f>IF(M5_Ocupacion!A151="","",IF(M5_Ocupacion!G151="","",M5_Ocupacion!G151))</f>
        <v/>
      </c>
      <c r="AC946" s="17" t="str">
        <f>IF(M5_Ocupacion!A151="","",IF(COUNTIFS(M5_Ocupacion!$A$10:A151,M5_Ocupacion!A151,M5_Ocupacion!$D$10:D151,M5_Ocupacion!D151)=1,IF(M5_Ocupacion!M151="","",M5_Ocupacion!M151),""))</f>
        <v/>
      </c>
      <c r="AD946" s="17" t="str">
        <f>IF(M5_Ocupacion!A151="","","MO")</f>
        <v/>
      </c>
      <c r="AE946" s="17" t="str">
        <f>IF(M5_Ocupacion!A151="","",IF(M5_Ocupacion!O151="","",M5_Ocupacion!O151))</f>
        <v/>
      </c>
      <c r="AF946" s="17" t="str">
        <f>IF(M5_Ocupacion!A151="","",IF(M5_Ocupacion!P151="","",M5_Ocupacion!P151))</f>
        <v/>
      </c>
      <c r="AG946" s="17" t="str">
        <f>IF(M5_Ocupacion!A151="","",IF(M5_Ocupacion!Q151="","",M5_Ocupacion!Q151))</f>
        <v/>
      </c>
      <c r="AH946" s="17" t="str">
        <f>IF(M5_Ocupacion!A151="","",IF(M5_Ocupacion!J151="","",M5_Ocupacion!J151))</f>
        <v/>
      </c>
      <c r="AI946" s="17" t="str">
        <f>IF(M5_Ocupacion!A151="","","M5_Ocupacion!151")</f>
        <v/>
      </c>
      <c r="AJ946" s="17" t="str">
        <f>IF(M5_Ocupacion!A151="","",IF(M5_Ocupacion!M151="","Pendiente de medición completa",IF(COUNTIFS(M5_Ocupacion!$A$10:A151,M5_Ocupacion!A151,M5_Ocupacion!$D$10:D151,M5_Ocupacion!D151)=1,"Promedio de la actividad y fecha","Observación incluida en promedio")))</f>
        <v/>
      </c>
    </row>
    <row r="947" spans="1:36" ht="55.5" customHeight="1">
      <c r="A947" s="6" t="str">
        <f t="array" ref="A947">IF(943&gt;$S$1204,"",INDEX($T$5:$AJ$1204,MATCH(943,$S$5:$S$1204,0),1))</f>
        <v/>
      </c>
      <c r="B947" s="8" t="str">
        <f t="array" ref="B947">IF(943&gt;$S$1204,"",INDEX($T$5:$AJ$1204,MATCH(943,$S$5:$S$1204,0),2))</f>
        <v/>
      </c>
      <c r="C947" s="10" t="str">
        <f t="array" ref="C947">IF(943&gt;$S$1204,"",INDEX($T$5:$AJ$1204,MATCH(943,$S$5:$S$1204,0),3))</f>
        <v/>
      </c>
      <c r="D947" s="8" t="str">
        <f t="array" ref="D947">IF(943&gt;$S$1204,"",INDEX($T$5:$AJ$1204,MATCH(943,$S$5:$S$1204,0),4))</f>
        <v/>
      </c>
      <c r="E947" s="8" t="str">
        <f t="array" ref="E947">IF(943&gt;$S$1204,"",INDEX($T$5:$AJ$1204,MATCH(943,$S$5:$S$1204,0),5))</f>
        <v/>
      </c>
      <c r="F947" s="8" t="str">
        <f t="array" ref="F947">IF(943&gt;$S$1204,"",INDEX($T$5:$AJ$1204,MATCH(943,$S$5:$S$1204,0),6))</f>
        <v/>
      </c>
      <c r="G947" s="8" t="str">
        <f t="array" ref="G947">IF(943&gt;$S$1204,"",INDEX($T$5:$AJ$1204,MATCH(943,$S$5:$S$1204,0),7))</f>
        <v/>
      </c>
      <c r="H947" s="8" t="str">
        <f t="array" ref="H947">IF(943&gt;$S$1204,"",INDEX($T$5:$AJ$1204,MATCH(943,$S$5:$S$1204,0),8))</f>
        <v/>
      </c>
      <c r="I947" s="8" t="str">
        <f t="array" ref="I947">IF(943&gt;$S$1204,"",INDEX($T$5:$AJ$1204,MATCH(943,$S$5:$S$1204,0),9))</f>
        <v/>
      </c>
      <c r="J947" s="14" t="str">
        <f t="array" ref="J947">IF(943&gt;$S$1204,"",INDEX($T$5:$AJ$1204,MATCH(943,$S$5:$S$1204,0),10))</f>
        <v/>
      </c>
      <c r="K947" s="8" t="str">
        <f t="array" ref="K947">IF(943&gt;$S$1204,"",INDEX($T$5:$AJ$1204,MATCH(943,$S$5:$S$1204,0),11))</f>
        <v/>
      </c>
      <c r="L947" s="8" t="str">
        <f t="array" ref="L947">IF(943&gt;$S$1204,"",INDEX($T$5:$AJ$1204,MATCH(943,$S$5:$S$1204,0),12))</f>
        <v/>
      </c>
      <c r="M947" s="8" t="str">
        <f t="array" ref="M947">IF(943&gt;$S$1204,"",INDEX($T$5:$AJ$1204,MATCH(943,$S$5:$S$1204,0),13))</f>
        <v/>
      </c>
      <c r="N947" s="8" t="str">
        <f t="array" ref="N947">IF(943&gt;$S$1204,"",INDEX($T$5:$AJ$1204,MATCH(943,$S$5:$S$1204,0),14))</f>
        <v/>
      </c>
      <c r="O947" s="15" t="str">
        <f t="array" ref="O947">IF(943&gt;$S$1204,"",INDEX($T$5:$AJ$1204,MATCH(943,$S$5:$S$1204,0),15))</f>
        <v/>
      </c>
      <c r="P947" s="8" t="str">
        <f t="array" ref="P947">IF(943&gt;$S$1204,"",INDEX($T$5:$AJ$1204,MATCH(943,$S$5:$S$1204,0),16))</f>
        <v/>
      </c>
      <c r="Q947" s="8" t="str">
        <f t="array" ref="Q947">IF(943&gt;$S$1204,"",INDEX($T$5:$AJ$1204,MATCH(943,$S$5:$S$1204,0),17))</f>
        <v/>
      </c>
      <c r="R947" s="17"/>
      <c r="S947" s="17">
        <f>S946+IF(M5_Ocupacion!A152="",0,1)</f>
        <v>0</v>
      </c>
      <c r="T947" s="17" t="str">
        <f>IF(M5_Ocupacion!A152="","",IF(M5_Ocupacion!A152="","",M5_Ocupacion!A152))</f>
        <v/>
      </c>
      <c r="U947" s="17" t="str">
        <f>IF(M5_Ocupacion!A152="","",IF(M5_Ocupacion!R152="","",M5_Ocupacion!R152))</f>
        <v/>
      </c>
      <c r="V947" s="17" t="str">
        <f>IF(M5_Ocupacion!A152="","",IF(M5_Ocupacion!D152="","",M5_Ocupacion!D152))</f>
        <v/>
      </c>
      <c r="W947" s="17" t="str">
        <f>IF(M5_Ocupacion!A152="","",IF(M5_Ocupacion!B152="","",M5_Ocupacion!B152))</f>
        <v/>
      </c>
      <c r="X947" s="17" t="str">
        <f>IF(M5_Ocupacion!A152="","",IF(M5_Ocupacion!C152="","",M5_Ocupacion!C152))</f>
        <v/>
      </c>
      <c r="Y947" s="17" t="str">
        <f>IF(M5_Ocupacion!A152="","",IF(M5_Ocupacion!E152="","",M5_Ocupacion!E152))</f>
        <v/>
      </c>
      <c r="Z947" s="17" t="str">
        <f>IF(M5_Ocupacion!A152="","",IF(M5_Ocupacion!F152="","",M5_Ocupacion!F152))</f>
        <v/>
      </c>
      <c r="AA947" s="17" t="str">
        <f>IF(M5_Ocupacion!A152="","","M5 Ocupación")</f>
        <v/>
      </c>
      <c r="AB947" s="17" t="str">
        <f>IF(M5_Ocupacion!A152="","",IF(M5_Ocupacion!G152="","",M5_Ocupacion!G152))</f>
        <v/>
      </c>
      <c r="AC947" s="17" t="str">
        <f>IF(M5_Ocupacion!A152="","",IF(COUNTIFS(M5_Ocupacion!$A$10:A152,M5_Ocupacion!A152,M5_Ocupacion!$D$10:D152,M5_Ocupacion!D152)=1,IF(M5_Ocupacion!M152="","",M5_Ocupacion!M152),""))</f>
        <v/>
      </c>
      <c r="AD947" s="17" t="str">
        <f>IF(M5_Ocupacion!A152="","","MO")</f>
        <v/>
      </c>
      <c r="AE947" s="17" t="str">
        <f>IF(M5_Ocupacion!A152="","",IF(M5_Ocupacion!O152="","",M5_Ocupacion!O152))</f>
        <v/>
      </c>
      <c r="AF947" s="17" t="str">
        <f>IF(M5_Ocupacion!A152="","",IF(M5_Ocupacion!P152="","",M5_Ocupacion!P152))</f>
        <v/>
      </c>
      <c r="AG947" s="17" t="str">
        <f>IF(M5_Ocupacion!A152="","",IF(M5_Ocupacion!Q152="","",M5_Ocupacion!Q152))</f>
        <v/>
      </c>
      <c r="AH947" s="17" t="str">
        <f>IF(M5_Ocupacion!A152="","",IF(M5_Ocupacion!J152="","",M5_Ocupacion!J152))</f>
        <v/>
      </c>
      <c r="AI947" s="17" t="str">
        <f>IF(M5_Ocupacion!A152="","","M5_Ocupacion!152")</f>
        <v/>
      </c>
      <c r="AJ947" s="17" t="str">
        <f>IF(M5_Ocupacion!A152="","",IF(M5_Ocupacion!M152="","Pendiente de medición completa",IF(COUNTIFS(M5_Ocupacion!$A$10:A152,M5_Ocupacion!A152,M5_Ocupacion!$D$10:D152,M5_Ocupacion!D152)=1,"Promedio de la actividad y fecha","Observación incluida en promedio")))</f>
        <v/>
      </c>
    </row>
    <row r="948" spans="1:36" ht="55.5" customHeight="1">
      <c r="A948" s="6" t="str">
        <f t="array" ref="A948">IF(944&gt;$S$1204,"",INDEX($T$5:$AJ$1204,MATCH(944,$S$5:$S$1204,0),1))</f>
        <v/>
      </c>
      <c r="B948" s="8" t="str">
        <f t="array" ref="B948">IF(944&gt;$S$1204,"",INDEX($T$5:$AJ$1204,MATCH(944,$S$5:$S$1204,0),2))</f>
        <v/>
      </c>
      <c r="C948" s="10" t="str">
        <f t="array" ref="C948">IF(944&gt;$S$1204,"",INDEX($T$5:$AJ$1204,MATCH(944,$S$5:$S$1204,0),3))</f>
        <v/>
      </c>
      <c r="D948" s="8" t="str">
        <f t="array" ref="D948">IF(944&gt;$S$1204,"",INDEX($T$5:$AJ$1204,MATCH(944,$S$5:$S$1204,0),4))</f>
        <v/>
      </c>
      <c r="E948" s="8" t="str">
        <f t="array" ref="E948">IF(944&gt;$S$1204,"",INDEX($T$5:$AJ$1204,MATCH(944,$S$5:$S$1204,0),5))</f>
        <v/>
      </c>
      <c r="F948" s="8" t="str">
        <f t="array" ref="F948">IF(944&gt;$S$1204,"",INDEX($T$5:$AJ$1204,MATCH(944,$S$5:$S$1204,0),6))</f>
        <v/>
      </c>
      <c r="G948" s="8" t="str">
        <f t="array" ref="G948">IF(944&gt;$S$1204,"",INDEX($T$5:$AJ$1204,MATCH(944,$S$5:$S$1204,0),7))</f>
        <v/>
      </c>
      <c r="H948" s="8" t="str">
        <f t="array" ref="H948">IF(944&gt;$S$1204,"",INDEX($T$5:$AJ$1204,MATCH(944,$S$5:$S$1204,0),8))</f>
        <v/>
      </c>
      <c r="I948" s="8" t="str">
        <f t="array" ref="I948">IF(944&gt;$S$1204,"",INDEX($T$5:$AJ$1204,MATCH(944,$S$5:$S$1204,0),9))</f>
        <v/>
      </c>
      <c r="J948" s="14" t="str">
        <f t="array" ref="J948">IF(944&gt;$S$1204,"",INDEX($T$5:$AJ$1204,MATCH(944,$S$5:$S$1204,0),10))</f>
        <v/>
      </c>
      <c r="K948" s="8" t="str">
        <f t="array" ref="K948">IF(944&gt;$S$1204,"",INDEX($T$5:$AJ$1204,MATCH(944,$S$5:$S$1204,0),11))</f>
        <v/>
      </c>
      <c r="L948" s="8" t="str">
        <f t="array" ref="L948">IF(944&gt;$S$1204,"",INDEX($T$5:$AJ$1204,MATCH(944,$S$5:$S$1204,0),12))</f>
        <v/>
      </c>
      <c r="M948" s="8" t="str">
        <f t="array" ref="M948">IF(944&gt;$S$1204,"",INDEX($T$5:$AJ$1204,MATCH(944,$S$5:$S$1204,0),13))</f>
        <v/>
      </c>
      <c r="N948" s="8" t="str">
        <f t="array" ref="N948">IF(944&gt;$S$1204,"",INDEX($T$5:$AJ$1204,MATCH(944,$S$5:$S$1204,0),14))</f>
        <v/>
      </c>
      <c r="O948" s="15" t="str">
        <f t="array" ref="O948">IF(944&gt;$S$1204,"",INDEX($T$5:$AJ$1204,MATCH(944,$S$5:$S$1204,0),15))</f>
        <v/>
      </c>
      <c r="P948" s="8" t="str">
        <f t="array" ref="P948">IF(944&gt;$S$1204,"",INDEX($T$5:$AJ$1204,MATCH(944,$S$5:$S$1204,0),16))</f>
        <v/>
      </c>
      <c r="Q948" s="8" t="str">
        <f t="array" ref="Q948">IF(944&gt;$S$1204,"",INDEX($T$5:$AJ$1204,MATCH(944,$S$5:$S$1204,0),17))</f>
        <v/>
      </c>
      <c r="R948" s="17"/>
      <c r="S948" s="17">
        <f>S947+IF(M5_Ocupacion!A153="",0,1)</f>
        <v>0</v>
      </c>
      <c r="T948" s="17" t="str">
        <f>IF(M5_Ocupacion!A153="","",IF(M5_Ocupacion!A153="","",M5_Ocupacion!A153))</f>
        <v/>
      </c>
      <c r="U948" s="17" t="str">
        <f>IF(M5_Ocupacion!A153="","",IF(M5_Ocupacion!R153="","",M5_Ocupacion!R153))</f>
        <v/>
      </c>
      <c r="V948" s="17" t="str">
        <f>IF(M5_Ocupacion!A153="","",IF(M5_Ocupacion!D153="","",M5_Ocupacion!D153))</f>
        <v/>
      </c>
      <c r="W948" s="17" t="str">
        <f>IF(M5_Ocupacion!A153="","",IF(M5_Ocupacion!B153="","",M5_Ocupacion!B153))</f>
        <v/>
      </c>
      <c r="X948" s="17" t="str">
        <f>IF(M5_Ocupacion!A153="","",IF(M5_Ocupacion!C153="","",M5_Ocupacion!C153))</f>
        <v/>
      </c>
      <c r="Y948" s="17" t="str">
        <f>IF(M5_Ocupacion!A153="","",IF(M5_Ocupacion!E153="","",M5_Ocupacion!E153))</f>
        <v/>
      </c>
      <c r="Z948" s="17" t="str">
        <f>IF(M5_Ocupacion!A153="","",IF(M5_Ocupacion!F153="","",M5_Ocupacion!F153))</f>
        <v/>
      </c>
      <c r="AA948" s="17" t="str">
        <f>IF(M5_Ocupacion!A153="","","M5 Ocupación")</f>
        <v/>
      </c>
      <c r="AB948" s="17" t="str">
        <f>IF(M5_Ocupacion!A153="","",IF(M5_Ocupacion!G153="","",M5_Ocupacion!G153))</f>
        <v/>
      </c>
      <c r="AC948" s="17" t="str">
        <f>IF(M5_Ocupacion!A153="","",IF(COUNTIFS(M5_Ocupacion!$A$10:A153,M5_Ocupacion!A153,M5_Ocupacion!$D$10:D153,M5_Ocupacion!D153)=1,IF(M5_Ocupacion!M153="","",M5_Ocupacion!M153),""))</f>
        <v/>
      </c>
      <c r="AD948" s="17" t="str">
        <f>IF(M5_Ocupacion!A153="","","MO")</f>
        <v/>
      </c>
      <c r="AE948" s="17" t="str">
        <f>IF(M5_Ocupacion!A153="","",IF(M5_Ocupacion!O153="","",M5_Ocupacion!O153))</f>
        <v/>
      </c>
      <c r="AF948" s="17" t="str">
        <f>IF(M5_Ocupacion!A153="","",IF(M5_Ocupacion!P153="","",M5_Ocupacion!P153))</f>
        <v/>
      </c>
      <c r="AG948" s="17" t="str">
        <f>IF(M5_Ocupacion!A153="","",IF(M5_Ocupacion!Q153="","",M5_Ocupacion!Q153))</f>
        <v/>
      </c>
      <c r="AH948" s="17" t="str">
        <f>IF(M5_Ocupacion!A153="","",IF(M5_Ocupacion!J153="","",M5_Ocupacion!J153))</f>
        <v/>
      </c>
      <c r="AI948" s="17" t="str">
        <f>IF(M5_Ocupacion!A153="","","M5_Ocupacion!153")</f>
        <v/>
      </c>
      <c r="AJ948" s="17" t="str">
        <f>IF(M5_Ocupacion!A153="","",IF(M5_Ocupacion!M153="","Pendiente de medición completa",IF(COUNTIFS(M5_Ocupacion!$A$10:A153,M5_Ocupacion!A153,M5_Ocupacion!$D$10:D153,M5_Ocupacion!D153)=1,"Promedio de la actividad y fecha","Observación incluida en promedio")))</f>
        <v/>
      </c>
    </row>
    <row r="949" spans="1:36" ht="55.5" customHeight="1">
      <c r="A949" s="6" t="str">
        <f t="array" ref="A949">IF(945&gt;$S$1204,"",INDEX($T$5:$AJ$1204,MATCH(945,$S$5:$S$1204,0),1))</f>
        <v/>
      </c>
      <c r="B949" s="8" t="str">
        <f t="array" ref="B949">IF(945&gt;$S$1204,"",INDEX($T$5:$AJ$1204,MATCH(945,$S$5:$S$1204,0),2))</f>
        <v/>
      </c>
      <c r="C949" s="10" t="str">
        <f t="array" ref="C949">IF(945&gt;$S$1204,"",INDEX($T$5:$AJ$1204,MATCH(945,$S$5:$S$1204,0),3))</f>
        <v/>
      </c>
      <c r="D949" s="8" t="str">
        <f t="array" ref="D949">IF(945&gt;$S$1204,"",INDEX($T$5:$AJ$1204,MATCH(945,$S$5:$S$1204,0),4))</f>
        <v/>
      </c>
      <c r="E949" s="8" t="str">
        <f t="array" ref="E949">IF(945&gt;$S$1204,"",INDEX($T$5:$AJ$1204,MATCH(945,$S$5:$S$1204,0),5))</f>
        <v/>
      </c>
      <c r="F949" s="8" t="str">
        <f t="array" ref="F949">IF(945&gt;$S$1204,"",INDEX($T$5:$AJ$1204,MATCH(945,$S$5:$S$1204,0),6))</f>
        <v/>
      </c>
      <c r="G949" s="8" t="str">
        <f t="array" ref="G949">IF(945&gt;$S$1204,"",INDEX($T$5:$AJ$1204,MATCH(945,$S$5:$S$1204,0),7))</f>
        <v/>
      </c>
      <c r="H949" s="8" t="str">
        <f t="array" ref="H949">IF(945&gt;$S$1204,"",INDEX($T$5:$AJ$1204,MATCH(945,$S$5:$S$1204,0),8))</f>
        <v/>
      </c>
      <c r="I949" s="8" t="str">
        <f t="array" ref="I949">IF(945&gt;$S$1204,"",INDEX($T$5:$AJ$1204,MATCH(945,$S$5:$S$1204,0),9))</f>
        <v/>
      </c>
      <c r="J949" s="14" t="str">
        <f t="array" ref="J949">IF(945&gt;$S$1204,"",INDEX($T$5:$AJ$1204,MATCH(945,$S$5:$S$1204,0),10))</f>
        <v/>
      </c>
      <c r="K949" s="8" t="str">
        <f t="array" ref="K949">IF(945&gt;$S$1204,"",INDEX($T$5:$AJ$1204,MATCH(945,$S$5:$S$1204,0),11))</f>
        <v/>
      </c>
      <c r="L949" s="8" t="str">
        <f t="array" ref="L949">IF(945&gt;$S$1204,"",INDEX($T$5:$AJ$1204,MATCH(945,$S$5:$S$1204,0),12))</f>
        <v/>
      </c>
      <c r="M949" s="8" t="str">
        <f t="array" ref="M949">IF(945&gt;$S$1204,"",INDEX($T$5:$AJ$1204,MATCH(945,$S$5:$S$1204,0),13))</f>
        <v/>
      </c>
      <c r="N949" s="8" t="str">
        <f t="array" ref="N949">IF(945&gt;$S$1204,"",INDEX($T$5:$AJ$1204,MATCH(945,$S$5:$S$1204,0),14))</f>
        <v/>
      </c>
      <c r="O949" s="15" t="str">
        <f t="array" ref="O949">IF(945&gt;$S$1204,"",INDEX($T$5:$AJ$1204,MATCH(945,$S$5:$S$1204,0),15))</f>
        <v/>
      </c>
      <c r="P949" s="8" t="str">
        <f t="array" ref="P949">IF(945&gt;$S$1204,"",INDEX($T$5:$AJ$1204,MATCH(945,$S$5:$S$1204,0),16))</f>
        <v/>
      </c>
      <c r="Q949" s="8" t="str">
        <f t="array" ref="Q949">IF(945&gt;$S$1204,"",INDEX($T$5:$AJ$1204,MATCH(945,$S$5:$S$1204,0),17))</f>
        <v/>
      </c>
      <c r="R949" s="17"/>
      <c r="S949" s="17">
        <f>S948+IF(M5_Ocupacion!A154="",0,1)</f>
        <v>0</v>
      </c>
      <c r="T949" s="17" t="str">
        <f>IF(M5_Ocupacion!A154="","",IF(M5_Ocupacion!A154="","",M5_Ocupacion!A154))</f>
        <v/>
      </c>
      <c r="U949" s="17" t="str">
        <f>IF(M5_Ocupacion!A154="","",IF(M5_Ocupacion!R154="","",M5_Ocupacion!R154))</f>
        <v/>
      </c>
      <c r="V949" s="17" t="str">
        <f>IF(M5_Ocupacion!A154="","",IF(M5_Ocupacion!D154="","",M5_Ocupacion!D154))</f>
        <v/>
      </c>
      <c r="W949" s="17" t="str">
        <f>IF(M5_Ocupacion!A154="","",IF(M5_Ocupacion!B154="","",M5_Ocupacion!B154))</f>
        <v/>
      </c>
      <c r="X949" s="17" t="str">
        <f>IF(M5_Ocupacion!A154="","",IF(M5_Ocupacion!C154="","",M5_Ocupacion!C154))</f>
        <v/>
      </c>
      <c r="Y949" s="17" t="str">
        <f>IF(M5_Ocupacion!A154="","",IF(M5_Ocupacion!E154="","",M5_Ocupacion!E154))</f>
        <v/>
      </c>
      <c r="Z949" s="17" t="str">
        <f>IF(M5_Ocupacion!A154="","",IF(M5_Ocupacion!F154="","",M5_Ocupacion!F154))</f>
        <v/>
      </c>
      <c r="AA949" s="17" t="str">
        <f>IF(M5_Ocupacion!A154="","","M5 Ocupación")</f>
        <v/>
      </c>
      <c r="AB949" s="17" t="str">
        <f>IF(M5_Ocupacion!A154="","",IF(M5_Ocupacion!G154="","",M5_Ocupacion!G154))</f>
        <v/>
      </c>
      <c r="AC949" s="17" t="str">
        <f>IF(M5_Ocupacion!A154="","",IF(COUNTIFS(M5_Ocupacion!$A$10:A154,M5_Ocupacion!A154,M5_Ocupacion!$D$10:D154,M5_Ocupacion!D154)=1,IF(M5_Ocupacion!M154="","",M5_Ocupacion!M154),""))</f>
        <v/>
      </c>
      <c r="AD949" s="17" t="str">
        <f>IF(M5_Ocupacion!A154="","","MO")</f>
        <v/>
      </c>
      <c r="AE949" s="17" t="str">
        <f>IF(M5_Ocupacion!A154="","",IF(M5_Ocupacion!O154="","",M5_Ocupacion!O154))</f>
        <v/>
      </c>
      <c r="AF949" s="17" t="str">
        <f>IF(M5_Ocupacion!A154="","",IF(M5_Ocupacion!P154="","",M5_Ocupacion!P154))</f>
        <v/>
      </c>
      <c r="AG949" s="17" t="str">
        <f>IF(M5_Ocupacion!A154="","",IF(M5_Ocupacion!Q154="","",M5_Ocupacion!Q154))</f>
        <v/>
      </c>
      <c r="AH949" s="17" t="str">
        <f>IF(M5_Ocupacion!A154="","",IF(M5_Ocupacion!J154="","",M5_Ocupacion!J154))</f>
        <v/>
      </c>
      <c r="AI949" s="17" t="str">
        <f>IF(M5_Ocupacion!A154="","","M5_Ocupacion!154")</f>
        <v/>
      </c>
      <c r="AJ949" s="17" t="str">
        <f>IF(M5_Ocupacion!A154="","",IF(M5_Ocupacion!M154="","Pendiente de medición completa",IF(COUNTIFS(M5_Ocupacion!$A$10:A154,M5_Ocupacion!A154,M5_Ocupacion!$D$10:D154,M5_Ocupacion!D154)=1,"Promedio de la actividad y fecha","Observación incluida en promedio")))</f>
        <v/>
      </c>
    </row>
    <row r="950" spans="1:36" ht="55.5" customHeight="1">
      <c r="A950" s="6" t="str">
        <f t="array" ref="A950">IF(946&gt;$S$1204,"",INDEX($T$5:$AJ$1204,MATCH(946,$S$5:$S$1204,0),1))</f>
        <v/>
      </c>
      <c r="B950" s="8" t="str">
        <f t="array" ref="B950">IF(946&gt;$S$1204,"",INDEX($T$5:$AJ$1204,MATCH(946,$S$5:$S$1204,0),2))</f>
        <v/>
      </c>
      <c r="C950" s="10" t="str">
        <f t="array" ref="C950">IF(946&gt;$S$1204,"",INDEX($T$5:$AJ$1204,MATCH(946,$S$5:$S$1204,0),3))</f>
        <v/>
      </c>
      <c r="D950" s="8" t="str">
        <f t="array" ref="D950">IF(946&gt;$S$1204,"",INDEX($T$5:$AJ$1204,MATCH(946,$S$5:$S$1204,0),4))</f>
        <v/>
      </c>
      <c r="E950" s="8" t="str">
        <f t="array" ref="E950">IF(946&gt;$S$1204,"",INDEX($T$5:$AJ$1204,MATCH(946,$S$5:$S$1204,0),5))</f>
        <v/>
      </c>
      <c r="F950" s="8" t="str">
        <f t="array" ref="F950">IF(946&gt;$S$1204,"",INDEX($T$5:$AJ$1204,MATCH(946,$S$5:$S$1204,0),6))</f>
        <v/>
      </c>
      <c r="G950" s="8" t="str">
        <f t="array" ref="G950">IF(946&gt;$S$1204,"",INDEX($T$5:$AJ$1204,MATCH(946,$S$5:$S$1204,0),7))</f>
        <v/>
      </c>
      <c r="H950" s="8" t="str">
        <f t="array" ref="H950">IF(946&gt;$S$1204,"",INDEX($T$5:$AJ$1204,MATCH(946,$S$5:$S$1204,0),8))</f>
        <v/>
      </c>
      <c r="I950" s="8" t="str">
        <f t="array" ref="I950">IF(946&gt;$S$1204,"",INDEX($T$5:$AJ$1204,MATCH(946,$S$5:$S$1204,0),9))</f>
        <v/>
      </c>
      <c r="J950" s="14" t="str">
        <f t="array" ref="J950">IF(946&gt;$S$1204,"",INDEX($T$5:$AJ$1204,MATCH(946,$S$5:$S$1204,0),10))</f>
        <v/>
      </c>
      <c r="K950" s="8" t="str">
        <f t="array" ref="K950">IF(946&gt;$S$1204,"",INDEX($T$5:$AJ$1204,MATCH(946,$S$5:$S$1204,0),11))</f>
        <v/>
      </c>
      <c r="L950" s="8" t="str">
        <f t="array" ref="L950">IF(946&gt;$S$1204,"",INDEX($T$5:$AJ$1204,MATCH(946,$S$5:$S$1204,0),12))</f>
        <v/>
      </c>
      <c r="M950" s="8" t="str">
        <f t="array" ref="M950">IF(946&gt;$S$1204,"",INDEX($T$5:$AJ$1204,MATCH(946,$S$5:$S$1204,0),13))</f>
        <v/>
      </c>
      <c r="N950" s="8" t="str">
        <f t="array" ref="N950">IF(946&gt;$S$1204,"",INDEX($T$5:$AJ$1204,MATCH(946,$S$5:$S$1204,0),14))</f>
        <v/>
      </c>
      <c r="O950" s="15" t="str">
        <f t="array" ref="O950">IF(946&gt;$S$1204,"",INDEX($T$5:$AJ$1204,MATCH(946,$S$5:$S$1204,0),15))</f>
        <v/>
      </c>
      <c r="P950" s="8" t="str">
        <f t="array" ref="P950">IF(946&gt;$S$1204,"",INDEX($T$5:$AJ$1204,MATCH(946,$S$5:$S$1204,0),16))</f>
        <v/>
      </c>
      <c r="Q950" s="8" t="str">
        <f t="array" ref="Q950">IF(946&gt;$S$1204,"",INDEX($T$5:$AJ$1204,MATCH(946,$S$5:$S$1204,0),17))</f>
        <v/>
      </c>
      <c r="R950" s="17"/>
      <c r="S950" s="17">
        <f>S949+IF(M5_Ocupacion!A155="",0,1)</f>
        <v>0</v>
      </c>
      <c r="T950" s="17" t="str">
        <f>IF(M5_Ocupacion!A155="","",IF(M5_Ocupacion!A155="","",M5_Ocupacion!A155))</f>
        <v/>
      </c>
      <c r="U950" s="17" t="str">
        <f>IF(M5_Ocupacion!A155="","",IF(M5_Ocupacion!R155="","",M5_Ocupacion!R155))</f>
        <v/>
      </c>
      <c r="V950" s="17" t="str">
        <f>IF(M5_Ocupacion!A155="","",IF(M5_Ocupacion!D155="","",M5_Ocupacion!D155))</f>
        <v/>
      </c>
      <c r="W950" s="17" t="str">
        <f>IF(M5_Ocupacion!A155="","",IF(M5_Ocupacion!B155="","",M5_Ocupacion!B155))</f>
        <v/>
      </c>
      <c r="X950" s="17" t="str">
        <f>IF(M5_Ocupacion!A155="","",IF(M5_Ocupacion!C155="","",M5_Ocupacion!C155))</f>
        <v/>
      </c>
      <c r="Y950" s="17" t="str">
        <f>IF(M5_Ocupacion!A155="","",IF(M5_Ocupacion!E155="","",M5_Ocupacion!E155))</f>
        <v/>
      </c>
      <c r="Z950" s="17" t="str">
        <f>IF(M5_Ocupacion!A155="","",IF(M5_Ocupacion!F155="","",M5_Ocupacion!F155))</f>
        <v/>
      </c>
      <c r="AA950" s="17" t="str">
        <f>IF(M5_Ocupacion!A155="","","M5 Ocupación")</f>
        <v/>
      </c>
      <c r="AB950" s="17" t="str">
        <f>IF(M5_Ocupacion!A155="","",IF(M5_Ocupacion!G155="","",M5_Ocupacion!G155))</f>
        <v/>
      </c>
      <c r="AC950" s="17" t="str">
        <f>IF(M5_Ocupacion!A155="","",IF(COUNTIFS(M5_Ocupacion!$A$10:A155,M5_Ocupacion!A155,M5_Ocupacion!$D$10:D155,M5_Ocupacion!D155)=1,IF(M5_Ocupacion!M155="","",M5_Ocupacion!M155),""))</f>
        <v/>
      </c>
      <c r="AD950" s="17" t="str">
        <f>IF(M5_Ocupacion!A155="","","MO")</f>
        <v/>
      </c>
      <c r="AE950" s="17" t="str">
        <f>IF(M5_Ocupacion!A155="","",IF(M5_Ocupacion!O155="","",M5_Ocupacion!O155))</f>
        <v/>
      </c>
      <c r="AF950" s="17" t="str">
        <f>IF(M5_Ocupacion!A155="","",IF(M5_Ocupacion!P155="","",M5_Ocupacion!P155))</f>
        <v/>
      </c>
      <c r="AG950" s="17" t="str">
        <f>IF(M5_Ocupacion!A155="","",IF(M5_Ocupacion!Q155="","",M5_Ocupacion!Q155))</f>
        <v/>
      </c>
      <c r="AH950" s="17" t="str">
        <f>IF(M5_Ocupacion!A155="","",IF(M5_Ocupacion!J155="","",M5_Ocupacion!J155))</f>
        <v/>
      </c>
      <c r="AI950" s="17" t="str">
        <f>IF(M5_Ocupacion!A155="","","M5_Ocupacion!155")</f>
        <v/>
      </c>
      <c r="AJ950" s="17" t="str">
        <f>IF(M5_Ocupacion!A155="","",IF(M5_Ocupacion!M155="","Pendiente de medición completa",IF(COUNTIFS(M5_Ocupacion!$A$10:A155,M5_Ocupacion!A155,M5_Ocupacion!$D$10:D155,M5_Ocupacion!D155)=1,"Promedio de la actividad y fecha","Observación incluida en promedio")))</f>
        <v/>
      </c>
    </row>
    <row r="951" spans="1:36" ht="55.5" customHeight="1">
      <c r="A951" s="6" t="str">
        <f t="array" ref="A951">IF(947&gt;$S$1204,"",INDEX($T$5:$AJ$1204,MATCH(947,$S$5:$S$1204,0),1))</f>
        <v/>
      </c>
      <c r="B951" s="8" t="str">
        <f t="array" ref="B951">IF(947&gt;$S$1204,"",INDEX($T$5:$AJ$1204,MATCH(947,$S$5:$S$1204,0),2))</f>
        <v/>
      </c>
      <c r="C951" s="10" t="str">
        <f t="array" ref="C951">IF(947&gt;$S$1204,"",INDEX($T$5:$AJ$1204,MATCH(947,$S$5:$S$1204,0),3))</f>
        <v/>
      </c>
      <c r="D951" s="8" t="str">
        <f t="array" ref="D951">IF(947&gt;$S$1204,"",INDEX($T$5:$AJ$1204,MATCH(947,$S$5:$S$1204,0),4))</f>
        <v/>
      </c>
      <c r="E951" s="8" t="str">
        <f t="array" ref="E951">IF(947&gt;$S$1204,"",INDEX($T$5:$AJ$1204,MATCH(947,$S$5:$S$1204,0),5))</f>
        <v/>
      </c>
      <c r="F951" s="8" t="str">
        <f t="array" ref="F951">IF(947&gt;$S$1204,"",INDEX($T$5:$AJ$1204,MATCH(947,$S$5:$S$1204,0),6))</f>
        <v/>
      </c>
      <c r="G951" s="8" t="str">
        <f t="array" ref="G951">IF(947&gt;$S$1204,"",INDEX($T$5:$AJ$1204,MATCH(947,$S$5:$S$1204,0),7))</f>
        <v/>
      </c>
      <c r="H951" s="8" t="str">
        <f t="array" ref="H951">IF(947&gt;$S$1204,"",INDEX($T$5:$AJ$1204,MATCH(947,$S$5:$S$1204,0),8))</f>
        <v/>
      </c>
      <c r="I951" s="8" t="str">
        <f t="array" ref="I951">IF(947&gt;$S$1204,"",INDEX($T$5:$AJ$1204,MATCH(947,$S$5:$S$1204,0),9))</f>
        <v/>
      </c>
      <c r="J951" s="14" t="str">
        <f t="array" ref="J951">IF(947&gt;$S$1204,"",INDEX($T$5:$AJ$1204,MATCH(947,$S$5:$S$1204,0),10))</f>
        <v/>
      </c>
      <c r="K951" s="8" t="str">
        <f t="array" ref="K951">IF(947&gt;$S$1204,"",INDEX($T$5:$AJ$1204,MATCH(947,$S$5:$S$1204,0),11))</f>
        <v/>
      </c>
      <c r="L951" s="8" t="str">
        <f t="array" ref="L951">IF(947&gt;$S$1204,"",INDEX($T$5:$AJ$1204,MATCH(947,$S$5:$S$1204,0),12))</f>
        <v/>
      </c>
      <c r="M951" s="8" t="str">
        <f t="array" ref="M951">IF(947&gt;$S$1204,"",INDEX($T$5:$AJ$1204,MATCH(947,$S$5:$S$1204,0),13))</f>
        <v/>
      </c>
      <c r="N951" s="8" t="str">
        <f t="array" ref="N951">IF(947&gt;$S$1204,"",INDEX($T$5:$AJ$1204,MATCH(947,$S$5:$S$1204,0),14))</f>
        <v/>
      </c>
      <c r="O951" s="15" t="str">
        <f t="array" ref="O951">IF(947&gt;$S$1204,"",INDEX($T$5:$AJ$1204,MATCH(947,$S$5:$S$1204,0),15))</f>
        <v/>
      </c>
      <c r="P951" s="8" t="str">
        <f t="array" ref="P951">IF(947&gt;$S$1204,"",INDEX($T$5:$AJ$1204,MATCH(947,$S$5:$S$1204,0),16))</f>
        <v/>
      </c>
      <c r="Q951" s="8" t="str">
        <f t="array" ref="Q951">IF(947&gt;$S$1204,"",INDEX($T$5:$AJ$1204,MATCH(947,$S$5:$S$1204,0),17))</f>
        <v/>
      </c>
      <c r="R951" s="17"/>
      <c r="S951" s="17">
        <f>S950+IF(M5_Ocupacion!A156="",0,1)</f>
        <v>0</v>
      </c>
      <c r="T951" s="17" t="str">
        <f>IF(M5_Ocupacion!A156="","",IF(M5_Ocupacion!A156="","",M5_Ocupacion!A156))</f>
        <v/>
      </c>
      <c r="U951" s="17" t="str">
        <f>IF(M5_Ocupacion!A156="","",IF(M5_Ocupacion!R156="","",M5_Ocupacion!R156))</f>
        <v/>
      </c>
      <c r="V951" s="17" t="str">
        <f>IF(M5_Ocupacion!A156="","",IF(M5_Ocupacion!D156="","",M5_Ocupacion!D156))</f>
        <v/>
      </c>
      <c r="W951" s="17" t="str">
        <f>IF(M5_Ocupacion!A156="","",IF(M5_Ocupacion!B156="","",M5_Ocupacion!B156))</f>
        <v/>
      </c>
      <c r="X951" s="17" t="str">
        <f>IF(M5_Ocupacion!A156="","",IF(M5_Ocupacion!C156="","",M5_Ocupacion!C156))</f>
        <v/>
      </c>
      <c r="Y951" s="17" t="str">
        <f>IF(M5_Ocupacion!A156="","",IF(M5_Ocupacion!E156="","",M5_Ocupacion!E156))</f>
        <v/>
      </c>
      <c r="Z951" s="17" t="str">
        <f>IF(M5_Ocupacion!A156="","",IF(M5_Ocupacion!F156="","",M5_Ocupacion!F156))</f>
        <v/>
      </c>
      <c r="AA951" s="17" t="str">
        <f>IF(M5_Ocupacion!A156="","","M5 Ocupación")</f>
        <v/>
      </c>
      <c r="AB951" s="17" t="str">
        <f>IF(M5_Ocupacion!A156="","",IF(M5_Ocupacion!G156="","",M5_Ocupacion!G156))</f>
        <v/>
      </c>
      <c r="AC951" s="17" t="str">
        <f>IF(M5_Ocupacion!A156="","",IF(COUNTIFS(M5_Ocupacion!$A$10:A156,M5_Ocupacion!A156,M5_Ocupacion!$D$10:D156,M5_Ocupacion!D156)=1,IF(M5_Ocupacion!M156="","",M5_Ocupacion!M156),""))</f>
        <v/>
      </c>
      <c r="AD951" s="17" t="str">
        <f>IF(M5_Ocupacion!A156="","","MO")</f>
        <v/>
      </c>
      <c r="AE951" s="17" t="str">
        <f>IF(M5_Ocupacion!A156="","",IF(M5_Ocupacion!O156="","",M5_Ocupacion!O156))</f>
        <v/>
      </c>
      <c r="AF951" s="17" t="str">
        <f>IF(M5_Ocupacion!A156="","",IF(M5_Ocupacion!P156="","",M5_Ocupacion!P156))</f>
        <v/>
      </c>
      <c r="AG951" s="17" t="str">
        <f>IF(M5_Ocupacion!A156="","",IF(M5_Ocupacion!Q156="","",M5_Ocupacion!Q156))</f>
        <v/>
      </c>
      <c r="AH951" s="17" t="str">
        <f>IF(M5_Ocupacion!A156="","",IF(M5_Ocupacion!J156="","",M5_Ocupacion!J156))</f>
        <v/>
      </c>
      <c r="AI951" s="17" t="str">
        <f>IF(M5_Ocupacion!A156="","","M5_Ocupacion!156")</f>
        <v/>
      </c>
      <c r="AJ951" s="17" t="str">
        <f>IF(M5_Ocupacion!A156="","",IF(M5_Ocupacion!M156="","Pendiente de medición completa",IF(COUNTIFS(M5_Ocupacion!$A$10:A156,M5_Ocupacion!A156,M5_Ocupacion!$D$10:D156,M5_Ocupacion!D156)=1,"Promedio de la actividad y fecha","Observación incluida en promedio")))</f>
        <v/>
      </c>
    </row>
    <row r="952" spans="1:36" ht="55.5" customHeight="1">
      <c r="A952" s="6" t="str">
        <f t="array" ref="A952">IF(948&gt;$S$1204,"",INDEX($T$5:$AJ$1204,MATCH(948,$S$5:$S$1204,0),1))</f>
        <v/>
      </c>
      <c r="B952" s="8" t="str">
        <f t="array" ref="B952">IF(948&gt;$S$1204,"",INDEX($T$5:$AJ$1204,MATCH(948,$S$5:$S$1204,0),2))</f>
        <v/>
      </c>
      <c r="C952" s="10" t="str">
        <f t="array" ref="C952">IF(948&gt;$S$1204,"",INDEX($T$5:$AJ$1204,MATCH(948,$S$5:$S$1204,0),3))</f>
        <v/>
      </c>
      <c r="D952" s="8" t="str">
        <f t="array" ref="D952">IF(948&gt;$S$1204,"",INDEX($T$5:$AJ$1204,MATCH(948,$S$5:$S$1204,0),4))</f>
        <v/>
      </c>
      <c r="E952" s="8" t="str">
        <f t="array" ref="E952">IF(948&gt;$S$1204,"",INDEX($T$5:$AJ$1204,MATCH(948,$S$5:$S$1204,0),5))</f>
        <v/>
      </c>
      <c r="F952" s="8" t="str">
        <f t="array" ref="F952">IF(948&gt;$S$1204,"",INDEX($T$5:$AJ$1204,MATCH(948,$S$5:$S$1204,0),6))</f>
        <v/>
      </c>
      <c r="G952" s="8" t="str">
        <f t="array" ref="G952">IF(948&gt;$S$1204,"",INDEX($T$5:$AJ$1204,MATCH(948,$S$5:$S$1204,0),7))</f>
        <v/>
      </c>
      <c r="H952" s="8" t="str">
        <f t="array" ref="H952">IF(948&gt;$S$1204,"",INDEX($T$5:$AJ$1204,MATCH(948,$S$5:$S$1204,0),8))</f>
        <v/>
      </c>
      <c r="I952" s="8" t="str">
        <f t="array" ref="I952">IF(948&gt;$S$1204,"",INDEX($T$5:$AJ$1204,MATCH(948,$S$5:$S$1204,0),9))</f>
        <v/>
      </c>
      <c r="J952" s="14" t="str">
        <f t="array" ref="J952">IF(948&gt;$S$1204,"",INDEX($T$5:$AJ$1204,MATCH(948,$S$5:$S$1204,0),10))</f>
        <v/>
      </c>
      <c r="K952" s="8" t="str">
        <f t="array" ref="K952">IF(948&gt;$S$1204,"",INDEX($T$5:$AJ$1204,MATCH(948,$S$5:$S$1204,0),11))</f>
        <v/>
      </c>
      <c r="L952" s="8" t="str">
        <f t="array" ref="L952">IF(948&gt;$S$1204,"",INDEX($T$5:$AJ$1204,MATCH(948,$S$5:$S$1204,0),12))</f>
        <v/>
      </c>
      <c r="M952" s="8" t="str">
        <f t="array" ref="M952">IF(948&gt;$S$1204,"",INDEX($T$5:$AJ$1204,MATCH(948,$S$5:$S$1204,0),13))</f>
        <v/>
      </c>
      <c r="N952" s="8" t="str">
        <f t="array" ref="N952">IF(948&gt;$S$1204,"",INDEX($T$5:$AJ$1204,MATCH(948,$S$5:$S$1204,0),14))</f>
        <v/>
      </c>
      <c r="O952" s="15" t="str">
        <f t="array" ref="O952">IF(948&gt;$S$1204,"",INDEX($T$5:$AJ$1204,MATCH(948,$S$5:$S$1204,0),15))</f>
        <v/>
      </c>
      <c r="P952" s="8" t="str">
        <f t="array" ref="P952">IF(948&gt;$S$1204,"",INDEX($T$5:$AJ$1204,MATCH(948,$S$5:$S$1204,0),16))</f>
        <v/>
      </c>
      <c r="Q952" s="8" t="str">
        <f t="array" ref="Q952">IF(948&gt;$S$1204,"",INDEX($T$5:$AJ$1204,MATCH(948,$S$5:$S$1204,0),17))</f>
        <v/>
      </c>
      <c r="R952" s="17"/>
      <c r="S952" s="17">
        <f>S951+IF(M5_Ocupacion!A157="",0,1)</f>
        <v>0</v>
      </c>
      <c r="T952" s="17" t="str">
        <f>IF(M5_Ocupacion!A157="","",IF(M5_Ocupacion!A157="","",M5_Ocupacion!A157))</f>
        <v/>
      </c>
      <c r="U952" s="17" t="str">
        <f>IF(M5_Ocupacion!A157="","",IF(M5_Ocupacion!R157="","",M5_Ocupacion!R157))</f>
        <v/>
      </c>
      <c r="V952" s="17" t="str">
        <f>IF(M5_Ocupacion!A157="","",IF(M5_Ocupacion!D157="","",M5_Ocupacion!D157))</f>
        <v/>
      </c>
      <c r="W952" s="17" t="str">
        <f>IF(M5_Ocupacion!A157="","",IF(M5_Ocupacion!B157="","",M5_Ocupacion!B157))</f>
        <v/>
      </c>
      <c r="X952" s="17" t="str">
        <f>IF(M5_Ocupacion!A157="","",IF(M5_Ocupacion!C157="","",M5_Ocupacion!C157))</f>
        <v/>
      </c>
      <c r="Y952" s="17" t="str">
        <f>IF(M5_Ocupacion!A157="","",IF(M5_Ocupacion!E157="","",M5_Ocupacion!E157))</f>
        <v/>
      </c>
      <c r="Z952" s="17" t="str">
        <f>IF(M5_Ocupacion!A157="","",IF(M5_Ocupacion!F157="","",M5_Ocupacion!F157))</f>
        <v/>
      </c>
      <c r="AA952" s="17" t="str">
        <f>IF(M5_Ocupacion!A157="","","M5 Ocupación")</f>
        <v/>
      </c>
      <c r="AB952" s="17" t="str">
        <f>IF(M5_Ocupacion!A157="","",IF(M5_Ocupacion!G157="","",M5_Ocupacion!G157))</f>
        <v/>
      </c>
      <c r="AC952" s="17" t="str">
        <f>IF(M5_Ocupacion!A157="","",IF(COUNTIFS(M5_Ocupacion!$A$10:A157,M5_Ocupacion!A157,M5_Ocupacion!$D$10:D157,M5_Ocupacion!D157)=1,IF(M5_Ocupacion!M157="","",M5_Ocupacion!M157),""))</f>
        <v/>
      </c>
      <c r="AD952" s="17" t="str">
        <f>IF(M5_Ocupacion!A157="","","MO")</f>
        <v/>
      </c>
      <c r="AE952" s="17" t="str">
        <f>IF(M5_Ocupacion!A157="","",IF(M5_Ocupacion!O157="","",M5_Ocupacion!O157))</f>
        <v/>
      </c>
      <c r="AF952" s="17" t="str">
        <f>IF(M5_Ocupacion!A157="","",IF(M5_Ocupacion!P157="","",M5_Ocupacion!P157))</f>
        <v/>
      </c>
      <c r="AG952" s="17" t="str">
        <f>IF(M5_Ocupacion!A157="","",IF(M5_Ocupacion!Q157="","",M5_Ocupacion!Q157))</f>
        <v/>
      </c>
      <c r="AH952" s="17" t="str">
        <f>IF(M5_Ocupacion!A157="","",IF(M5_Ocupacion!J157="","",M5_Ocupacion!J157))</f>
        <v/>
      </c>
      <c r="AI952" s="17" t="str">
        <f>IF(M5_Ocupacion!A157="","","M5_Ocupacion!157")</f>
        <v/>
      </c>
      <c r="AJ952" s="17" t="str">
        <f>IF(M5_Ocupacion!A157="","",IF(M5_Ocupacion!M157="","Pendiente de medición completa",IF(COUNTIFS(M5_Ocupacion!$A$10:A157,M5_Ocupacion!A157,M5_Ocupacion!$D$10:D157,M5_Ocupacion!D157)=1,"Promedio de la actividad y fecha","Observación incluida en promedio")))</f>
        <v/>
      </c>
    </row>
    <row r="953" spans="1:36" ht="55.5" customHeight="1">
      <c r="A953" s="6" t="str">
        <f t="array" ref="A953">IF(949&gt;$S$1204,"",INDEX($T$5:$AJ$1204,MATCH(949,$S$5:$S$1204,0),1))</f>
        <v/>
      </c>
      <c r="B953" s="8" t="str">
        <f t="array" ref="B953">IF(949&gt;$S$1204,"",INDEX($T$5:$AJ$1204,MATCH(949,$S$5:$S$1204,0),2))</f>
        <v/>
      </c>
      <c r="C953" s="10" t="str">
        <f t="array" ref="C953">IF(949&gt;$S$1204,"",INDEX($T$5:$AJ$1204,MATCH(949,$S$5:$S$1204,0),3))</f>
        <v/>
      </c>
      <c r="D953" s="8" t="str">
        <f t="array" ref="D953">IF(949&gt;$S$1204,"",INDEX($T$5:$AJ$1204,MATCH(949,$S$5:$S$1204,0),4))</f>
        <v/>
      </c>
      <c r="E953" s="8" t="str">
        <f t="array" ref="E953">IF(949&gt;$S$1204,"",INDEX($T$5:$AJ$1204,MATCH(949,$S$5:$S$1204,0),5))</f>
        <v/>
      </c>
      <c r="F953" s="8" t="str">
        <f t="array" ref="F953">IF(949&gt;$S$1204,"",INDEX($T$5:$AJ$1204,MATCH(949,$S$5:$S$1204,0),6))</f>
        <v/>
      </c>
      <c r="G953" s="8" t="str">
        <f t="array" ref="G953">IF(949&gt;$S$1204,"",INDEX($T$5:$AJ$1204,MATCH(949,$S$5:$S$1204,0),7))</f>
        <v/>
      </c>
      <c r="H953" s="8" t="str">
        <f t="array" ref="H953">IF(949&gt;$S$1204,"",INDEX($T$5:$AJ$1204,MATCH(949,$S$5:$S$1204,0),8))</f>
        <v/>
      </c>
      <c r="I953" s="8" t="str">
        <f t="array" ref="I953">IF(949&gt;$S$1204,"",INDEX($T$5:$AJ$1204,MATCH(949,$S$5:$S$1204,0),9))</f>
        <v/>
      </c>
      <c r="J953" s="14" t="str">
        <f t="array" ref="J953">IF(949&gt;$S$1204,"",INDEX($T$5:$AJ$1204,MATCH(949,$S$5:$S$1204,0),10))</f>
        <v/>
      </c>
      <c r="K953" s="8" t="str">
        <f t="array" ref="K953">IF(949&gt;$S$1204,"",INDEX($T$5:$AJ$1204,MATCH(949,$S$5:$S$1204,0),11))</f>
        <v/>
      </c>
      <c r="L953" s="8" t="str">
        <f t="array" ref="L953">IF(949&gt;$S$1204,"",INDEX($T$5:$AJ$1204,MATCH(949,$S$5:$S$1204,0),12))</f>
        <v/>
      </c>
      <c r="M953" s="8" t="str">
        <f t="array" ref="M953">IF(949&gt;$S$1204,"",INDEX($T$5:$AJ$1204,MATCH(949,$S$5:$S$1204,0),13))</f>
        <v/>
      </c>
      <c r="N953" s="8" t="str">
        <f t="array" ref="N953">IF(949&gt;$S$1204,"",INDEX($T$5:$AJ$1204,MATCH(949,$S$5:$S$1204,0),14))</f>
        <v/>
      </c>
      <c r="O953" s="15" t="str">
        <f t="array" ref="O953">IF(949&gt;$S$1204,"",INDEX($T$5:$AJ$1204,MATCH(949,$S$5:$S$1204,0),15))</f>
        <v/>
      </c>
      <c r="P953" s="8" t="str">
        <f t="array" ref="P953">IF(949&gt;$S$1204,"",INDEX($T$5:$AJ$1204,MATCH(949,$S$5:$S$1204,0),16))</f>
        <v/>
      </c>
      <c r="Q953" s="8" t="str">
        <f t="array" ref="Q953">IF(949&gt;$S$1204,"",INDEX($T$5:$AJ$1204,MATCH(949,$S$5:$S$1204,0),17))</f>
        <v/>
      </c>
      <c r="R953" s="17"/>
      <c r="S953" s="17">
        <f>S952+IF(M5_Ocupacion!A158="",0,1)</f>
        <v>0</v>
      </c>
      <c r="T953" s="17" t="str">
        <f>IF(M5_Ocupacion!A158="","",IF(M5_Ocupacion!A158="","",M5_Ocupacion!A158))</f>
        <v/>
      </c>
      <c r="U953" s="17" t="str">
        <f>IF(M5_Ocupacion!A158="","",IF(M5_Ocupacion!R158="","",M5_Ocupacion!R158))</f>
        <v/>
      </c>
      <c r="V953" s="17" t="str">
        <f>IF(M5_Ocupacion!A158="","",IF(M5_Ocupacion!D158="","",M5_Ocupacion!D158))</f>
        <v/>
      </c>
      <c r="W953" s="17" t="str">
        <f>IF(M5_Ocupacion!A158="","",IF(M5_Ocupacion!B158="","",M5_Ocupacion!B158))</f>
        <v/>
      </c>
      <c r="X953" s="17" t="str">
        <f>IF(M5_Ocupacion!A158="","",IF(M5_Ocupacion!C158="","",M5_Ocupacion!C158))</f>
        <v/>
      </c>
      <c r="Y953" s="17" t="str">
        <f>IF(M5_Ocupacion!A158="","",IF(M5_Ocupacion!E158="","",M5_Ocupacion!E158))</f>
        <v/>
      </c>
      <c r="Z953" s="17" t="str">
        <f>IF(M5_Ocupacion!A158="","",IF(M5_Ocupacion!F158="","",M5_Ocupacion!F158))</f>
        <v/>
      </c>
      <c r="AA953" s="17" t="str">
        <f>IF(M5_Ocupacion!A158="","","M5 Ocupación")</f>
        <v/>
      </c>
      <c r="AB953" s="17" t="str">
        <f>IF(M5_Ocupacion!A158="","",IF(M5_Ocupacion!G158="","",M5_Ocupacion!G158))</f>
        <v/>
      </c>
      <c r="AC953" s="17" t="str">
        <f>IF(M5_Ocupacion!A158="","",IF(COUNTIFS(M5_Ocupacion!$A$10:A158,M5_Ocupacion!A158,M5_Ocupacion!$D$10:D158,M5_Ocupacion!D158)=1,IF(M5_Ocupacion!M158="","",M5_Ocupacion!M158),""))</f>
        <v/>
      </c>
      <c r="AD953" s="17" t="str">
        <f>IF(M5_Ocupacion!A158="","","MO")</f>
        <v/>
      </c>
      <c r="AE953" s="17" t="str">
        <f>IF(M5_Ocupacion!A158="","",IF(M5_Ocupacion!O158="","",M5_Ocupacion!O158))</f>
        <v/>
      </c>
      <c r="AF953" s="17" t="str">
        <f>IF(M5_Ocupacion!A158="","",IF(M5_Ocupacion!P158="","",M5_Ocupacion!P158))</f>
        <v/>
      </c>
      <c r="AG953" s="17" t="str">
        <f>IF(M5_Ocupacion!A158="","",IF(M5_Ocupacion!Q158="","",M5_Ocupacion!Q158))</f>
        <v/>
      </c>
      <c r="AH953" s="17" t="str">
        <f>IF(M5_Ocupacion!A158="","",IF(M5_Ocupacion!J158="","",M5_Ocupacion!J158))</f>
        <v/>
      </c>
      <c r="AI953" s="17" t="str">
        <f>IF(M5_Ocupacion!A158="","","M5_Ocupacion!158")</f>
        <v/>
      </c>
      <c r="AJ953" s="17" t="str">
        <f>IF(M5_Ocupacion!A158="","",IF(M5_Ocupacion!M158="","Pendiente de medición completa",IF(COUNTIFS(M5_Ocupacion!$A$10:A158,M5_Ocupacion!A158,M5_Ocupacion!$D$10:D158,M5_Ocupacion!D158)=1,"Promedio de la actividad y fecha","Observación incluida en promedio")))</f>
        <v/>
      </c>
    </row>
    <row r="954" spans="1:36" ht="55.5" customHeight="1">
      <c r="A954" s="6" t="str">
        <f t="array" ref="A954">IF(950&gt;$S$1204,"",INDEX($T$5:$AJ$1204,MATCH(950,$S$5:$S$1204,0),1))</f>
        <v/>
      </c>
      <c r="B954" s="8" t="str">
        <f t="array" ref="B954">IF(950&gt;$S$1204,"",INDEX($T$5:$AJ$1204,MATCH(950,$S$5:$S$1204,0),2))</f>
        <v/>
      </c>
      <c r="C954" s="10" t="str">
        <f t="array" ref="C954">IF(950&gt;$S$1204,"",INDEX($T$5:$AJ$1204,MATCH(950,$S$5:$S$1204,0),3))</f>
        <v/>
      </c>
      <c r="D954" s="8" t="str">
        <f t="array" ref="D954">IF(950&gt;$S$1204,"",INDEX($T$5:$AJ$1204,MATCH(950,$S$5:$S$1204,0),4))</f>
        <v/>
      </c>
      <c r="E954" s="8" t="str">
        <f t="array" ref="E954">IF(950&gt;$S$1204,"",INDEX($T$5:$AJ$1204,MATCH(950,$S$5:$S$1204,0),5))</f>
        <v/>
      </c>
      <c r="F954" s="8" t="str">
        <f t="array" ref="F954">IF(950&gt;$S$1204,"",INDEX($T$5:$AJ$1204,MATCH(950,$S$5:$S$1204,0),6))</f>
        <v/>
      </c>
      <c r="G954" s="8" t="str">
        <f t="array" ref="G954">IF(950&gt;$S$1204,"",INDEX($T$5:$AJ$1204,MATCH(950,$S$5:$S$1204,0),7))</f>
        <v/>
      </c>
      <c r="H954" s="8" t="str">
        <f t="array" ref="H954">IF(950&gt;$S$1204,"",INDEX($T$5:$AJ$1204,MATCH(950,$S$5:$S$1204,0),8))</f>
        <v/>
      </c>
      <c r="I954" s="8" t="str">
        <f t="array" ref="I954">IF(950&gt;$S$1204,"",INDEX($T$5:$AJ$1204,MATCH(950,$S$5:$S$1204,0),9))</f>
        <v/>
      </c>
      <c r="J954" s="14" t="str">
        <f t="array" ref="J954">IF(950&gt;$S$1204,"",INDEX($T$5:$AJ$1204,MATCH(950,$S$5:$S$1204,0),10))</f>
        <v/>
      </c>
      <c r="K954" s="8" t="str">
        <f t="array" ref="K954">IF(950&gt;$S$1204,"",INDEX($T$5:$AJ$1204,MATCH(950,$S$5:$S$1204,0),11))</f>
        <v/>
      </c>
      <c r="L954" s="8" t="str">
        <f t="array" ref="L954">IF(950&gt;$S$1204,"",INDEX($T$5:$AJ$1204,MATCH(950,$S$5:$S$1204,0),12))</f>
        <v/>
      </c>
      <c r="M954" s="8" t="str">
        <f t="array" ref="M954">IF(950&gt;$S$1204,"",INDEX($T$5:$AJ$1204,MATCH(950,$S$5:$S$1204,0),13))</f>
        <v/>
      </c>
      <c r="N954" s="8" t="str">
        <f t="array" ref="N954">IF(950&gt;$S$1204,"",INDEX($T$5:$AJ$1204,MATCH(950,$S$5:$S$1204,0),14))</f>
        <v/>
      </c>
      <c r="O954" s="15" t="str">
        <f t="array" ref="O954">IF(950&gt;$S$1204,"",INDEX($T$5:$AJ$1204,MATCH(950,$S$5:$S$1204,0),15))</f>
        <v/>
      </c>
      <c r="P954" s="8" t="str">
        <f t="array" ref="P954">IF(950&gt;$S$1204,"",INDEX($T$5:$AJ$1204,MATCH(950,$S$5:$S$1204,0),16))</f>
        <v/>
      </c>
      <c r="Q954" s="8" t="str">
        <f t="array" ref="Q954">IF(950&gt;$S$1204,"",INDEX($T$5:$AJ$1204,MATCH(950,$S$5:$S$1204,0),17))</f>
        <v/>
      </c>
      <c r="R954" s="17"/>
      <c r="S954" s="17">
        <f>S953+IF(M5_Ocupacion!A159="",0,1)</f>
        <v>0</v>
      </c>
      <c r="T954" s="17" t="str">
        <f>IF(M5_Ocupacion!A159="","",IF(M5_Ocupacion!A159="","",M5_Ocupacion!A159))</f>
        <v/>
      </c>
      <c r="U954" s="17" t="str">
        <f>IF(M5_Ocupacion!A159="","",IF(M5_Ocupacion!R159="","",M5_Ocupacion!R159))</f>
        <v/>
      </c>
      <c r="V954" s="17" t="str">
        <f>IF(M5_Ocupacion!A159="","",IF(M5_Ocupacion!D159="","",M5_Ocupacion!D159))</f>
        <v/>
      </c>
      <c r="W954" s="17" t="str">
        <f>IF(M5_Ocupacion!A159="","",IF(M5_Ocupacion!B159="","",M5_Ocupacion!B159))</f>
        <v/>
      </c>
      <c r="X954" s="17" t="str">
        <f>IF(M5_Ocupacion!A159="","",IF(M5_Ocupacion!C159="","",M5_Ocupacion!C159))</f>
        <v/>
      </c>
      <c r="Y954" s="17" t="str">
        <f>IF(M5_Ocupacion!A159="","",IF(M5_Ocupacion!E159="","",M5_Ocupacion!E159))</f>
        <v/>
      </c>
      <c r="Z954" s="17" t="str">
        <f>IF(M5_Ocupacion!A159="","",IF(M5_Ocupacion!F159="","",M5_Ocupacion!F159))</f>
        <v/>
      </c>
      <c r="AA954" s="17" t="str">
        <f>IF(M5_Ocupacion!A159="","","M5 Ocupación")</f>
        <v/>
      </c>
      <c r="AB954" s="17" t="str">
        <f>IF(M5_Ocupacion!A159="","",IF(M5_Ocupacion!G159="","",M5_Ocupacion!G159))</f>
        <v/>
      </c>
      <c r="AC954" s="17" t="str">
        <f>IF(M5_Ocupacion!A159="","",IF(COUNTIFS(M5_Ocupacion!$A$10:A159,M5_Ocupacion!A159,M5_Ocupacion!$D$10:D159,M5_Ocupacion!D159)=1,IF(M5_Ocupacion!M159="","",M5_Ocupacion!M159),""))</f>
        <v/>
      </c>
      <c r="AD954" s="17" t="str">
        <f>IF(M5_Ocupacion!A159="","","MO")</f>
        <v/>
      </c>
      <c r="AE954" s="17" t="str">
        <f>IF(M5_Ocupacion!A159="","",IF(M5_Ocupacion!O159="","",M5_Ocupacion!O159))</f>
        <v/>
      </c>
      <c r="AF954" s="17" t="str">
        <f>IF(M5_Ocupacion!A159="","",IF(M5_Ocupacion!P159="","",M5_Ocupacion!P159))</f>
        <v/>
      </c>
      <c r="AG954" s="17" t="str">
        <f>IF(M5_Ocupacion!A159="","",IF(M5_Ocupacion!Q159="","",M5_Ocupacion!Q159))</f>
        <v/>
      </c>
      <c r="AH954" s="17" t="str">
        <f>IF(M5_Ocupacion!A159="","",IF(M5_Ocupacion!J159="","",M5_Ocupacion!J159))</f>
        <v/>
      </c>
      <c r="AI954" s="17" t="str">
        <f>IF(M5_Ocupacion!A159="","","M5_Ocupacion!159")</f>
        <v/>
      </c>
      <c r="AJ954" s="17" t="str">
        <f>IF(M5_Ocupacion!A159="","",IF(M5_Ocupacion!M159="","Pendiente de medición completa",IF(COUNTIFS(M5_Ocupacion!$A$10:A159,M5_Ocupacion!A159,M5_Ocupacion!$D$10:D159,M5_Ocupacion!D159)=1,"Promedio de la actividad y fecha","Observación incluida en promedio")))</f>
        <v/>
      </c>
    </row>
    <row r="955" spans="1:36" ht="55.5" customHeight="1">
      <c r="A955" s="6" t="str">
        <f t="array" ref="A955">IF(951&gt;$S$1204,"",INDEX($T$5:$AJ$1204,MATCH(951,$S$5:$S$1204,0),1))</f>
        <v/>
      </c>
      <c r="B955" s="8" t="str">
        <f t="array" ref="B955">IF(951&gt;$S$1204,"",INDEX($T$5:$AJ$1204,MATCH(951,$S$5:$S$1204,0),2))</f>
        <v/>
      </c>
      <c r="C955" s="10" t="str">
        <f t="array" ref="C955">IF(951&gt;$S$1204,"",INDEX($T$5:$AJ$1204,MATCH(951,$S$5:$S$1204,0),3))</f>
        <v/>
      </c>
      <c r="D955" s="8" t="str">
        <f t="array" ref="D955">IF(951&gt;$S$1204,"",INDEX($T$5:$AJ$1204,MATCH(951,$S$5:$S$1204,0),4))</f>
        <v/>
      </c>
      <c r="E955" s="8" t="str">
        <f t="array" ref="E955">IF(951&gt;$S$1204,"",INDEX($T$5:$AJ$1204,MATCH(951,$S$5:$S$1204,0),5))</f>
        <v/>
      </c>
      <c r="F955" s="8" t="str">
        <f t="array" ref="F955">IF(951&gt;$S$1204,"",INDEX($T$5:$AJ$1204,MATCH(951,$S$5:$S$1204,0),6))</f>
        <v/>
      </c>
      <c r="G955" s="8" t="str">
        <f t="array" ref="G955">IF(951&gt;$S$1204,"",INDEX($T$5:$AJ$1204,MATCH(951,$S$5:$S$1204,0),7))</f>
        <v/>
      </c>
      <c r="H955" s="8" t="str">
        <f t="array" ref="H955">IF(951&gt;$S$1204,"",INDEX($T$5:$AJ$1204,MATCH(951,$S$5:$S$1204,0),8))</f>
        <v/>
      </c>
      <c r="I955" s="8" t="str">
        <f t="array" ref="I955">IF(951&gt;$S$1204,"",INDEX($T$5:$AJ$1204,MATCH(951,$S$5:$S$1204,0),9))</f>
        <v/>
      </c>
      <c r="J955" s="14" t="str">
        <f t="array" ref="J955">IF(951&gt;$S$1204,"",INDEX($T$5:$AJ$1204,MATCH(951,$S$5:$S$1204,0),10))</f>
        <v/>
      </c>
      <c r="K955" s="8" t="str">
        <f t="array" ref="K955">IF(951&gt;$S$1204,"",INDEX($T$5:$AJ$1204,MATCH(951,$S$5:$S$1204,0),11))</f>
        <v/>
      </c>
      <c r="L955" s="8" t="str">
        <f t="array" ref="L955">IF(951&gt;$S$1204,"",INDEX($T$5:$AJ$1204,MATCH(951,$S$5:$S$1204,0),12))</f>
        <v/>
      </c>
      <c r="M955" s="8" t="str">
        <f t="array" ref="M955">IF(951&gt;$S$1204,"",INDEX($T$5:$AJ$1204,MATCH(951,$S$5:$S$1204,0),13))</f>
        <v/>
      </c>
      <c r="N955" s="8" t="str">
        <f t="array" ref="N955">IF(951&gt;$S$1204,"",INDEX($T$5:$AJ$1204,MATCH(951,$S$5:$S$1204,0),14))</f>
        <v/>
      </c>
      <c r="O955" s="15" t="str">
        <f t="array" ref="O955">IF(951&gt;$S$1204,"",INDEX($T$5:$AJ$1204,MATCH(951,$S$5:$S$1204,0),15))</f>
        <v/>
      </c>
      <c r="P955" s="8" t="str">
        <f t="array" ref="P955">IF(951&gt;$S$1204,"",INDEX($T$5:$AJ$1204,MATCH(951,$S$5:$S$1204,0),16))</f>
        <v/>
      </c>
      <c r="Q955" s="8" t="str">
        <f t="array" ref="Q955">IF(951&gt;$S$1204,"",INDEX($T$5:$AJ$1204,MATCH(951,$S$5:$S$1204,0),17))</f>
        <v/>
      </c>
      <c r="R955" s="17"/>
      <c r="S955" s="17">
        <f>S954+IF(M5_Ocupacion!A160="",0,1)</f>
        <v>0</v>
      </c>
      <c r="T955" s="17" t="str">
        <f>IF(M5_Ocupacion!A160="","",IF(M5_Ocupacion!A160="","",M5_Ocupacion!A160))</f>
        <v/>
      </c>
      <c r="U955" s="17" t="str">
        <f>IF(M5_Ocupacion!A160="","",IF(M5_Ocupacion!R160="","",M5_Ocupacion!R160))</f>
        <v/>
      </c>
      <c r="V955" s="17" t="str">
        <f>IF(M5_Ocupacion!A160="","",IF(M5_Ocupacion!D160="","",M5_Ocupacion!D160))</f>
        <v/>
      </c>
      <c r="W955" s="17" t="str">
        <f>IF(M5_Ocupacion!A160="","",IF(M5_Ocupacion!B160="","",M5_Ocupacion!B160))</f>
        <v/>
      </c>
      <c r="X955" s="17" t="str">
        <f>IF(M5_Ocupacion!A160="","",IF(M5_Ocupacion!C160="","",M5_Ocupacion!C160))</f>
        <v/>
      </c>
      <c r="Y955" s="17" t="str">
        <f>IF(M5_Ocupacion!A160="","",IF(M5_Ocupacion!E160="","",M5_Ocupacion!E160))</f>
        <v/>
      </c>
      <c r="Z955" s="17" t="str">
        <f>IF(M5_Ocupacion!A160="","",IF(M5_Ocupacion!F160="","",M5_Ocupacion!F160))</f>
        <v/>
      </c>
      <c r="AA955" s="17" t="str">
        <f>IF(M5_Ocupacion!A160="","","M5 Ocupación")</f>
        <v/>
      </c>
      <c r="AB955" s="17" t="str">
        <f>IF(M5_Ocupacion!A160="","",IF(M5_Ocupacion!G160="","",M5_Ocupacion!G160))</f>
        <v/>
      </c>
      <c r="AC955" s="17" t="str">
        <f>IF(M5_Ocupacion!A160="","",IF(COUNTIFS(M5_Ocupacion!$A$10:A160,M5_Ocupacion!A160,M5_Ocupacion!$D$10:D160,M5_Ocupacion!D160)=1,IF(M5_Ocupacion!M160="","",M5_Ocupacion!M160),""))</f>
        <v/>
      </c>
      <c r="AD955" s="17" t="str">
        <f>IF(M5_Ocupacion!A160="","","MO")</f>
        <v/>
      </c>
      <c r="AE955" s="17" t="str">
        <f>IF(M5_Ocupacion!A160="","",IF(M5_Ocupacion!O160="","",M5_Ocupacion!O160))</f>
        <v/>
      </c>
      <c r="AF955" s="17" t="str">
        <f>IF(M5_Ocupacion!A160="","",IF(M5_Ocupacion!P160="","",M5_Ocupacion!P160))</f>
        <v/>
      </c>
      <c r="AG955" s="17" t="str">
        <f>IF(M5_Ocupacion!A160="","",IF(M5_Ocupacion!Q160="","",M5_Ocupacion!Q160))</f>
        <v/>
      </c>
      <c r="AH955" s="17" t="str">
        <f>IF(M5_Ocupacion!A160="","",IF(M5_Ocupacion!J160="","",M5_Ocupacion!J160))</f>
        <v/>
      </c>
      <c r="AI955" s="17" t="str">
        <f>IF(M5_Ocupacion!A160="","","M5_Ocupacion!160")</f>
        <v/>
      </c>
      <c r="AJ955" s="17" t="str">
        <f>IF(M5_Ocupacion!A160="","",IF(M5_Ocupacion!M160="","Pendiente de medición completa",IF(COUNTIFS(M5_Ocupacion!$A$10:A160,M5_Ocupacion!A160,M5_Ocupacion!$D$10:D160,M5_Ocupacion!D160)=1,"Promedio de la actividad y fecha","Observación incluida en promedio")))</f>
        <v/>
      </c>
    </row>
    <row r="956" spans="1:36" ht="55.5" customHeight="1">
      <c r="A956" s="6" t="str">
        <f t="array" ref="A956">IF(952&gt;$S$1204,"",INDEX($T$5:$AJ$1204,MATCH(952,$S$5:$S$1204,0),1))</f>
        <v/>
      </c>
      <c r="B956" s="8" t="str">
        <f t="array" ref="B956">IF(952&gt;$S$1204,"",INDEX($T$5:$AJ$1204,MATCH(952,$S$5:$S$1204,0),2))</f>
        <v/>
      </c>
      <c r="C956" s="10" t="str">
        <f t="array" ref="C956">IF(952&gt;$S$1204,"",INDEX($T$5:$AJ$1204,MATCH(952,$S$5:$S$1204,0),3))</f>
        <v/>
      </c>
      <c r="D956" s="8" t="str">
        <f t="array" ref="D956">IF(952&gt;$S$1204,"",INDEX($T$5:$AJ$1204,MATCH(952,$S$5:$S$1204,0),4))</f>
        <v/>
      </c>
      <c r="E956" s="8" t="str">
        <f t="array" ref="E956">IF(952&gt;$S$1204,"",INDEX($T$5:$AJ$1204,MATCH(952,$S$5:$S$1204,0),5))</f>
        <v/>
      </c>
      <c r="F956" s="8" t="str">
        <f t="array" ref="F956">IF(952&gt;$S$1204,"",INDEX($T$5:$AJ$1204,MATCH(952,$S$5:$S$1204,0),6))</f>
        <v/>
      </c>
      <c r="G956" s="8" t="str">
        <f t="array" ref="G956">IF(952&gt;$S$1204,"",INDEX($T$5:$AJ$1204,MATCH(952,$S$5:$S$1204,0),7))</f>
        <v/>
      </c>
      <c r="H956" s="8" t="str">
        <f t="array" ref="H956">IF(952&gt;$S$1204,"",INDEX($T$5:$AJ$1204,MATCH(952,$S$5:$S$1204,0),8))</f>
        <v/>
      </c>
      <c r="I956" s="8" t="str">
        <f t="array" ref="I956">IF(952&gt;$S$1204,"",INDEX($T$5:$AJ$1204,MATCH(952,$S$5:$S$1204,0),9))</f>
        <v/>
      </c>
      <c r="J956" s="14" t="str">
        <f t="array" ref="J956">IF(952&gt;$S$1204,"",INDEX($T$5:$AJ$1204,MATCH(952,$S$5:$S$1204,0),10))</f>
        <v/>
      </c>
      <c r="K956" s="8" t="str">
        <f t="array" ref="K956">IF(952&gt;$S$1204,"",INDEX($T$5:$AJ$1204,MATCH(952,$S$5:$S$1204,0),11))</f>
        <v/>
      </c>
      <c r="L956" s="8" t="str">
        <f t="array" ref="L956">IF(952&gt;$S$1204,"",INDEX($T$5:$AJ$1204,MATCH(952,$S$5:$S$1204,0),12))</f>
        <v/>
      </c>
      <c r="M956" s="8" t="str">
        <f t="array" ref="M956">IF(952&gt;$S$1204,"",INDEX($T$5:$AJ$1204,MATCH(952,$S$5:$S$1204,0),13))</f>
        <v/>
      </c>
      <c r="N956" s="8" t="str">
        <f t="array" ref="N956">IF(952&gt;$S$1204,"",INDEX($T$5:$AJ$1204,MATCH(952,$S$5:$S$1204,0),14))</f>
        <v/>
      </c>
      <c r="O956" s="15" t="str">
        <f t="array" ref="O956">IF(952&gt;$S$1204,"",INDEX($T$5:$AJ$1204,MATCH(952,$S$5:$S$1204,0),15))</f>
        <v/>
      </c>
      <c r="P956" s="8" t="str">
        <f t="array" ref="P956">IF(952&gt;$S$1204,"",INDEX($T$5:$AJ$1204,MATCH(952,$S$5:$S$1204,0),16))</f>
        <v/>
      </c>
      <c r="Q956" s="8" t="str">
        <f t="array" ref="Q956">IF(952&gt;$S$1204,"",INDEX($T$5:$AJ$1204,MATCH(952,$S$5:$S$1204,0),17))</f>
        <v/>
      </c>
      <c r="R956" s="17"/>
      <c r="S956" s="17">
        <f>S955+IF(M5_Ocupacion!A161="",0,1)</f>
        <v>0</v>
      </c>
      <c r="T956" s="17" t="str">
        <f>IF(M5_Ocupacion!A161="","",IF(M5_Ocupacion!A161="","",M5_Ocupacion!A161))</f>
        <v/>
      </c>
      <c r="U956" s="17" t="str">
        <f>IF(M5_Ocupacion!A161="","",IF(M5_Ocupacion!R161="","",M5_Ocupacion!R161))</f>
        <v/>
      </c>
      <c r="V956" s="17" t="str">
        <f>IF(M5_Ocupacion!A161="","",IF(M5_Ocupacion!D161="","",M5_Ocupacion!D161))</f>
        <v/>
      </c>
      <c r="W956" s="17" t="str">
        <f>IF(M5_Ocupacion!A161="","",IF(M5_Ocupacion!B161="","",M5_Ocupacion!B161))</f>
        <v/>
      </c>
      <c r="X956" s="17" t="str">
        <f>IF(M5_Ocupacion!A161="","",IF(M5_Ocupacion!C161="","",M5_Ocupacion!C161))</f>
        <v/>
      </c>
      <c r="Y956" s="17" t="str">
        <f>IF(M5_Ocupacion!A161="","",IF(M5_Ocupacion!E161="","",M5_Ocupacion!E161))</f>
        <v/>
      </c>
      <c r="Z956" s="17" t="str">
        <f>IF(M5_Ocupacion!A161="","",IF(M5_Ocupacion!F161="","",M5_Ocupacion!F161))</f>
        <v/>
      </c>
      <c r="AA956" s="17" t="str">
        <f>IF(M5_Ocupacion!A161="","","M5 Ocupación")</f>
        <v/>
      </c>
      <c r="AB956" s="17" t="str">
        <f>IF(M5_Ocupacion!A161="","",IF(M5_Ocupacion!G161="","",M5_Ocupacion!G161))</f>
        <v/>
      </c>
      <c r="AC956" s="17" t="str">
        <f>IF(M5_Ocupacion!A161="","",IF(COUNTIFS(M5_Ocupacion!$A$10:A161,M5_Ocupacion!A161,M5_Ocupacion!$D$10:D161,M5_Ocupacion!D161)=1,IF(M5_Ocupacion!M161="","",M5_Ocupacion!M161),""))</f>
        <v/>
      </c>
      <c r="AD956" s="17" t="str">
        <f>IF(M5_Ocupacion!A161="","","MO")</f>
        <v/>
      </c>
      <c r="AE956" s="17" t="str">
        <f>IF(M5_Ocupacion!A161="","",IF(M5_Ocupacion!O161="","",M5_Ocupacion!O161))</f>
        <v/>
      </c>
      <c r="AF956" s="17" t="str">
        <f>IF(M5_Ocupacion!A161="","",IF(M5_Ocupacion!P161="","",M5_Ocupacion!P161))</f>
        <v/>
      </c>
      <c r="AG956" s="17" t="str">
        <f>IF(M5_Ocupacion!A161="","",IF(M5_Ocupacion!Q161="","",M5_Ocupacion!Q161))</f>
        <v/>
      </c>
      <c r="AH956" s="17" t="str">
        <f>IF(M5_Ocupacion!A161="","",IF(M5_Ocupacion!J161="","",M5_Ocupacion!J161))</f>
        <v/>
      </c>
      <c r="AI956" s="17" t="str">
        <f>IF(M5_Ocupacion!A161="","","M5_Ocupacion!161")</f>
        <v/>
      </c>
      <c r="AJ956" s="17" t="str">
        <f>IF(M5_Ocupacion!A161="","",IF(M5_Ocupacion!M161="","Pendiente de medición completa",IF(COUNTIFS(M5_Ocupacion!$A$10:A161,M5_Ocupacion!A161,M5_Ocupacion!$D$10:D161,M5_Ocupacion!D161)=1,"Promedio de la actividad y fecha","Observación incluida en promedio")))</f>
        <v/>
      </c>
    </row>
    <row r="957" spans="1:36" ht="55.5" customHeight="1">
      <c r="A957" s="6" t="str">
        <f t="array" ref="A957">IF(953&gt;$S$1204,"",INDEX($T$5:$AJ$1204,MATCH(953,$S$5:$S$1204,0),1))</f>
        <v/>
      </c>
      <c r="B957" s="8" t="str">
        <f t="array" ref="B957">IF(953&gt;$S$1204,"",INDEX($T$5:$AJ$1204,MATCH(953,$S$5:$S$1204,0),2))</f>
        <v/>
      </c>
      <c r="C957" s="10" t="str">
        <f t="array" ref="C957">IF(953&gt;$S$1204,"",INDEX($T$5:$AJ$1204,MATCH(953,$S$5:$S$1204,0),3))</f>
        <v/>
      </c>
      <c r="D957" s="8" t="str">
        <f t="array" ref="D957">IF(953&gt;$S$1204,"",INDEX($T$5:$AJ$1204,MATCH(953,$S$5:$S$1204,0),4))</f>
        <v/>
      </c>
      <c r="E957" s="8" t="str">
        <f t="array" ref="E957">IF(953&gt;$S$1204,"",INDEX($T$5:$AJ$1204,MATCH(953,$S$5:$S$1204,0),5))</f>
        <v/>
      </c>
      <c r="F957" s="8" t="str">
        <f t="array" ref="F957">IF(953&gt;$S$1204,"",INDEX($T$5:$AJ$1204,MATCH(953,$S$5:$S$1204,0),6))</f>
        <v/>
      </c>
      <c r="G957" s="8" t="str">
        <f t="array" ref="G957">IF(953&gt;$S$1204,"",INDEX($T$5:$AJ$1204,MATCH(953,$S$5:$S$1204,0),7))</f>
        <v/>
      </c>
      <c r="H957" s="8" t="str">
        <f t="array" ref="H957">IF(953&gt;$S$1204,"",INDEX($T$5:$AJ$1204,MATCH(953,$S$5:$S$1204,0),8))</f>
        <v/>
      </c>
      <c r="I957" s="8" t="str">
        <f t="array" ref="I957">IF(953&gt;$S$1204,"",INDEX($T$5:$AJ$1204,MATCH(953,$S$5:$S$1204,0),9))</f>
        <v/>
      </c>
      <c r="J957" s="14" t="str">
        <f t="array" ref="J957">IF(953&gt;$S$1204,"",INDEX($T$5:$AJ$1204,MATCH(953,$S$5:$S$1204,0),10))</f>
        <v/>
      </c>
      <c r="K957" s="8" t="str">
        <f t="array" ref="K957">IF(953&gt;$S$1204,"",INDEX($T$5:$AJ$1204,MATCH(953,$S$5:$S$1204,0),11))</f>
        <v/>
      </c>
      <c r="L957" s="8" t="str">
        <f t="array" ref="L957">IF(953&gt;$S$1204,"",INDEX($T$5:$AJ$1204,MATCH(953,$S$5:$S$1204,0),12))</f>
        <v/>
      </c>
      <c r="M957" s="8" t="str">
        <f t="array" ref="M957">IF(953&gt;$S$1204,"",INDEX($T$5:$AJ$1204,MATCH(953,$S$5:$S$1204,0),13))</f>
        <v/>
      </c>
      <c r="N957" s="8" t="str">
        <f t="array" ref="N957">IF(953&gt;$S$1204,"",INDEX($T$5:$AJ$1204,MATCH(953,$S$5:$S$1204,0),14))</f>
        <v/>
      </c>
      <c r="O957" s="15" t="str">
        <f t="array" ref="O957">IF(953&gt;$S$1204,"",INDEX($T$5:$AJ$1204,MATCH(953,$S$5:$S$1204,0),15))</f>
        <v/>
      </c>
      <c r="P957" s="8" t="str">
        <f t="array" ref="P957">IF(953&gt;$S$1204,"",INDEX($T$5:$AJ$1204,MATCH(953,$S$5:$S$1204,0),16))</f>
        <v/>
      </c>
      <c r="Q957" s="8" t="str">
        <f t="array" ref="Q957">IF(953&gt;$S$1204,"",INDEX($T$5:$AJ$1204,MATCH(953,$S$5:$S$1204,0),17))</f>
        <v/>
      </c>
      <c r="R957" s="17"/>
      <c r="S957" s="17">
        <f>S956+IF(M5_Ocupacion!A162="",0,1)</f>
        <v>0</v>
      </c>
      <c r="T957" s="17" t="str">
        <f>IF(M5_Ocupacion!A162="","",IF(M5_Ocupacion!A162="","",M5_Ocupacion!A162))</f>
        <v/>
      </c>
      <c r="U957" s="17" t="str">
        <f>IF(M5_Ocupacion!A162="","",IF(M5_Ocupacion!R162="","",M5_Ocupacion!R162))</f>
        <v/>
      </c>
      <c r="V957" s="17" t="str">
        <f>IF(M5_Ocupacion!A162="","",IF(M5_Ocupacion!D162="","",M5_Ocupacion!D162))</f>
        <v/>
      </c>
      <c r="W957" s="17" t="str">
        <f>IF(M5_Ocupacion!A162="","",IF(M5_Ocupacion!B162="","",M5_Ocupacion!B162))</f>
        <v/>
      </c>
      <c r="X957" s="17" t="str">
        <f>IF(M5_Ocupacion!A162="","",IF(M5_Ocupacion!C162="","",M5_Ocupacion!C162))</f>
        <v/>
      </c>
      <c r="Y957" s="17" t="str">
        <f>IF(M5_Ocupacion!A162="","",IF(M5_Ocupacion!E162="","",M5_Ocupacion!E162))</f>
        <v/>
      </c>
      <c r="Z957" s="17" t="str">
        <f>IF(M5_Ocupacion!A162="","",IF(M5_Ocupacion!F162="","",M5_Ocupacion!F162))</f>
        <v/>
      </c>
      <c r="AA957" s="17" t="str">
        <f>IF(M5_Ocupacion!A162="","","M5 Ocupación")</f>
        <v/>
      </c>
      <c r="AB957" s="17" t="str">
        <f>IF(M5_Ocupacion!A162="","",IF(M5_Ocupacion!G162="","",M5_Ocupacion!G162))</f>
        <v/>
      </c>
      <c r="AC957" s="17" t="str">
        <f>IF(M5_Ocupacion!A162="","",IF(COUNTIFS(M5_Ocupacion!$A$10:A162,M5_Ocupacion!A162,M5_Ocupacion!$D$10:D162,M5_Ocupacion!D162)=1,IF(M5_Ocupacion!M162="","",M5_Ocupacion!M162),""))</f>
        <v/>
      </c>
      <c r="AD957" s="17" t="str">
        <f>IF(M5_Ocupacion!A162="","","MO")</f>
        <v/>
      </c>
      <c r="AE957" s="17" t="str">
        <f>IF(M5_Ocupacion!A162="","",IF(M5_Ocupacion!O162="","",M5_Ocupacion!O162))</f>
        <v/>
      </c>
      <c r="AF957" s="17" t="str">
        <f>IF(M5_Ocupacion!A162="","",IF(M5_Ocupacion!P162="","",M5_Ocupacion!P162))</f>
        <v/>
      </c>
      <c r="AG957" s="17" t="str">
        <f>IF(M5_Ocupacion!A162="","",IF(M5_Ocupacion!Q162="","",M5_Ocupacion!Q162))</f>
        <v/>
      </c>
      <c r="AH957" s="17" t="str">
        <f>IF(M5_Ocupacion!A162="","",IF(M5_Ocupacion!J162="","",M5_Ocupacion!J162))</f>
        <v/>
      </c>
      <c r="AI957" s="17" t="str">
        <f>IF(M5_Ocupacion!A162="","","M5_Ocupacion!162")</f>
        <v/>
      </c>
      <c r="AJ957" s="17" t="str">
        <f>IF(M5_Ocupacion!A162="","",IF(M5_Ocupacion!M162="","Pendiente de medición completa",IF(COUNTIFS(M5_Ocupacion!$A$10:A162,M5_Ocupacion!A162,M5_Ocupacion!$D$10:D162,M5_Ocupacion!D162)=1,"Promedio de la actividad y fecha","Observación incluida en promedio")))</f>
        <v/>
      </c>
    </row>
    <row r="958" spans="1:36" ht="55.5" customHeight="1">
      <c r="A958" s="6" t="str">
        <f t="array" ref="A958">IF(954&gt;$S$1204,"",INDEX($T$5:$AJ$1204,MATCH(954,$S$5:$S$1204,0),1))</f>
        <v/>
      </c>
      <c r="B958" s="8" t="str">
        <f t="array" ref="B958">IF(954&gt;$S$1204,"",INDEX($T$5:$AJ$1204,MATCH(954,$S$5:$S$1204,0),2))</f>
        <v/>
      </c>
      <c r="C958" s="10" t="str">
        <f t="array" ref="C958">IF(954&gt;$S$1204,"",INDEX($T$5:$AJ$1204,MATCH(954,$S$5:$S$1204,0),3))</f>
        <v/>
      </c>
      <c r="D958" s="8" t="str">
        <f t="array" ref="D958">IF(954&gt;$S$1204,"",INDEX($T$5:$AJ$1204,MATCH(954,$S$5:$S$1204,0),4))</f>
        <v/>
      </c>
      <c r="E958" s="8" t="str">
        <f t="array" ref="E958">IF(954&gt;$S$1204,"",INDEX($T$5:$AJ$1204,MATCH(954,$S$5:$S$1204,0),5))</f>
        <v/>
      </c>
      <c r="F958" s="8" t="str">
        <f t="array" ref="F958">IF(954&gt;$S$1204,"",INDEX($T$5:$AJ$1204,MATCH(954,$S$5:$S$1204,0),6))</f>
        <v/>
      </c>
      <c r="G958" s="8" t="str">
        <f t="array" ref="G958">IF(954&gt;$S$1204,"",INDEX($T$5:$AJ$1204,MATCH(954,$S$5:$S$1204,0),7))</f>
        <v/>
      </c>
      <c r="H958" s="8" t="str">
        <f t="array" ref="H958">IF(954&gt;$S$1204,"",INDEX($T$5:$AJ$1204,MATCH(954,$S$5:$S$1204,0),8))</f>
        <v/>
      </c>
      <c r="I958" s="8" t="str">
        <f t="array" ref="I958">IF(954&gt;$S$1204,"",INDEX($T$5:$AJ$1204,MATCH(954,$S$5:$S$1204,0),9))</f>
        <v/>
      </c>
      <c r="J958" s="14" t="str">
        <f t="array" ref="J958">IF(954&gt;$S$1204,"",INDEX($T$5:$AJ$1204,MATCH(954,$S$5:$S$1204,0),10))</f>
        <v/>
      </c>
      <c r="K958" s="8" t="str">
        <f t="array" ref="K958">IF(954&gt;$S$1204,"",INDEX($T$5:$AJ$1204,MATCH(954,$S$5:$S$1204,0),11))</f>
        <v/>
      </c>
      <c r="L958" s="8" t="str">
        <f t="array" ref="L958">IF(954&gt;$S$1204,"",INDEX($T$5:$AJ$1204,MATCH(954,$S$5:$S$1204,0),12))</f>
        <v/>
      </c>
      <c r="M958" s="8" t="str">
        <f t="array" ref="M958">IF(954&gt;$S$1204,"",INDEX($T$5:$AJ$1204,MATCH(954,$S$5:$S$1204,0),13))</f>
        <v/>
      </c>
      <c r="N958" s="8" t="str">
        <f t="array" ref="N958">IF(954&gt;$S$1204,"",INDEX($T$5:$AJ$1204,MATCH(954,$S$5:$S$1204,0),14))</f>
        <v/>
      </c>
      <c r="O958" s="15" t="str">
        <f t="array" ref="O958">IF(954&gt;$S$1204,"",INDEX($T$5:$AJ$1204,MATCH(954,$S$5:$S$1204,0),15))</f>
        <v/>
      </c>
      <c r="P958" s="8" t="str">
        <f t="array" ref="P958">IF(954&gt;$S$1204,"",INDEX($T$5:$AJ$1204,MATCH(954,$S$5:$S$1204,0),16))</f>
        <v/>
      </c>
      <c r="Q958" s="8" t="str">
        <f t="array" ref="Q958">IF(954&gt;$S$1204,"",INDEX($T$5:$AJ$1204,MATCH(954,$S$5:$S$1204,0),17))</f>
        <v/>
      </c>
      <c r="R958" s="17"/>
      <c r="S958" s="17">
        <f>S957+IF(M5_Ocupacion!A163="",0,1)</f>
        <v>0</v>
      </c>
      <c r="T958" s="17" t="str">
        <f>IF(M5_Ocupacion!A163="","",IF(M5_Ocupacion!A163="","",M5_Ocupacion!A163))</f>
        <v/>
      </c>
      <c r="U958" s="17" t="str">
        <f>IF(M5_Ocupacion!A163="","",IF(M5_Ocupacion!R163="","",M5_Ocupacion!R163))</f>
        <v/>
      </c>
      <c r="V958" s="17" t="str">
        <f>IF(M5_Ocupacion!A163="","",IF(M5_Ocupacion!D163="","",M5_Ocupacion!D163))</f>
        <v/>
      </c>
      <c r="W958" s="17" t="str">
        <f>IF(M5_Ocupacion!A163="","",IF(M5_Ocupacion!B163="","",M5_Ocupacion!B163))</f>
        <v/>
      </c>
      <c r="X958" s="17" t="str">
        <f>IF(M5_Ocupacion!A163="","",IF(M5_Ocupacion!C163="","",M5_Ocupacion!C163))</f>
        <v/>
      </c>
      <c r="Y958" s="17" t="str">
        <f>IF(M5_Ocupacion!A163="","",IF(M5_Ocupacion!E163="","",M5_Ocupacion!E163))</f>
        <v/>
      </c>
      <c r="Z958" s="17" t="str">
        <f>IF(M5_Ocupacion!A163="","",IF(M5_Ocupacion!F163="","",M5_Ocupacion!F163))</f>
        <v/>
      </c>
      <c r="AA958" s="17" t="str">
        <f>IF(M5_Ocupacion!A163="","","M5 Ocupación")</f>
        <v/>
      </c>
      <c r="AB958" s="17" t="str">
        <f>IF(M5_Ocupacion!A163="","",IF(M5_Ocupacion!G163="","",M5_Ocupacion!G163))</f>
        <v/>
      </c>
      <c r="AC958" s="17" t="str">
        <f>IF(M5_Ocupacion!A163="","",IF(COUNTIFS(M5_Ocupacion!$A$10:A163,M5_Ocupacion!A163,M5_Ocupacion!$D$10:D163,M5_Ocupacion!D163)=1,IF(M5_Ocupacion!M163="","",M5_Ocupacion!M163),""))</f>
        <v/>
      </c>
      <c r="AD958" s="17" t="str">
        <f>IF(M5_Ocupacion!A163="","","MO")</f>
        <v/>
      </c>
      <c r="AE958" s="17" t="str">
        <f>IF(M5_Ocupacion!A163="","",IF(M5_Ocupacion!O163="","",M5_Ocupacion!O163))</f>
        <v/>
      </c>
      <c r="AF958" s="17" t="str">
        <f>IF(M5_Ocupacion!A163="","",IF(M5_Ocupacion!P163="","",M5_Ocupacion!P163))</f>
        <v/>
      </c>
      <c r="AG958" s="17" t="str">
        <f>IF(M5_Ocupacion!A163="","",IF(M5_Ocupacion!Q163="","",M5_Ocupacion!Q163))</f>
        <v/>
      </c>
      <c r="AH958" s="17" t="str">
        <f>IF(M5_Ocupacion!A163="","",IF(M5_Ocupacion!J163="","",M5_Ocupacion!J163))</f>
        <v/>
      </c>
      <c r="AI958" s="17" t="str">
        <f>IF(M5_Ocupacion!A163="","","M5_Ocupacion!163")</f>
        <v/>
      </c>
      <c r="AJ958" s="17" t="str">
        <f>IF(M5_Ocupacion!A163="","",IF(M5_Ocupacion!M163="","Pendiente de medición completa",IF(COUNTIFS(M5_Ocupacion!$A$10:A163,M5_Ocupacion!A163,M5_Ocupacion!$D$10:D163,M5_Ocupacion!D163)=1,"Promedio de la actividad y fecha","Observación incluida en promedio")))</f>
        <v/>
      </c>
    </row>
    <row r="959" spans="1:36" ht="55.5" customHeight="1">
      <c r="A959" s="6" t="str">
        <f t="array" ref="A959">IF(955&gt;$S$1204,"",INDEX($T$5:$AJ$1204,MATCH(955,$S$5:$S$1204,0),1))</f>
        <v/>
      </c>
      <c r="B959" s="8" t="str">
        <f t="array" ref="B959">IF(955&gt;$S$1204,"",INDEX($T$5:$AJ$1204,MATCH(955,$S$5:$S$1204,0),2))</f>
        <v/>
      </c>
      <c r="C959" s="10" t="str">
        <f t="array" ref="C959">IF(955&gt;$S$1204,"",INDEX($T$5:$AJ$1204,MATCH(955,$S$5:$S$1204,0),3))</f>
        <v/>
      </c>
      <c r="D959" s="8" t="str">
        <f t="array" ref="D959">IF(955&gt;$S$1204,"",INDEX($T$5:$AJ$1204,MATCH(955,$S$5:$S$1204,0),4))</f>
        <v/>
      </c>
      <c r="E959" s="8" t="str">
        <f t="array" ref="E959">IF(955&gt;$S$1204,"",INDEX($T$5:$AJ$1204,MATCH(955,$S$5:$S$1204,0),5))</f>
        <v/>
      </c>
      <c r="F959" s="8" t="str">
        <f t="array" ref="F959">IF(955&gt;$S$1204,"",INDEX($T$5:$AJ$1204,MATCH(955,$S$5:$S$1204,0),6))</f>
        <v/>
      </c>
      <c r="G959" s="8" t="str">
        <f t="array" ref="G959">IF(955&gt;$S$1204,"",INDEX($T$5:$AJ$1204,MATCH(955,$S$5:$S$1204,0),7))</f>
        <v/>
      </c>
      <c r="H959" s="8" t="str">
        <f t="array" ref="H959">IF(955&gt;$S$1204,"",INDEX($T$5:$AJ$1204,MATCH(955,$S$5:$S$1204,0),8))</f>
        <v/>
      </c>
      <c r="I959" s="8" t="str">
        <f t="array" ref="I959">IF(955&gt;$S$1204,"",INDEX($T$5:$AJ$1204,MATCH(955,$S$5:$S$1204,0),9))</f>
        <v/>
      </c>
      <c r="J959" s="14" t="str">
        <f t="array" ref="J959">IF(955&gt;$S$1204,"",INDEX($T$5:$AJ$1204,MATCH(955,$S$5:$S$1204,0),10))</f>
        <v/>
      </c>
      <c r="K959" s="8" t="str">
        <f t="array" ref="K959">IF(955&gt;$S$1204,"",INDEX($T$5:$AJ$1204,MATCH(955,$S$5:$S$1204,0),11))</f>
        <v/>
      </c>
      <c r="L959" s="8" t="str">
        <f t="array" ref="L959">IF(955&gt;$S$1204,"",INDEX($T$5:$AJ$1204,MATCH(955,$S$5:$S$1204,0),12))</f>
        <v/>
      </c>
      <c r="M959" s="8" t="str">
        <f t="array" ref="M959">IF(955&gt;$S$1204,"",INDEX($T$5:$AJ$1204,MATCH(955,$S$5:$S$1204,0),13))</f>
        <v/>
      </c>
      <c r="N959" s="8" t="str">
        <f t="array" ref="N959">IF(955&gt;$S$1204,"",INDEX($T$5:$AJ$1204,MATCH(955,$S$5:$S$1204,0),14))</f>
        <v/>
      </c>
      <c r="O959" s="15" t="str">
        <f t="array" ref="O959">IF(955&gt;$S$1204,"",INDEX($T$5:$AJ$1204,MATCH(955,$S$5:$S$1204,0),15))</f>
        <v/>
      </c>
      <c r="P959" s="8" t="str">
        <f t="array" ref="P959">IF(955&gt;$S$1204,"",INDEX($T$5:$AJ$1204,MATCH(955,$S$5:$S$1204,0),16))</f>
        <v/>
      </c>
      <c r="Q959" s="8" t="str">
        <f t="array" ref="Q959">IF(955&gt;$S$1204,"",INDEX($T$5:$AJ$1204,MATCH(955,$S$5:$S$1204,0),17))</f>
        <v/>
      </c>
      <c r="R959" s="17"/>
      <c r="S959" s="17">
        <f>S958+IF(M5_Ocupacion!A164="",0,1)</f>
        <v>0</v>
      </c>
      <c r="T959" s="17" t="str">
        <f>IF(M5_Ocupacion!A164="","",IF(M5_Ocupacion!A164="","",M5_Ocupacion!A164))</f>
        <v/>
      </c>
      <c r="U959" s="17" t="str">
        <f>IF(M5_Ocupacion!A164="","",IF(M5_Ocupacion!R164="","",M5_Ocupacion!R164))</f>
        <v/>
      </c>
      <c r="V959" s="17" t="str">
        <f>IF(M5_Ocupacion!A164="","",IF(M5_Ocupacion!D164="","",M5_Ocupacion!D164))</f>
        <v/>
      </c>
      <c r="W959" s="17" t="str">
        <f>IF(M5_Ocupacion!A164="","",IF(M5_Ocupacion!B164="","",M5_Ocupacion!B164))</f>
        <v/>
      </c>
      <c r="X959" s="17" t="str">
        <f>IF(M5_Ocupacion!A164="","",IF(M5_Ocupacion!C164="","",M5_Ocupacion!C164))</f>
        <v/>
      </c>
      <c r="Y959" s="17" t="str">
        <f>IF(M5_Ocupacion!A164="","",IF(M5_Ocupacion!E164="","",M5_Ocupacion!E164))</f>
        <v/>
      </c>
      <c r="Z959" s="17" t="str">
        <f>IF(M5_Ocupacion!A164="","",IF(M5_Ocupacion!F164="","",M5_Ocupacion!F164))</f>
        <v/>
      </c>
      <c r="AA959" s="17" t="str">
        <f>IF(M5_Ocupacion!A164="","","M5 Ocupación")</f>
        <v/>
      </c>
      <c r="AB959" s="17" t="str">
        <f>IF(M5_Ocupacion!A164="","",IF(M5_Ocupacion!G164="","",M5_Ocupacion!G164))</f>
        <v/>
      </c>
      <c r="AC959" s="17" t="str">
        <f>IF(M5_Ocupacion!A164="","",IF(COUNTIFS(M5_Ocupacion!$A$10:A164,M5_Ocupacion!A164,M5_Ocupacion!$D$10:D164,M5_Ocupacion!D164)=1,IF(M5_Ocupacion!M164="","",M5_Ocupacion!M164),""))</f>
        <v/>
      </c>
      <c r="AD959" s="17" t="str">
        <f>IF(M5_Ocupacion!A164="","","MO")</f>
        <v/>
      </c>
      <c r="AE959" s="17" t="str">
        <f>IF(M5_Ocupacion!A164="","",IF(M5_Ocupacion!O164="","",M5_Ocupacion!O164))</f>
        <v/>
      </c>
      <c r="AF959" s="17" t="str">
        <f>IF(M5_Ocupacion!A164="","",IF(M5_Ocupacion!P164="","",M5_Ocupacion!P164))</f>
        <v/>
      </c>
      <c r="AG959" s="17" t="str">
        <f>IF(M5_Ocupacion!A164="","",IF(M5_Ocupacion!Q164="","",M5_Ocupacion!Q164))</f>
        <v/>
      </c>
      <c r="AH959" s="17" t="str">
        <f>IF(M5_Ocupacion!A164="","",IF(M5_Ocupacion!J164="","",M5_Ocupacion!J164))</f>
        <v/>
      </c>
      <c r="AI959" s="17" t="str">
        <f>IF(M5_Ocupacion!A164="","","M5_Ocupacion!164")</f>
        <v/>
      </c>
      <c r="AJ959" s="17" t="str">
        <f>IF(M5_Ocupacion!A164="","",IF(M5_Ocupacion!M164="","Pendiente de medición completa",IF(COUNTIFS(M5_Ocupacion!$A$10:A164,M5_Ocupacion!A164,M5_Ocupacion!$D$10:D164,M5_Ocupacion!D164)=1,"Promedio de la actividad y fecha","Observación incluida en promedio")))</f>
        <v/>
      </c>
    </row>
    <row r="960" spans="1:36" ht="55.5" customHeight="1">
      <c r="A960" s="6" t="str">
        <f t="array" ref="A960">IF(956&gt;$S$1204,"",INDEX($T$5:$AJ$1204,MATCH(956,$S$5:$S$1204,0),1))</f>
        <v/>
      </c>
      <c r="B960" s="8" t="str">
        <f t="array" ref="B960">IF(956&gt;$S$1204,"",INDEX($T$5:$AJ$1204,MATCH(956,$S$5:$S$1204,0),2))</f>
        <v/>
      </c>
      <c r="C960" s="10" t="str">
        <f t="array" ref="C960">IF(956&gt;$S$1204,"",INDEX($T$5:$AJ$1204,MATCH(956,$S$5:$S$1204,0),3))</f>
        <v/>
      </c>
      <c r="D960" s="8" t="str">
        <f t="array" ref="D960">IF(956&gt;$S$1204,"",INDEX($T$5:$AJ$1204,MATCH(956,$S$5:$S$1204,0),4))</f>
        <v/>
      </c>
      <c r="E960" s="8" t="str">
        <f t="array" ref="E960">IF(956&gt;$S$1204,"",INDEX($T$5:$AJ$1204,MATCH(956,$S$5:$S$1204,0),5))</f>
        <v/>
      </c>
      <c r="F960" s="8" t="str">
        <f t="array" ref="F960">IF(956&gt;$S$1204,"",INDEX($T$5:$AJ$1204,MATCH(956,$S$5:$S$1204,0),6))</f>
        <v/>
      </c>
      <c r="G960" s="8" t="str">
        <f t="array" ref="G960">IF(956&gt;$S$1204,"",INDEX($T$5:$AJ$1204,MATCH(956,$S$5:$S$1204,0),7))</f>
        <v/>
      </c>
      <c r="H960" s="8" t="str">
        <f t="array" ref="H960">IF(956&gt;$S$1204,"",INDEX($T$5:$AJ$1204,MATCH(956,$S$5:$S$1204,0),8))</f>
        <v/>
      </c>
      <c r="I960" s="8" t="str">
        <f t="array" ref="I960">IF(956&gt;$S$1204,"",INDEX($T$5:$AJ$1204,MATCH(956,$S$5:$S$1204,0),9))</f>
        <v/>
      </c>
      <c r="J960" s="14" t="str">
        <f t="array" ref="J960">IF(956&gt;$S$1204,"",INDEX($T$5:$AJ$1204,MATCH(956,$S$5:$S$1204,0),10))</f>
        <v/>
      </c>
      <c r="K960" s="8" t="str">
        <f t="array" ref="K960">IF(956&gt;$S$1204,"",INDEX($T$5:$AJ$1204,MATCH(956,$S$5:$S$1204,0),11))</f>
        <v/>
      </c>
      <c r="L960" s="8" t="str">
        <f t="array" ref="L960">IF(956&gt;$S$1204,"",INDEX($T$5:$AJ$1204,MATCH(956,$S$5:$S$1204,0),12))</f>
        <v/>
      </c>
      <c r="M960" s="8" t="str">
        <f t="array" ref="M960">IF(956&gt;$S$1204,"",INDEX($T$5:$AJ$1204,MATCH(956,$S$5:$S$1204,0),13))</f>
        <v/>
      </c>
      <c r="N960" s="8" t="str">
        <f t="array" ref="N960">IF(956&gt;$S$1204,"",INDEX($T$5:$AJ$1204,MATCH(956,$S$5:$S$1204,0),14))</f>
        <v/>
      </c>
      <c r="O960" s="15" t="str">
        <f t="array" ref="O960">IF(956&gt;$S$1204,"",INDEX($T$5:$AJ$1204,MATCH(956,$S$5:$S$1204,0),15))</f>
        <v/>
      </c>
      <c r="P960" s="8" t="str">
        <f t="array" ref="P960">IF(956&gt;$S$1204,"",INDEX($T$5:$AJ$1204,MATCH(956,$S$5:$S$1204,0),16))</f>
        <v/>
      </c>
      <c r="Q960" s="8" t="str">
        <f t="array" ref="Q960">IF(956&gt;$S$1204,"",INDEX($T$5:$AJ$1204,MATCH(956,$S$5:$S$1204,0),17))</f>
        <v/>
      </c>
      <c r="R960" s="17"/>
      <c r="S960" s="17">
        <f>S959+IF(M5_Ocupacion!A165="",0,1)</f>
        <v>0</v>
      </c>
      <c r="T960" s="17" t="str">
        <f>IF(M5_Ocupacion!A165="","",IF(M5_Ocupacion!A165="","",M5_Ocupacion!A165))</f>
        <v/>
      </c>
      <c r="U960" s="17" t="str">
        <f>IF(M5_Ocupacion!A165="","",IF(M5_Ocupacion!R165="","",M5_Ocupacion!R165))</f>
        <v/>
      </c>
      <c r="V960" s="17" t="str">
        <f>IF(M5_Ocupacion!A165="","",IF(M5_Ocupacion!D165="","",M5_Ocupacion!D165))</f>
        <v/>
      </c>
      <c r="W960" s="17" t="str">
        <f>IF(M5_Ocupacion!A165="","",IF(M5_Ocupacion!B165="","",M5_Ocupacion!B165))</f>
        <v/>
      </c>
      <c r="X960" s="17" t="str">
        <f>IF(M5_Ocupacion!A165="","",IF(M5_Ocupacion!C165="","",M5_Ocupacion!C165))</f>
        <v/>
      </c>
      <c r="Y960" s="17" t="str">
        <f>IF(M5_Ocupacion!A165="","",IF(M5_Ocupacion!E165="","",M5_Ocupacion!E165))</f>
        <v/>
      </c>
      <c r="Z960" s="17" t="str">
        <f>IF(M5_Ocupacion!A165="","",IF(M5_Ocupacion!F165="","",M5_Ocupacion!F165))</f>
        <v/>
      </c>
      <c r="AA960" s="17" t="str">
        <f>IF(M5_Ocupacion!A165="","","M5 Ocupación")</f>
        <v/>
      </c>
      <c r="AB960" s="17" t="str">
        <f>IF(M5_Ocupacion!A165="","",IF(M5_Ocupacion!G165="","",M5_Ocupacion!G165))</f>
        <v/>
      </c>
      <c r="AC960" s="17" t="str">
        <f>IF(M5_Ocupacion!A165="","",IF(COUNTIFS(M5_Ocupacion!$A$10:A165,M5_Ocupacion!A165,M5_Ocupacion!$D$10:D165,M5_Ocupacion!D165)=1,IF(M5_Ocupacion!M165="","",M5_Ocupacion!M165),""))</f>
        <v/>
      </c>
      <c r="AD960" s="17" t="str">
        <f>IF(M5_Ocupacion!A165="","","MO")</f>
        <v/>
      </c>
      <c r="AE960" s="17" t="str">
        <f>IF(M5_Ocupacion!A165="","",IF(M5_Ocupacion!O165="","",M5_Ocupacion!O165))</f>
        <v/>
      </c>
      <c r="AF960" s="17" t="str">
        <f>IF(M5_Ocupacion!A165="","",IF(M5_Ocupacion!P165="","",M5_Ocupacion!P165))</f>
        <v/>
      </c>
      <c r="AG960" s="17" t="str">
        <f>IF(M5_Ocupacion!A165="","",IF(M5_Ocupacion!Q165="","",M5_Ocupacion!Q165))</f>
        <v/>
      </c>
      <c r="AH960" s="17" t="str">
        <f>IF(M5_Ocupacion!A165="","",IF(M5_Ocupacion!J165="","",M5_Ocupacion!J165))</f>
        <v/>
      </c>
      <c r="AI960" s="17" t="str">
        <f>IF(M5_Ocupacion!A165="","","M5_Ocupacion!165")</f>
        <v/>
      </c>
      <c r="AJ960" s="17" t="str">
        <f>IF(M5_Ocupacion!A165="","",IF(M5_Ocupacion!M165="","Pendiente de medición completa",IF(COUNTIFS(M5_Ocupacion!$A$10:A165,M5_Ocupacion!A165,M5_Ocupacion!$D$10:D165,M5_Ocupacion!D165)=1,"Promedio de la actividad y fecha","Observación incluida en promedio")))</f>
        <v/>
      </c>
    </row>
    <row r="961" spans="1:36" ht="55.5" customHeight="1">
      <c r="A961" s="6" t="str">
        <f t="array" ref="A961">IF(957&gt;$S$1204,"",INDEX($T$5:$AJ$1204,MATCH(957,$S$5:$S$1204,0),1))</f>
        <v/>
      </c>
      <c r="B961" s="8" t="str">
        <f t="array" ref="B961">IF(957&gt;$S$1204,"",INDEX($T$5:$AJ$1204,MATCH(957,$S$5:$S$1204,0),2))</f>
        <v/>
      </c>
      <c r="C961" s="10" t="str">
        <f t="array" ref="C961">IF(957&gt;$S$1204,"",INDEX($T$5:$AJ$1204,MATCH(957,$S$5:$S$1204,0),3))</f>
        <v/>
      </c>
      <c r="D961" s="8" t="str">
        <f t="array" ref="D961">IF(957&gt;$S$1204,"",INDEX($T$5:$AJ$1204,MATCH(957,$S$5:$S$1204,0),4))</f>
        <v/>
      </c>
      <c r="E961" s="8" t="str">
        <f t="array" ref="E961">IF(957&gt;$S$1204,"",INDEX($T$5:$AJ$1204,MATCH(957,$S$5:$S$1204,0),5))</f>
        <v/>
      </c>
      <c r="F961" s="8" t="str">
        <f t="array" ref="F961">IF(957&gt;$S$1204,"",INDEX($T$5:$AJ$1204,MATCH(957,$S$5:$S$1204,0),6))</f>
        <v/>
      </c>
      <c r="G961" s="8" t="str">
        <f t="array" ref="G961">IF(957&gt;$S$1204,"",INDEX($T$5:$AJ$1204,MATCH(957,$S$5:$S$1204,0),7))</f>
        <v/>
      </c>
      <c r="H961" s="8" t="str">
        <f t="array" ref="H961">IF(957&gt;$S$1204,"",INDEX($T$5:$AJ$1204,MATCH(957,$S$5:$S$1204,0),8))</f>
        <v/>
      </c>
      <c r="I961" s="8" t="str">
        <f t="array" ref="I961">IF(957&gt;$S$1204,"",INDEX($T$5:$AJ$1204,MATCH(957,$S$5:$S$1204,0),9))</f>
        <v/>
      </c>
      <c r="J961" s="14" t="str">
        <f t="array" ref="J961">IF(957&gt;$S$1204,"",INDEX($T$5:$AJ$1204,MATCH(957,$S$5:$S$1204,0),10))</f>
        <v/>
      </c>
      <c r="K961" s="8" t="str">
        <f t="array" ref="K961">IF(957&gt;$S$1204,"",INDEX($T$5:$AJ$1204,MATCH(957,$S$5:$S$1204,0),11))</f>
        <v/>
      </c>
      <c r="L961" s="8" t="str">
        <f t="array" ref="L961">IF(957&gt;$S$1204,"",INDEX($T$5:$AJ$1204,MATCH(957,$S$5:$S$1204,0),12))</f>
        <v/>
      </c>
      <c r="M961" s="8" t="str">
        <f t="array" ref="M961">IF(957&gt;$S$1204,"",INDEX($T$5:$AJ$1204,MATCH(957,$S$5:$S$1204,0),13))</f>
        <v/>
      </c>
      <c r="N961" s="8" t="str">
        <f t="array" ref="N961">IF(957&gt;$S$1204,"",INDEX($T$5:$AJ$1204,MATCH(957,$S$5:$S$1204,0),14))</f>
        <v/>
      </c>
      <c r="O961" s="15" t="str">
        <f t="array" ref="O961">IF(957&gt;$S$1204,"",INDEX($T$5:$AJ$1204,MATCH(957,$S$5:$S$1204,0),15))</f>
        <v/>
      </c>
      <c r="P961" s="8" t="str">
        <f t="array" ref="P961">IF(957&gt;$S$1204,"",INDEX($T$5:$AJ$1204,MATCH(957,$S$5:$S$1204,0),16))</f>
        <v/>
      </c>
      <c r="Q961" s="8" t="str">
        <f t="array" ref="Q961">IF(957&gt;$S$1204,"",INDEX($T$5:$AJ$1204,MATCH(957,$S$5:$S$1204,0),17))</f>
        <v/>
      </c>
      <c r="R961" s="17"/>
      <c r="S961" s="17">
        <f>S960+IF(M5_Ocupacion!A166="",0,1)</f>
        <v>0</v>
      </c>
      <c r="T961" s="17" t="str">
        <f>IF(M5_Ocupacion!A166="","",IF(M5_Ocupacion!A166="","",M5_Ocupacion!A166))</f>
        <v/>
      </c>
      <c r="U961" s="17" t="str">
        <f>IF(M5_Ocupacion!A166="","",IF(M5_Ocupacion!R166="","",M5_Ocupacion!R166))</f>
        <v/>
      </c>
      <c r="V961" s="17" t="str">
        <f>IF(M5_Ocupacion!A166="","",IF(M5_Ocupacion!D166="","",M5_Ocupacion!D166))</f>
        <v/>
      </c>
      <c r="W961" s="17" t="str">
        <f>IF(M5_Ocupacion!A166="","",IF(M5_Ocupacion!B166="","",M5_Ocupacion!B166))</f>
        <v/>
      </c>
      <c r="X961" s="17" t="str">
        <f>IF(M5_Ocupacion!A166="","",IF(M5_Ocupacion!C166="","",M5_Ocupacion!C166))</f>
        <v/>
      </c>
      <c r="Y961" s="17" t="str">
        <f>IF(M5_Ocupacion!A166="","",IF(M5_Ocupacion!E166="","",M5_Ocupacion!E166))</f>
        <v/>
      </c>
      <c r="Z961" s="17" t="str">
        <f>IF(M5_Ocupacion!A166="","",IF(M5_Ocupacion!F166="","",M5_Ocupacion!F166))</f>
        <v/>
      </c>
      <c r="AA961" s="17" t="str">
        <f>IF(M5_Ocupacion!A166="","","M5 Ocupación")</f>
        <v/>
      </c>
      <c r="AB961" s="17" t="str">
        <f>IF(M5_Ocupacion!A166="","",IF(M5_Ocupacion!G166="","",M5_Ocupacion!G166))</f>
        <v/>
      </c>
      <c r="AC961" s="17" t="str">
        <f>IF(M5_Ocupacion!A166="","",IF(COUNTIFS(M5_Ocupacion!$A$10:A166,M5_Ocupacion!A166,M5_Ocupacion!$D$10:D166,M5_Ocupacion!D166)=1,IF(M5_Ocupacion!M166="","",M5_Ocupacion!M166),""))</f>
        <v/>
      </c>
      <c r="AD961" s="17" t="str">
        <f>IF(M5_Ocupacion!A166="","","MO")</f>
        <v/>
      </c>
      <c r="AE961" s="17" t="str">
        <f>IF(M5_Ocupacion!A166="","",IF(M5_Ocupacion!O166="","",M5_Ocupacion!O166))</f>
        <v/>
      </c>
      <c r="AF961" s="17" t="str">
        <f>IF(M5_Ocupacion!A166="","",IF(M5_Ocupacion!P166="","",M5_Ocupacion!P166))</f>
        <v/>
      </c>
      <c r="AG961" s="17" t="str">
        <f>IF(M5_Ocupacion!A166="","",IF(M5_Ocupacion!Q166="","",M5_Ocupacion!Q166))</f>
        <v/>
      </c>
      <c r="AH961" s="17" t="str">
        <f>IF(M5_Ocupacion!A166="","",IF(M5_Ocupacion!J166="","",M5_Ocupacion!J166))</f>
        <v/>
      </c>
      <c r="AI961" s="17" t="str">
        <f>IF(M5_Ocupacion!A166="","","M5_Ocupacion!166")</f>
        <v/>
      </c>
      <c r="AJ961" s="17" t="str">
        <f>IF(M5_Ocupacion!A166="","",IF(M5_Ocupacion!M166="","Pendiente de medición completa",IF(COUNTIFS(M5_Ocupacion!$A$10:A166,M5_Ocupacion!A166,M5_Ocupacion!$D$10:D166,M5_Ocupacion!D166)=1,"Promedio de la actividad y fecha","Observación incluida en promedio")))</f>
        <v/>
      </c>
    </row>
    <row r="962" spans="1:36" ht="55.5" customHeight="1">
      <c r="A962" s="6" t="str">
        <f t="array" ref="A962">IF(958&gt;$S$1204,"",INDEX($T$5:$AJ$1204,MATCH(958,$S$5:$S$1204,0),1))</f>
        <v/>
      </c>
      <c r="B962" s="8" t="str">
        <f t="array" ref="B962">IF(958&gt;$S$1204,"",INDEX($T$5:$AJ$1204,MATCH(958,$S$5:$S$1204,0),2))</f>
        <v/>
      </c>
      <c r="C962" s="10" t="str">
        <f t="array" ref="C962">IF(958&gt;$S$1204,"",INDEX($T$5:$AJ$1204,MATCH(958,$S$5:$S$1204,0),3))</f>
        <v/>
      </c>
      <c r="D962" s="8" t="str">
        <f t="array" ref="D962">IF(958&gt;$S$1204,"",INDEX($T$5:$AJ$1204,MATCH(958,$S$5:$S$1204,0),4))</f>
        <v/>
      </c>
      <c r="E962" s="8" t="str">
        <f t="array" ref="E962">IF(958&gt;$S$1204,"",INDEX($T$5:$AJ$1204,MATCH(958,$S$5:$S$1204,0),5))</f>
        <v/>
      </c>
      <c r="F962" s="8" t="str">
        <f t="array" ref="F962">IF(958&gt;$S$1204,"",INDEX($T$5:$AJ$1204,MATCH(958,$S$5:$S$1204,0),6))</f>
        <v/>
      </c>
      <c r="G962" s="8" t="str">
        <f t="array" ref="G962">IF(958&gt;$S$1204,"",INDEX($T$5:$AJ$1204,MATCH(958,$S$5:$S$1204,0),7))</f>
        <v/>
      </c>
      <c r="H962" s="8" t="str">
        <f t="array" ref="H962">IF(958&gt;$S$1204,"",INDEX($T$5:$AJ$1204,MATCH(958,$S$5:$S$1204,0),8))</f>
        <v/>
      </c>
      <c r="I962" s="8" t="str">
        <f t="array" ref="I962">IF(958&gt;$S$1204,"",INDEX($T$5:$AJ$1204,MATCH(958,$S$5:$S$1204,0),9))</f>
        <v/>
      </c>
      <c r="J962" s="14" t="str">
        <f t="array" ref="J962">IF(958&gt;$S$1204,"",INDEX($T$5:$AJ$1204,MATCH(958,$S$5:$S$1204,0),10))</f>
        <v/>
      </c>
      <c r="K962" s="8" t="str">
        <f t="array" ref="K962">IF(958&gt;$S$1204,"",INDEX($T$5:$AJ$1204,MATCH(958,$S$5:$S$1204,0),11))</f>
        <v/>
      </c>
      <c r="L962" s="8" t="str">
        <f t="array" ref="L962">IF(958&gt;$S$1204,"",INDEX($T$5:$AJ$1204,MATCH(958,$S$5:$S$1204,0),12))</f>
        <v/>
      </c>
      <c r="M962" s="8" t="str">
        <f t="array" ref="M962">IF(958&gt;$S$1204,"",INDEX($T$5:$AJ$1204,MATCH(958,$S$5:$S$1204,0),13))</f>
        <v/>
      </c>
      <c r="N962" s="8" t="str">
        <f t="array" ref="N962">IF(958&gt;$S$1204,"",INDEX($T$5:$AJ$1204,MATCH(958,$S$5:$S$1204,0),14))</f>
        <v/>
      </c>
      <c r="O962" s="15" t="str">
        <f t="array" ref="O962">IF(958&gt;$S$1204,"",INDEX($T$5:$AJ$1204,MATCH(958,$S$5:$S$1204,0),15))</f>
        <v/>
      </c>
      <c r="P962" s="8" t="str">
        <f t="array" ref="P962">IF(958&gt;$S$1204,"",INDEX($T$5:$AJ$1204,MATCH(958,$S$5:$S$1204,0),16))</f>
        <v/>
      </c>
      <c r="Q962" s="8" t="str">
        <f t="array" ref="Q962">IF(958&gt;$S$1204,"",INDEX($T$5:$AJ$1204,MATCH(958,$S$5:$S$1204,0),17))</f>
        <v/>
      </c>
      <c r="R962" s="17"/>
      <c r="S962" s="17">
        <f>S961+IF(M5_Ocupacion!A167="",0,1)</f>
        <v>0</v>
      </c>
      <c r="T962" s="17" t="str">
        <f>IF(M5_Ocupacion!A167="","",IF(M5_Ocupacion!A167="","",M5_Ocupacion!A167))</f>
        <v/>
      </c>
      <c r="U962" s="17" t="str">
        <f>IF(M5_Ocupacion!A167="","",IF(M5_Ocupacion!R167="","",M5_Ocupacion!R167))</f>
        <v/>
      </c>
      <c r="V962" s="17" t="str">
        <f>IF(M5_Ocupacion!A167="","",IF(M5_Ocupacion!D167="","",M5_Ocupacion!D167))</f>
        <v/>
      </c>
      <c r="W962" s="17" t="str">
        <f>IF(M5_Ocupacion!A167="","",IF(M5_Ocupacion!B167="","",M5_Ocupacion!B167))</f>
        <v/>
      </c>
      <c r="X962" s="17" t="str">
        <f>IF(M5_Ocupacion!A167="","",IF(M5_Ocupacion!C167="","",M5_Ocupacion!C167))</f>
        <v/>
      </c>
      <c r="Y962" s="17" t="str">
        <f>IF(M5_Ocupacion!A167="","",IF(M5_Ocupacion!E167="","",M5_Ocupacion!E167))</f>
        <v/>
      </c>
      <c r="Z962" s="17" t="str">
        <f>IF(M5_Ocupacion!A167="","",IF(M5_Ocupacion!F167="","",M5_Ocupacion!F167))</f>
        <v/>
      </c>
      <c r="AA962" s="17" t="str">
        <f>IF(M5_Ocupacion!A167="","","M5 Ocupación")</f>
        <v/>
      </c>
      <c r="AB962" s="17" t="str">
        <f>IF(M5_Ocupacion!A167="","",IF(M5_Ocupacion!G167="","",M5_Ocupacion!G167))</f>
        <v/>
      </c>
      <c r="AC962" s="17" t="str">
        <f>IF(M5_Ocupacion!A167="","",IF(COUNTIFS(M5_Ocupacion!$A$10:A167,M5_Ocupacion!A167,M5_Ocupacion!$D$10:D167,M5_Ocupacion!D167)=1,IF(M5_Ocupacion!M167="","",M5_Ocupacion!M167),""))</f>
        <v/>
      </c>
      <c r="AD962" s="17" t="str">
        <f>IF(M5_Ocupacion!A167="","","MO")</f>
        <v/>
      </c>
      <c r="AE962" s="17" t="str">
        <f>IF(M5_Ocupacion!A167="","",IF(M5_Ocupacion!O167="","",M5_Ocupacion!O167))</f>
        <v/>
      </c>
      <c r="AF962" s="17" t="str">
        <f>IF(M5_Ocupacion!A167="","",IF(M5_Ocupacion!P167="","",M5_Ocupacion!P167))</f>
        <v/>
      </c>
      <c r="AG962" s="17" t="str">
        <f>IF(M5_Ocupacion!A167="","",IF(M5_Ocupacion!Q167="","",M5_Ocupacion!Q167))</f>
        <v/>
      </c>
      <c r="AH962" s="17" t="str">
        <f>IF(M5_Ocupacion!A167="","",IF(M5_Ocupacion!J167="","",M5_Ocupacion!J167))</f>
        <v/>
      </c>
      <c r="AI962" s="17" t="str">
        <f>IF(M5_Ocupacion!A167="","","M5_Ocupacion!167")</f>
        <v/>
      </c>
      <c r="AJ962" s="17" t="str">
        <f>IF(M5_Ocupacion!A167="","",IF(M5_Ocupacion!M167="","Pendiente de medición completa",IF(COUNTIFS(M5_Ocupacion!$A$10:A167,M5_Ocupacion!A167,M5_Ocupacion!$D$10:D167,M5_Ocupacion!D167)=1,"Promedio de la actividad y fecha","Observación incluida en promedio")))</f>
        <v/>
      </c>
    </row>
    <row r="963" spans="1:36" ht="55.5" customHeight="1">
      <c r="A963" s="6" t="str">
        <f t="array" ref="A963">IF(959&gt;$S$1204,"",INDEX($T$5:$AJ$1204,MATCH(959,$S$5:$S$1204,0),1))</f>
        <v/>
      </c>
      <c r="B963" s="8" t="str">
        <f t="array" ref="B963">IF(959&gt;$S$1204,"",INDEX($T$5:$AJ$1204,MATCH(959,$S$5:$S$1204,0),2))</f>
        <v/>
      </c>
      <c r="C963" s="10" t="str">
        <f t="array" ref="C963">IF(959&gt;$S$1204,"",INDEX($T$5:$AJ$1204,MATCH(959,$S$5:$S$1204,0),3))</f>
        <v/>
      </c>
      <c r="D963" s="8" t="str">
        <f t="array" ref="D963">IF(959&gt;$S$1204,"",INDEX($T$5:$AJ$1204,MATCH(959,$S$5:$S$1204,0),4))</f>
        <v/>
      </c>
      <c r="E963" s="8" t="str">
        <f t="array" ref="E963">IF(959&gt;$S$1204,"",INDEX($T$5:$AJ$1204,MATCH(959,$S$5:$S$1204,0),5))</f>
        <v/>
      </c>
      <c r="F963" s="8" t="str">
        <f t="array" ref="F963">IF(959&gt;$S$1204,"",INDEX($T$5:$AJ$1204,MATCH(959,$S$5:$S$1204,0),6))</f>
        <v/>
      </c>
      <c r="G963" s="8" t="str">
        <f t="array" ref="G963">IF(959&gt;$S$1204,"",INDEX($T$5:$AJ$1204,MATCH(959,$S$5:$S$1204,0),7))</f>
        <v/>
      </c>
      <c r="H963" s="8" t="str">
        <f t="array" ref="H963">IF(959&gt;$S$1204,"",INDEX($T$5:$AJ$1204,MATCH(959,$S$5:$S$1204,0),8))</f>
        <v/>
      </c>
      <c r="I963" s="8" t="str">
        <f t="array" ref="I963">IF(959&gt;$S$1204,"",INDEX($T$5:$AJ$1204,MATCH(959,$S$5:$S$1204,0),9))</f>
        <v/>
      </c>
      <c r="J963" s="14" t="str">
        <f t="array" ref="J963">IF(959&gt;$S$1204,"",INDEX($T$5:$AJ$1204,MATCH(959,$S$5:$S$1204,0),10))</f>
        <v/>
      </c>
      <c r="K963" s="8" t="str">
        <f t="array" ref="K963">IF(959&gt;$S$1204,"",INDEX($T$5:$AJ$1204,MATCH(959,$S$5:$S$1204,0),11))</f>
        <v/>
      </c>
      <c r="L963" s="8" t="str">
        <f t="array" ref="L963">IF(959&gt;$S$1204,"",INDEX($T$5:$AJ$1204,MATCH(959,$S$5:$S$1204,0),12))</f>
        <v/>
      </c>
      <c r="M963" s="8" t="str">
        <f t="array" ref="M963">IF(959&gt;$S$1204,"",INDEX($T$5:$AJ$1204,MATCH(959,$S$5:$S$1204,0),13))</f>
        <v/>
      </c>
      <c r="N963" s="8" t="str">
        <f t="array" ref="N963">IF(959&gt;$S$1204,"",INDEX($T$5:$AJ$1204,MATCH(959,$S$5:$S$1204,0),14))</f>
        <v/>
      </c>
      <c r="O963" s="15" t="str">
        <f t="array" ref="O963">IF(959&gt;$S$1204,"",INDEX($T$5:$AJ$1204,MATCH(959,$S$5:$S$1204,0),15))</f>
        <v/>
      </c>
      <c r="P963" s="8" t="str">
        <f t="array" ref="P963">IF(959&gt;$S$1204,"",INDEX($T$5:$AJ$1204,MATCH(959,$S$5:$S$1204,0),16))</f>
        <v/>
      </c>
      <c r="Q963" s="8" t="str">
        <f t="array" ref="Q963">IF(959&gt;$S$1204,"",INDEX($T$5:$AJ$1204,MATCH(959,$S$5:$S$1204,0),17))</f>
        <v/>
      </c>
      <c r="R963" s="17"/>
      <c r="S963" s="17">
        <f>S962+IF(M5_Ocupacion!A168="",0,1)</f>
        <v>0</v>
      </c>
      <c r="T963" s="17" t="str">
        <f>IF(M5_Ocupacion!A168="","",IF(M5_Ocupacion!A168="","",M5_Ocupacion!A168))</f>
        <v/>
      </c>
      <c r="U963" s="17" t="str">
        <f>IF(M5_Ocupacion!A168="","",IF(M5_Ocupacion!R168="","",M5_Ocupacion!R168))</f>
        <v/>
      </c>
      <c r="V963" s="17" t="str">
        <f>IF(M5_Ocupacion!A168="","",IF(M5_Ocupacion!D168="","",M5_Ocupacion!D168))</f>
        <v/>
      </c>
      <c r="W963" s="17" t="str">
        <f>IF(M5_Ocupacion!A168="","",IF(M5_Ocupacion!B168="","",M5_Ocupacion!B168))</f>
        <v/>
      </c>
      <c r="X963" s="17" t="str">
        <f>IF(M5_Ocupacion!A168="","",IF(M5_Ocupacion!C168="","",M5_Ocupacion!C168))</f>
        <v/>
      </c>
      <c r="Y963" s="17" t="str">
        <f>IF(M5_Ocupacion!A168="","",IF(M5_Ocupacion!E168="","",M5_Ocupacion!E168))</f>
        <v/>
      </c>
      <c r="Z963" s="17" t="str">
        <f>IF(M5_Ocupacion!A168="","",IF(M5_Ocupacion!F168="","",M5_Ocupacion!F168))</f>
        <v/>
      </c>
      <c r="AA963" s="17" t="str">
        <f>IF(M5_Ocupacion!A168="","","M5 Ocupación")</f>
        <v/>
      </c>
      <c r="AB963" s="17" t="str">
        <f>IF(M5_Ocupacion!A168="","",IF(M5_Ocupacion!G168="","",M5_Ocupacion!G168))</f>
        <v/>
      </c>
      <c r="AC963" s="17" t="str">
        <f>IF(M5_Ocupacion!A168="","",IF(COUNTIFS(M5_Ocupacion!$A$10:A168,M5_Ocupacion!A168,M5_Ocupacion!$D$10:D168,M5_Ocupacion!D168)=1,IF(M5_Ocupacion!M168="","",M5_Ocupacion!M168),""))</f>
        <v/>
      </c>
      <c r="AD963" s="17" t="str">
        <f>IF(M5_Ocupacion!A168="","","MO")</f>
        <v/>
      </c>
      <c r="AE963" s="17" t="str">
        <f>IF(M5_Ocupacion!A168="","",IF(M5_Ocupacion!O168="","",M5_Ocupacion!O168))</f>
        <v/>
      </c>
      <c r="AF963" s="17" t="str">
        <f>IF(M5_Ocupacion!A168="","",IF(M5_Ocupacion!P168="","",M5_Ocupacion!P168))</f>
        <v/>
      </c>
      <c r="AG963" s="17" t="str">
        <f>IF(M5_Ocupacion!A168="","",IF(M5_Ocupacion!Q168="","",M5_Ocupacion!Q168))</f>
        <v/>
      </c>
      <c r="AH963" s="17" t="str">
        <f>IF(M5_Ocupacion!A168="","",IF(M5_Ocupacion!J168="","",M5_Ocupacion!J168))</f>
        <v/>
      </c>
      <c r="AI963" s="17" t="str">
        <f>IF(M5_Ocupacion!A168="","","M5_Ocupacion!168")</f>
        <v/>
      </c>
      <c r="AJ963" s="17" t="str">
        <f>IF(M5_Ocupacion!A168="","",IF(M5_Ocupacion!M168="","Pendiente de medición completa",IF(COUNTIFS(M5_Ocupacion!$A$10:A168,M5_Ocupacion!A168,M5_Ocupacion!$D$10:D168,M5_Ocupacion!D168)=1,"Promedio de la actividad y fecha","Observación incluida en promedio")))</f>
        <v/>
      </c>
    </row>
    <row r="964" spans="1:36" ht="55.5" customHeight="1">
      <c r="A964" s="6" t="str">
        <f t="array" ref="A964">IF(960&gt;$S$1204,"",INDEX($T$5:$AJ$1204,MATCH(960,$S$5:$S$1204,0),1))</f>
        <v/>
      </c>
      <c r="B964" s="8" t="str">
        <f t="array" ref="B964">IF(960&gt;$S$1204,"",INDEX($T$5:$AJ$1204,MATCH(960,$S$5:$S$1204,0),2))</f>
        <v/>
      </c>
      <c r="C964" s="10" t="str">
        <f t="array" ref="C964">IF(960&gt;$S$1204,"",INDEX($T$5:$AJ$1204,MATCH(960,$S$5:$S$1204,0),3))</f>
        <v/>
      </c>
      <c r="D964" s="8" t="str">
        <f t="array" ref="D964">IF(960&gt;$S$1204,"",INDEX($T$5:$AJ$1204,MATCH(960,$S$5:$S$1204,0),4))</f>
        <v/>
      </c>
      <c r="E964" s="8" t="str">
        <f t="array" ref="E964">IF(960&gt;$S$1204,"",INDEX($T$5:$AJ$1204,MATCH(960,$S$5:$S$1204,0),5))</f>
        <v/>
      </c>
      <c r="F964" s="8" t="str">
        <f t="array" ref="F964">IF(960&gt;$S$1204,"",INDEX($T$5:$AJ$1204,MATCH(960,$S$5:$S$1204,0),6))</f>
        <v/>
      </c>
      <c r="G964" s="8" t="str">
        <f t="array" ref="G964">IF(960&gt;$S$1204,"",INDEX($T$5:$AJ$1204,MATCH(960,$S$5:$S$1204,0),7))</f>
        <v/>
      </c>
      <c r="H964" s="8" t="str">
        <f t="array" ref="H964">IF(960&gt;$S$1204,"",INDEX($T$5:$AJ$1204,MATCH(960,$S$5:$S$1204,0),8))</f>
        <v/>
      </c>
      <c r="I964" s="8" t="str">
        <f t="array" ref="I964">IF(960&gt;$S$1204,"",INDEX($T$5:$AJ$1204,MATCH(960,$S$5:$S$1204,0),9))</f>
        <v/>
      </c>
      <c r="J964" s="14" t="str">
        <f t="array" ref="J964">IF(960&gt;$S$1204,"",INDEX($T$5:$AJ$1204,MATCH(960,$S$5:$S$1204,0),10))</f>
        <v/>
      </c>
      <c r="K964" s="8" t="str">
        <f t="array" ref="K964">IF(960&gt;$S$1204,"",INDEX($T$5:$AJ$1204,MATCH(960,$S$5:$S$1204,0),11))</f>
        <v/>
      </c>
      <c r="L964" s="8" t="str">
        <f t="array" ref="L964">IF(960&gt;$S$1204,"",INDEX($T$5:$AJ$1204,MATCH(960,$S$5:$S$1204,0),12))</f>
        <v/>
      </c>
      <c r="M964" s="8" t="str">
        <f t="array" ref="M964">IF(960&gt;$S$1204,"",INDEX($T$5:$AJ$1204,MATCH(960,$S$5:$S$1204,0),13))</f>
        <v/>
      </c>
      <c r="N964" s="8" t="str">
        <f t="array" ref="N964">IF(960&gt;$S$1204,"",INDEX($T$5:$AJ$1204,MATCH(960,$S$5:$S$1204,0),14))</f>
        <v/>
      </c>
      <c r="O964" s="15" t="str">
        <f t="array" ref="O964">IF(960&gt;$S$1204,"",INDEX($T$5:$AJ$1204,MATCH(960,$S$5:$S$1204,0),15))</f>
        <v/>
      </c>
      <c r="P964" s="8" t="str">
        <f t="array" ref="P964">IF(960&gt;$S$1204,"",INDEX($T$5:$AJ$1204,MATCH(960,$S$5:$S$1204,0),16))</f>
        <v/>
      </c>
      <c r="Q964" s="8" t="str">
        <f t="array" ref="Q964">IF(960&gt;$S$1204,"",INDEX($T$5:$AJ$1204,MATCH(960,$S$5:$S$1204,0),17))</f>
        <v/>
      </c>
      <c r="R964" s="17"/>
      <c r="S964" s="17">
        <f>S963+IF(M5_Ocupacion!A169="",0,1)</f>
        <v>0</v>
      </c>
      <c r="T964" s="17" t="str">
        <f>IF(M5_Ocupacion!A169="","",IF(M5_Ocupacion!A169="","",M5_Ocupacion!A169))</f>
        <v/>
      </c>
      <c r="U964" s="17" t="str">
        <f>IF(M5_Ocupacion!A169="","",IF(M5_Ocupacion!R169="","",M5_Ocupacion!R169))</f>
        <v/>
      </c>
      <c r="V964" s="17" t="str">
        <f>IF(M5_Ocupacion!A169="","",IF(M5_Ocupacion!D169="","",M5_Ocupacion!D169))</f>
        <v/>
      </c>
      <c r="W964" s="17" t="str">
        <f>IF(M5_Ocupacion!A169="","",IF(M5_Ocupacion!B169="","",M5_Ocupacion!B169))</f>
        <v/>
      </c>
      <c r="X964" s="17" t="str">
        <f>IF(M5_Ocupacion!A169="","",IF(M5_Ocupacion!C169="","",M5_Ocupacion!C169))</f>
        <v/>
      </c>
      <c r="Y964" s="17" t="str">
        <f>IF(M5_Ocupacion!A169="","",IF(M5_Ocupacion!E169="","",M5_Ocupacion!E169))</f>
        <v/>
      </c>
      <c r="Z964" s="17" t="str">
        <f>IF(M5_Ocupacion!A169="","",IF(M5_Ocupacion!F169="","",M5_Ocupacion!F169))</f>
        <v/>
      </c>
      <c r="AA964" s="17" t="str">
        <f>IF(M5_Ocupacion!A169="","","M5 Ocupación")</f>
        <v/>
      </c>
      <c r="AB964" s="17" t="str">
        <f>IF(M5_Ocupacion!A169="","",IF(M5_Ocupacion!G169="","",M5_Ocupacion!G169))</f>
        <v/>
      </c>
      <c r="AC964" s="17" t="str">
        <f>IF(M5_Ocupacion!A169="","",IF(COUNTIFS(M5_Ocupacion!$A$10:A169,M5_Ocupacion!A169,M5_Ocupacion!$D$10:D169,M5_Ocupacion!D169)=1,IF(M5_Ocupacion!M169="","",M5_Ocupacion!M169),""))</f>
        <v/>
      </c>
      <c r="AD964" s="17" t="str">
        <f>IF(M5_Ocupacion!A169="","","MO")</f>
        <v/>
      </c>
      <c r="AE964" s="17" t="str">
        <f>IF(M5_Ocupacion!A169="","",IF(M5_Ocupacion!O169="","",M5_Ocupacion!O169))</f>
        <v/>
      </c>
      <c r="AF964" s="17" t="str">
        <f>IF(M5_Ocupacion!A169="","",IF(M5_Ocupacion!P169="","",M5_Ocupacion!P169))</f>
        <v/>
      </c>
      <c r="AG964" s="17" t="str">
        <f>IF(M5_Ocupacion!A169="","",IF(M5_Ocupacion!Q169="","",M5_Ocupacion!Q169))</f>
        <v/>
      </c>
      <c r="AH964" s="17" t="str">
        <f>IF(M5_Ocupacion!A169="","",IF(M5_Ocupacion!J169="","",M5_Ocupacion!J169))</f>
        <v/>
      </c>
      <c r="AI964" s="17" t="str">
        <f>IF(M5_Ocupacion!A169="","","M5_Ocupacion!169")</f>
        <v/>
      </c>
      <c r="AJ964" s="17" t="str">
        <f>IF(M5_Ocupacion!A169="","",IF(M5_Ocupacion!M169="","Pendiente de medición completa",IF(COUNTIFS(M5_Ocupacion!$A$10:A169,M5_Ocupacion!A169,M5_Ocupacion!$D$10:D169,M5_Ocupacion!D169)=1,"Promedio de la actividad y fecha","Observación incluida en promedio")))</f>
        <v/>
      </c>
    </row>
    <row r="965" spans="1:36" ht="55.5" customHeight="1">
      <c r="A965" s="6" t="str">
        <f t="array" ref="A965">IF(961&gt;$S$1204,"",INDEX($T$5:$AJ$1204,MATCH(961,$S$5:$S$1204,0),1))</f>
        <v/>
      </c>
      <c r="B965" s="8" t="str">
        <f t="array" ref="B965">IF(961&gt;$S$1204,"",INDEX($T$5:$AJ$1204,MATCH(961,$S$5:$S$1204,0),2))</f>
        <v/>
      </c>
      <c r="C965" s="10" t="str">
        <f t="array" ref="C965">IF(961&gt;$S$1204,"",INDEX($T$5:$AJ$1204,MATCH(961,$S$5:$S$1204,0),3))</f>
        <v/>
      </c>
      <c r="D965" s="8" t="str">
        <f t="array" ref="D965">IF(961&gt;$S$1204,"",INDEX($T$5:$AJ$1204,MATCH(961,$S$5:$S$1204,0),4))</f>
        <v/>
      </c>
      <c r="E965" s="8" t="str">
        <f t="array" ref="E965">IF(961&gt;$S$1204,"",INDEX($T$5:$AJ$1204,MATCH(961,$S$5:$S$1204,0),5))</f>
        <v/>
      </c>
      <c r="F965" s="8" t="str">
        <f t="array" ref="F965">IF(961&gt;$S$1204,"",INDEX($T$5:$AJ$1204,MATCH(961,$S$5:$S$1204,0),6))</f>
        <v/>
      </c>
      <c r="G965" s="8" t="str">
        <f t="array" ref="G965">IF(961&gt;$S$1204,"",INDEX($T$5:$AJ$1204,MATCH(961,$S$5:$S$1204,0),7))</f>
        <v/>
      </c>
      <c r="H965" s="8" t="str">
        <f t="array" ref="H965">IF(961&gt;$S$1204,"",INDEX($T$5:$AJ$1204,MATCH(961,$S$5:$S$1204,0),8))</f>
        <v/>
      </c>
      <c r="I965" s="8" t="str">
        <f t="array" ref="I965">IF(961&gt;$S$1204,"",INDEX($T$5:$AJ$1204,MATCH(961,$S$5:$S$1204,0),9))</f>
        <v/>
      </c>
      <c r="J965" s="14" t="str">
        <f t="array" ref="J965">IF(961&gt;$S$1204,"",INDEX($T$5:$AJ$1204,MATCH(961,$S$5:$S$1204,0),10))</f>
        <v/>
      </c>
      <c r="K965" s="8" t="str">
        <f t="array" ref="K965">IF(961&gt;$S$1204,"",INDEX($T$5:$AJ$1204,MATCH(961,$S$5:$S$1204,0),11))</f>
        <v/>
      </c>
      <c r="L965" s="8" t="str">
        <f t="array" ref="L965">IF(961&gt;$S$1204,"",INDEX($T$5:$AJ$1204,MATCH(961,$S$5:$S$1204,0),12))</f>
        <v/>
      </c>
      <c r="M965" s="8" t="str">
        <f t="array" ref="M965">IF(961&gt;$S$1204,"",INDEX($T$5:$AJ$1204,MATCH(961,$S$5:$S$1204,0),13))</f>
        <v/>
      </c>
      <c r="N965" s="8" t="str">
        <f t="array" ref="N965">IF(961&gt;$S$1204,"",INDEX($T$5:$AJ$1204,MATCH(961,$S$5:$S$1204,0),14))</f>
        <v/>
      </c>
      <c r="O965" s="15" t="str">
        <f t="array" ref="O965">IF(961&gt;$S$1204,"",INDEX($T$5:$AJ$1204,MATCH(961,$S$5:$S$1204,0),15))</f>
        <v/>
      </c>
      <c r="P965" s="8" t="str">
        <f t="array" ref="P965">IF(961&gt;$S$1204,"",INDEX($T$5:$AJ$1204,MATCH(961,$S$5:$S$1204,0),16))</f>
        <v/>
      </c>
      <c r="Q965" s="8" t="str">
        <f t="array" ref="Q965">IF(961&gt;$S$1204,"",INDEX($T$5:$AJ$1204,MATCH(961,$S$5:$S$1204,0),17))</f>
        <v/>
      </c>
      <c r="R965" s="17"/>
      <c r="S965" s="17">
        <f>S964+IF(M5_Ocupacion!A170="",0,1)</f>
        <v>0</v>
      </c>
      <c r="T965" s="17" t="str">
        <f>IF(M5_Ocupacion!A170="","",IF(M5_Ocupacion!A170="","",M5_Ocupacion!A170))</f>
        <v/>
      </c>
      <c r="U965" s="17" t="str">
        <f>IF(M5_Ocupacion!A170="","",IF(M5_Ocupacion!R170="","",M5_Ocupacion!R170))</f>
        <v/>
      </c>
      <c r="V965" s="17" t="str">
        <f>IF(M5_Ocupacion!A170="","",IF(M5_Ocupacion!D170="","",M5_Ocupacion!D170))</f>
        <v/>
      </c>
      <c r="W965" s="17" t="str">
        <f>IF(M5_Ocupacion!A170="","",IF(M5_Ocupacion!B170="","",M5_Ocupacion!B170))</f>
        <v/>
      </c>
      <c r="X965" s="17" t="str">
        <f>IF(M5_Ocupacion!A170="","",IF(M5_Ocupacion!C170="","",M5_Ocupacion!C170))</f>
        <v/>
      </c>
      <c r="Y965" s="17" t="str">
        <f>IF(M5_Ocupacion!A170="","",IF(M5_Ocupacion!E170="","",M5_Ocupacion!E170))</f>
        <v/>
      </c>
      <c r="Z965" s="17" t="str">
        <f>IF(M5_Ocupacion!A170="","",IF(M5_Ocupacion!F170="","",M5_Ocupacion!F170))</f>
        <v/>
      </c>
      <c r="AA965" s="17" t="str">
        <f>IF(M5_Ocupacion!A170="","","M5 Ocupación")</f>
        <v/>
      </c>
      <c r="AB965" s="17" t="str">
        <f>IF(M5_Ocupacion!A170="","",IF(M5_Ocupacion!G170="","",M5_Ocupacion!G170))</f>
        <v/>
      </c>
      <c r="AC965" s="17" t="str">
        <f>IF(M5_Ocupacion!A170="","",IF(COUNTIFS(M5_Ocupacion!$A$10:A170,M5_Ocupacion!A170,M5_Ocupacion!$D$10:D170,M5_Ocupacion!D170)=1,IF(M5_Ocupacion!M170="","",M5_Ocupacion!M170),""))</f>
        <v/>
      </c>
      <c r="AD965" s="17" t="str">
        <f>IF(M5_Ocupacion!A170="","","MO")</f>
        <v/>
      </c>
      <c r="AE965" s="17" t="str">
        <f>IF(M5_Ocupacion!A170="","",IF(M5_Ocupacion!O170="","",M5_Ocupacion!O170))</f>
        <v/>
      </c>
      <c r="AF965" s="17" t="str">
        <f>IF(M5_Ocupacion!A170="","",IF(M5_Ocupacion!P170="","",M5_Ocupacion!P170))</f>
        <v/>
      </c>
      <c r="AG965" s="17" t="str">
        <f>IF(M5_Ocupacion!A170="","",IF(M5_Ocupacion!Q170="","",M5_Ocupacion!Q170))</f>
        <v/>
      </c>
      <c r="AH965" s="17" t="str">
        <f>IF(M5_Ocupacion!A170="","",IF(M5_Ocupacion!J170="","",M5_Ocupacion!J170))</f>
        <v/>
      </c>
      <c r="AI965" s="17" t="str">
        <f>IF(M5_Ocupacion!A170="","","M5_Ocupacion!170")</f>
        <v/>
      </c>
      <c r="AJ965" s="17" t="str">
        <f>IF(M5_Ocupacion!A170="","",IF(M5_Ocupacion!M170="","Pendiente de medición completa",IF(COUNTIFS(M5_Ocupacion!$A$10:A170,M5_Ocupacion!A170,M5_Ocupacion!$D$10:D170,M5_Ocupacion!D170)=1,"Promedio de la actividad y fecha","Observación incluida en promedio")))</f>
        <v/>
      </c>
    </row>
    <row r="966" spans="1:36" ht="55.5" customHeight="1">
      <c r="A966" s="6" t="str">
        <f t="array" ref="A966">IF(962&gt;$S$1204,"",INDEX($T$5:$AJ$1204,MATCH(962,$S$5:$S$1204,0),1))</f>
        <v/>
      </c>
      <c r="B966" s="8" t="str">
        <f t="array" ref="B966">IF(962&gt;$S$1204,"",INDEX($T$5:$AJ$1204,MATCH(962,$S$5:$S$1204,0),2))</f>
        <v/>
      </c>
      <c r="C966" s="10" t="str">
        <f t="array" ref="C966">IF(962&gt;$S$1204,"",INDEX($T$5:$AJ$1204,MATCH(962,$S$5:$S$1204,0),3))</f>
        <v/>
      </c>
      <c r="D966" s="8" t="str">
        <f t="array" ref="D966">IF(962&gt;$S$1204,"",INDEX($T$5:$AJ$1204,MATCH(962,$S$5:$S$1204,0),4))</f>
        <v/>
      </c>
      <c r="E966" s="8" t="str">
        <f t="array" ref="E966">IF(962&gt;$S$1204,"",INDEX($T$5:$AJ$1204,MATCH(962,$S$5:$S$1204,0),5))</f>
        <v/>
      </c>
      <c r="F966" s="8" t="str">
        <f t="array" ref="F966">IF(962&gt;$S$1204,"",INDEX($T$5:$AJ$1204,MATCH(962,$S$5:$S$1204,0),6))</f>
        <v/>
      </c>
      <c r="G966" s="8" t="str">
        <f t="array" ref="G966">IF(962&gt;$S$1204,"",INDEX($T$5:$AJ$1204,MATCH(962,$S$5:$S$1204,0),7))</f>
        <v/>
      </c>
      <c r="H966" s="8" t="str">
        <f t="array" ref="H966">IF(962&gt;$S$1204,"",INDEX($T$5:$AJ$1204,MATCH(962,$S$5:$S$1204,0),8))</f>
        <v/>
      </c>
      <c r="I966" s="8" t="str">
        <f t="array" ref="I966">IF(962&gt;$S$1204,"",INDEX($T$5:$AJ$1204,MATCH(962,$S$5:$S$1204,0),9))</f>
        <v/>
      </c>
      <c r="J966" s="14" t="str">
        <f t="array" ref="J966">IF(962&gt;$S$1204,"",INDEX($T$5:$AJ$1204,MATCH(962,$S$5:$S$1204,0),10))</f>
        <v/>
      </c>
      <c r="K966" s="8" t="str">
        <f t="array" ref="K966">IF(962&gt;$S$1204,"",INDEX($T$5:$AJ$1204,MATCH(962,$S$5:$S$1204,0),11))</f>
        <v/>
      </c>
      <c r="L966" s="8" t="str">
        <f t="array" ref="L966">IF(962&gt;$S$1204,"",INDEX($T$5:$AJ$1204,MATCH(962,$S$5:$S$1204,0),12))</f>
        <v/>
      </c>
      <c r="M966" s="8" t="str">
        <f t="array" ref="M966">IF(962&gt;$S$1204,"",INDEX($T$5:$AJ$1204,MATCH(962,$S$5:$S$1204,0),13))</f>
        <v/>
      </c>
      <c r="N966" s="8" t="str">
        <f t="array" ref="N966">IF(962&gt;$S$1204,"",INDEX($T$5:$AJ$1204,MATCH(962,$S$5:$S$1204,0),14))</f>
        <v/>
      </c>
      <c r="O966" s="15" t="str">
        <f t="array" ref="O966">IF(962&gt;$S$1204,"",INDEX($T$5:$AJ$1204,MATCH(962,$S$5:$S$1204,0),15))</f>
        <v/>
      </c>
      <c r="P966" s="8" t="str">
        <f t="array" ref="P966">IF(962&gt;$S$1204,"",INDEX($T$5:$AJ$1204,MATCH(962,$S$5:$S$1204,0),16))</f>
        <v/>
      </c>
      <c r="Q966" s="8" t="str">
        <f t="array" ref="Q966">IF(962&gt;$S$1204,"",INDEX($T$5:$AJ$1204,MATCH(962,$S$5:$S$1204,0),17))</f>
        <v/>
      </c>
      <c r="R966" s="17"/>
      <c r="S966" s="17">
        <f>S965+IF(M5_Ocupacion!A171="",0,1)</f>
        <v>0</v>
      </c>
      <c r="T966" s="17" t="str">
        <f>IF(M5_Ocupacion!A171="","",IF(M5_Ocupacion!A171="","",M5_Ocupacion!A171))</f>
        <v/>
      </c>
      <c r="U966" s="17" t="str">
        <f>IF(M5_Ocupacion!A171="","",IF(M5_Ocupacion!R171="","",M5_Ocupacion!R171))</f>
        <v/>
      </c>
      <c r="V966" s="17" t="str">
        <f>IF(M5_Ocupacion!A171="","",IF(M5_Ocupacion!D171="","",M5_Ocupacion!D171))</f>
        <v/>
      </c>
      <c r="W966" s="17" t="str">
        <f>IF(M5_Ocupacion!A171="","",IF(M5_Ocupacion!B171="","",M5_Ocupacion!B171))</f>
        <v/>
      </c>
      <c r="X966" s="17" t="str">
        <f>IF(M5_Ocupacion!A171="","",IF(M5_Ocupacion!C171="","",M5_Ocupacion!C171))</f>
        <v/>
      </c>
      <c r="Y966" s="17" t="str">
        <f>IF(M5_Ocupacion!A171="","",IF(M5_Ocupacion!E171="","",M5_Ocupacion!E171))</f>
        <v/>
      </c>
      <c r="Z966" s="17" t="str">
        <f>IF(M5_Ocupacion!A171="","",IF(M5_Ocupacion!F171="","",M5_Ocupacion!F171))</f>
        <v/>
      </c>
      <c r="AA966" s="17" t="str">
        <f>IF(M5_Ocupacion!A171="","","M5 Ocupación")</f>
        <v/>
      </c>
      <c r="AB966" s="17" t="str">
        <f>IF(M5_Ocupacion!A171="","",IF(M5_Ocupacion!G171="","",M5_Ocupacion!G171))</f>
        <v/>
      </c>
      <c r="AC966" s="17" t="str">
        <f>IF(M5_Ocupacion!A171="","",IF(COUNTIFS(M5_Ocupacion!$A$10:A171,M5_Ocupacion!A171,M5_Ocupacion!$D$10:D171,M5_Ocupacion!D171)=1,IF(M5_Ocupacion!M171="","",M5_Ocupacion!M171),""))</f>
        <v/>
      </c>
      <c r="AD966" s="17" t="str">
        <f>IF(M5_Ocupacion!A171="","","MO")</f>
        <v/>
      </c>
      <c r="AE966" s="17" t="str">
        <f>IF(M5_Ocupacion!A171="","",IF(M5_Ocupacion!O171="","",M5_Ocupacion!O171))</f>
        <v/>
      </c>
      <c r="AF966" s="17" t="str">
        <f>IF(M5_Ocupacion!A171="","",IF(M5_Ocupacion!P171="","",M5_Ocupacion!P171))</f>
        <v/>
      </c>
      <c r="AG966" s="17" t="str">
        <f>IF(M5_Ocupacion!A171="","",IF(M5_Ocupacion!Q171="","",M5_Ocupacion!Q171))</f>
        <v/>
      </c>
      <c r="AH966" s="17" t="str">
        <f>IF(M5_Ocupacion!A171="","",IF(M5_Ocupacion!J171="","",M5_Ocupacion!J171))</f>
        <v/>
      </c>
      <c r="AI966" s="17" t="str">
        <f>IF(M5_Ocupacion!A171="","","M5_Ocupacion!171")</f>
        <v/>
      </c>
      <c r="AJ966" s="17" t="str">
        <f>IF(M5_Ocupacion!A171="","",IF(M5_Ocupacion!M171="","Pendiente de medición completa",IF(COUNTIFS(M5_Ocupacion!$A$10:A171,M5_Ocupacion!A171,M5_Ocupacion!$D$10:D171,M5_Ocupacion!D171)=1,"Promedio de la actividad y fecha","Observación incluida en promedio")))</f>
        <v/>
      </c>
    </row>
    <row r="967" spans="1:36" ht="55.5" customHeight="1">
      <c r="A967" s="6" t="str">
        <f t="array" ref="A967">IF(963&gt;$S$1204,"",INDEX($T$5:$AJ$1204,MATCH(963,$S$5:$S$1204,0),1))</f>
        <v/>
      </c>
      <c r="B967" s="8" t="str">
        <f t="array" ref="B967">IF(963&gt;$S$1204,"",INDEX($T$5:$AJ$1204,MATCH(963,$S$5:$S$1204,0),2))</f>
        <v/>
      </c>
      <c r="C967" s="10" t="str">
        <f t="array" ref="C967">IF(963&gt;$S$1204,"",INDEX($T$5:$AJ$1204,MATCH(963,$S$5:$S$1204,0),3))</f>
        <v/>
      </c>
      <c r="D967" s="8" t="str">
        <f t="array" ref="D967">IF(963&gt;$S$1204,"",INDEX($T$5:$AJ$1204,MATCH(963,$S$5:$S$1204,0),4))</f>
        <v/>
      </c>
      <c r="E967" s="8" t="str">
        <f t="array" ref="E967">IF(963&gt;$S$1204,"",INDEX($T$5:$AJ$1204,MATCH(963,$S$5:$S$1204,0),5))</f>
        <v/>
      </c>
      <c r="F967" s="8" t="str">
        <f t="array" ref="F967">IF(963&gt;$S$1204,"",INDEX($T$5:$AJ$1204,MATCH(963,$S$5:$S$1204,0),6))</f>
        <v/>
      </c>
      <c r="G967" s="8" t="str">
        <f t="array" ref="G967">IF(963&gt;$S$1204,"",INDEX($T$5:$AJ$1204,MATCH(963,$S$5:$S$1204,0),7))</f>
        <v/>
      </c>
      <c r="H967" s="8" t="str">
        <f t="array" ref="H967">IF(963&gt;$S$1204,"",INDEX($T$5:$AJ$1204,MATCH(963,$S$5:$S$1204,0),8))</f>
        <v/>
      </c>
      <c r="I967" s="8" t="str">
        <f t="array" ref="I967">IF(963&gt;$S$1204,"",INDEX($T$5:$AJ$1204,MATCH(963,$S$5:$S$1204,0),9))</f>
        <v/>
      </c>
      <c r="J967" s="14" t="str">
        <f t="array" ref="J967">IF(963&gt;$S$1204,"",INDEX($T$5:$AJ$1204,MATCH(963,$S$5:$S$1204,0),10))</f>
        <v/>
      </c>
      <c r="K967" s="8" t="str">
        <f t="array" ref="K967">IF(963&gt;$S$1204,"",INDEX($T$5:$AJ$1204,MATCH(963,$S$5:$S$1204,0),11))</f>
        <v/>
      </c>
      <c r="L967" s="8" t="str">
        <f t="array" ref="L967">IF(963&gt;$S$1204,"",INDEX($T$5:$AJ$1204,MATCH(963,$S$5:$S$1204,0),12))</f>
        <v/>
      </c>
      <c r="M967" s="8" t="str">
        <f t="array" ref="M967">IF(963&gt;$S$1204,"",INDEX($T$5:$AJ$1204,MATCH(963,$S$5:$S$1204,0),13))</f>
        <v/>
      </c>
      <c r="N967" s="8" t="str">
        <f t="array" ref="N967">IF(963&gt;$S$1204,"",INDEX($T$5:$AJ$1204,MATCH(963,$S$5:$S$1204,0),14))</f>
        <v/>
      </c>
      <c r="O967" s="15" t="str">
        <f t="array" ref="O967">IF(963&gt;$S$1204,"",INDEX($T$5:$AJ$1204,MATCH(963,$S$5:$S$1204,0),15))</f>
        <v/>
      </c>
      <c r="P967" s="8" t="str">
        <f t="array" ref="P967">IF(963&gt;$S$1204,"",INDEX($T$5:$AJ$1204,MATCH(963,$S$5:$S$1204,0),16))</f>
        <v/>
      </c>
      <c r="Q967" s="8" t="str">
        <f t="array" ref="Q967">IF(963&gt;$S$1204,"",INDEX($T$5:$AJ$1204,MATCH(963,$S$5:$S$1204,0),17))</f>
        <v/>
      </c>
      <c r="R967" s="17"/>
      <c r="S967" s="17">
        <f>S966+IF(M5_Ocupacion!A172="",0,1)</f>
        <v>0</v>
      </c>
      <c r="T967" s="17" t="str">
        <f>IF(M5_Ocupacion!A172="","",IF(M5_Ocupacion!A172="","",M5_Ocupacion!A172))</f>
        <v/>
      </c>
      <c r="U967" s="17" t="str">
        <f>IF(M5_Ocupacion!A172="","",IF(M5_Ocupacion!R172="","",M5_Ocupacion!R172))</f>
        <v/>
      </c>
      <c r="V967" s="17" t="str">
        <f>IF(M5_Ocupacion!A172="","",IF(M5_Ocupacion!D172="","",M5_Ocupacion!D172))</f>
        <v/>
      </c>
      <c r="W967" s="17" t="str">
        <f>IF(M5_Ocupacion!A172="","",IF(M5_Ocupacion!B172="","",M5_Ocupacion!B172))</f>
        <v/>
      </c>
      <c r="X967" s="17" t="str">
        <f>IF(M5_Ocupacion!A172="","",IF(M5_Ocupacion!C172="","",M5_Ocupacion!C172))</f>
        <v/>
      </c>
      <c r="Y967" s="17" t="str">
        <f>IF(M5_Ocupacion!A172="","",IF(M5_Ocupacion!E172="","",M5_Ocupacion!E172))</f>
        <v/>
      </c>
      <c r="Z967" s="17" t="str">
        <f>IF(M5_Ocupacion!A172="","",IF(M5_Ocupacion!F172="","",M5_Ocupacion!F172))</f>
        <v/>
      </c>
      <c r="AA967" s="17" t="str">
        <f>IF(M5_Ocupacion!A172="","","M5 Ocupación")</f>
        <v/>
      </c>
      <c r="AB967" s="17" t="str">
        <f>IF(M5_Ocupacion!A172="","",IF(M5_Ocupacion!G172="","",M5_Ocupacion!G172))</f>
        <v/>
      </c>
      <c r="AC967" s="17" t="str">
        <f>IF(M5_Ocupacion!A172="","",IF(COUNTIFS(M5_Ocupacion!$A$10:A172,M5_Ocupacion!A172,M5_Ocupacion!$D$10:D172,M5_Ocupacion!D172)=1,IF(M5_Ocupacion!M172="","",M5_Ocupacion!M172),""))</f>
        <v/>
      </c>
      <c r="AD967" s="17" t="str">
        <f>IF(M5_Ocupacion!A172="","","MO")</f>
        <v/>
      </c>
      <c r="AE967" s="17" t="str">
        <f>IF(M5_Ocupacion!A172="","",IF(M5_Ocupacion!O172="","",M5_Ocupacion!O172))</f>
        <v/>
      </c>
      <c r="AF967" s="17" t="str">
        <f>IF(M5_Ocupacion!A172="","",IF(M5_Ocupacion!P172="","",M5_Ocupacion!P172))</f>
        <v/>
      </c>
      <c r="AG967" s="17" t="str">
        <f>IF(M5_Ocupacion!A172="","",IF(M5_Ocupacion!Q172="","",M5_Ocupacion!Q172))</f>
        <v/>
      </c>
      <c r="AH967" s="17" t="str">
        <f>IF(M5_Ocupacion!A172="","",IF(M5_Ocupacion!J172="","",M5_Ocupacion!J172))</f>
        <v/>
      </c>
      <c r="AI967" s="17" t="str">
        <f>IF(M5_Ocupacion!A172="","","M5_Ocupacion!172")</f>
        <v/>
      </c>
      <c r="AJ967" s="17" t="str">
        <f>IF(M5_Ocupacion!A172="","",IF(M5_Ocupacion!M172="","Pendiente de medición completa",IF(COUNTIFS(M5_Ocupacion!$A$10:A172,M5_Ocupacion!A172,M5_Ocupacion!$D$10:D172,M5_Ocupacion!D172)=1,"Promedio de la actividad y fecha","Observación incluida en promedio")))</f>
        <v/>
      </c>
    </row>
    <row r="968" spans="1:36" ht="55.5" customHeight="1">
      <c r="A968" s="6" t="str">
        <f t="array" ref="A968">IF(964&gt;$S$1204,"",INDEX($T$5:$AJ$1204,MATCH(964,$S$5:$S$1204,0),1))</f>
        <v/>
      </c>
      <c r="B968" s="8" t="str">
        <f t="array" ref="B968">IF(964&gt;$S$1204,"",INDEX($T$5:$AJ$1204,MATCH(964,$S$5:$S$1204,0),2))</f>
        <v/>
      </c>
      <c r="C968" s="10" t="str">
        <f t="array" ref="C968">IF(964&gt;$S$1204,"",INDEX($T$5:$AJ$1204,MATCH(964,$S$5:$S$1204,0),3))</f>
        <v/>
      </c>
      <c r="D968" s="8" t="str">
        <f t="array" ref="D968">IF(964&gt;$S$1204,"",INDEX($T$5:$AJ$1204,MATCH(964,$S$5:$S$1204,0),4))</f>
        <v/>
      </c>
      <c r="E968" s="8" t="str">
        <f t="array" ref="E968">IF(964&gt;$S$1204,"",INDEX($T$5:$AJ$1204,MATCH(964,$S$5:$S$1204,0),5))</f>
        <v/>
      </c>
      <c r="F968" s="8" t="str">
        <f t="array" ref="F968">IF(964&gt;$S$1204,"",INDEX($T$5:$AJ$1204,MATCH(964,$S$5:$S$1204,0),6))</f>
        <v/>
      </c>
      <c r="G968" s="8" t="str">
        <f t="array" ref="G968">IF(964&gt;$S$1204,"",INDEX($T$5:$AJ$1204,MATCH(964,$S$5:$S$1204,0),7))</f>
        <v/>
      </c>
      <c r="H968" s="8" t="str">
        <f t="array" ref="H968">IF(964&gt;$S$1204,"",INDEX($T$5:$AJ$1204,MATCH(964,$S$5:$S$1204,0),8))</f>
        <v/>
      </c>
      <c r="I968" s="8" t="str">
        <f t="array" ref="I968">IF(964&gt;$S$1204,"",INDEX($T$5:$AJ$1204,MATCH(964,$S$5:$S$1204,0),9))</f>
        <v/>
      </c>
      <c r="J968" s="14" t="str">
        <f t="array" ref="J968">IF(964&gt;$S$1204,"",INDEX($T$5:$AJ$1204,MATCH(964,$S$5:$S$1204,0),10))</f>
        <v/>
      </c>
      <c r="K968" s="8" t="str">
        <f t="array" ref="K968">IF(964&gt;$S$1204,"",INDEX($T$5:$AJ$1204,MATCH(964,$S$5:$S$1204,0),11))</f>
        <v/>
      </c>
      <c r="L968" s="8" t="str">
        <f t="array" ref="L968">IF(964&gt;$S$1204,"",INDEX($T$5:$AJ$1204,MATCH(964,$S$5:$S$1204,0),12))</f>
        <v/>
      </c>
      <c r="M968" s="8" t="str">
        <f t="array" ref="M968">IF(964&gt;$S$1204,"",INDEX($T$5:$AJ$1204,MATCH(964,$S$5:$S$1204,0),13))</f>
        <v/>
      </c>
      <c r="N968" s="8" t="str">
        <f t="array" ref="N968">IF(964&gt;$S$1204,"",INDEX($T$5:$AJ$1204,MATCH(964,$S$5:$S$1204,0),14))</f>
        <v/>
      </c>
      <c r="O968" s="15" t="str">
        <f t="array" ref="O968">IF(964&gt;$S$1204,"",INDEX($T$5:$AJ$1204,MATCH(964,$S$5:$S$1204,0),15))</f>
        <v/>
      </c>
      <c r="P968" s="8" t="str">
        <f t="array" ref="P968">IF(964&gt;$S$1204,"",INDEX($T$5:$AJ$1204,MATCH(964,$S$5:$S$1204,0),16))</f>
        <v/>
      </c>
      <c r="Q968" s="8" t="str">
        <f t="array" ref="Q968">IF(964&gt;$S$1204,"",INDEX($T$5:$AJ$1204,MATCH(964,$S$5:$S$1204,0),17))</f>
        <v/>
      </c>
      <c r="R968" s="17"/>
      <c r="S968" s="17">
        <f>S967+IF(M5_Ocupacion!A173="",0,1)</f>
        <v>0</v>
      </c>
      <c r="T968" s="17" t="str">
        <f>IF(M5_Ocupacion!A173="","",IF(M5_Ocupacion!A173="","",M5_Ocupacion!A173))</f>
        <v/>
      </c>
      <c r="U968" s="17" t="str">
        <f>IF(M5_Ocupacion!A173="","",IF(M5_Ocupacion!R173="","",M5_Ocupacion!R173))</f>
        <v/>
      </c>
      <c r="V968" s="17" t="str">
        <f>IF(M5_Ocupacion!A173="","",IF(M5_Ocupacion!D173="","",M5_Ocupacion!D173))</f>
        <v/>
      </c>
      <c r="W968" s="17" t="str">
        <f>IF(M5_Ocupacion!A173="","",IF(M5_Ocupacion!B173="","",M5_Ocupacion!B173))</f>
        <v/>
      </c>
      <c r="X968" s="17" t="str">
        <f>IF(M5_Ocupacion!A173="","",IF(M5_Ocupacion!C173="","",M5_Ocupacion!C173))</f>
        <v/>
      </c>
      <c r="Y968" s="17" t="str">
        <f>IF(M5_Ocupacion!A173="","",IF(M5_Ocupacion!E173="","",M5_Ocupacion!E173))</f>
        <v/>
      </c>
      <c r="Z968" s="17" t="str">
        <f>IF(M5_Ocupacion!A173="","",IF(M5_Ocupacion!F173="","",M5_Ocupacion!F173))</f>
        <v/>
      </c>
      <c r="AA968" s="17" t="str">
        <f>IF(M5_Ocupacion!A173="","","M5 Ocupación")</f>
        <v/>
      </c>
      <c r="AB968" s="17" t="str">
        <f>IF(M5_Ocupacion!A173="","",IF(M5_Ocupacion!G173="","",M5_Ocupacion!G173))</f>
        <v/>
      </c>
      <c r="AC968" s="17" t="str">
        <f>IF(M5_Ocupacion!A173="","",IF(COUNTIFS(M5_Ocupacion!$A$10:A173,M5_Ocupacion!A173,M5_Ocupacion!$D$10:D173,M5_Ocupacion!D173)=1,IF(M5_Ocupacion!M173="","",M5_Ocupacion!M173),""))</f>
        <v/>
      </c>
      <c r="AD968" s="17" t="str">
        <f>IF(M5_Ocupacion!A173="","","MO")</f>
        <v/>
      </c>
      <c r="AE968" s="17" t="str">
        <f>IF(M5_Ocupacion!A173="","",IF(M5_Ocupacion!O173="","",M5_Ocupacion!O173))</f>
        <v/>
      </c>
      <c r="AF968" s="17" t="str">
        <f>IF(M5_Ocupacion!A173="","",IF(M5_Ocupacion!P173="","",M5_Ocupacion!P173))</f>
        <v/>
      </c>
      <c r="AG968" s="17" t="str">
        <f>IF(M5_Ocupacion!A173="","",IF(M5_Ocupacion!Q173="","",M5_Ocupacion!Q173))</f>
        <v/>
      </c>
      <c r="AH968" s="17" t="str">
        <f>IF(M5_Ocupacion!A173="","",IF(M5_Ocupacion!J173="","",M5_Ocupacion!J173))</f>
        <v/>
      </c>
      <c r="AI968" s="17" t="str">
        <f>IF(M5_Ocupacion!A173="","","M5_Ocupacion!173")</f>
        <v/>
      </c>
      <c r="AJ968" s="17" t="str">
        <f>IF(M5_Ocupacion!A173="","",IF(M5_Ocupacion!M173="","Pendiente de medición completa",IF(COUNTIFS(M5_Ocupacion!$A$10:A173,M5_Ocupacion!A173,M5_Ocupacion!$D$10:D173,M5_Ocupacion!D173)=1,"Promedio de la actividad y fecha","Observación incluida en promedio")))</f>
        <v/>
      </c>
    </row>
    <row r="969" spans="1:36" ht="55.5" customHeight="1">
      <c r="A969" s="6" t="str">
        <f t="array" ref="A969">IF(965&gt;$S$1204,"",INDEX($T$5:$AJ$1204,MATCH(965,$S$5:$S$1204,0),1))</f>
        <v/>
      </c>
      <c r="B969" s="8" t="str">
        <f t="array" ref="B969">IF(965&gt;$S$1204,"",INDEX($T$5:$AJ$1204,MATCH(965,$S$5:$S$1204,0),2))</f>
        <v/>
      </c>
      <c r="C969" s="10" t="str">
        <f t="array" ref="C969">IF(965&gt;$S$1204,"",INDEX($T$5:$AJ$1204,MATCH(965,$S$5:$S$1204,0),3))</f>
        <v/>
      </c>
      <c r="D969" s="8" t="str">
        <f t="array" ref="D969">IF(965&gt;$S$1204,"",INDEX($T$5:$AJ$1204,MATCH(965,$S$5:$S$1204,0),4))</f>
        <v/>
      </c>
      <c r="E969" s="8" t="str">
        <f t="array" ref="E969">IF(965&gt;$S$1204,"",INDEX($T$5:$AJ$1204,MATCH(965,$S$5:$S$1204,0),5))</f>
        <v/>
      </c>
      <c r="F969" s="8" t="str">
        <f t="array" ref="F969">IF(965&gt;$S$1204,"",INDEX($T$5:$AJ$1204,MATCH(965,$S$5:$S$1204,0),6))</f>
        <v/>
      </c>
      <c r="G969" s="8" t="str">
        <f t="array" ref="G969">IF(965&gt;$S$1204,"",INDEX($T$5:$AJ$1204,MATCH(965,$S$5:$S$1204,0),7))</f>
        <v/>
      </c>
      <c r="H969" s="8" t="str">
        <f t="array" ref="H969">IF(965&gt;$S$1204,"",INDEX($T$5:$AJ$1204,MATCH(965,$S$5:$S$1204,0),8))</f>
        <v/>
      </c>
      <c r="I969" s="8" t="str">
        <f t="array" ref="I969">IF(965&gt;$S$1204,"",INDEX($T$5:$AJ$1204,MATCH(965,$S$5:$S$1204,0),9))</f>
        <v/>
      </c>
      <c r="J969" s="14" t="str">
        <f t="array" ref="J969">IF(965&gt;$S$1204,"",INDEX($T$5:$AJ$1204,MATCH(965,$S$5:$S$1204,0),10))</f>
        <v/>
      </c>
      <c r="K969" s="8" t="str">
        <f t="array" ref="K969">IF(965&gt;$S$1204,"",INDEX($T$5:$AJ$1204,MATCH(965,$S$5:$S$1204,0),11))</f>
        <v/>
      </c>
      <c r="L969" s="8" t="str">
        <f t="array" ref="L969">IF(965&gt;$S$1204,"",INDEX($T$5:$AJ$1204,MATCH(965,$S$5:$S$1204,0),12))</f>
        <v/>
      </c>
      <c r="M969" s="8" t="str">
        <f t="array" ref="M969">IF(965&gt;$S$1204,"",INDEX($T$5:$AJ$1204,MATCH(965,$S$5:$S$1204,0),13))</f>
        <v/>
      </c>
      <c r="N969" s="8" t="str">
        <f t="array" ref="N969">IF(965&gt;$S$1204,"",INDEX($T$5:$AJ$1204,MATCH(965,$S$5:$S$1204,0),14))</f>
        <v/>
      </c>
      <c r="O969" s="15" t="str">
        <f t="array" ref="O969">IF(965&gt;$S$1204,"",INDEX($T$5:$AJ$1204,MATCH(965,$S$5:$S$1204,0),15))</f>
        <v/>
      </c>
      <c r="P969" s="8" t="str">
        <f t="array" ref="P969">IF(965&gt;$S$1204,"",INDEX($T$5:$AJ$1204,MATCH(965,$S$5:$S$1204,0),16))</f>
        <v/>
      </c>
      <c r="Q969" s="8" t="str">
        <f t="array" ref="Q969">IF(965&gt;$S$1204,"",INDEX($T$5:$AJ$1204,MATCH(965,$S$5:$S$1204,0),17))</f>
        <v/>
      </c>
      <c r="R969" s="17"/>
      <c r="S969" s="17">
        <f>S968+IF(M5_Ocupacion!A174="",0,1)</f>
        <v>0</v>
      </c>
      <c r="T969" s="17" t="str">
        <f>IF(M5_Ocupacion!A174="","",IF(M5_Ocupacion!A174="","",M5_Ocupacion!A174))</f>
        <v/>
      </c>
      <c r="U969" s="17" t="str">
        <f>IF(M5_Ocupacion!A174="","",IF(M5_Ocupacion!R174="","",M5_Ocupacion!R174))</f>
        <v/>
      </c>
      <c r="V969" s="17" t="str">
        <f>IF(M5_Ocupacion!A174="","",IF(M5_Ocupacion!D174="","",M5_Ocupacion!D174))</f>
        <v/>
      </c>
      <c r="W969" s="17" t="str">
        <f>IF(M5_Ocupacion!A174="","",IF(M5_Ocupacion!B174="","",M5_Ocupacion!B174))</f>
        <v/>
      </c>
      <c r="X969" s="17" t="str">
        <f>IF(M5_Ocupacion!A174="","",IF(M5_Ocupacion!C174="","",M5_Ocupacion!C174))</f>
        <v/>
      </c>
      <c r="Y969" s="17" t="str">
        <f>IF(M5_Ocupacion!A174="","",IF(M5_Ocupacion!E174="","",M5_Ocupacion!E174))</f>
        <v/>
      </c>
      <c r="Z969" s="17" t="str">
        <f>IF(M5_Ocupacion!A174="","",IF(M5_Ocupacion!F174="","",M5_Ocupacion!F174))</f>
        <v/>
      </c>
      <c r="AA969" s="17" t="str">
        <f>IF(M5_Ocupacion!A174="","","M5 Ocupación")</f>
        <v/>
      </c>
      <c r="AB969" s="17" t="str">
        <f>IF(M5_Ocupacion!A174="","",IF(M5_Ocupacion!G174="","",M5_Ocupacion!G174))</f>
        <v/>
      </c>
      <c r="AC969" s="17" t="str">
        <f>IF(M5_Ocupacion!A174="","",IF(COUNTIFS(M5_Ocupacion!$A$10:A174,M5_Ocupacion!A174,M5_Ocupacion!$D$10:D174,M5_Ocupacion!D174)=1,IF(M5_Ocupacion!M174="","",M5_Ocupacion!M174),""))</f>
        <v/>
      </c>
      <c r="AD969" s="17" t="str">
        <f>IF(M5_Ocupacion!A174="","","MO")</f>
        <v/>
      </c>
      <c r="AE969" s="17" t="str">
        <f>IF(M5_Ocupacion!A174="","",IF(M5_Ocupacion!O174="","",M5_Ocupacion!O174))</f>
        <v/>
      </c>
      <c r="AF969" s="17" t="str">
        <f>IF(M5_Ocupacion!A174="","",IF(M5_Ocupacion!P174="","",M5_Ocupacion!P174))</f>
        <v/>
      </c>
      <c r="AG969" s="17" t="str">
        <f>IF(M5_Ocupacion!A174="","",IF(M5_Ocupacion!Q174="","",M5_Ocupacion!Q174))</f>
        <v/>
      </c>
      <c r="AH969" s="17" t="str">
        <f>IF(M5_Ocupacion!A174="","",IF(M5_Ocupacion!J174="","",M5_Ocupacion!J174))</f>
        <v/>
      </c>
      <c r="AI969" s="17" t="str">
        <f>IF(M5_Ocupacion!A174="","","M5_Ocupacion!174")</f>
        <v/>
      </c>
      <c r="AJ969" s="17" t="str">
        <f>IF(M5_Ocupacion!A174="","",IF(M5_Ocupacion!M174="","Pendiente de medición completa",IF(COUNTIFS(M5_Ocupacion!$A$10:A174,M5_Ocupacion!A174,M5_Ocupacion!$D$10:D174,M5_Ocupacion!D174)=1,"Promedio de la actividad y fecha","Observación incluida en promedio")))</f>
        <v/>
      </c>
    </row>
    <row r="970" spans="1:36" ht="55.5" customHeight="1">
      <c r="A970" s="6" t="str">
        <f t="array" ref="A970">IF(966&gt;$S$1204,"",INDEX($T$5:$AJ$1204,MATCH(966,$S$5:$S$1204,0),1))</f>
        <v/>
      </c>
      <c r="B970" s="8" t="str">
        <f t="array" ref="B970">IF(966&gt;$S$1204,"",INDEX($T$5:$AJ$1204,MATCH(966,$S$5:$S$1204,0),2))</f>
        <v/>
      </c>
      <c r="C970" s="10" t="str">
        <f t="array" ref="C970">IF(966&gt;$S$1204,"",INDEX($T$5:$AJ$1204,MATCH(966,$S$5:$S$1204,0),3))</f>
        <v/>
      </c>
      <c r="D970" s="8" t="str">
        <f t="array" ref="D970">IF(966&gt;$S$1204,"",INDEX($T$5:$AJ$1204,MATCH(966,$S$5:$S$1204,0),4))</f>
        <v/>
      </c>
      <c r="E970" s="8" t="str">
        <f t="array" ref="E970">IF(966&gt;$S$1204,"",INDEX($T$5:$AJ$1204,MATCH(966,$S$5:$S$1204,0),5))</f>
        <v/>
      </c>
      <c r="F970" s="8" t="str">
        <f t="array" ref="F970">IF(966&gt;$S$1204,"",INDEX($T$5:$AJ$1204,MATCH(966,$S$5:$S$1204,0),6))</f>
        <v/>
      </c>
      <c r="G970" s="8" t="str">
        <f t="array" ref="G970">IF(966&gt;$S$1204,"",INDEX($T$5:$AJ$1204,MATCH(966,$S$5:$S$1204,0),7))</f>
        <v/>
      </c>
      <c r="H970" s="8" t="str">
        <f t="array" ref="H970">IF(966&gt;$S$1204,"",INDEX($T$5:$AJ$1204,MATCH(966,$S$5:$S$1204,0),8))</f>
        <v/>
      </c>
      <c r="I970" s="8" t="str">
        <f t="array" ref="I970">IF(966&gt;$S$1204,"",INDEX($T$5:$AJ$1204,MATCH(966,$S$5:$S$1204,0),9))</f>
        <v/>
      </c>
      <c r="J970" s="14" t="str">
        <f t="array" ref="J970">IF(966&gt;$S$1204,"",INDEX($T$5:$AJ$1204,MATCH(966,$S$5:$S$1204,0),10))</f>
        <v/>
      </c>
      <c r="K970" s="8" t="str">
        <f t="array" ref="K970">IF(966&gt;$S$1204,"",INDEX($T$5:$AJ$1204,MATCH(966,$S$5:$S$1204,0),11))</f>
        <v/>
      </c>
      <c r="L970" s="8" t="str">
        <f t="array" ref="L970">IF(966&gt;$S$1204,"",INDEX($T$5:$AJ$1204,MATCH(966,$S$5:$S$1204,0),12))</f>
        <v/>
      </c>
      <c r="M970" s="8" t="str">
        <f t="array" ref="M970">IF(966&gt;$S$1204,"",INDEX($T$5:$AJ$1204,MATCH(966,$S$5:$S$1204,0),13))</f>
        <v/>
      </c>
      <c r="N970" s="8" t="str">
        <f t="array" ref="N970">IF(966&gt;$S$1204,"",INDEX($T$5:$AJ$1204,MATCH(966,$S$5:$S$1204,0),14))</f>
        <v/>
      </c>
      <c r="O970" s="15" t="str">
        <f t="array" ref="O970">IF(966&gt;$S$1204,"",INDEX($T$5:$AJ$1204,MATCH(966,$S$5:$S$1204,0),15))</f>
        <v/>
      </c>
      <c r="P970" s="8" t="str">
        <f t="array" ref="P970">IF(966&gt;$S$1204,"",INDEX($T$5:$AJ$1204,MATCH(966,$S$5:$S$1204,0),16))</f>
        <v/>
      </c>
      <c r="Q970" s="8" t="str">
        <f t="array" ref="Q970">IF(966&gt;$S$1204,"",INDEX($T$5:$AJ$1204,MATCH(966,$S$5:$S$1204,0),17))</f>
        <v/>
      </c>
      <c r="R970" s="17"/>
      <c r="S970" s="17">
        <f>S969+IF(M5_Ocupacion!A175="",0,1)</f>
        <v>0</v>
      </c>
      <c r="T970" s="17" t="str">
        <f>IF(M5_Ocupacion!A175="","",IF(M5_Ocupacion!A175="","",M5_Ocupacion!A175))</f>
        <v/>
      </c>
      <c r="U970" s="17" t="str">
        <f>IF(M5_Ocupacion!A175="","",IF(M5_Ocupacion!R175="","",M5_Ocupacion!R175))</f>
        <v/>
      </c>
      <c r="V970" s="17" t="str">
        <f>IF(M5_Ocupacion!A175="","",IF(M5_Ocupacion!D175="","",M5_Ocupacion!D175))</f>
        <v/>
      </c>
      <c r="W970" s="17" t="str">
        <f>IF(M5_Ocupacion!A175="","",IF(M5_Ocupacion!B175="","",M5_Ocupacion!B175))</f>
        <v/>
      </c>
      <c r="X970" s="17" t="str">
        <f>IF(M5_Ocupacion!A175="","",IF(M5_Ocupacion!C175="","",M5_Ocupacion!C175))</f>
        <v/>
      </c>
      <c r="Y970" s="17" t="str">
        <f>IF(M5_Ocupacion!A175="","",IF(M5_Ocupacion!E175="","",M5_Ocupacion!E175))</f>
        <v/>
      </c>
      <c r="Z970" s="17" t="str">
        <f>IF(M5_Ocupacion!A175="","",IF(M5_Ocupacion!F175="","",M5_Ocupacion!F175))</f>
        <v/>
      </c>
      <c r="AA970" s="17" t="str">
        <f>IF(M5_Ocupacion!A175="","","M5 Ocupación")</f>
        <v/>
      </c>
      <c r="AB970" s="17" t="str">
        <f>IF(M5_Ocupacion!A175="","",IF(M5_Ocupacion!G175="","",M5_Ocupacion!G175))</f>
        <v/>
      </c>
      <c r="AC970" s="17" t="str">
        <f>IF(M5_Ocupacion!A175="","",IF(COUNTIFS(M5_Ocupacion!$A$10:A175,M5_Ocupacion!A175,M5_Ocupacion!$D$10:D175,M5_Ocupacion!D175)=1,IF(M5_Ocupacion!M175="","",M5_Ocupacion!M175),""))</f>
        <v/>
      </c>
      <c r="AD970" s="17" t="str">
        <f>IF(M5_Ocupacion!A175="","","MO")</f>
        <v/>
      </c>
      <c r="AE970" s="17" t="str">
        <f>IF(M5_Ocupacion!A175="","",IF(M5_Ocupacion!O175="","",M5_Ocupacion!O175))</f>
        <v/>
      </c>
      <c r="AF970" s="17" t="str">
        <f>IF(M5_Ocupacion!A175="","",IF(M5_Ocupacion!P175="","",M5_Ocupacion!P175))</f>
        <v/>
      </c>
      <c r="AG970" s="17" t="str">
        <f>IF(M5_Ocupacion!A175="","",IF(M5_Ocupacion!Q175="","",M5_Ocupacion!Q175))</f>
        <v/>
      </c>
      <c r="AH970" s="17" t="str">
        <f>IF(M5_Ocupacion!A175="","",IF(M5_Ocupacion!J175="","",M5_Ocupacion!J175))</f>
        <v/>
      </c>
      <c r="AI970" s="17" t="str">
        <f>IF(M5_Ocupacion!A175="","","M5_Ocupacion!175")</f>
        <v/>
      </c>
      <c r="AJ970" s="17" t="str">
        <f>IF(M5_Ocupacion!A175="","",IF(M5_Ocupacion!M175="","Pendiente de medición completa",IF(COUNTIFS(M5_Ocupacion!$A$10:A175,M5_Ocupacion!A175,M5_Ocupacion!$D$10:D175,M5_Ocupacion!D175)=1,"Promedio de la actividad y fecha","Observación incluida en promedio")))</f>
        <v/>
      </c>
    </row>
    <row r="971" spans="1:36" ht="55.5" customHeight="1">
      <c r="A971" s="6" t="str">
        <f t="array" ref="A971">IF(967&gt;$S$1204,"",INDEX($T$5:$AJ$1204,MATCH(967,$S$5:$S$1204,0),1))</f>
        <v/>
      </c>
      <c r="B971" s="8" t="str">
        <f t="array" ref="B971">IF(967&gt;$S$1204,"",INDEX($T$5:$AJ$1204,MATCH(967,$S$5:$S$1204,0),2))</f>
        <v/>
      </c>
      <c r="C971" s="10" t="str">
        <f t="array" ref="C971">IF(967&gt;$S$1204,"",INDEX($T$5:$AJ$1204,MATCH(967,$S$5:$S$1204,0),3))</f>
        <v/>
      </c>
      <c r="D971" s="8" t="str">
        <f t="array" ref="D971">IF(967&gt;$S$1204,"",INDEX($T$5:$AJ$1204,MATCH(967,$S$5:$S$1204,0),4))</f>
        <v/>
      </c>
      <c r="E971" s="8" t="str">
        <f t="array" ref="E971">IF(967&gt;$S$1204,"",INDEX($T$5:$AJ$1204,MATCH(967,$S$5:$S$1204,0),5))</f>
        <v/>
      </c>
      <c r="F971" s="8" t="str">
        <f t="array" ref="F971">IF(967&gt;$S$1204,"",INDEX($T$5:$AJ$1204,MATCH(967,$S$5:$S$1204,0),6))</f>
        <v/>
      </c>
      <c r="G971" s="8" t="str">
        <f t="array" ref="G971">IF(967&gt;$S$1204,"",INDEX($T$5:$AJ$1204,MATCH(967,$S$5:$S$1204,0),7))</f>
        <v/>
      </c>
      <c r="H971" s="8" t="str">
        <f t="array" ref="H971">IF(967&gt;$S$1204,"",INDEX($T$5:$AJ$1204,MATCH(967,$S$5:$S$1204,0),8))</f>
        <v/>
      </c>
      <c r="I971" s="8" t="str">
        <f t="array" ref="I971">IF(967&gt;$S$1204,"",INDEX($T$5:$AJ$1204,MATCH(967,$S$5:$S$1204,0),9))</f>
        <v/>
      </c>
      <c r="J971" s="14" t="str">
        <f t="array" ref="J971">IF(967&gt;$S$1204,"",INDEX($T$5:$AJ$1204,MATCH(967,$S$5:$S$1204,0),10))</f>
        <v/>
      </c>
      <c r="K971" s="8" t="str">
        <f t="array" ref="K971">IF(967&gt;$S$1204,"",INDEX($T$5:$AJ$1204,MATCH(967,$S$5:$S$1204,0),11))</f>
        <v/>
      </c>
      <c r="L971" s="8" t="str">
        <f t="array" ref="L971">IF(967&gt;$S$1204,"",INDEX($T$5:$AJ$1204,MATCH(967,$S$5:$S$1204,0),12))</f>
        <v/>
      </c>
      <c r="M971" s="8" t="str">
        <f t="array" ref="M971">IF(967&gt;$S$1204,"",INDEX($T$5:$AJ$1204,MATCH(967,$S$5:$S$1204,0),13))</f>
        <v/>
      </c>
      <c r="N971" s="8" t="str">
        <f t="array" ref="N971">IF(967&gt;$S$1204,"",INDEX($T$5:$AJ$1204,MATCH(967,$S$5:$S$1204,0),14))</f>
        <v/>
      </c>
      <c r="O971" s="15" t="str">
        <f t="array" ref="O971">IF(967&gt;$S$1204,"",INDEX($T$5:$AJ$1204,MATCH(967,$S$5:$S$1204,0),15))</f>
        <v/>
      </c>
      <c r="P971" s="8" t="str">
        <f t="array" ref="P971">IF(967&gt;$S$1204,"",INDEX($T$5:$AJ$1204,MATCH(967,$S$5:$S$1204,0),16))</f>
        <v/>
      </c>
      <c r="Q971" s="8" t="str">
        <f t="array" ref="Q971">IF(967&gt;$S$1204,"",INDEX($T$5:$AJ$1204,MATCH(967,$S$5:$S$1204,0),17))</f>
        <v/>
      </c>
      <c r="R971" s="17"/>
      <c r="S971" s="17">
        <f>S970+IF(M5_Ocupacion!A176="",0,1)</f>
        <v>0</v>
      </c>
      <c r="T971" s="17" t="str">
        <f>IF(M5_Ocupacion!A176="","",IF(M5_Ocupacion!A176="","",M5_Ocupacion!A176))</f>
        <v/>
      </c>
      <c r="U971" s="17" t="str">
        <f>IF(M5_Ocupacion!A176="","",IF(M5_Ocupacion!R176="","",M5_Ocupacion!R176))</f>
        <v/>
      </c>
      <c r="V971" s="17" t="str">
        <f>IF(M5_Ocupacion!A176="","",IF(M5_Ocupacion!D176="","",M5_Ocupacion!D176))</f>
        <v/>
      </c>
      <c r="W971" s="17" t="str">
        <f>IF(M5_Ocupacion!A176="","",IF(M5_Ocupacion!B176="","",M5_Ocupacion!B176))</f>
        <v/>
      </c>
      <c r="X971" s="17" t="str">
        <f>IF(M5_Ocupacion!A176="","",IF(M5_Ocupacion!C176="","",M5_Ocupacion!C176))</f>
        <v/>
      </c>
      <c r="Y971" s="17" t="str">
        <f>IF(M5_Ocupacion!A176="","",IF(M5_Ocupacion!E176="","",M5_Ocupacion!E176))</f>
        <v/>
      </c>
      <c r="Z971" s="17" t="str">
        <f>IF(M5_Ocupacion!A176="","",IF(M5_Ocupacion!F176="","",M5_Ocupacion!F176))</f>
        <v/>
      </c>
      <c r="AA971" s="17" t="str">
        <f>IF(M5_Ocupacion!A176="","","M5 Ocupación")</f>
        <v/>
      </c>
      <c r="AB971" s="17" t="str">
        <f>IF(M5_Ocupacion!A176="","",IF(M5_Ocupacion!G176="","",M5_Ocupacion!G176))</f>
        <v/>
      </c>
      <c r="AC971" s="17" t="str">
        <f>IF(M5_Ocupacion!A176="","",IF(COUNTIFS(M5_Ocupacion!$A$10:A176,M5_Ocupacion!A176,M5_Ocupacion!$D$10:D176,M5_Ocupacion!D176)=1,IF(M5_Ocupacion!M176="","",M5_Ocupacion!M176),""))</f>
        <v/>
      </c>
      <c r="AD971" s="17" t="str">
        <f>IF(M5_Ocupacion!A176="","","MO")</f>
        <v/>
      </c>
      <c r="AE971" s="17" t="str">
        <f>IF(M5_Ocupacion!A176="","",IF(M5_Ocupacion!O176="","",M5_Ocupacion!O176))</f>
        <v/>
      </c>
      <c r="AF971" s="17" t="str">
        <f>IF(M5_Ocupacion!A176="","",IF(M5_Ocupacion!P176="","",M5_Ocupacion!P176))</f>
        <v/>
      </c>
      <c r="AG971" s="17" t="str">
        <f>IF(M5_Ocupacion!A176="","",IF(M5_Ocupacion!Q176="","",M5_Ocupacion!Q176))</f>
        <v/>
      </c>
      <c r="AH971" s="17" t="str">
        <f>IF(M5_Ocupacion!A176="","",IF(M5_Ocupacion!J176="","",M5_Ocupacion!J176))</f>
        <v/>
      </c>
      <c r="AI971" s="17" t="str">
        <f>IF(M5_Ocupacion!A176="","","M5_Ocupacion!176")</f>
        <v/>
      </c>
      <c r="AJ971" s="17" t="str">
        <f>IF(M5_Ocupacion!A176="","",IF(M5_Ocupacion!M176="","Pendiente de medición completa",IF(COUNTIFS(M5_Ocupacion!$A$10:A176,M5_Ocupacion!A176,M5_Ocupacion!$D$10:D176,M5_Ocupacion!D176)=1,"Promedio de la actividad y fecha","Observación incluida en promedio")))</f>
        <v/>
      </c>
    </row>
    <row r="972" spans="1:36" ht="55.5" customHeight="1">
      <c r="A972" s="6" t="str">
        <f t="array" ref="A972">IF(968&gt;$S$1204,"",INDEX($T$5:$AJ$1204,MATCH(968,$S$5:$S$1204,0),1))</f>
        <v/>
      </c>
      <c r="B972" s="8" t="str">
        <f t="array" ref="B972">IF(968&gt;$S$1204,"",INDEX($T$5:$AJ$1204,MATCH(968,$S$5:$S$1204,0),2))</f>
        <v/>
      </c>
      <c r="C972" s="10" t="str">
        <f t="array" ref="C972">IF(968&gt;$S$1204,"",INDEX($T$5:$AJ$1204,MATCH(968,$S$5:$S$1204,0),3))</f>
        <v/>
      </c>
      <c r="D972" s="8" t="str">
        <f t="array" ref="D972">IF(968&gt;$S$1204,"",INDEX($T$5:$AJ$1204,MATCH(968,$S$5:$S$1204,0),4))</f>
        <v/>
      </c>
      <c r="E972" s="8" t="str">
        <f t="array" ref="E972">IF(968&gt;$S$1204,"",INDEX($T$5:$AJ$1204,MATCH(968,$S$5:$S$1204,0),5))</f>
        <v/>
      </c>
      <c r="F972" s="8" t="str">
        <f t="array" ref="F972">IF(968&gt;$S$1204,"",INDEX($T$5:$AJ$1204,MATCH(968,$S$5:$S$1204,0),6))</f>
        <v/>
      </c>
      <c r="G972" s="8" t="str">
        <f t="array" ref="G972">IF(968&gt;$S$1204,"",INDEX($T$5:$AJ$1204,MATCH(968,$S$5:$S$1204,0),7))</f>
        <v/>
      </c>
      <c r="H972" s="8" t="str">
        <f t="array" ref="H972">IF(968&gt;$S$1204,"",INDEX($T$5:$AJ$1204,MATCH(968,$S$5:$S$1204,0),8))</f>
        <v/>
      </c>
      <c r="I972" s="8" t="str">
        <f t="array" ref="I972">IF(968&gt;$S$1204,"",INDEX($T$5:$AJ$1204,MATCH(968,$S$5:$S$1204,0),9))</f>
        <v/>
      </c>
      <c r="J972" s="14" t="str">
        <f t="array" ref="J972">IF(968&gt;$S$1204,"",INDEX($T$5:$AJ$1204,MATCH(968,$S$5:$S$1204,0),10))</f>
        <v/>
      </c>
      <c r="K972" s="8" t="str">
        <f t="array" ref="K972">IF(968&gt;$S$1204,"",INDEX($T$5:$AJ$1204,MATCH(968,$S$5:$S$1204,0),11))</f>
        <v/>
      </c>
      <c r="L972" s="8" t="str">
        <f t="array" ref="L972">IF(968&gt;$S$1204,"",INDEX($T$5:$AJ$1204,MATCH(968,$S$5:$S$1204,0),12))</f>
        <v/>
      </c>
      <c r="M972" s="8" t="str">
        <f t="array" ref="M972">IF(968&gt;$S$1204,"",INDEX($T$5:$AJ$1204,MATCH(968,$S$5:$S$1204,0),13))</f>
        <v/>
      </c>
      <c r="N972" s="8" t="str">
        <f t="array" ref="N972">IF(968&gt;$S$1204,"",INDEX($T$5:$AJ$1204,MATCH(968,$S$5:$S$1204,0),14))</f>
        <v/>
      </c>
      <c r="O972" s="15" t="str">
        <f t="array" ref="O972">IF(968&gt;$S$1204,"",INDEX($T$5:$AJ$1204,MATCH(968,$S$5:$S$1204,0),15))</f>
        <v/>
      </c>
      <c r="P972" s="8" t="str">
        <f t="array" ref="P972">IF(968&gt;$S$1204,"",INDEX($T$5:$AJ$1204,MATCH(968,$S$5:$S$1204,0),16))</f>
        <v/>
      </c>
      <c r="Q972" s="8" t="str">
        <f t="array" ref="Q972">IF(968&gt;$S$1204,"",INDEX($T$5:$AJ$1204,MATCH(968,$S$5:$S$1204,0),17))</f>
        <v/>
      </c>
      <c r="R972" s="17"/>
      <c r="S972" s="17">
        <f>S971+IF(M5_Ocupacion!A177="",0,1)</f>
        <v>0</v>
      </c>
      <c r="T972" s="17" t="str">
        <f>IF(M5_Ocupacion!A177="","",IF(M5_Ocupacion!A177="","",M5_Ocupacion!A177))</f>
        <v/>
      </c>
      <c r="U972" s="17" t="str">
        <f>IF(M5_Ocupacion!A177="","",IF(M5_Ocupacion!R177="","",M5_Ocupacion!R177))</f>
        <v/>
      </c>
      <c r="V972" s="17" t="str">
        <f>IF(M5_Ocupacion!A177="","",IF(M5_Ocupacion!D177="","",M5_Ocupacion!D177))</f>
        <v/>
      </c>
      <c r="W972" s="17" t="str">
        <f>IF(M5_Ocupacion!A177="","",IF(M5_Ocupacion!B177="","",M5_Ocupacion!B177))</f>
        <v/>
      </c>
      <c r="X972" s="17" t="str">
        <f>IF(M5_Ocupacion!A177="","",IF(M5_Ocupacion!C177="","",M5_Ocupacion!C177))</f>
        <v/>
      </c>
      <c r="Y972" s="17" t="str">
        <f>IF(M5_Ocupacion!A177="","",IF(M5_Ocupacion!E177="","",M5_Ocupacion!E177))</f>
        <v/>
      </c>
      <c r="Z972" s="17" t="str">
        <f>IF(M5_Ocupacion!A177="","",IF(M5_Ocupacion!F177="","",M5_Ocupacion!F177))</f>
        <v/>
      </c>
      <c r="AA972" s="17" t="str">
        <f>IF(M5_Ocupacion!A177="","","M5 Ocupación")</f>
        <v/>
      </c>
      <c r="AB972" s="17" t="str">
        <f>IF(M5_Ocupacion!A177="","",IF(M5_Ocupacion!G177="","",M5_Ocupacion!G177))</f>
        <v/>
      </c>
      <c r="AC972" s="17" t="str">
        <f>IF(M5_Ocupacion!A177="","",IF(COUNTIFS(M5_Ocupacion!$A$10:A177,M5_Ocupacion!A177,M5_Ocupacion!$D$10:D177,M5_Ocupacion!D177)=1,IF(M5_Ocupacion!M177="","",M5_Ocupacion!M177),""))</f>
        <v/>
      </c>
      <c r="AD972" s="17" t="str">
        <f>IF(M5_Ocupacion!A177="","","MO")</f>
        <v/>
      </c>
      <c r="AE972" s="17" t="str">
        <f>IF(M5_Ocupacion!A177="","",IF(M5_Ocupacion!O177="","",M5_Ocupacion!O177))</f>
        <v/>
      </c>
      <c r="AF972" s="17" t="str">
        <f>IF(M5_Ocupacion!A177="","",IF(M5_Ocupacion!P177="","",M5_Ocupacion!P177))</f>
        <v/>
      </c>
      <c r="AG972" s="17" t="str">
        <f>IF(M5_Ocupacion!A177="","",IF(M5_Ocupacion!Q177="","",M5_Ocupacion!Q177))</f>
        <v/>
      </c>
      <c r="AH972" s="17" t="str">
        <f>IF(M5_Ocupacion!A177="","",IF(M5_Ocupacion!J177="","",M5_Ocupacion!J177))</f>
        <v/>
      </c>
      <c r="AI972" s="17" t="str">
        <f>IF(M5_Ocupacion!A177="","","M5_Ocupacion!177")</f>
        <v/>
      </c>
      <c r="AJ972" s="17" t="str">
        <f>IF(M5_Ocupacion!A177="","",IF(M5_Ocupacion!M177="","Pendiente de medición completa",IF(COUNTIFS(M5_Ocupacion!$A$10:A177,M5_Ocupacion!A177,M5_Ocupacion!$D$10:D177,M5_Ocupacion!D177)=1,"Promedio de la actividad y fecha","Observación incluida en promedio")))</f>
        <v/>
      </c>
    </row>
    <row r="973" spans="1:36" ht="55.5" customHeight="1">
      <c r="A973" s="6" t="str">
        <f t="array" ref="A973">IF(969&gt;$S$1204,"",INDEX($T$5:$AJ$1204,MATCH(969,$S$5:$S$1204,0),1))</f>
        <v/>
      </c>
      <c r="B973" s="8" t="str">
        <f t="array" ref="B973">IF(969&gt;$S$1204,"",INDEX($T$5:$AJ$1204,MATCH(969,$S$5:$S$1204,0),2))</f>
        <v/>
      </c>
      <c r="C973" s="10" t="str">
        <f t="array" ref="C973">IF(969&gt;$S$1204,"",INDEX($T$5:$AJ$1204,MATCH(969,$S$5:$S$1204,0),3))</f>
        <v/>
      </c>
      <c r="D973" s="8" t="str">
        <f t="array" ref="D973">IF(969&gt;$S$1204,"",INDEX($T$5:$AJ$1204,MATCH(969,$S$5:$S$1204,0),4))</f>
        <v/>
      </c>
      <c r="E973" s="8" t="str">
        <f t="array" ref="E973">IF(969&gt;$S$1204,"",INDEX($T$5:$AJ$1204,MATCH(969,$S$5:$S$1204,0),5))</f>
        <v/>
      </c>
      <c r="F973" s="8" t="str">
        <f t="array" ref="F973">IF(969&gt;$S$1204,"",INDEX($T$5:$AJ$1204,MATCH(969,$S$5:$S$1204,0),6))</f>
        <v/>
      </c>
      <c r="G973" s="8" t="str">
        <f t="array" ref="G973">IF(969&gt;$S$1204,"",INDEX($T$5:$AJ$1204,MATCH(969,$S$5:$S$1204,0),7))</f>
        <v/>
      </c>
      <c r="H973" s="8" t="str">
        <f t="array" ref="H973">IF(969&gt;$S$1204,"",INDEX($T$5:$AJ$1204,MATCH(969,$S$5:$S$1204,0),8))</f>
        <v/>
      </c>
      <c r="I973" s="8" t="str">
        <f t="array" ref="I973">IF(969&gt;$S$1204,"",INDEX($T$5:$AJ$1204,MATCH(969,$S$5:$S$1204,0),9))</f>
        <v/>
      </c>
      <c r="J973" s="14" t="str">
        <f t="array" ref="J973">IF(969&gt;$S$1204,"",INDEX($T$5:$AJ$1204,MATCH(969,$S$5:$S$1204,0),10))</f>
        <v/>
      </c>
      <c r="K973" s="8" t="str">
        <f t="array" ref="K973">IF(969&gt;$S$1204,"",INDEX($T$5:$AJ$1204,MATCH(969,$S$5:$S$1204,0),11))</f>
        <v/>
      </c>
      <c r="L973" s="8" t="str">
        <f t="array" ref="L973">IF(969&gt;$S$1204,"",INDEX($T$5:$AJ$1204,MATCH(969,$S$5:$S$1204,0),12))</f>
        <v/>
      </c>
      <c r="M973" s="8" t="str">
        <f t="array" ref="M973">IF(969&gt;$S$1204,"",INDEX($T$5:$AJ$1204,MATCH(969,$S$5:$S$1204,0),13))</f>
        <v/>
      </c>
      <c r="N973" s="8" t="str">
        <f t="array" ref="N973">IF(969&gt;$S$1204,"",INDEX($T$5:$AJ$1204,MATCH(969,$S$5:$S$1204,0),14))</f>
        <v/>
      </c>
      <c r="O973" s="15" t="str">
        <f t="array" ref="O973">IF(969&gt;$S$1204,"",INDEX($T$5:$AJ$1204,MATCH(969,$S$5:$S$1204,0),15))</f>
        <v/>
      </c>
      <c r="P973" s="8" t="str">
        <f t="array" ref="P973">IF(969&gt;$S$1204,"",INDEX($T$5:$AJ$1204,MATCH(969,$S$5:$S$1204,0),16))</f>
        <v/>
      </c>
      <c r="Q973" s="8" t="str">
        <f t="array" ref="Q973">IF(969&gt;$S$1204,"",INDEX($T$5:$AJ$1204,MATCH(969,$S$5:$S$1204,0),17))</f>
        <v/>
      </c>
      <c r="R973" s="17"/>
      <c r="S973" s="17">
        <f>S972+IF(M5_Ocupacion!A178="",0,1)</f>
        <v>0</v>
      </c>
      <c r="T973" s="17" t="str">
        <f>IF(M5_Ocupacion!A178="","",IF(M5_Ocupacion!A178="","",M5_Ocupacion!A178))</f>
        <v/>
      </c>
      <c r="U973" s="17" t="str">
        <f>IF(M5_Ocupacion!A178="","",IF(M5_Ocupacion!R178="","",M5_Ocupacion!R178))</f>
        <v/>
      </c>
      <c r="V973" s="17" t="str">
        <f>IF(M5_Ocupacion!A178="","",IF(M5_Ocupacion!D178="","",M5_Ocupacion!D178))</f>
        <v/>
      </c>
      <c r="W973" s="17" t="str">
        <f>IF(M5_Ocupacion!A178="","",IF(M5_Ocupacion!B178="","",M5_Ocupacion!B178))</f>
        <v/>
      </c>
      <c r="X973" s="17" t="str">
        <f>IF(M5_Ocupacion!A178="","",IF(M5_Ocupacion!C178="","",M5_Ocupacion!C178))</f>
        <v/>
      </c>
      <c r="Y973" s="17" t="str">
        <f>IF(M5_Ocupacion!A178="","",IF(M5_Ocupacion!E178="","",M5_Ocupacion!E178))</f>
        <v/>
      </c>
      <c r="Z973" s="17" t="str">
        <f>IF(M5_Ocupacion!A178="","",IF(M5_Ocupacion!F178="","",M5_Ocupacion!F178))</f>
        <v/>
      </c>
      <c r="AA973" s="17" t="str">
        <f>IF(M5_Ocupacion!A178="","","M5 Ocupación")</f>
        <v/>
      </c>
      <c r="AB973" s="17" t="str">
        <f>IF(M5_Ocupacion!A178="","",IF(M5_Ocupacion!G178="","",M5_Ocupacion!G178))</f>
        <v/>
      </c>
      <c r="AC973" s="17" t="str">
        <f>IF(M5_Ocupacion!A178="","",IF(COUNTIFS(M5_Ocupacion!$A$10:A178,M5_Ocupacion!A178,M5_Ocupacion!$D$10:D178,M5_Ocupacion!D178)=1,IF(M5_Ocupacion!M178="","",M5_Ocupacion!M178),""))</f>
        <v/>
      </c>
      <c r="AD973" s="17" t="str">
        <f>IF(M5_Ocupacion!A178="","","MO")</f>
        <v/>
      </c>
      <c r="AE973" s="17" t="str">
        <f>IF(M5_Ocupacion!A178="","",IF(M5_Ocupacion!O178="","",M5_Ocupacion!O178))</f>
        <v/>
      </c>
      <c r="AF973" s="17" t="str">
        <f>IF(M5_Ocupacion!A178="","",IF(M5_Ocupacion!P178="","",M5_Ocupacion!P178))</f>
        <v/>
      </c>
      <c r="AG973" s="17" t="str">
        <f>IF(M5_Ocupacion!A178="","",IF(M5_Ocupacion!Q178="","",M5_Ocupacion!Q178))</f>
        <v/>
      </c>
      <c r="AH973" s="17" t="str">
        <f>IF(M5_Ocupacion!A178="","",IF(M5_Ocupacion!J178="","",M5_Ocupacion!J178))</f>
        <v/>
      </c>
      <c r="AI973" s="17" t="str">
        <f>IF(M5_Ocupacion!A178="","","M5_Ocupacion!178")</f>
        <v/>
      </c>
      <c r="AJ973" s="17" t="str">
        <f>IF(M5_Ocupacion!A178="","",IF(M5_Ocupacion!M178="","Pendiente de medición completa",IF(COUNTIFS(M5_Ocupacion!$A$10:A178,M5_Ocupacion!A178,M5_Ocupacion!$D$10:D178,M5_Ocupacion!D178)=1,"Promedio de la actividad y fecha","Observación incluida en promedio")))</f>
        <v/>
      </c>
    </row>
    <row r="974" spans="1:36" ht="55.5" customHeight="1">
      <c r="A974" s="6" t="str">
        <f t="array" ref="A974">IF(970&gt;$S$1204,"",INDEX($T$5:$AJ$1204,MATCH(970,$S$5:$S$1204,0),1))</f>
        <v/>
      </c>
      <c r="B974" s="8" t="str">
        <f t="array" ref="B974">IF(970&gt;$S$1204,"",INDEX($T$5:$AJ$1204,MATCH(970,$S$5:$S$1204,0),2))</f>
        <v/>
      </c>
      <c r="C974" s="10" t="str">
        <f t="array" ref="C974">IF(970&gt;$S$1204,"",INDEX($T$5:$AJ$1204,MATCH(970,$S$5:$S$1204,0),3))</f>
        <v/>
      </c>
      <c r="D974" s="8" t="str">
        <f t="array" ref="D974">IF(970&gt;$S$1204,"",INDEX($T$5:$AJ$1204,MATCH(970,$S$5:$S$1204,0),4))</f>
        <v/>
      </c>
      <c r="E974" s="8" t="str">
        <f t="array" ref="E974">IF(970&gt;$S$1204,"",INDEX($T$5:$AJ$1204,MATCH(970,$S$5:$S$1204,0),5))</f>
        <v/>
      </c>
      <c r="F974" s="8" t="str">
        <f t="array" ref="F974">IF(970&gt;$S$1204,"",INDEX($T$5:$AJ$1204,MATCH(970,$S$5:$S$1204,0),6))</f>
        <v/>
      </c>
      <c r="G974" s="8" t="str">
        <f t="array" ref="G974">IF(970&gt;$S$1204,"",INDEX($T$5:$AJ$1204,MATCH(970,$S$5:$S$1204,0),7))</f>
        <v/>
      </c>
      <c r="H974" s="8" t="str">
        <f t="array" ref="H974">IF(970&gt;$S$1204,"",INDEX($T$5:$AJ$1204,MATCH(970,$S$5:$S$1204,0),8))</f>
        <v/>
      </c>
      <c r="I974" s="8" t="str">
        <f t="array" ref="I974">IF(970&gt;$S$1204,"",INDEX($T$5:$AJ$1204,MATCH(970,$S$5:$S$1204,0),9))</f>
        <v/>
      </c>
      <c r="J974" s="14" t="str">
        <f t="array" ref="J974">IF(970&gt;$S$1204,"",INDEX($T$5:$AJ$1204,MATCH(970,$S$5:$S$1204,0),10))</f>
        <v/>
      </c>
      <c r="K974" s="8" t="str">
        <f t="array" ref="K974">IF(970&gt;$S$1204,"",INDEX($T$5:$AJ$1204,MATCH(970,$S$5:$S$1204,0),11))</f>
        <v/>
      </c>
      <c r="L974" s="8" t="str">
        <f t="array" ref="L974">IF(970&gt;$S$1204,"",INDEX($T$5:$AJ$1204,MATCH(970,$S$5:$S$1204,0),12))</f>
        <v/>
      </c>
      <c r="M974" s="8" t="str">
        <f t="array" ref="M974">IF(970&gt;$S$1204,"",INDEX($T$5:$AJ$1204,MATCH(970,$S$5:$S$1204,0),13))</f>
        <v/>
      </c>
      <c r="N974" s="8" t="str">
        <f t="array" ref="N974">IF(970&gt;$S$1204,"",INDEX($T$5:$AJ$1204,MATCH(970,$S$5:$S$1204,0),14))</f>
        <v/>
      </c>
      <c r="O974" s="15" t="str">
        <f t="array" ref="O974">IF(970&gt;$S$1204,"",INDEX($T$5:$AJ$1204,MATCH(970,$S$5:$S$1204,0),15))</f>
        <v/>
      </c>
      <c r="P974" s="8" t="str">
        <f t="array" ref="P974">IF(970&gt;$S$1204,"",INDEX($T$5:$AJ$1204,MATCH(970,$S$5:$S$1204,0),16))</f>
        <v/>
      </c>
      <c r="Q974" s="8" t="str">
        <f t="array" ref="Q974">IF(970&gt;$S$1204,"",INDEX($T$5:$AJ$1204,MATCH(970,$S$5:$S$1204,0),17))</f>
        <v/>
      </c>
      <c r="R974" s="17"/>
      <c r="S974" s="17">
        <f>S973+IF(M5_Ocupacion!A179="",0,1)</f>
        <v>0</v>
      </c>
      <c r="T974" s="17" t="str">
        <f>IF(M5_Ocupacion!A179="","",IF(M5_Ocupacion!A179="","",M5_Ocupacion!A179))</f>
        <v/>
      </c>
      <c r="U974" s="17" t="str">
        <f>IF(M5_Ocupacion!A179="","",IF(M5_Ocupacion!R179="","",M5_Ocupacion!R179))</f>
        <v/>
      </c>
      <c r="V974" s="17" t="str">
        <f>IF(M5_Ocupacion!A179="","",IF(M5_Ocupacion!D179="","",M5_Ocupacion!D179))</f>
        <v/>
      </c>
      <c r="W974" s="17" t="str">
        <f>IF(M5_Ocupacion!A179="","",IF(M5_Ocupacion!B179="","",M5_Ocupacion!B179))</f>
        <v/>
      </c>
      <c r="X974" s="17" t="str">
        <f>IF(M5_Ocupacion!A179="","",IF(M5_Ocupacion!C179="","",M5_Ocupacion!C179))</f>
        <v/>
      </c>
      <c r="Y974" s="17" t="str">
        <f>IF(M5_Ocupacion!A179="","",IF(M5_Ocupacion!E179="","",M5_Ocupacion!E179))</f>
        <v/>
      </c>
      <c r="Z974" s="17" t="str">
        <f>IF(M5_Ocupacion!A179="","",IF(M5_Ocupacion!F179="","",M5_Ocupacion!F179))</f>
        <v/>
      </c>
      <c r="AA974" s="17" t="str">
        <f>IF(M5_Ocupacion!A179="","","M5 Ocupación")</f>
        <v/>
      </c>
      <c r="AB974" s="17" t="str">
        <f>IF(M5_Ocupacion!A179="","",IF(M5_Ocupacion!G179="","",M5_Ocupacion!G179))</f>
        <v/>
      </c>
      <c r="AC974" s="17" t="str">
        <f>IF(M5_Ocupacion!A179="","",IF(COUNTIFS(M5_Ocupacion!$A$10:A179,M5_Ocupacion!A179,M5_Ocupacion!$D$10:D179,M5_Ocupacion!D179)=1,IF(M5_Ocupacion!M179="","",M5_Ocupacion!M179),""))</f>
        <v/>
      </c>
      <c r="AD974" s="17" t="str">
        <f>IF(M5_Ocupacion!A179="","","MO")</f>
        <v/>
      </c>
      <c r="AE974" s="17" t="str">
        <f>IF(M5_Ocupacion!A179="","",IF(M5_Ocupacion!O179="","",M5_Ocupacion!O179))</f>
        <v/>
      </c>
      <c r="AF974" s="17" t="str">
        <f>IF(M5_Ocupacion!A179="","",IF(M5_Ocupacion!P179="","",M5_Ocupacion!P179))</f>
        <v/>
      </c>
      <c r="AG974" s="17" t="str">
        <f>IF(M5_Ocupacion!A179="","",IF(M5_Ocupacion!Q179="","",M5_Ocupacion!Q179))</f>
        <v/>
      </c>
      <c r="AH974" s="17" t="str">
        <f>IF(M5_Ocupacion!A179="","",IF(M5_Ocupacion!J179="","",M5_Ocupacion!J179))</f>
        <v/>
      </c>
      <c r="AI974" s="17" t="str">
        <f>IF(M5_Ocupacion!A179="","","M5_Ocupacion!179")</f>
        <v/>
      </c>
      <c r="AJ974" s="17" t="str">
        <f>IF(M5_Ocupacion!A179="","",IF(M5_Ocupacion!M179="","Pendiente de medición completa",IF(COUNTIFS(M5_Ocupacion!$A$10:A179,M5_Ocupacion!A179,M5_Ocupacion!$D$10:D179,M5_Ocupacion!D179)=1,"Promedio de la actividad y fecha","Observación incluida en promedio")))</f>
        <v/>
      </c>
    </row>
    <row r="975" spans="1:36" ht="55.5" customHeight="1">
      <c r="A975" s="6" t="str">
        <f t="array" ref="A975">IF(971&gt;$S$1204,"",INDEX($T$5:$AJ$1204,MATCH(971,$S$5:$S$1204,0),1))</f>
        <v/>
      </c>
      <c r="B975" s="8" t="str">
        <f t="array" ref="B975">IF(971&gt;$S$1204,"",INDEX($T$5:$AJ$1204,MATCH(971,$S$5:$S$1204,0),2))</f>
        <v/>
      </c>
      <c r="C975" s="10" t="str">
        <f t="array" ref="C975">IF(971&gt;$S$1204,"",INDEX($T$5:$AJ$1204,MATCH(971,$S$5:$S$1204,0),3))</f>
        <v/>
      </c>
      <c r="D975" s="8" t="str">
        <f t="array" ref="D975">IF(971&gt;$S$1204,"",INDEX($T$5:$AJ$1204,MATCH(971,$S$5:$S$1204,0),4))</f>
        <v/>
      </c>
      <c r="E975" s="8" t="str">
        <f t="array" ref="E975">IF(971&gt;$S$1204,"",INDEX($T$5:$AJ$1204,MATCH(971,$S$5:$S$1204,0),5))</f>
        <v/>
      </c>
      <c r="F975" s="8" t="str">
        <f t="array" ref="F975">IF(971&gt;$S$1204,"",INDEX($T$5:$AJ$1204,MATCH(971,$S$5:$S$1204,0),6))</f>
        <v/>
      </c>
      <c r="G975" s="8" t="str">
        <f t="array" ref="G975">IF(971&gt;$S$1204,"",INDEX($T$5:$AJ$1204,MATCH(971,$S$5:$S$1204,0),7))</f>
        <v/>
      </c>
      <c r="H975" s="8" t="str">
        <f t="array" ref="H975">IF(971&gt;$S$1204,"",INDEX($T$5:$AJ$1204,MATCH(971,$S$5:$S$1204,0),8))</f>
        <v/>
      </c>
      <c r="I975" s="8" t="str">
        <f t="array" ref="I975">IF(971&gt;$S$1204,"",INDEX($T$5:$AJ$1204,MATCH(971,$S$5:$S$1204,0),9))</f>
        <v/>
      </c>
      <c r="J975" s="14" t="str">
        <f t="array" ref="J975">IF(971&gt;$S$1204,"",INDEX($T$5:$AJ$1204,MATCH(971,$S$5:$S$1204,0),10))</f>
        <v/>
      </c>
      <c r="K975" s="8" t="str">
        <f t="array" ref="K975">IF(971&gt;$S$1204,"",INDEX($T$5:$AJ$1204,MATCH(971,$S$5:$S$1204,0),11))</f>
        <v/>
      </c>
      <c r="L975" s="8" t="str">
        <f t="array" ref="L975">IF(971&gt;$S$1204,"",INDEX($T$5:$AJ$1204,MATCH(971,$S$5:$S$1204,0),12))</f>
        <v/>
      </c>
      <c r="M975" s="8" t="str">
        <f t="array" ref="M975">IF(971&gt;$S$1204,"",INDEX($T$5:$AJ$1204,MATCH(971,$S$5:$S$1204,0),13))</f>
        <v/>
      </c>
      <c r="N975" s="8" t="str">
        <f t="array" ref="N975">IF(971&gt;$S$1204,"",INDEX($T$5:$AJ$1204,MATCH(971,$S$5:$S$1204,0),14))</f>
        <v/>
      </c>
      <c r="O975" s="15" t="str">
        <f t="array" ref="O975">IF(971&gt;$S$1204,"",INDEX($T$5:$AJ$1204,MATCH(971,$S$5:$S$1204,0),15))</f>
        <v/>
      </c>
      <c r="P975" s="8" t="str">
        <f t="array" ref="P975">IF(971&gt;$S$1204,"",INDEX($T$5:$AJ$1204,MATCH(971,$S$5:$S$1204,0),16))</f>
        <v/>
      </c>
      <c r="Q975" s="8" t="str">
        <f t="array" ref="Q975">IF(971&gt;$S$1204,"",INDEX($T$5:$AJ$1204,MATCH(971,$S$5:$S$1204,0),17))</f>
        <v/>
      </c>
      <c r="R975" s="17"/>
      <c r="S975" s="17">
        <f>S974+IF(M5_Ocupacion!A180="",0,1)</f>
        <v>0</v>
      </c>
      <c r="T975" s="17" t="str">
        <f>IF(M5_Ocupacion!A180="","",IF(M5_Ocupacion!A180="","",M5_Ocupacion!A180))</f>
        <v/>
      </c>
      <c r="U975" s="17" t="str">
        <f>IF(M5_Ocupacion!A180="","",IF(M5_Ocupacion!R180="","",M5_Ocupacion!R180))</f>
        <v/>
      </c>
      <c r="V975" s="17" t="str">
        <f>IF(M5_Ocupacion!A180="","",IF(M5_Ocupacion!D180="","",M5_Ocupacion!D180))</f>
        <v/>
      </c>
      <c r="W975" s="17" t="str">
        <f>IF(M5_Ocupacion!A180="","",IF(M5_Ocupacion!B180="","",M5_Ocupacion!B180))</f>
        <v/>
      </c>
      <c r="X975" s="17" t="str">
        <f>IF(M5_Ocupacion!A180="","",IF(M5_Ocupacion!C180="","",M5_Ocupacion!C180))</f>
        <v/>
      </c>
      <c r="Y975" s="17" t="str">
        <f>IF(M5_Ocupacion!A180="","",IF(M5_Ocupacion!E180="","",M5_Ocupacion!E180))</f>
        <v/>
      </c>
      <c r="Z975" s="17" t="str">
        <f>IF(M5_Ocupacion!A180="","",IF(M5_Ocupacion!F180="","",M5_Ocupacion!F180))</f>
        <v/>
      </c>
      <c r="AA975" s="17" t="str">
        <f>IF(M5_Ocupacion!A180="","","M5 Ocupación")</f>
        <v/>
      </c>
      <c r="AB975" s="17" t="str">
        <f>IF(M5_Ocupacion!A180="","",IF(M5_Ocupacion!G180="","",M5_Ocupacion!G180))</f>
        <v/>
      </c>
      <c r="AC975" s="17" t="str">
        <f>IF(M5_Ocupacion!A180="","",IF(COUNTIFS(M5_Ocupacion!$A$10:A180,M5_Ocupacion!A180,M5_Ocupacion!$D$10:D180,M5_Ocupacion!D180)=1,IF(M5_Ocupacion!M180="","",M5_Ocupacion!M180),""))</f>
        <v/>
      </c>
      <c r="AD975" s="17" t="str">
        <f>IF(M5_Ocupacion!A180="","","MO")</f>
        <v/>
      </c>
      <c r="AE975" s="17" t="str">
        <f>IF(M5_Ocupacion!A180="","",IF(M5_Ocupacion!O180="","",M5_Ocupacion!O180))</f>
        <v/>
      </c>
      <c r="AF975" s="17" t="str">
        <f>IF(M5_Ocupacion!A180="","",IF(M5_Ocupacion!P180="","",M5_Ocupacion!P180))</f>
        <v/>
      </c>
      <c r="AG975" s="17" t="str">
        <f>IF(M5_Ocupacion!A180="","",IF(M5_Ocupacion!Q180="","",M5_Ocupacion!Q180))</f>
        <v/>
      </c>
      <c r="AH975" s="17" t="str">
        <f>IF(M5_Ocupacion!A180="","",IF(M5_Ocupacion!J180="","",M5_Ocupacion!J180))</f>
        <v/>
      </c>
      <c r="AI975" s="17" t="str">
        <f>IF(M5_Ocupacion!A180="","","M5_Ocupacion!180")</f>
        <v/>
      </c>
      <c r="AJ975" s="17" t="str">
        <f>IF(M5_Ocupacion!A180="","",IF(M5_Ocupacion!M180="","Pendiente de medición completa",IF(COUNTIFS(M5_Ocupacion!$A$10:A180,M5_Ocupacion!A180,M5_Ocupacion!$D$10:D180,M5_Ocupacion!D180)=1,"Promedio de la actividad y fecha","Observación incluida en promedio")))</f>
        <v/>
      </c>
    </row>
    <row r="976" spans="1:36" ht="55.5" customHeight="1">
      <c r="A976" s="6" t="str">
        <f t="array" ref="A976">IF(972&gt;$S$1204,"",INDEX($T$5:$AJ$1204,MATCH(972,$S$5:$S$1204,0),1))</f>
        <v/>
      </c>
      <c r="B976" s="8" t="str">
        <f t="array" ref="B976">IF(972&gt;$S$1204,"",INDEX($T$5:$AJ$1204,MATCH(972,$S$5:$S$1204,0),2))</f>
        <v/>
      </c>
      <c r="C976" s="10" t="str">
        <f t="array" ref="C976">IF(972&gt;$S$1204,"",INDEX($T$5:$AJ$1204,MATCH(972,$S$5:$S$1204,0),3))</f>
        <v/>
      </c>
      <c r="D976" s="8" t="str">
        <f t="array" ref="D976">IF(972&gt;$S$1204,"",INDEX($T$5:$AJ$1204,MATCH(972,$S$5:$S$1204,0),4))</f>
        <v/>
      </c>
      <c r="E976" s="8" t="str">
        <f t="array" ref="E976">IF(972&gt;$S$1204,"",INDEX($T$5:$AJ$1204,MATCH(972,$S$5:$S$1204,0),5))</f>
        <v/>
      </c>
      <c r="F976" s="8" t="str">
        <f t="array" ref="F976">IF(972&gt;$S$1204,"",INDEX($T$5:$AJ$1204,MATCH(972,$S$5:$S$1204,0),6))</f>
        <v/>
      </c>
      <c r="G976" s="8" t="str">
        <f t="array" ref="G976">IF(972&gt;$S$1204,"",INDEX($T$5:$AJ$1204,MATCH(972,$S$5:$S$1204,0),7))</f>
        <v/>
      </c>
      <c r="H976" s="8" t="str">
        <f t="array" ref="H976">IF(972&gt;$S$1204,"",INDEX($T$5:$AJ$1204,MATCH(972,$S$5:$S$1204,0),8))</f>
        <v/>
      </c>
      <c r="I976" s="8" t="str">
        <f t="array" ref="I976">IF(972&gt;$S$1204,"",INDEX($T$5:$AJ$1204,MATCH(972,$S$5:$S$1204,0),9))</f>
        <v/>
      </c>
      <c r="J976" s="14" t="str">
        <f t="array" ref="J976">IF(972&gt;$S$1204,"",INDEX($T$5:$AJ$1204,MATCH(972,$S$5:$S$1204,0),10))</f>
        <v/>
      </c>
      <c r="K976" s="8" t="str">
        <f t="array" ref="K976">IF(972&gt;$S$1204,"",INDEX($T$5:$AJ$1204,MATCH(972,$S$5:$S$1204,0),11))</f>
        <v/>
      </c>
      <c r="L976" s="8" t="str">
        <f t="array" ref="L976">IF(972&gt;$S$1204,"",INDEX($T$5:$AJ$1204,MATCH(972,$S$5:$S$1204,0),12))</f>
        <v/>
      </c>
      <c r="M976" s="8" t="str">
        <f t="array" ref="M976">IF(972&gt;$S$1204,"",INDEX($T$5:$AJ$1204,MATCH(972,$S$5:$S$1204,0),13))</f>
        <v/>
      </c>
      <c r="N976" s="8" t="str">
        <f t="array" ref="N976">IF(972&gt;$S$1204,"",INDEX($T$5:$AJ$1204,MATCH(972,$S$5:$S$1204,0),14))</f>
        <v/>
      </c>
      <c r="O976" s="15" t="str">
        <f t="array" ref="O976">IF(972&gt;$S$1204,"",INDEX($T$5:$AJ$1204,MATCH(972,$S$5:$S$1204,0),15))</f>
        <v/>
      </c>
      <c r="P976" s="8" t="str">
        <f t="array" ref="P976">IF(972&gt;$S$1204,"",INDEX($T$5:$AJ$1204,MATCH(972,$S$5:$S$1204,0),16))</f>
        <v/>
      </c>
      <c r="Q976" s="8" t="str">
        <f t="array" ref="Q976">IF(972&gt;$S$1204,"",INDEX($T$5:$AJ$1204,MATCH(972,$S$5:$S$1204,0),17))</f>
        <v/>
      </c>
      <c r="R976" s="17"/>
      <c r="S976" s="17">
        <f>S975+IF(M5_Ocupacion!A181="",0,1)</f>
        <v>0</v>
      </c>
      <c r="T976" s="17" t="str">
        <f>IF(M5_Ocupacion!A181="","",IF(M5_Ocupacion!A181="","",M5_Ocupacion!A181))</f>
        <v/>
      </c>
      <c r="U976" s="17" t="str">
        <f>IF(M5_Ocupacion!A181="","",IF(M5_Ocupacion!R181="","",M5_Ocupacion!R181))</f>
        <v/>
      </c>
      <c r="V976" s="17" t="str">
        <f>IF(M5_Ocupacion!A181="","",IF(M5_Ocupacion!D181="","",M5_Ocupacion!D181))</f>
        <v/>
      </c>
      <c r="W976" s="17" t="str">
        <f>IF(M5_Ocupacion!A181="","",IF(M5_Ocupacion!B181="","",M5_Ocupacion!B181))</f>
        <v/>
      </c>
      <c r="X976" s="17" t="str">
        <f>IF(M5_Ocupacion!A181="","",IF(M5_Ocupacion!C181="","",M5_Ocupacion!C181))</f>
        <v/>
      </c>
      <c r="Y976" s="17" t="str">
        <f>IF(M5_Ocupacion!A181="","",IF(M5_Ocupacion!E181="","",M5_Ocupacion!E181))</f>
        <v/>
      </c>
      <c r="Z976" s="17" t="str">
        <f>IF(M5_Ocupacion!A181="","",IF(M5_Ocupacion!F181="","",M5_Ocupacion!F181))</f>
        <v/>
      </c>
      <c r="AA976" s="17" t="str">
        <f>IF(M5_Ocupacion!A181="","","M5 Ocupación")</f>
        <v/>
      </c>
      <c r="AB976" s="17" t="str">
        <f>IF(M5_Ocupacion!A181="","",IF(M5_Ocupacion!G181="","",M5_Ocupacion!G181))</f>
        <v/>
      </c>
      <c r="AC976" s="17" t="str">
        <f>IF(M5_Ocupacion!A181="","",IF(COUNTIFS(M5_Ocupacion!$A$10:A181,M5_Ocupacion!A181,M5_Ocupacion!$D$10:D181,M5_Ocupacion!D181)=1,IF(M5_Ocupacion!M181="","",M5_Ocupacion!M181),""))</f>
        <v/>
      </c>
      <c r="AD976" s="17" t="str">
        <f>IF(M5_Ocupacion!A181="","","MO")</f>
        <v/>
      </c>
      <c r="AE976" s="17" t="str">
        <f>IF(M5_Ocupacion!A181="","",IF(M5_Ocupacion!O181="","",M5_Ocupacion!O181))</f>
        <v/>
      </c>
      <c r="AF976" s="17" t="str">
        <f>IF(M5_Ocupacion!A181="","",IF(M5_Ocupacion!P181="","",M5_Ocupacion!P181))</f>
        <v/>
      </c>
      <c r="AG976" s="17" t="str">
        <f>IF(M5_Ocupacion!A181="","",IF(M5_Ocupacion!Q181="","",M5_Ocupacion!Q181))</f>
        <v/>
      </c>
      <c r="AH976" s="17" t="str">
        <f>IF(M5_Ocupacion!A181="","",IF(M5_Ocupacion!J181="","",M5_Ocupacion!J181))</f>
        <v/>
      </c>
      <c r="AI976" s="17" t="str">
        <f>IF(M5_Ocupacion!A181="","","M5_Ocupacion!181")</f>
        <v/>
      </c>
      <c r="AJ976" s="17" t="str">
        <f>IF(M5_Ocupacion!A181="","",IF(M5_Ocupacion!M181="","Pendiente de medición completa",IF(COUNTIFS(M5_Ocupacion!$A$10:A181,M5_Ocupacion!A181,M5_Ocupacion!$D$10:D181,M5_Ocupacion!D181)=1,"Promedio de la actividad y fecha","Observación incluida en promedio")))</f>
        <v/>
      </c>
    </row>
    <row r="977" spans="1:36" ht="55.5" customHeight="1">
      <c r="A977" s="6" t="str">
        <f t="array" ref="A977">IF(973&gt;$S$1204,"",INDEX($T$5:$AJ$1204,MATCH(973,$S$5:$S$1204,0),1))</f>
        <v/>
      </c>
      <c r="B977" s="8" t="str">
        <f t="array" ref="B977">IF(973&gt;$S$1204,"",INDEX($T$5:$AJ$1204,MATCH(973,$S$5:$S$1204,0),2))</f>
        <v/>
      </c>
      <c r="C977" s="10" t="str">
        <f t="array" ref="C977">IF(973&gt;$S$1204,"",INDEX($T$5:$AJ$1204,MATCH(973,$S$5:$S$1204,0),3))</f>
        <v/>
      </c>
      <c r="D977" s="8" t="str">
        <f t="array" ref="D977">IF(973&gt;$S$1204,"",INDEX($T$5:$AJ$1204,MATCH(973,$S$5:$S$1204,0),4))</f>
        <v/>
      </c>
      <c r="E977" s="8" t="str">
        <f t="array" ref="E977">IF(973&gt;$S$1204,"",INDEX($T$5:$AJ$1204,MATCH(973,$S$5:$S$1204,0),5))</f>
        <v/>
      </c>
      <c r="F977" s="8" t="str">
        <f t="array" ref="F977">IF(973&gt;$S$1204,"",INDEX($T$5:$AJ$1204,MATCH(973,$S$5:$S$1204,0),6))</f>
        <v/>
      </c>
      <c r="G977" s="8" t="str">
        <f t="array" ref="G977">IF(973&gt;$S$1204,"",INDEX($T$5:$AJ$1204,MATCH(973,$S$5:$S$1204,0),7))</f>
        <v/>
      </c>
      <c r="H977" s="8" t="str">
        <f t="array" ref="H977">IF(973&gt;$S$1204,"",INDEX($T$5:$AJ$1204,MATCH(973,$S$5:$S$1204,0),8))</f>
        <v/>
      </c>
      <c r="I977" s="8" t="str">
        <f t="array" ref="I977">IF(973&gt;$S$1204,"",INDEX($T$5:$AJ$1204,MATCH(973,$S$5:$S$1204,0),9))</f>
        <v/>
      </c>
      <c r="J977" s="14" t="str">
        <f t="array" ref="J977">IF(973&gt;$S$1204,"",INDEX($T$5:$AJ$1204,MATCH(973,$S$5:$S$1204,0),10))</f>
        <v/>
      </c>
      <c r="K977" s="8" t="str">
        <f t="array" ref="K977">IF(973&gt;$S$1204,"",INDEX($T$5:$AJ$1204,MATCH(973,$S$5:$S$1204,0),11))</f>
        <v/>
      </c>
      <c r="L977" s="8" t="str">
        <f t="array" ref="L977">IF(973&gt;$S$1204,"",INDEX($T$5:$AJ$1204,MATCH(973,$S$5:$S$1204,0),12))</f>
        <v/>
      </c>
      <c r="M977" s="8" t="str">
        <f t="array" ref="M977">IF(973&gt;$S$1204,"",INDEX($T$5:$AJ$1204,MATCH(973,$S$5:$S$1204,0),13))</f>
        <v/>
      </c>
      <c r="N977" s="8" t="str">
        <f t="array" ref="N977">IF(973&gt;$S$1204,"",INDEX($T$5:$AJ$1204,MATCH(973,$S$5:$S$1204,0),14))</f>
        <v/>
      </c>
      <c r="O977" s="15" t="str">
        <f t="array" ref="O977">IF(973&gt;$S$1204,"",INDEX($T$5:$AJ$1204,MATCH(973,$S$5:$S$1204,0),15))</f>
        <v/>
      </c>
      <c r="P977" s="8" t="str">
        <f t="array" ref="P977">IF(973&gt;$S$1204,"",INDEX($T$5:$AJ$1204,MATCH(973,$S$5:$S$1204,0),16))</f>
        <v/>
      </c>
      <c r="Q977" s="8" t="str">
        <f t="array" ref="Q977">IF(973&gt;$S$1204,"",INDEX($T$5:$AJ$1204,MATCH(973,$S$5:$S$1204,0),17))</f>
        <v/>
      </c>
      <c r="R977" s="17"/>
      <c r="S977" s="17">
        <f>S976+IF(M5_Ocupacion!A182="",0,1)</f>
        <v>0</v>
      </c>
      <c r="T977" s="17" t="str">
        <f>IF(M5_Ocupacion!A182="","",IF(M5_Ocupacion!A182="","",M5_Ocupacion!A182))</f>
        <v/>
      </c>
      <c r="U977" s="17" t="str">
        <f>IF(M5_Ocupacion!A182="","",IF(M5_Ocupacion!R182="","",M5_Ocupacion!R182))</f>
        <v/>
      </c>
      <c r="V977" s="17" t="str">
        <f>IF(M5_Ocupacion!A182="","",IF(M5_Ocupacion!D182="","",M5_Ocupacion!D182))</f>
        <v/>
      </c>
      <c r="W977" s="17" t="str">
        <f>IF(M5_Ocupacion!A182="","",IF(M5_Ocupacion!B182="","",M5_Ocupacion!B182))</f>
        <v/>
      </c>
      <c r="X977" s="17" t="str">
        <f>IF(M5_Ocupacion!A182="","",IF(M5_Ocupacion!C182="","",M5_Ocupacion!C182))</f>
        <v/>
      </c>
      <c r="Y977" s="17" t="str">
        <f>IF(M5_Ocupacion!A182="","",IF(M5_Ocupacion!E182="","",M5_Ocupacion!E182))</f>
        <v/>
      </c>
      <c r="Z977" s="17" t="str">
        <f>IF(M5_Ocupacion!A182="","",IF(M5_Ocupacion!F182="","",M5_Ocupacion!F182))</f>
        <v/>
      </c>
      <c r="AA977" s="17" t="str">
        <f>IF(M5_Ocupacion!A182="","","M5 Ocupación")</f>
        <v/>
      </c>
      <c r="AB977" s="17" t="str">
        <f>IF(M5_Ocupacion!A182="","",IF(M5_Ocupacion!G182="","",M5_Ocupacion!G182))</f>
        <v/>
      </c>
      <c r="AC977" s="17" t="str">
        <f>IF(M5_Ocupacion!A182="","",IF(COUNTIFS(M5_Ocupacion!$A$10:A182,M5_Ocupacion!A182,M5_Ocupacion!$D$10:D182,M5_Ocupacion!D182)=1,IF(M5_Ocupacion!M182="","",M5_Ocupacion!M182),""))</f>
        <v/>
      </c>
      <c r="AD977" s="17" t="str">
        <f>IF(M5_Ocupacion!A182="","","MO")</f>
        <v/>
      </c>
      <c r="AE977" s="17" t="str">
        <f>IF(M5_Ocupacion!A182="","",IF(M5_Ocupacion!O182="","",M5_Ocupacion!O182))</f>
        <v/>
      </c>
      <c r="AF977" s="17" t="str">
        <f>IF(M5_Ocupacion!A182="","",IF(M5_Ocupacion!P182="","",M5_Ocupacion!P182))</f>
        <v/>
      </c>
      <c r="AG977" s="17" t="str">
        <f>IF(M5_Ocupacion!A182="","",IF(M5_Ocupacion!Q182="","",M5_Ocupacion!Q182))</f>
        <v/>
      </c>
      <c r="AH977" s="17" t="str">
        <f>IF(M5_Ocupacion!A182="","",IF(M5_Ocupacion!J182="","",M5_Ocupacion!J182))</f>
        <v/>
      </c>
      <c r="AI977" s="17" t="str">
        <f>IF(M5_Ocupacion!A182="","","M5_Ocupacion!182")</f>
        <v/>
      </c>
      <c r="AJ977" s="17" t="str">
        <f>IF(M5_Ocupacion!A182="","",IF(M5_Ocupacion!M182="","Pendiente de medición completa",IF(COUNTIFS(M5_Ocupacion!$A$10:A182,M5_Ocupacion!A182,M5_Ocupacion!$D$10:D182,M5_Ocupacion!D182)=1,"Promedio de la actividad y fecha","Observación incluida en promedio")))</f>
        <v/>
      </c>
    </row>
    <row r="978" spans="1:36" ht="55.5" customHeight="1">
      <c r="A978" s="6" t="str">
        <f t="array" ref="A978">IF(974&gt;$S$1204,"",INDEX($T$5:$AJ$1204,MATCH(974,$S$5:$S$1204,0),1))</f>
        <v/>
      </c>
      <c r="B978" s="8" t="str">
        <f t="array" ref="B978">IF(974&gt;$S$1204,"",INDEX($T$5:$AJ$1204,MATCH(974,$S$5:$S$1204,0),2))</f>
        <v/>
      </c>
      <c r="C978" s="10" t="str">
        <f t="array" ref="C978">IF(974&gt;$S$1204,"",INDEX($T$5:$AJ$1204,MATCH(974,$S$5:$S$1204,0),3))</f>
        <v/>
      </c>
      <c r="D978" s="8" t="str">
        <f t="array" ref="D978">IF(974&gt;$S$1204,"",INDEX($T$5:$AJ$1204,MATCH(974,$S$5:$S$1204,0),4))</f>
        <v/>
      </c>
      <c r="E978" s="8" t="str">
        <f t="array" ref="E978">IF(974&gt;$S$1204,"",INDEX($T$5:$AJ$1204,MATCH(974,$S$5:$S$1204,0),5))</f>
        <v/>
      </c>
      <c r="F978" s="8" t="str">
        <f t="array" ref="F978">IF(974&gt;$S$1204,"",INDEX($T$5:$AJ$1204,MATCH(974,$S$5:$S$1204,0),6))</f>
        <v/>
      </c>
      <c r="G978" s="8" t="str">
        <f t="array" ref="G978">IF(974&gt;$S$1204,"",INDEX($T$5:$AJ$1204,MATCH(974,$S$5:$S$1204,0),7))</f>
        <v/>
      </c>
      <c r="H978" s="8" t="str">
        <f t="array" ref="H978">IF(974&gt;$S$1204,"",INDEX($T$5:$AJ$1204,MATCH(974,$S$5:$S$1204,0),8))</f>
        <v/>
      </c>
      <c r="I978" s="8" t="str">
        <f t="array" ref="I978">IF(974&gt;$S$1204,"",INDEX($T$5:$AJ$1204,MATCH(974,$S$5:$S$1204,0),9))</f>
        <v/>
      </c>
      <c r="J978" s="14" t="str">
        <f t="array" ref="J978">IF(974&gt;$S$1204,"",INDEX($T$5:$AJ$1204,MATCH(974,$S$5:$S$1204,0),10))</f>
        <v/>
      </c>
      <c r="K978" s="8" t="str">
        <f t="array" ref="K978">IF(974&gt;$S$1204,"",INDEX($T$5:$AJ$1204,MATCH(974,$S$5:$S$1204,0),11))</f>
        <v/>
      </c>
      <c r="L978" s="8" t="str">
        <f t="array" ref="L978">IF(974&gt;$S$1204,"",INDEX($T$5:$AJ$1204,MATCH(974,$S$5:$S$1204,0),12))</f>
        <v/>
      </c>
      <c r="M978" s="8" t="str">
        <f t="array" ref="M978">IF(974&gt;$S$1204,"",INDEX($T$5:$AJ$1204,MATCH(974,$S$5:$S$1204,0),13))</f>
        <v/>
      </c>
      <c r="N978" s="8" t="str">
        <f t="array" ref="N978">IF(974&gt;$S$1204,"",INDEX($T$5:$AJ$1204,MATCH(974,$S$5:$S$1204,0),14))</f>
        <v/>
      </c>
      <c r="O978" s="15" t="str">
        <f t="array" ref="O978">IF(974&gt;$S$1204,"",INDEX($T$5:$AJ$1204,MATCH(974,$S$5:$S$1204,0),15))</f>
        <v/>
      </c>
      <c r="P978" s="8" t="str">
        <f t="array" ref="P978">IF(974&gt;$S$1204,"",INDEX($T$5:$AJ$1204,MATCH(974,$S$5:$S$1204,0),16))</f>
        <v/>
      </c>
      <c r="Q978" s="8" t="str">
        <f t="array" ref="Q978">IF(974&gt;$S$1204,"",INDEX($T$5:$AJ$1204,MATCH(974,$S$5:$S$1204,0),17))</f>
        <v/>
      </c>
      <c r="R978" s="17"/>
      <c r="S978" s="17">
        <f>S977+IF(M5_Ocupacion!A183="",0,1)</f>
        <v>0</v>
      </c>
      <c r="T978" s="17" t="str">
        <f>IF(M5_Ocupacion!A183="","",IF(M5_Ocupacion!A183="","",M5_Ocupacion!A183))</f>
        <v/>
      </c>
      <c r="U978" s="17" t="str">
        <f>IF(M5_Ocupacion!A183="","",IF(M5_Ocupacion!R183="","",M5_Ocupacion!R183))</f>
        <v/>
      </c>
      <c r="V978" s="17" t="str">
        <f>IF(M5_Ocupacion!A183="","",IF(M5_Ocupacion!D183="","",M5_Ocupacion!D183))</f>
        <v/>
      </c>
      <c r="W978" s="17" t="str">
        <f>IF(M5_Ocupacion!A183="","",IF(M5_Ocupacion!B183="","",M5_Ocupacion!B183))</f>
        <v/>
      </c>
      <c r="X978" s="17" t="str">
        <f>IF(M5_Ocupacion!A183="","",IF(M5_Ocupacion!C183="","",M5_Ocupacion!C183))</f>
        <v/>
      </c>
      <c r="Y978" s="17" t="str">
        <f>IF(M5_Ocupacion!A183="","",IF(M5_Ocupacion!E183="","",M5_Ocupacion!E183))</f>
        <v/>
      </c>
      <c r="Z978" s="17" t="str">
        <f>IF(M5_Ocupacion!A183="","",IF(M5_Ocupacion!F183="","",M5_Ocupacion!F183))</f>
        <v/>
      </c>
      <c r="AA978" s="17" t="str">
        <f>IF(M5_Ocupacion!A183="","","M5 Ocupación")</f>
        <v/>
      </c>
      <c r="AB978" s="17" t="str">
        <f>IF(M5_Ocupacion!A183="","",IF(M5_Ocupacion!G183="","",M5_Ocupacion!G183))</f>
        <v/>
      </c>
      <c r="AC978" s="17" t="str">
        <f>IF(M5_Ocupacion!A183="","",IF(COUNTIFS(M5_Ocupacion!$A$10:A183,M5_Ocupacion!A183,M5_Ocupacion!$D$10:D183,M5_Ocupacion!D183)=1,IF(M5_Ocupacion!M183="","",M5_Ocupacion!M183),""))</f>
        <v/>
      </c>
      <c r="AD978" s="17" t="str">
        <f>IF(M5_Ocupacion!A183="","","MO")</f>
        <v/>
      </c>
      <c r="AE978" s="17" t="str">
        <f>IF(M5_Ocupacion!A183="","",IF(M5_Ocupacion!O183="","",M5_Ocupacion!O183))</f>
        <v/>
      </c>
      <c r="AF978" s="17" t="str">
        <f>IF(M5_Ocupacion!A183="","",IF(M5_Ocupacion!P183="","",M5_Ocupacion!P183))</f>
        <v/>
      </c>
      <c r="AG978" s="17" t="str">
        <f>IF(M5_Ocupacion!A183="","",IF(M5_Ocupacion!Q183="","",M5_Ocupacion!Q183))</f>
        <v/>
      </c>
      <c r="AH978" s="17" t="str">
        <f>IF(M5_Ocupacion!A183="","",IF(M5_Ocupacion!J183="","",M5_Ocupacion!J183))</f>
        <v/>
      </c>
      <c r="AI978" s="17" t="str">
        <f>IF(M5_Ocupacion!A183="","","M5_Ocupacion!183")</f>
        <v/>
      </c>
      <c r="AJ978" s="17" t="str">
        <f>IF(M5_Ocupacion!A183="","",IF(M5_Ocupacion!M183="","Pendiente de medición completa",IF(COUNTIFS(M5_Ocupacion!$A$10:A183,M5_Ocupacion!A183,M5_Ocupacion!$D$10:D183,M5_Ocupacion!D183)=1,"Promedio de la actividad y fecha","Observación incluida en promedio")))</f>
        <v/>
      </c>
    </row>
    <row r="979" spans="1:36" ht="55.5" customHeight="1">
      <c r="A979" s="6" t="str">
        <f t="array" ref="A979">IF(975&gt;$S$1204,"",INDEX($T$5:$AJ$1204,MATCH(975,$S$5:$S$1204,0),1))</f>
        <v/>
      </c>
      <c r="B979" s="8" t="str">
        <f t="array" ref="B979">IF(975&gt;$S$1204,"",INDEX($T$5:$AJ$1204,MATCH(975,$S$5:$S$1204,0),2))</f>
        <v/>
      </c>
      <c r="C979" s="10" t="str">
        <f t="array" ref="C979">IF(975&gt;$S$1204,"",INDEX($T$5:$AJ$1204,MATCH(975,$S$5:$S$1204,0),3))</f>
        <v/>
      </c>
      <c r="D979" s="8" t="str">
        <f t="array" ref="D979">IF(975&gt;$S$1204,"",INDEX($T$5:$AJ$1204,MATCH(975,$S$5:$S$1204,0),4))</f>
        <v/>
      </c>
      <c r="E979" s="8" t="str">
        <f t="array" ref="E979">IF(975&gt;$S$1204,"",INDEX($T$5:$AJ$1204,MATCH(975,$S$5:$S$1204,0),5))</f>
        <v/>
      </c>
      <c r="F979" s="8" t="str">
        <f t="array" ref="F979">IF(975&gt;$S$1204,"",INDEX($T$5:$AJ$1204,MATCH(975,$S$5:$S$1204,0),6))</f>
        <v/>
      </c>
      <c r="G979" s="8" t="str">
        <f t="array" ref="G979">IF(975&gt;$S$1204,"",INDEX($T$5:$AJ$1204,MATCH(975,$S$5:$S$1204,0),7))</f>
        <v/>
      </c>
      <c r="H979" s="8" t="str">
        <f t="array" ref="H979">IF(975&gt;$S$1204,"",INDEX($T$5:$AJ$1204,MATCH(975,$S$5:$S$1204,0),8))</f>
        <v/>
      </c>
      <c r="I979" s="8" t="str">
        <f t="array" ref="I979">IF(975&gt;$S$1204,"",INDEX($T$5:$AJ$1204,MATCH(975,$S$5:$S$1204,0),9))</f>
        <v/>
      </c>
      <c r="J979" s="14" t="str">
        <f t="array" ref="J979">IF(975&gt;$S$1204,"",INDEX($T$5:$AJ$1204,MATCH(975,$S$5:$S$1204,0),10))</f>
        <v/>
      </c>
      <c r="K979" s="8" t="str">
        <f t="array" ref="K979">IF(975&gt;$S$1204,"",INDEX($T$5:$AJ$1204,MATCH(975,$S$5:$S$1204,0),11))</f>
        <v/>
      </c>
      <c r="L979" s="8" t="str">
        <f t="array" ref="L979">IF(975&gt;$S$1204,"",INDEX($T$5:$AJ$1204,MATCH(975,$S$5:$S$1204,0),12))</f>
        <v/>
      </c>
      <c r="M979" s="8" t="str">
        <f t="array" ref="M979">IF(975&gt;$S$1204,"",INDEX($T$5:$AJ$1204,MATCH(975,$S$5:$S$1204,0),13))</f>
        <v/>
      </c>
      <c r="N979" s="8" t="str">
        <f t="array" ref="N979">IF(975&gt;$S$1204,"",INDEX($T$5:$AJ$1204,MATCH(975,$S$5:$S$1204,0),14))</f>
        <v/>
      </c>
      <c r="O979" s="15" t="str">
        <f t="array" ref="O979">IF(975&gt;$S$1204,"",INDEX($T$5:$AJ$1204,MATCH(975,$S$5:$S$1204,0),15))</f>
        <v/>
      </c>
      <c r="P979" s="8" t="str">
        <f t="array" ref="P979">IF(975&gt;$S$1204,"",INDEX($T$5:$AJ$1204,MATCH(975,$S$5:$S$1204,0),16))</f>
        <v/>
      </c>
      <c r="Q979" s="8" t="str">
        <f t="array" ref="Q979">IF(975&gt;$S$1204,"",INDEX($T$5:$AJ$1204,MATCH(975,$S$5:$S$1204,0),17))</f>
        <v/>
      </c>
      <c r="R979" s="17"/>
      <c r="S979" s="17">
        <f>S978+IF(M5_Ocupacion!A184="",0,1)</f>
        <v>0</v>
      </c>
      <c r="T979" s="17" t="str">
        <f>IF(M5_Ocupacion!A184="","",IF(M5_Ocupacion!A184="","",M5_Ocupacion!A184))</f>
        <v/>
      </c>
      <c r="U979" s="17" t="str">
        <f>IF(M5_Ocupacion!A184="","",IF(M5_Ocupacion!R184="","",M5_Ocupacion!R184))</f>
        <v/>
      </c>
      <c r="V979" s="17" t="str">
        <f>IF(M5_Ocupacion!A184="","",IF(M5_Ocupacion!D184="","",M5_Ocupacion!D184))</f>
        <v/>
      </c>
      <c r="W979" s="17" t="str">
        <f>IF(M5_Ocupacion!A184="","",IF(M5_Ocupacion!B184="","",M5_Ocupacion!B184))</f>
        <v/>
      </c>
      <c r="X979" s="17" t="str">
        <f>IF(M5_Ocupacion!A184="","",IF(M5_Ocupacion!C184="","",M5_Ocupacion!C184))</f>
        <v/>
      </c>
      <c r="Y979" s="17" t="str">
        <f>IF(M5_Ocupacion!A184="","",IF(M5_Ocupacion!E184="","",M5_Ocupacion!E184))</f>
        <v/>
      </c>
      <c r="Z979" s="17" t="str">
        <f>IF(M5_Ocupacion!A184="","",IF(M5_Ocupacion!F184="","",M5_Ocupacion!F184))</f>
        <v/>
      </c>
      <c r="AA979" s="17" t="str">
        <f>IF(M5_Ocupacion!A184="","","M5 Ocupación")</f>
        <v/>
      </c>
      <c r="AB979" s="17" t="str">
        <f>IF(M5_Ocupacion!A184="","",IF(M5_Ocupacion!G184="","",M5_Ocupacion!G184))</f>
        <v/>
      </c>
      <c r="AC979" s="17" t="str">
        <f>IF(M5_Ocupacion!A184="","",IF(COUNTIFS(M5_Ocupacion!$A$10:A184,M5_Ocupacion!A184,M5_Ocupacion!$D$10:D184,M5_Ocupacion!D184)=1,IF(M5_Ocupacion!M184="","",M5_Ocupacion!M184),""))</f>
        <v/>
      </c>
      <c r="AD979" s="17" t="str">
        <f>IF(M5_Ocupacion!A184="","","MO")</f>
        <v/>
      </c>
      <c r="AE979" s="17" t="str">
        <f>IF(M5_Ocupacion!A184="","",IF(M5_Ocupacion!O184="","",M5_Ocupacion!O184))</f>
        <v/>
      </c>
      <c r="AF979" s="17" t="str">
        <f>IF(M5_Ocupacion!A184="","",IF(M5_Ocupacion!P184="","",M5_Ocupacion!P184))</f>
        <v/>
      </c>
      <c r="AG979" s="17" t="str">
        <f>IF(M5_Ocupacion!A184="","",IF(M5_Ocupacion!Q184="","",M5_Ocupacion!Q184))</f>
        <v/>
      </c>
      <c r="AH979" s="17" t="str">
        <f>IF(M5_Ocupacion!A184="","",IF(M5_Ocupacion!J184="","",M5_Ocupacion!J184))</f>
        <v/>
      </c>
      <c r="AI979" s="17" t="str">
        <f>IF(M5_Ocupacion!A184="","","M5_Ocupacion!184")</f>
        <v/>
      </c>
      <c r="AJ979" s="17" t="str">
        <f>IF(M5_Ocupacion!A184="","",IF(M5_Ocupacion!M184="","Pendiente de medición completa",IF(COUNTIFS(M5_Ocupacion!$A$10:A184,M5_Ocupacion!A184,M5_Ocupacion!$D$10:D184,M5_Ocupacion!D184)=1,"Promedio de la actividad y fecha","Observación incluida en promedio")))</f>
        <v/>
      </c>
    </row>
    <row r="980" spans="1:36" ht="55.5" customHeight="1">
      <c r="A980" s="6" t="str">
        <f t="array" ref="A980">IF(976&gt;$S$1204,"",INDEX($T$5:$AJ$1204,MATCH(976,$S$5:$S$1204,0),1))</f>
        <v/>
      </c>
      <c r="B980" s="8" t="str">
        <f t="array" ref="B980">IF(976&gt;$S$1204,"",INDEX($T$5:$AJ$1204,MATCH(976,$S$5:$S$1204,0),2))</f>
        <v/>
      </c>
      <c r="C980" s="10" t="str">
        <f t="array" ref="C980">IF(976&gt;$S$1204,"",INDEX($T$5:$AJ$1204,MATCH(976,$S$5:$S$1204,0),3))</f>
        <v/>
      </c>
      <c r="D980" s="8" t="str">
        <f t="array" ref="D980">IF(976&gt;$S$1204,"",INDEX($T$5:$AJ$1204,MATCH(976,$S$5:$S$1204,0),4))</f>
        <v/>
      </c>
      <c r="E980" s="8" t="str">
        <f t="array" ref="E980">IF(976&gt;$S$1204,"",INDEX($T$5:$AJ$1204,MATCH(976,$S$5:$S$1204,0),5))</f>
        <v/>
      </c>
      <c r="F980" s="8" t="str">
        <f t="array" ref="F980">IF(976&gt;$S$1204,"",INDEX($T$5:$AJ$1204,MATCH(976,$S$5:$S$1204,0),6))</f>
        <v/>
      </c>
      <c r="G980" s="8" t="str">
        <f t="array" ref="G980">IF(976&gt;$S$1204,"",INDEX($T$5:$AJ$1204,MATCH(976,$S$5:$S$1204,0),7))</f>
        <v/>
      </c>
      <c r="H980" s="8" t="str">
        <f t="array" ref="H980">IF(976&gt;$S$1204,"",INDEX($T$5:$AJ$1204,MATCH(976,$S$5:$S$1204,0),8))</f>
        <v/>
      </c>
      <c r="I980" s="8" t="str">
        <f t="array" ref="I980">IF(976&gt;$S$1204,"",INDEX($T$5:$AJ$1204,MATCH(976,$S$5:$S$1204,0),9))</f>
        <v/>
      </c>
      <c r="J980" s="14" t="str">
        <f t="array" ref="J980">IF(976&gt;$S$1204,"",INDEX($T$5:$AJ$1204,MATCH(976,$S$5:$S$1204,0),10))</f>
        <v/>
      </c>
      <c r="K980" s="8" t="str">
        <f t="array" ref="K980">IF(976&gt;$S$1204,"",INDEX($T$5:$AJ$1204,MATCH(976,$S$5:$S$1204,0),11))</f>
        <v/>
      </c>
      <c r="L980" s="8" t="str">
        <f t="array" ref="L980">IF(976&gt;$S$1204,"",INDEX($T$5:$AJ$1204,MATCH(976,$S$5:$S$1204,0),12))</f>
        <v/>
      </c>
      <c r="M980" s="8" t="str">
        <f t="array" ref="M980">IF(976&gt;$S$1204,"",INDEX($T$5:$AJ$1204,MATCH(976,$S$5:$S$1204,0),13))</f>
        <v/>
      </c>
      <c r="N980" s="8" t="str">
        <f t="array" ref="N980">IF(976&gt;$S$1204,"",INDEX($T$5:$AJ$1204,MATCH(976,$S$5:$S$1204,0),14))</f>
        <v/>
      </c>
      <c r="O980" s="15" t="str">
        <f t="array" ref="O980">IF(976&gt;$S$1204,"",INDEX($T$5:$AJ$1204,MATCH(976,$S$5:$S$1204,0),15))</f>
        <v/>
      </c>
      <c r="P980" s="8" t="str">
        <f t="array" ref="P980">IF(976&gt;$S$1204,"",INDEX($T$5:$AJ$1204,MATCH(976,$S$5:$S$1204,0),16))</f>
        <v/>
      </c>
      <c r="Q980" s="8" t="str">
        <f t="array" ref="Q980">IF(976&gt;$S$1204,"",INDEX($T$5:$AJ$1204,MATCH(976,$S$5:$S$1204,0),17))</f>
        <v/>
      </c>
      <c r="R980" s="17"/>
      <c r="S980" s="17">
        <f>S979+IF(M5_Ocupacion!A185="",0,1)</f>
        <v>0</v>
      </c>
      <c r="T980" s="17" t="str">
        <f>IF(M5_Ocupacion!A185="","",IF(M5_Ocupacion!A185="","",M5_Ocupacion!A185))</f>
        <v/>
      </c>
      <c r="U980" s="17" t="str">
        <f>IF(M5_Ocupacion!A185="","",IF(M5_Ocupacion!R185="","",M5_Ocupacion!R185))</f>
        <v/>
      </c>
      <c r="V980" s="17" t="str">
        <f>IF(M5_Ocupacion!A185="","",IF(M5_Ocupacion!D185="","",M5_Ocupacion!D185))</f>
        <v/>
      </c>
      <c r="W980" s="17" t="str">
        <f>IF(M5_Ocupacion!A185="","",IF(M5_Ocupacion!B185="","",M5_Ocupacion!B185))</f>
        <v/>
      </c>
      <c r="X980" s="17" t="str">
        <f>IF(M5_Ocupacion!A185="","",IF(M5_Ocupacion!C185="","",M5_Ocupacion!C185))</f>
        <v/>
      </c>
      <c r="Y980" s="17" t="str">
        <f>IF(M5_Ocupacion!A185="","",IF(M5_Ocupacion!E185="","",M5_Ocupacion!E185))</f>
        <v/>
      </c>
      <c r="Z980" s="17" t="str">
        <f>IF(M5_Ocupacion!A185="","",IF(M5_Ocupacion!F185="","",M5_Ocupacion!F185))</f>
        <v/>
      </c>
      <c r="AA980" s="17" t="str">
        <f>IF(M5_Ocupacion!A185="","","M5 Ocupación")</f>
        <v/>
      </c>
      <c r="AB980" s="17" t="str">
        <f>IF(M5_Ocupacion!A185="","",IF(M5_Ocupacion!G185="","",M5_Ocupacion!G185))</f>
        <v/>
      </c>
      <c r="AC980" s="17" t="str">
        <f>IF(M5_Ocupacion!A185="","",IF(COUNTIFS(M5_Ocupacion!$A$10:A185,M5_Ocupacion!A185,M5_Ocupacion!$D$10:D185,M5_Ocupacion!D185)=1,IF(M5_Ocupacion!M185="","",M5_Ocupacion!M185),""))</f>
        <v/>
      </c>
      <c r="AD980" s="17" t="str">
        <f>IF(M5_Ocupacion!A185="","","MO")</f>
        <v/>
      </c>
      <c r="AE980" s="17" t="str">
        <f>IF(M5_Ocupacion!A185="","",IF(M5_Ocupacion!O185="","",M5_Ocupacion!O185))</f>
        <v/>
      </c>
      <c r="AF980" s="17" t="str">
        <f>IF(M5_Ocupacion!A185="","",IF(M5_Ocupacion!P185="","",M5_Ocupacion!P185))</f>
        <v/>
      </c>
      <c r="AG980" s="17" t="str">
        <f>IF(M5_Ocupacion!A185="","",IF(M5_Ocupacion!Q185="","",M5_Ocupacion!Q185))</f>
        <v/>
      </c>
      <c r="AH980" s="17" t="str">
        <f>IF(M5_Ocupacion!A185="","",IF(M5_Ocupacion!J185="","",M5_Ocupacion!J185))</f>
        <v/>
      </c>
      <c r="AI980" s="17" t="str">
        <f>IF(M5_Ocupacion!A185="","","M5_Ocupacion!185")</f>
        <v/>
      </c>
      <c r="AJ980" s="17" t="str">
        <f>IF(M5_Ocupacion!A185="","",IF(M5_Ocupacion!M185="","Pendiente de medición completa",IF(COUNTIFS(M5_Ocupacion!$A$10:A185,M5_Ocupacion!A185,M5_Ocupacion!$D$10:D185,M5_Ocupacion!D185)=1,"Promedio de la actividad y fecha","Observación incluida en promedio")))</f>
        <v/>
      </c>
    </row>
    <row r="981" spans="1:36" ht="55.5" customHeight="1">
      <c r="A981" s="6" t="str">
        <f t="array" ref="A981">IF(977&gt;$S$1204,"",INDEX($T$5:$AJ$1204,MATCH(977,$S$5:$S$1204,0),1))</f>
        <v/>
      </c>
      <c r="B981" s="8" t="str">
        <f t="array" ref="B981">IF(977&gt;$S$1204,"",INDEX($T$5:$AJ$1204,MATCH(977,$S$5:$S$1204,0),2))</f>
        <v/>
      </c>
      <c r="C981" s="10" t="str">
        <f t="array" ref="C981">IF(977&gt;$S$1204,"",INDEX($T$5:$AJ$1204,MATCH(977,$S$5:$S$1204,0),3))</f>
        <v/>
      </c>
      <c r="D981" s="8" t="str">
        <f t="array" ref="D981">IF(977&gt;$S$1204,"",INDEX($T$5:$AJ$1204,MATCH(977,$S$5:$S$1204,0),4))</f>
        <v/>
      </c>
      <c r="E981" s="8" t="str">
        <f t="array" ref="E981">IF(977&gt;$S$1204,"",INDEX($T$5:$AJ$1204,MATCH(977,$S$5:$S$1204,0),5))</f>
        <v/>
      </c>
      <c r="F981" s="8" t="str">
        <f t="array" ref="F981">IF(977&gt;$S$1204,"",INDEX($T$5:$AJ$1204,MATCH(977,$S$5:$S$1204,0),6))</f>
        <v/>
      </c>
      <c r="G981" s="8" t="str">
        <f t="array" ref="G981">IF(977&gt;$S$1204,"",INDEX($T$5:$AJ$1204,MATCH(977,$S$5:$S$1204,0),7))</f>
        <v/>
      </c>
      <c r="H981" s="8" t="str">
        <f t="array" ref="H981">IF(977&gt;$S$1204,"",INDEX($T$5:$AJ$1204,MATCH(977,$S$5:$S$1204,0),8))</f>
        <v/>
      </c>
      <c r="I981" s="8" t="str">
        <f t="array" ref="I981">IF(977&gt;$S$1204,"",INDEX($T$5:$AJ$1204,MATCH(977,$S$5:$S$1204,0),9))</f>
        <v/>
      </c>
      <c r="J981" s="14" t="str">
        <f t="array" ref="J981">IF(977&gt;$S$1204,"",INDEX($T$5:$AJ$1204,MATCH(977,$S$5:$S$1204,0),10))</f>
        <v/>
      </c>
      <c r="K981" s="8" t="str">
        <f t="array" ref="K981">IF(977&gt;$S$1204,"",INDEX($T$5:$AJ$1204,MATCH(977,$S$5:$S$1204,0),11))</f>
        <v/>
      </c>
      <c r="L981" s="8" t="str">
        <f t="array" ref="L981">IF(977&gt;$S$1204,"",INDEX($T$5:$AJ$1204,MATCH(977,$S$5:$S$1204,0),12))</f>
        <v/>
      </c>
      <c r="M981" s="8" t="str">
        <f t="array" ref="M981">IF(977&gt;$S$1204,"",INDEX($T$5:$AJ$1204,MATCH(977,$S$5:$S$1204,0),13))</f>
        <v/>
      </c>
      <c r="N981" s="8" t="str">
        <f t="array" ref="N981">IF(977&gt;$S$1204,"",INDEX($T$5:$AJ$1204,MATCH(977,$S$5:$S$1204,0),14))</f>
        <v/>
      </c>
      <c r="O981" s="15" t="str">
        <f t="array" ref="O981">IF(977&gt;$S$1204,"",INDEX($T$5:$AJ$1204,MATCH(977,$S$5:$S$1204,0),15))</f>
        <v/>
      </c>
      <c r="P981" s="8" t="str">
        <f t="array" ref="P981">IF(977&gt;$S$1204,"",INDEX($T$5:$AJ$1204,MATCH(977,$S$5:$S$1204,0),16))</f>
        <v/>
      </c>
      <c r="Q981" s="8" t="str">
        <f t="array" ref="Q981">IF(977&gt;$S$1204,"",INDEX($T$5:$AJ$1204,MATCH(977,$S$5:$S$1204,0),17))</f>
        <v/>
      </c>
      <c r="R981" s="17"/>
      <c r="S981" s="17">
        <f>S980+IF(M5_Ocupacion!A186="",0,1)</f>
        <v>0</v>
      </c>
      <c r="T981" s="17" t="str">
        <f>IF(M5_Ocupacion!A186="","",IF(M5_Ocupacion!A186="","",M5_Ocupacion!A186))</f>
        <v/>
      </c>
      <c r="U981" s="17" t="str">
        <f>IF(M5_Ocupacion!A186="","",IF(M5_Ocupacion!R186="","",M5_Ocupacion!R186))</f>
        <v/>
      </c>
      <c r="V981" s="17" t="str">
        <f>IF(M5_Ocupacion!A186="","",IF(M5_Ocupacion!D186="","",M5_Ocupacion!D186))</f>
        <v/>
      </c>
      <c r="W981" s="17" t="str">
        <f>IF(M5_Ocupacion!A186="","",IF(M5_Ocupacion!B186="","",M5_Ocupacion!B186))</f>
        <v/>
      </c>
      <c r="X981" s="17" t="str">
        <f>IF(M5_Ocupacion!A186="","",IF(M5_Ocupacion!C186="","",M5_Ocupacion!C186))</f>
        <v/>
      </c>
      <c r="Y981" s="17" t="str">
        <f>IF(M5_Ocupacion!A186="","",IF(M5_Ocupacion!E186="","",M5_Ocupacion!E186))</f>
        <v/>
      </c>
      <c r="Z981" s="17" t="str">
        <f>IF(M5_Ocupacion!A186="","",IF(M5_Ocupacion!F186="","",M5_Ocupacion!F186))</f>
        <v/>
      </c>
      <c r="AA981" s="17" t="str">
        <f>IF(M5_Ocupacion!A186="","","M5 Ocupación")</f>
        <v/>
      </c>
      <c r="AB981" s="17" t="str">
        <f>IF(M5_Ocupacion!A186="","",IF(M5_Ocupacion!G186="","",M5_Ocupacion!G186))</f>
        <v/>
      </c>
      <c r="AC981" s="17" t="str">
        <f>IF(M5_Ocupacion!A186="","",IF(COUNTIFS(M5_Ocupacion!$A$10:A186,M5_Ocupacion!A186,M5_Ocupacion!$D$10:D186,M5_Ocupacion!D186)=1,IF(M5_Ocupacion!M186="","",M5_Ocupacion!M186),""))</f>
        <v/>
      </c>
      <c r="AD981" s="17" t="str">
        <f>IF(M5_Ocupacion!A186="","","MO")</f>
        <v/>
      </c>
      <c r="AE981" s="17" t="str">
        <f>IF(M5_Ocupacion!A186="","",IF(M5_Ocupacion!O186="","",M5_Ocupacion!O186))</f>
        <v/>
      </c>
      <c r="AF981" s="17" t="str">
        <f>IF(M5_Ocupacion!A186="","",IF(M5_Ocupacion!P186="","",M5_Ocupacion!P186))</f>
        <v/>
      </c>
      <c r="AG981" s="17" t="str">
        <f>IF(M5_Ocupacion!A186="","",IF(M5_Ocupacion!Q186="","",M5_Ocupacion!Q186))</f>
        <v/>
      </c>
      <c r="AH981" s="17" t="str">
        <f>IF(M5_Ocupacion!A186="","",IF(M5_Ocupacion!J186="","",M5_Ocupacion!J186))</f>
        <v/>
      </c>
      <c r="AI981" s="17" t="str">
        <f>IF(M5_Ocupacion!A186="","","M5_Ocupacion!186")</f>
        <v/>
      </c>
      <c r="AJ981" s="17" t="str">
        <f>IF(M5_Ocupacion!A186="","",IF(M5_Ocupacion!M186="","Pendiente de medición completa",IF(COUNTIFS(M5_Ocupacion!$A$10:A186,M5_Ocupacion!A186,M5_Ocupacion!$D$10:D186,M5_Ocupacion!D186)=1,"Promedio de la actividad y fecha","Observación incluida en promedio")))</f>
        <v/>
      </c>
    </row>
    <row r="982" spans="1:36" ht="55.5" customHeight="1">
      <c r="A982" s="6" t="str">
        <f t="array" ref="A982">IF(978&gt;$S$1204,"",INDEX($T$5:$AJ$1204,MATCH(978,$S$5:$S$1204,0),1))</f>
        <v/>
      </c>
      <c r="B982" s="8" t="str">
        <f t="array" ref="B982">IF(978&gt;$S$1204,"",INDEX($T$5:$AJ$1204,MATCH(978,$S$5:$S$1204,0),2))</f>
        <v/>
      </c>
      <c r="C982" s="10" t="str">
        <f t="array" ref="C982">IF(978&gt;$S$1204,"",INDEX($T$5:$AJ$1204,MATCH(978,$S$5:$S$1204,0),3))</f>
        <v/>
      </c>
      <c r="D982" s="8" t="str">
        <f t="array" ref="D982">IF(978&gt;$S$1204,"",INDEX($T$5:$AJ$1204,MATCH(978,$S$5:$S$1204,0),4))</f>
        <v/>
      </c>
      <c r="E982" s="8" t="str">
        <f t="array" ref="E982">IF(978&gt;$S$1204,"",INDEX($T$5:$AJ$1204,MATCH(978,$S$5:$S$1204,0),5))</f>
        <v/>
      </c>
      <c r="F982" s="8" t="str">
        <f t="array" ref="F982">IF(978&gt;$S$1204,"",INDEX($T$5:$AJ$1204,MATCH(978,$S$5:$S$1204,0),6))</f>
        <v/>
      </c>
      <c r="G982" s="8" t="str">
        <f t="array" ref="G982">IF(978&gt;$S$1204,"",INDEX($T$5:$AJ$1204,MATCH(978,$S$5:$S$1204,0),7))</f>
        <v/>
      </c>
      <c r="H982" s="8" t="str">
        <f t="array" ref="H982">IF(978&gt;$S$1204,"",INDEX($T$5:$AJ$1204,MATCH(978,$S$5:$S$1204,0),8))</f>
        <v/>
      </c>
      <c r="I982" s="8" t="str">
        <f t="array" ref="I982">IF(978&gt;$S$1204,"",INDEX($T$5:$AJ$1204,MATCH(978,$S$5:$S$1204,0),9))</f>
        <v/>
      </c>
      <c r="J982" s="14" t="str">
        <f t="array" ref="J982">IF(978&gt;$S$1204,"",INDEX($T$5:$AJ$1204,MATCH(978,$S$5:$S$1204,0),10))</f>
        <v/>
      </c>
      <c r="K982" s="8" t="str">
        <f t="array" ref="K982">IF(978&gt;$S$1204,"",INDEX($T$5:$AJ$1204,MATCH(978,$S$5:$S$1204,0),11))</f>
        <v/>
      </c>
      <c r="L982" s="8" t="str">
        <f t="array" ref="L982">IF(978&gt;$S$1204,"",INDEX($T$5:$AJ$1204,MATCH(978,$S$5:$S$1204,0),12))</f>
        <v/>
      </c>
      <c r="M982" s="8" t="str">
        <f t="array" ref="M982">IF(978&gt;$S$1204,"",INDEX($T$5:$AJ$1204,MATCH(978,$S$5:$S$1204,0),13))</f>
        <v/>
      </c>
      <c r="N982" s="8" t="str">
        <f t="array" ref="N982">IF(978&gt;$S$1204,"",INDEX($T$5:$AJ$1204,MATCH(978,$S$5:$S$1204,0),14))</f>
        <v/>
      </c>
      <c r="O982" s="15" t="str">
        <f t="array" ref="O982">IF(978&gt;$S$1204,"",INDEX($T$5:$AJ$1204,MATCH(978,$S$5:$S$1204,0),15))</f>
        <v/>
      </c>
      <c r="P982" s="8" t="str">
        <f t="array" ref="P982">IF(978&gt;$S$1204,"",INDEX($T$5:$AJ$1204,MATCH(978,$S$5:$S$1204,0),16))</f>
        <v/>
      </c>
      <c r="Q982" s="8" t="str">
        <f t="array" ref="Q982">IF(978&gt;$S$1204,"",INDEX($T$5:$AJ$1204,MATCH(978,$S$5:$S$1204,0),17))</f>
        <v/>
      </c>
      <c r="R982" s="17"/>
      <c r="S982" s="17">
        <f>S981+IF(M5_Ocupacion!A187="",0,1)</f>
        <v>0</v>
      </c>
      <c r="T982" s="17" t="str">
        <f>IF(M5_Ocupacion!A187="","",IF(M5_Ocupacion!A187="","",M5_Ocupacion!A187))</f>
        <v/>
      </c>
      <c r="U982" s="17" t="str">
        <f>IF(M5_Ocupacion!A187="","",IF(M5_Ocupacion!R187="","",M5_Ocupacion!R187))</f>
        <v/>
      </c>
      <c r="V982" s="17" t="str">
        <f>IF(M5_Ocupacion!A187="","",IF(M5_Ocupacion!D187="","",M5_Ocupacion!D187))</f>
        <v/>
      </c>
      <c r="W982" s="17" t="str">
        <f>IF(M5_Ocupacion!A187="","",IF(M5_Ocupacion!B187="","",M5_Ocupacion!B187))</f>
        <v/>
      </c>
      <c r="X982" s="17" t="str">
        <f>IF(M5_Ocupacion!A187="","",IF(M5_Ocupacion!C187="","",M5_Ocupacion!C187))</f>
        <v/>
      </c>
      <c r="Y982" s="17" t="str">
        <f>IF(M5_Ocupacion!A187="","",IF(M5_Ocupacion!E187="","",M5_Ocupacion!E187))</f>
        <v/>
      </c>
      <c r="Z982" s="17" t="str">
        <f>IF(M5_Ocupacion!A187="","",IF(M5_Ocupacion!F187="","",M5_Ocupacion!F187))</f>
        <v/>
      </c>
      <c r="AA982" s="17" t="str">
        <f>IF(M5_Ocupacion!A187="","","M5 Ocupación")</f>
        <v/>
      </c>
      <c r="AB982" s="17" t="str">
        <f>IF(M5_Ocupacion!A187="","",IF(M5_Ocupacion!G187="","",M5_Ocupacion!G187))</f>
        <v/>
      </c>
      <c r="AC982" s="17" t="str">
        <f>IF(M5_Ocupacion!A187="","",IF(COUNTIFS(M5_Ocupacion!$A$10:A187,M5_Ocupacion!A187,M5_Ocupacion!$D$10:D187,M5_Ocupacion!D187)=1,IF(M5_Ocupacion!M187="","",M5_Ocupacion!M187),""))</f>
        <v/>
      </c>
      <c r="AD982" s="17" t="str">
        <f>IF(M5_Ocupacion!A187="","","MO")</f>
        <v/>
      </c>
      <c r="AE982" s="17" t="str">
        <f>IF(M5_Ocupacion!A187="","",IF(M5_Ocupacion!O187="","",M5_Ocupacion!O187))</f>
        <v/>
      </c>
      <c r="AF982" s="17" t="str">
        <f>IF(M5_Ocupacion!A187="","",IF(M5_Ocupacion!P187="","",M5_Ocupacion!P187))</f>
        <v/>
      </c>
      <c r="AG982" s="17" t="str">
        <f>IF(M5_Ocupacion!A187="","",IF(M5_Ocupacion!Q187="","",M5_Ocupacion!Q187))</f>
        <v/>
      </c>
      <c r="AH982" s="17" t="str">
        <f>IF(M5_Ocupacion!A187="","",IF(M5_Ocupacion!J187="","",M5_Ocupacion!J187))</f>
        <v/>
      </c>
      <c r="AI982" s="17" t="str">
        <f>IF(M5_Ocupacion!A187="","","M5_Ocupacion!187")</f>
        <v/>
      </c>
      <c r="AJ982" s="17" t="str">
        <f>IF(M5_Ocupacion!A187="","",IF(M5_Ocupacion!M187="","Pendiente de medición completa",IF(COUNTIFS(M5_Ocupacion!$A$10:A187,M5_Ocupacion!A187,M5_Ocupacion!$D$10:D187,M5_Ocupacion!D187)=1,"Promedio de la actividad y fecha","Observación incluida en promedio")))</f>
        <v/>
      </c>
    </row>
    <row r="983" spans="1:36" ht="55.5" customHeight="1">
      <c r="A983" s="6" t="str">
        <f t="array" ref="A983">IF(979&gt;$S$1204,"",INDEX($T$5:$AJ$1204,MATCH(979,$S$5:$S$1204,0),1))</f>
        <v/>
      </c>
      <c r="B983" s="8" t="str">
        <f t="array" ref="B983">IF(979&gt;$S$1204,"",INDEX($T$5:$AJ$1204,MATCH(979,$S$5:$S$1204,0),2))</f>
        <v/>
      </c>
      <c r="C983" s="10" t="str">
        <f t="array" ref="C983">IF(979&gt;$S$1204,"",INDEX($T$5:$AJ$1204,MATCH(979,$S$5:$S$1204,0),3))</f>
        <v/>
      </c>
      <c r="D983" s="8" t="str">
        <f t="array" ref="D983">IF(979&gt;$S$1204,"",INDEX($T$5:$AJ$1204,MATCH(979,$S$5:$S$1204,0),4))</f>
        <v/>
      </c>
      <c r="E983" s="8" t="str">
        <f t="array" ref="E983">IF(979&gt;$S$1204,"",INDEX($T$5:$AJ$1204,MATCH(979,$S$5:$S$1204,0),5))</f>
        <v/>
      </c>
      <c r="F983" s="8" t="str">
        <f t="array" ref="F983">IF(979&gt;$S$1204,"",INDEX($T$5:$AJ$1204,MATCH(979,$S$5:$S$1204,0),6))</f>
        <v/>
      </c>
      <c r="G983" s="8" t="str">
        <f t="array" ref="G983">IF(979&gt;$S$1204,"",INDEX($T$5:$AJ$1204,MATCH(979,$S$5:$S$1204,0),7))</f>
        <v/>
      </c>
      <c r="H983" s="8" t="str">
        <f t="array" ref="H983">IF(979&gt;$S$1204,"",INDEX($T$5:$AJ$1204,MATCH(979,$S$5:$S$1204,0),8))</f>
        <v/>
      </c>
      <c r="I983" s="8" t="str">
        <f t="array" ref="I983">IF(979&gt;$S$1204,"",INDEX($T$5:$AJ$1204,MATCH(979,$S$5:$S$1204,0),9))</f>
        <v/>
      </c>
      <c r="J983" s="14" t="str">
        <f t="array" ref="J983">IF(979&gt;$S$1204,"",INDEX($T$5:$AJ$1204,MATCH(979,$S$5:$S$1204,0),10))</f>
        <v/>
      </c>
      <c r="K983" s="8" t="str">
        <f t="array" ref="K983">IF(979&gt;$S$1204,"",INDEX($T$5:$AJ$1204,MATCH(979,$S$5:$S$1204,0),11))</f>
        <v/>
      </c>
      <c r="L983" s="8" t="str">
        <f t="array" ref="L983">IF(979&gt;$S$1204,"",INDEX($T$5:$AJ$1204,MATCH(979,$S$5:$S$1204,0),12))</f>
        <v/>
      </c>
      <c r="M983" s="8" t="str">
        <f t="array" ref="M983">IF(979&gt;$S$1204,"",INDEX($T$5:$AJ$1204,MATCH(979,$S$5:$S$1204,0),13))</f>
        <v/>
      </c>
      <c r="N983" s="8" t="str">
        <f t="array" ref="N983">IF(979&gt;$S$1204,"",INDEX($T$5:$AJ$1204,MATCH(979,$S$5:$S$1204,0),14))</f>
        <v/>
      </c>
      <c r="O983" s="15" t="str">
        <f t="array" ref="O983">IF(979&gt;$S$1204,"",INDEX($T$5:$AJ$1204,MATCH(979,$S$5:$S$1204,0),15))</f>
        <v/>
      </c>
      <c r="P983" s="8" t="str">
        <f t="array" ref="P983">IF(979&gt;$S$1204,"",INDEX($T$5:$AJ$1204,MATCH(979,$S$5:$S$1204,0),16))</f>
        <v/>
      </c>
      <c r="Q983" s="8" t="str">
        <f t="array" ref="Q983">IF(979&gt;$S$1204,"",INDEX($T$5:$AJ$1204,MATCH(979,$S$5:$S$1204,0),17))</f>
        <v/>
      </c>
      <c r="R983" s="17"/>
      <c r="S983" s="17">
        <f>S982+IF(M5_Ocupacion!A188="",0,1)</f>
        <v>0</v>
      </c>
      <c r="T983" s="17" t="str">
        <f>IF(M5_Ocupacion!A188="","",IF(M5_Ocupacion!A188="","",M5_Ocupacion!A188))</f>
        <v/>
      </c>
      <c r="U983" s="17" t="str">
        <f>IF(M5_Ocupacion!A188="","",IF(M5_Ocupacion!R188="","",M5_Ocupacion!R188))</f>
        <v/>
      </c>
      <c r="V983" s="17" t="str">
        <f>IF(M5_Ocupacion!A188="","",IF(M5_Ocupacion!D188="","",M5_Ocupacion!D188))</f>
        <v/>
      </c>
      <c r="W983" s="17" t="str">
        <f>IF(M5_Ocupacion!A188="","",IF(M5_Ocupacion!B188="","",M5_Ocupacion!B188))</f>
        <v/>
      </c>
      <c r="X983" s="17" t="str">
        <f>IF(M5_Ocupacion!A188="","",IF(M5_Ocupacion!C188="","",M5_Ocupacion!C188))</f>
        <v/>
      </c>
      <c r="Y983" s="17" t="str">
        <f>IF(M5_Ocupacion!A188="","",IF(M5_Ocupacion!E188="","",M5_Ocupacion!E188))</f>
        <v/>
      </c>
      <c r="Z983" s="17" t="str">
        <f>IF(M5_Ocupacion!A188="","",IF(M5_Ocupacion!F188="","",M5_Ocupacion!F188))</f>
        <v/>
      </c>
      <c r="AA983" s="17" t="str">
        <f>IF(M5_Ocupacion!A188="","","M5 Ocupación")</f>
        <v/>
      </c>
      <c r="AB983" s="17" t="str">
        <f>IF(M5_Ocupacion!A188="","",IF(M5_Ocupacion!G188="","",M5_Ocupacion!G188))</f>
        <v/>
      </c>
      <c r="AC983" s="17" t="str">
        <f>IF(M5_Ocupacion!A188="","",IF(COUNTIFS(M5_Ocupacion!$A$10:A188,M5_Ocupacion!A188,M5_Ocupacion!$D$10:D188,M5_Ocupacion!D188)=1,IF(M5_Ocupacion!M188="","",M5_Ocupacion!M188),""))</f>
        <v/>
      </c>
      <c r="AD983" s="17" t="str">
        <f>IF(M5_Ocupacion!A188="","","MO")</f>
        <v/>
      </c>
      <c r="AE983" s="17" t="str">
        <f>IF(M5_Ocupacion!A188="","",IF(M5_Ocupacion!O188="","",M5_Ocupacion!O188))</f>
        <v/>
      </c>
      <c r="AF983" s="17" t="str">
        <f>IF(M5_Ocupacion!A188="","",IF(M5_Ocupacion!P188="","",M5_Ocupacion!P188))</f>
        <v/>
      </c>
      <c r="AG983" s="17" t="str">
        <f>IF(M5_Ocupacion!A188="","",IF(M5_Ocupacion!Q188="","",M5_Ocupacion!Q188))</f>
        <v/>
      </c>
      <c r="AH983" s="17" t="str">
        <f>IF(M5_Ocupacion!A188="","",IF(M5_Ocupacion!J188="","",M5_Ocupacion!J188))</f>
        <v/>
      </c>
      <c r="AI983" s="17" t="str">
        <f>IF(M5_Ocupacion!A188="","","M5_Ocupacion!188")</f>
        <v/>
      </c>
      <c r="AJ983" s="17" t="str">
        <f>IF(M5_Ocupacion!A188="","",IF(M5_Ocupacion!M188="","Pendiente de medición completa",IF(COUNTIFS(M5_Ocupacion!$A$10:A188,M5_Ocupacion!A188,M5_Ocupacion!$D$10:D188,M5_Ocupacion!D188)=1,"Promedio de la actividad y fecha","Observación incluida en promedio")))</f>
        <v/>
      </c>
    </row>
    <row r="984" spans="1:36" ht="55.5" customHeight="1">
      <c r="A984" s="6" t="str">
        <f t="array" ref="A984">IF(980&gt;$S$1204,"",INDEX($T$5:$AJ$1204,MATCH(980,$S$5:$S$1204,0),1))</f>
        <v/>
      </c>
      <c r="B984" s="8" t="str">
        <f t="array" ref="B984">IF(980&gt;$S$1204,"",INDEX($T$5:$AJ$1204,MATCH(980,$S$5:$S$1204,0),2))</f>
        <v/>
      </c>
      <c r="C984" s="10" t="str">
        <f t="array" ref="C984">IF(980&gt;$S$1204,"",INDEX($T$5:$AJ$1204,MATCH(980,$S$5:$S$1204,0),3))</f>
        <v/>
      </c>
      <c r="D984" s="8" t="str">
        <f t="array" ref="D984">IF(980&gt;$S$1204,"",INDEX($T$5:$AJ$1204,MATCH(980,$S$5:$S$1204,0),4))</f>
        <v/>
      </c>
      <c r="E984" s="8" t="str">
        <f t="array" ref="E984">IF(980&gt;$S$1204,"",INDEX($T$5:$AJ$1204,MATCH(980,$S$5:$S$1204,0),5))</f>
        <v/>
      </c>
      <c r="F984" s="8" t="str">
        <f t="array" ref="F984">IF(980&gt;$S$1204,"",INDEX($T$5:$AJ$1204,MATCH(980,$S$5:$S$1204,0),6))</f>
        <v/>
      </c>
      <c r="G984" s="8" t="str">
        <f t="array" ref="G984">IF(980&gt;$S$1204,"",INDEX($T$5:$AJ$1204,MATCH(980,$S$5:$S$1204,0),7))</f>
        <v/>
      </c>
      <c r="H984" s="8" t="str">
        <f t="array" ref="H984">IF(980&gt;$S$1204,"",INDEX($T$5:$AJ$1204,MATCH(980,$S$5:$S$1204,0),8))</f>
        <v/>
      </c>
      <c r="I984" s="8" t="str">
        <f t="array" ref="I984">IF(980&gt;$S$1204,"",INDEX($T$5:$AJ$1204,MATCH(980,$S$5:$S$1204,0),9))</f>
        <v/>
      </c>
      <c r="J984" s="14" t="str">
        <f t="array" ref="J984">IF(980&gt;$S$1204,"",INDEX($T$5:$AJ$1204,MATCH(980,$S$5:$S$1204,0),10))</f>
        <v/>
      </c>
      <c r="K984" s="8" t="str">
        <f t="array" ref="K984">IF(980&gt;$S$1204,"",INDEX($T$5:$AJ$1204,MATCH(980,$S$5:$S$1204,0),11))</f>
        <v/>
      </c>
      <c r="L984" s="8" t="str">
        <f t="array" ref="L984">IF(980&gt;$S$1204,"",INDEX($T$5:$AJ$1204,MATCH(980,$S$5:$S$1204,0),12))</f>
        <v/>
      </c>
      <c r="M984" s="8" t="str">
        <f t="array" ref="M984">IF(980&gt;$S$1204,"",INDEX($T$5:$AJ$1204,MATCH(980,$S$5:$S$1204,0),13))</f>
        <v/>
      </c>
      <c r="N984" s="8" t="str">
        <f t="array" ref="N984">IF(980&gt;$S$1204,"",INDEX($T$5:$AJ$1204,MATCH(980,$S$5:$S$1204,0),14))</f>
        <v/>
      </c>
      <c r="O984" s="15" t="str">
        <f t="array" ref="O984">IF(980&gt;$S$1204,"",INDEX($T$5:$AJ$1204,MATCH(980,$S$5:$S$1204,0),15))</f>
        <v/>
      </c>
      <c r="P984" s="8" t="str">
        <f t="array" ref="P984">IF(980&gt;$S$1204,"",INDEX($T$5:$AJ$1204,MATCH(980,$S$5:$S$1204,0),16))</f>
        <v/>
      </c>
      <c r="Q984" s="8" t="str">
        <f t="array" ref="Q984">IF(980&gt;$S$1204,"",INDEX($T$5:$AJ$1204,MATCH(980,$S$5:$S$1204,0),17))</f>
        <v/>
      </c>
      <c r="R984" s="17"/>
      <c r="S984" s="17">
        <f>S983+IF(M5_Ocupacion!A189="",0,1)</f>
        <v>0</v>
      </c>
      <c r="T984" s="17" t="str">
        <f>IF(M5_Ocupacion!A189="","",IF(M5_Ocupacion!A189="","",M5_Ocupacion!A189))</f>
        <v/>
      </c>
      <c r="U984" s="17" t="str">
        <f>IF(M5_Ocupacion!A189="","",IF(M5_Ocupacion!R189="","",M5_Ocupacion!R189))</f>
        <v/>
      </c>
      <c r="V984" s="17" t="str">
        <f>IF(M5_Ocupacion!A189="","",IF(M5_Ocupacion!D189="","",M5_Ocupacion!D189))</f>
        <v/>
      </c>
      <c r="W984" s="17" t="str">
        <f>IF(M5_Ocupacion!A189="","",IF(M5_Ocupacion!B189="","",M5_Ocupacion!B189))</f>
        <v/>
      </c>
      <c r="X984" s="17" t="str">
        <f>IF(M5_Ocupacion!A189="","",IF(M5_Ocupacion!C189="","",M5_Ocupacion!C189))</f>
        <v/>
      </c>
      <c r="Y984" s="17" t="str">
        <f>IF(M5_Ocupacion!A189="","",IF(M5_Ocupacion!E189="","",M5_Ocupacion!E189))</f>
        <v/>
      </c>
      <c r="Z984" s="17" t="str">
        <f>IF(M5_Ocupacion!A189="","",IF(M5_Ocupacion!F189="","",M5_Ocupacion!F189))</f>
        <v/>
      </c>
      <c r="AA984" s="17" t="str">
        <f>IF(M5_Ocupacion!A189="","","M5 Ocupación")</f>
        <v/>
      </c>
      <c r="AB984" s="17" t="str">
        <f>IF(M5_Ocupacion!A189="","",IF(M5_Ocupacion!G189="","",M5_Ocupacion!G189))</f>
        <v/>
      </c>
      <c r="AC984" s="17" t="str">
        <f>IF(M5_Ocupacion!A189="","",IF(COUNTIFS(M5_Ocupacion!$A$10:A189,M5_Ocupacion!A189,M5_Ocupacion!$D$10:D189,M5_Ocupacion!D189)=1,IF(M5_Ocupacion!M189="","",M5_Ocupacion!M189),""))</f>
        <v/>
      </c>
      <c r="AD984" s="17" t="str">
        <f>IF(M5_Ocupacion!A189="","","MO")</f>
        <v/>
      </c>
      <c r="AE984" s="17" t="str">
        <f>IF(M5_Ocupacion!A189="","",IF(M5_Ocupacion!O189="","",M5_Ocupacion!O189))</f>
        <v/>
      </c>
      <c r="AF984" s="17" t="str">
        <f>IF(M5_Ocupacion!A189="","",IF(M5_Ocupacion!P189="","",M5_Ocupacion!P189))</f>
        <v/>
      </c>
      <c r="AG984" s="17" t="str">
        <f>IF(M5_Ocupacion!A189="","",IF(M5_Ocupacion!Q189="","",M5_Ocupacion!Q189))</f>
        <v/>
      </c>
      <c r="AH984" s="17" t="str">
        <f>IF(M5_Ocupacion!A189="","",IF(M5_Ocupacion!J189="","",M5_Ocupacion!J189))</f>
        <v/>
      </c>
      <c r="AI984" s="17" t="str">
        <f>IF(M5_Ocupacion!A189="","","M5_Ocupacion!189")</f>
        <v/>
      </c>
      <c r="AJ984" s="17" t="str">
        <f>IF(M5_Ocupacion!A189="","",IF(M5_Ocupacion!M189="","Pendiente de medición completa",IF(COUNTIFS(M5_Ocupacion!$A$10:A189,M5_Ocupacion!A189,M5_Ocupacion!$D$10:D189,M5_Ocupacion!D189)=1,"Promedio de la actividad y fecha","Observación incluida en promedio")))</f>
        <v/>
      </c>
    </row>
    <row r="985" spans="1:36" ht="55.5" customHeight="1">
      <c r="A985" s="6" t="str">
        <f t="array" ref="A985">IF(981&gt;$S$1204,"",INDEX($T$5:$AJ$1204,MATCH(981,$S$5:$S$1204,0),1))</f>
        <v/>
      </c>
      <c r="B985" s="8" t="str">
        <f t="array" ref="B985">IF(981&gt;$S$1204,"",INDEX($T$5:$AJ$1204,MATCH(981,$S$5:$S$1204,0),2))</f>
        <v/>
      </c>
      <c r="C985" s="10" t="str">
        <f t="array" ref="C985">IF(981&gt;$S$1204,"",INDEX($T$5:$AJ$1204,MATCH(981,$S$5:$S$1204,0),3))</f>
        <v/>
      </c>
      <c r="D985" s="8" t="str">
        <f t="array" ref="D985">IF(981&gt;$S$1204,"",INDEX($T$5:$AJ$1204,MATCH(981,$S$5:$S$1204,0),4))</f>
        <v/>
      </c>
      <c r="E985" s="8" t="str">
        <f t="array" ref="E985">IF(981&gt;$S$1204,"",INDEX($T$5:$AJ$1204,MATCH(981,$S$5:$S$1204,0),5))</f>
        <v/>
      </c>
      <c r="F985" s="8" t="str">
        <f t="array" ref="F985">IF(981&gt;$S$1204,"",INDEX($T$5:$AJ$1204,MATCH(981,$S$5:$S$1204,0),6))</f>
        <v/>
      </c>
      <c r="G985" s="8" t="str">
        <f t="array" ref="G985">IF(981&gt;$S$1204,"",INDEX($T$5:$AJ$1204,MATCH(981,$S$5:$S$1204,0),7))</f>
        <v/>
      </c>
      <c r="H985" s="8" t="str">
        <f t="array" ref="H985">IF(981&gt;$S$1204,"",INDEX($T$5:$AJ$1204,MATCH(981,$S$5:$S$1204,0),8))</f>
        <v/>
      </c>
      <c r="I985" s="8" t="str">
        <f t="array" ref="I985">IF(981&gt;$S$1204,"",INDEX($T$5:$AJ$1204,MATCH(981,$S$5:$S$1204,0),9))</f>
        <v/>
      </c>
      <c r="J985" s="14" t="str">
        <f t="array" ref="J985">IF(981&gt;$S$1204,"",INDEX($T$5:$AJ$1204,MATCH(981,$S$5:$S$1204,0),10))</f>
        <v/>
      </c>
      <c r="K985" s="8" t="str">
        <f t="array" ref="K985">IF(981&gt;$S$1204,"",INDEX($T$5:$AJ$1204,MATCH(981,$S$5:$S$1204,0),11))</f>
        <v/>
      </c>
      <c r="L985" s="8" t="str">
        <f t="array" ref="L985">IF(981&gt;$S$1204,"",INDEX($T$5:$AJ$1204,MATCH(981,$S$5:$S$1204,0),12))</f>
        <v/>
      </c>
      <c r="M985" s="8" t="str">
        <f t="array" ref="M985">IF(981&gt;$S$1204,"",INDEX($T$5:$AJ$1204,MATCH(981,$S$5:$S$1204,0),13))</f>
        <v/>
      </c>
      <c r="N985" s="8" t="str">
        <f t="array" ref="N985">IF(981&gt;$S$1204,"",INDEX($T$5:$AJ$1204,MATCH(981,$S$5:$S$1204,0),14))</f>
        <v/>
      </c>
      <c r="O985" s="15" t="str">
        <f t="array" ref="O985">IF(981&gt;$S$1204,"",INDEX($T$5:$AJ$1204,MATCH(981,$S$5:$S$1204,0),15))</f>
        <v/>
      </c>
      <c r="P985" s="8" t="str">
        <f t="array" ref="P985">IF(981&gt;$S$1204,"",INDEX($T$5:$AJ$1204,MATCH(981,$S$5:$S$1204,0),16))</f>
        <v/>
      </c>
      <c r="Q985" s="8" t="str">
        <f t="array" ref="Q985">IF(981&gt;$S$1204,"",INDEX($T$5:$AJ$1204,MATCH(981,$S$5:$S$1204,0),17))</f>
        <v/>
      </c>
      <c r="R985" s="17"/>
      <c r="S985" s="17">
        <f>S984+IF(M5_Ocupacion!A190="",0,1)</f>
        <v>0</v>
      </c>
      <c r="T985" s="17" t="str">
        <f>IF(M5_Ocupacion!A190="","",IF(M5_Ocupacion!A190="","",M5_Ocupacion!A190))</f>
        <v/>
      </c>
      <c r="U985" s="17" t="str">
        <f>IF(M5_Ocupacion!A190="","",IF(M5_Ocupacion!R190="","",M5_Ocupacion!R190))</f>
        <v/>
      </c>
      <c r="V985" s="17" t="str">
        <f>IF(M5_Ocupacion!A190="","",IF(M5_Ocupacion!D190="","",M5_Ocupacion!D190))</f>
        <v/>
      </c>
      <c r="W985" s="17" t="str">
        <f>IF(M5_Ocupacion!A190="","",IF(M5_Ocupacion!B190="","",M5_Ocupacion!B190))</f>
        <v/>
      </c>
      <c r="X985" s="17" t="str">
        <f>IF(M5_Ocupacion!A190="","",IF(M5_Ocupacion!C190="","",M5_Ocupacion!C190))</f>
        <v/>
      </c>
      <c r="Y985" s="17" t="str">
        <f>IF(M5_Ocupacion!A190="","",IF(M5_Ocupacion!E190="","",M5_Ocupacion!E190))</f>
        <v/>
      </c>
      <c r="Z985" s="17" t="str">
        <f>IF(M5_Ocupacion!A190="","",IF(M5_Ocupacion!F190="","",M5_Ocupacion!F190))</f>
        <v/>
      </c>
      <c r="AA985" s="17" t="str">
        <f>IF(M5_Ocupacion!A190="","","M5 Ocupación")</f>
        <v/>
      </c>
      <c r="AB985" s="17" t="str">
        <f>IF(M5_Ocupacion!A190="","",IF(M5_Ocupacion!G190="","",M5_Ocupacion!G190))</f>
        <v/>
      </c>
      <c r="AC985" s="17" t="str">
        <f>IF(M5_Ocupacion!A190="","",IF(COUNTIFS(M5_Ocupacion!$A$10:A190,M5_Ocupacion!A190,M5_Ocupacion!$D$10:D190,M5_Ocupacion!D190)=1,IF(M5_Ocupacion!M190="","",M5_Ocupacion!M190),""))</f>
        <v/>
      </c>
      <c r="AD985" s="17" t="str">
        <f>IF(M5_Ocupacion!A190="","","MO")</f>
        <v/>
      </c>
      <c r="AE985" s="17" t="str">
        <f>IF(M5_Ocupacion!A190="","",IF(M5_Ocupacion!O190="","",M5_Ocupacion!O190))</f>
        <v/>
      </c>
      <c r="AF985" s="17" t="str">
        <f>IF(M5_Ocupacion!A190="","",IF(M5_Ocupacion!P190="","",M5_Ocupacion!P190))</f>
        <v/>
      </c>
      <c r="AG985" s="17" t="str">
        <f>IF(M5_Ocupacion!A190="","",IF(M5_Ocupacion!Q190="","",M5_Ocupacion!Q190))</f>
        <v/>
      </c>
      <c r="AH985" s="17" t="str">
        <f>IF(M5_Ocupacion!A190="","",IF(M5_Ocupacion!J190="","",M5_Ocupacion!J190))</f>
        <v/>
      </c>
      <c r="AI985" s="17" t="str">
        <f>IF(M5_Ocupacion!A190="","","M5_Ocupacion!190")</f>
        <v/>
      </c>
      <c r="AJ985" s="17" t="str">
        <f>IF(M5_Ocupacion!A190="","",IF(M5_Ocupacion!M190="","Pendiente de medición completa",IF(COUNTIFS(M5_Ocupacion!$A$10:A190,M5_Ocupacion!A190,M5_Ocupacion!$D$10:D190,M5_Ocupacion!D190)=1,"Promedio de la actividad y fecha","Observación incluida en promedio")))</f>
        <v/>
      </c>
    </row>
    <row r="986" spans="1:36" ht="55.5" customHeight="1">
      <c r="A986" s="6" t="str">
        <f t="array" ref="A986">IF(982&gt;$S$1204,"",INDEX($T$5:$AJ$1204,MATCH(982,$S$5:$S$1204,0),1))</f>
        <v/>
      </c>
      <c r="B986" s="8" t="str">
        <f t="array" ref="B986">IF(982&gt;$S$1204,"",INDEX($T$5:$AJ$1204,MATCH(982,$S$5:$S$1204,0),2))</f>
        <v/>
      </c>
      <c r="C986" s="10" t="str">
        <f t="array" ref="C986">IF(982&gt;$S$1204,"",INDEX($T$5:$AJ$1204,MATCH(982,$S$5:$S$1204,0),3))</f>
        <v/>
      </c>
      <c r="D986" s="8" t="str">
        <f t="array" ref="D986">IF(982&gt;$S$1204,"",INDEX($T$5:$AJ$1204,MATCH(982,$S$5:$S$1204,0),4))</f>
        <v/>
      </c>
      <c r="E986" s="8" t="str">
        <f t="array" ref="E986">IF(982&gt;$S$1204,"",INDEX($T$5:$AJ$1204,MATCH(982,$S$5:$S$1204,0),5))</f>
        <v/>
      </c>
      <c r="F986" s="8" t="str">
        <f t="array" ref="F986">IF(982&gt;$S$1204,"",INDEX($T$5:$AJ$1204,MATCH(982,$S$5:$S$1204,0),6))</f>
        <v/>
      </c>
      <c r="G986" s="8" t="str">
        <f t="array" ref="G986">IF(982&gt;$S$1204,"",INDEX($T$5:$AJ$1204,MATCH(982,$S$5:$S$1204,0),7))</f>
        <v/>
      </c>
      <c r="H986" s="8" t="str">
        <f t="array" ref="H986">IF(982&gt;$S$1204,"",INDEX($T$5:$AJ$1204,MATCH(982,$S$5:$S$1204,0),8))</f>
        <v/>
      </c>
      <c r="I986" s="8" t="str">
        <f t="array" ref="I986">IF(982&gt;$S$1204,"",INDEX($T$5:$AJ$1204,MATCH(982,$S$5:$S$1204,0),9))</f>
        <v/>
      </c>
      <c r="J986" s="14" t="str">
        <f t="array" ref="J986">IF(982&gt;$S$1204,"",INDEX($T$5:$AJ$1204,MATCH(982,$S$5:$S$1204,0),10))</f>
        <v/>
      </c>
      <c r="K986" s="8" t="str">
        <f t="array" ref="K986">IF(982&gt;$S$1204,"",INDEX($T$5:$AJ$1204,MATCH(982,$S$5:$S$1204,0),11))</f>
        <v/>
      </c>
      <c r="L986" s="8" t="str">
        <f t="array" ref="L986">IF(982&gt;$S$1204,"",INDEX($T$5:$AJ$1204,MATCH(982,$S$5:$S$1204,0),12))</f>
        <v/>
      </c>
      <c r="M986" s="8" t="str">
        <f t="array" ref="M986">IF(982&gt;$S$1204,"",INDEX($T$5:$AJ$1204,MATCH(982,$S$5:$S$1204,0),13))</f>
        <v/>
      </c>
      <c r="N986" s="8" t="str">
        <f t="array" ref="N986">IF(982&gt;$S$1204,"",INDEX($T$5:$AJ$1204,MATCH(982,$S$5:$S$1204,0),14))</f>
        <v/>
      </c>
      <c r="O986" s="15" t="str">
        <f t="array" ref="O986">IF(982&gt;$S$1204,"",INDEX($T$5:$AJ$1204,MATCH(982,$S$5:$S$1204,0),15))</f>
        <v/>
      </c>
      <c r="P986" s="8" t="str">
        <f t="array" ref="P986">IF(982&gt;$S$1204,"",INDEX($T$5:$AJ$1204,MATCH(982,$S$5:$S$1204,0),16))</f>
        <v/>
      </c>
      <c r="Q986" s="8" t="str">
        <f t="array" ref="Q986">IF(982&gt;$S$1204,"",INDEX($T$5:$AJ$1204,MATCH(982,$S$5:$S$1204,0),17))</f>
        <v/>
      </c>
      <c r="R986" s="17"/>
      <c r="S986" s="17">
        <f>S985+IF(M5_Ocupacion!A191="",0,1)</f>
        <v>0</v>
      </c>
      <c r="T986" s="17" t="str">
        <f>IF(M5_Ocupacion!A191="","",IF(M5_Ocupacion!A191="","",M5_Ocupacion!A191))</f>
        <v/>
      </c>
      <c r="U986" s="17" t="str">
        <f>IF(M5_Ocupacion!A191="","",IF(M5_Ocupacion!R191="","",M5_Ocupacion!R191))</f>
        <v/>
      </c>
      <c r="V986" s="17" t="str">
        <f>IF(M5_Ocupacion!A191="","",IF(M5_Ocupacion!D191="","",M5_Ocupacion!D191))</f>
        <v/>
      </c>
      <c r="W986" s="17" t="str">
        <f>IF(M5_Ocupacion!A191="","",IF(M5_Ocupacion!B191="","",M5_Ocupacion!B191))</f>
        <v/>
      </c>
      <c r="X986" s="17" t="str">
        <f>IF(M5_Ocupacion!A191="","",IF(M5_Ocupacion!C191="","",M5_Ocupacion!C191))</f>
        <v/>
      </c>
      <c r="Y986" s="17" t="str">
        <f>IF(M5_Ocupacion!A191="","",IF(M5_Ocupacion!E191="","",M5_Ocupacion!E191))</f>
        <v/>
      </c>
      <c r="Z986" s="17" t="str">
        <f>IF(M5_Ocupacion!A191="","",IF(M5_Ocupacion!F191="","",M5_Ocupacion!F191))</f>
        <v/>
      </c>
      <c r="AA986" s="17" t="str">
        <f>IF(M5_Ocupacion!A191="","","M5 Ocupación")</f>
        <v/>
      </c>
      <c r="AB986" s="17" t="str">
        <f>IF(M5_Ocupacion!A191="","",IF(M5_Ocupacion!G191="","",M5_Ocupacion!G191))</f>
        <v/>
      </c>
      <c r="AC986" s="17" t="str">
        <f>IF(M5_Ocupacion!A191="","",IF(COUNTIFS(M5_Ocupacion!$A$10:A191,M5_Ocupacion!A191,M5_Ocupacion!$D$10:D191,M5_Ocupacion!D191)=1,IF(M5_Ocupacion!M191="","",M5_Ocupacion!M191),""))</f>
        <v/>
      </c>
      <c r="AD986" s="17" t="str">
        <f>IF(M5_Ocupacion!A191="","","MO")</f>
        <v/>
      </c>
      <c r="AE986" s="17" t="str">
        <f>IF(M5_Ocupacion!A191="","",IF(M5_Ocupacion!O191="","",M5_Ocupacion!O191))</f>
        <v/>
      </c>
      <c r="AF986" s="17" t="str">
        <f>IF(M5_Ocupacion!A191="","",IF(M5_Ocupacion!P191="","",M5_Ocupacion!P191))</f>
        <v/>
      </c>
      <c r="AG986" s="17" t="str">
        <f>IF(M5_Ocupacion!A191="","",IF(M5_Ocupacion!Q191="","",M5_Ocupacion!Q191))</f>
        <v/>
      </c>
      <c r="AH986" s="17" t="str">
        <f>IF(M5_Ocupacion!A191="","",IF(M5_Ocupacion!J191="","",M5_Ocupacion!J191))</f>
        <v/>
      </c>
      <c r="AI986" s="17" t="str">
        <f>IF(M5_Ocupacion!A191="","","M5_Ocupacion!191")</f>
        <v/>
      </c>
      <c r="AJ986" s="17" t="str">
        <f>IF(M5_Ocupacion!A191="","",IF(M5_Ocupacion!M191="","Pendiente de medición completa",IF(COUNTIFS(M5_Ocupacion!$A$10:A191,M5_Ocupacion!A191,M5_Ocupacion!$D$10:D191,M5_Ocupacion!D191)=1,"Promedio de la actividad y fecha","Observación incluida en promedio")))</f>
        <v/>
      </c>
    </row>
    <row r="987" spans="1:36" ht="55.5" customHeight="1">
      <c r="A987" s="6" t="str">
        <f t="array" ref="A987">IF(983&gt;$S$1204,"",INDEX($T$5:$AJ$1204,MATCH(983,$S$5:$S$1204,0),1))</f>
        <v/>
      </c>
      <c r="B987" s="8" t="str">
        <f t="array" ref="B987">IF(983&gt;$S$1204,"",INDEX($T$5:$AJ$1204,MATCH(983,$S$5:$S$1204,0),2))</f>
        <v/>
      </c>
      <c r="C987" s="10" t="str">
        <f t="array" ref="C987">IF(983&gt;$S$1204,"",INDEX($T$5:$AJ$1204,MATCH(983,$S$5:$S$1204,0),3))</f>
        <v/>
      </c>
      <c r="D987" s="8" t="str">
        <f t="array" ref="D987">IF(983&gt;$S$1204,"",INDEX($T$5:$AJ$1204,MATCH(983,$S$5:$S$1204,0),4))</f>
        <v/>
      </c>
      <c r="E987" s="8" t="str">
        <f t="array" ref="E987">IF(983&gt;$S$1204,"",INDEX($T$5:$AJ$1204,MATCH(983,$S$5:$S$1204,0),5))</f>
        <v/>
      </c>
      <c r="F987" s="8" t="str">
        <f t="array" ref="F987">IF(983&gt;$S$1204,"",INDEX($T$5:$AJ$1204,MATCH(983,$S$5:$S$1204,0),6))</f>
        <v/>
      </c>
      <c r="G987" s="8" t="str">
        <f t="array" ref="G987">IF(983&gt;$S$1204,"",INDEX($T$5:$AJ$1204,MATCH(983,$S$5:$S$1204,0),7))</f>
        <v/>
      </c>
      <c r="H987" s="8" t="str">
        <f t="array" ref="H987">IF(983&gt;$S$1204,"",INDEX($T$5:$AJ$1204,MATCH(983,$S$5:$S$1204,0),8))</f>
        <v/>
      </c>
      <c r="I987" s="8" t="str">
        <f t="array" ref="I987">IF(983&gt;$S$1204,"",INDEX($T$5:$AJ$1204,MATCH(983,$S$5:$S$1204,0),9))</f>
        <v/>
      </c>
      <c r="J987" s="14" t="str">
        <f t="array" ref="J987">IF(983&gt;$S$1204,"",INDEX($T$5:$AJ$1204,MATCH(983,$S$5:$S$1204,0),10))</f>
        <v/>
      </c>
      <c r="K987" s="8" t="str">
        <f t="array" ref="K987">IF(983&gt;$S$1204,"",INDEX($T$5:$AJ$1204,MATCH(983,$S$5:$S$1204,0),11))</f>
        <v/>
      </c>
      <c r="L987" s="8" t="str">
        <f t="array" ref="L987">IF(983&gt;$S$1204,"",INDEX($T$5:$AJ$1204,MATCH(983,$S$5:$S$1204,0),12))</f>
        <v/>
      </c>
      <c r="M987" s="8" t="str">
        <f t="array" ref="M987">IF(983&gt;$S$1204,"",INDEX($T$5:$AJ$1204,MATCH(983,$S$5:$S$1204,0),13))</f>
        <v/>
      </c>
      <c r="N987" s="8" t="str">
        <f t="array" ref="N987">IF(983&gt;$S$1204,"",INDEX($T$5:$AJ$1204,MATCH(983,$S$5:$S$1204,0),14))</f>
        <v/>
      </c>
      <c r="O987" s="15" t="str">
        <f t="array" ref="O987">IF(983&gt;$S$1204,"",INDEX($T$5:$AJ$1204,MATCH(983,$S$5:$S$1204,0),15))</f>
        <v/>
      </c>
      <c r="P987" s="8" t="str">
        <f t="array" ref="P987">IF(983&gt;$S$1204,"",INDEX($T$5:$AJ$1204,MATCH(983,$S$5:$S$1204,0),16))</f>
        <v/>
      </c>
      <c r="Q987" s="8" t="str">
        <f t="array" ref="Q987">IF(983&gt;$S$1204,"",INDEX($T$5:$AJ$1204,MATCH(983,$S$5:$S$1204,0),17))</f>
        <v/>
      </c>
      <c r="R987" s="17"/>
      <c r="S987" s="17">
        <f>S986+IF(M5_Ocupacion!A192="",0,1)</f>
        <v>0</v>
      </c>
      <c r="T987" s="17" t="str">
        <f>IF(M5_Ocupacion!A192="","",IF(M5_Ocupacion!A192="","",M5_Ocupacion!A192))</f>
        <v/>
      </c>
      <c r="U987" s="17" t="str">
        <f>IF(M5_Ocupacion!A192="","",IF(M5_Ocupacion!R192="","",M5_Ocupacion!R192))</f>
        <v/>
      </c>
      <c r="V987" s="17" t="str">
        <f>IF(M5_Ocupacion!A192="","",IF(M5_Ocupacion!D192="","",M5_Ocupacion!D192))</f>
        <v/>
      </c>
      <c r="W987" s="17" t="str">
        <f>IF(M5_Ocupacion!A192="","",IF(M5_Ocupacion!B192="","",M5_Ocupacion!B192))</f>
        <v/>
      </c>
      <c r="X987" s="17" t="str">
        <f>IF(M5_Ocupacion!A192="","",IF(M5_Ocupacion!C192="","",M5_Ocupacion!C192))</f>
        <v/>
      </c>
      <c r="Y987" s="17" t="str">
        <f>IF(M5_Ocupacion!A192="","",IF(M5_Ocupacion!E192="","",M5_Ocupacion!E192))</f>
        <v/>
      </c>
      <c r="Z987" s="17" t="str">
        <f>IF(M5_Ocupacion!A192="","",IF(M5_Ocupacion!F192="","",M5_Ocupacion!F192))</f>
        <v/>
      </c>
      <c r="AA987" s="17" t="str">
        <f>IF(M5_Ocupacion!A192="","","M5 Ocupación")</f>
        <v/>
      </c>
      <c r="AB987" s="17" t="str">
        <f>IF(M5_Ocupacion!A192="","",IF(M5_Ocupacion!G192="","",M5_Ocupacion!G192))</f>
        <v/>
      </c>
      <c r="AC987" s="17" t="str">
        <f>IF(M5_Ocupacion!A192="","",IF(COUNTIFS(M5_Ocupacion!$A$10:A192,M5_Ocupacion!A192,M5_Ocupacion!$D$10:D192,M5_Ocupacion!D192)=1,IF(M5_Ocupacion!M192="","",M5_Ocupacion!M192),""))</f>
        <v/>
      </c>
      <c r="AD987" s="17" t="str">
        <f>IF(M5_Ocupacion!A192="","","MO")</f>
        <v/>
      </c>
      <c r="AE987" s="17" t="str">
        <f>IF(M5_Ocupacion!A192="","",IF(M5_Ocupacion!O192="","",M5_Ocupacion!O192))</f>
        <v/>
      </c>
      <c r="AF987" s="17" t="str">
        <f>IF(M5_Ocupacion!A192="","",IF(M5_Ocupacion!P192="","",M5_Ocupacion!P192))</f>
        <v/>
      </c>
      <c r="AG987" s="17" t="str">
        <f>IF(M5_Ocupacion!A192="","",IF(M5_Ocupacion!Q192="","",M5_Ocupacion!Q192))</f>
        <v/>
      </c>
      <c r="AH987" s="17" t="str">
        <f>IF(M5_Ocupacion!A192="","",IF(M5_Ocupacion!J192="","",M5_Ocupacion!J192))</f>
        <v/>
      </c>
      <c r="AI987" s="17" t="str">
        <f>IF(M5_Ocupacion!A192="","","M5_Ocupacion!192")</f>
        <v/>
      </c>
      <c r="AJ987" s="17" t="str">
        <f>IF(M5_Ocupacion!A192="","",IF(M5_Ocupacion!M192="","Pendiente de medición completa",IF(COUNTIFS(M5_Ocupacion!$A$10:A192,M5_Ocupacion!A192,M5_Ocupacion!$D$10:D192,M5_Ocupacion!D192)=1,"Promedio de la actividad y fecha","Observación incluida en promedio")))</f>
        <v/>
      </c>
    </row>
    <row r="988" spans="1:36" ht="55.5" customHeight="1">
      <c r="A988" s="6" t="str">
        <f t="array" ref="A988">IF(984&gt;$S$1204,"",INDEX($T$5:$AJ$1204,MATCH(984,$S$5:$S$1204,0),1))</f>
        <v/>
      </c>
      <c r="B988" s="8" t="str">
        <f t="array" ref="B988">IF(984&gt;$S$1204,"",INDEX($T$5:$AJ$1204,MATCH(984,$S$5:$S$1204,0),2))</f>
        <v/>
      </c>
      <c r="C988" s="10" t="str">
        <f t="array" ref="C988">IF(984&gt;$S$1204,"",INDEX($T$5:$AJ$1204,MATCH(984,$S$5:$S$1204,0),3))</f>
        <v/>
      </c>
      <c r="D988" s="8" t="str">
        <f t="array" ref="D988">IF(984&gt;$S$1204,"",INDEX($T$5:$AJ$1204,MATCH(984,$S$5:$S$1204,0),4))</f>
        <v/>
      </c>
      <c r="E988" s="8" t="str">
        <f t="array" ref="E988">IF(984&gt;$S$1204,"",INDEX($T$5:$AJ$1204,MATCH(984,$S$5:$S$1204,0),5))</f>
        <v/>
      </c>
      <c r="F988" s="8" t="str">
        <f t="array" ref="F988">IF(984&gt;$S$1204,"",INDEX($T$5:$AJ$1204,MATCH(984,$S$5:$S$1204,0),6))</f>
        <v/>
      </c>
      <c r="G988" s="8" t="str">
        <f t="array" ref="G988">IF(984&gt;$S$1204,"",INDEX($T$5:$AJ$1204,MATCH(984,$S$5:$S$1204,0),7))</f>
        <v/>
      </c>
      <c r="H988" s="8" t="str">
        <f t="array" ref="H988">IF(984&gt;$S$1204,"",INDEX($T$5:$AJ$1204,MATCH(984,$S$5:$S$1204,0),8))</f>
        <v/>
      </c>
      <c r="I988" s="8" t="str">
        <f t="array" ref="I988">IF(984&gt;$S$1204,"",INDEX($T$5:$AJ$1204,MATCH(984,$S$5:$S$1204,0),9))</f>
        <v/>
      </c>
      <c r="J988" s="14" t="str">
        <f t="array" ref="J988">IF(984&gt;$S$1204,"",INDEX($T$5:$AJ$1204,MATCH(984,$S$5:$S$1204,0),10))</f>
        <v/>
      </c>
      <c r="K988" s="8" t="str">
        <f t="array" ref="K988">IF(984&gt;$S$1204,"",INDEX($T$5:$AJ$1204,MATCH(984,$S$5:$S$1204,0),11))</f>
        <v/>
      </c>
      <c r="L988" s="8" t="str">
        <f t="array" ref="L988">IF(984&gt;$S$1204,"",INDEX($T$5:$AJ$1204,MATCH(984,$S$5:$S$1204,0),12))</f>
        <v/>
      </c>
      <c r="M988" s="8" t="str">
        <f t="array" ref="M988">IF(984&gt;$S$1204,"",INDEX($T$5:$AJ$1204,MATCH(984,$S$5:$S$1204,0),13))</f>
        <v/>
      </c>
      <c r="N988" s="8" t="str">
        <f t="array" ref="N988">IF(984&gt;$S$1204,"",INDEX($T$5:$AJ$1204,MATCH(984,$S$5:$S$1204,0),14))</f>
        <v/>
      </c>
      <c r="O988" s="15" t="str">
        <f t="array" ref="O988">IF(984&gt;$S$1204,"",INDEX($T$5:$AJ$1204,MATCH(984,$S$5:$S$1204,0),15))</f>
        <v/>
      </c>
      <c r="P988" s="8" t="str">
        <f t="array" ref="P988">IF(984&gt;$S$1204,"",INDEX($T$5:$AJ$1204,MATCH(984,$S$5:$S$1204,0),16))</f>
        <v/>
      </c>
      <c r="Q988" s="8" t="str">
        <f t="array" ref="Q988">IF(984&gt;$S$1204,"",INDEX($T$5:$AJ$1204,MATCH(984,$S$5:$S$1204,0),17))</f>
        <v/>
      </c>
      <c r="R988" s="17"/>
      <c r="S988" s="17">
        <f>S987+IF(M5_Ocupacion!A193="",0,1)</f>
        <v>0</v>
      </c>
      <c r="T988" s="17" t="str">
        <f>IF(M5_Ocupacion!A193="","",IF(M5_Ocupacion!A193="","",M5_Ocupacion!A193))</f>
        <v/>
      </c>
      <c r="U988" s="17" t="str">
        <f>IF(M5_Ocupacion!A193="","",IF(M5_Ocupacion!R193="","",M5_Ocupacion!R193))</f>
        <v/>
      </c>
      <c r="V988" s="17" t="str">
        <f>IF(M5_Ocupacion!A193="","",IF(M5_Ocupacion!D193="","",M5_Ocupacion!D193))</f>
        <v/>
      </c>
      <c r="W988" s="17" t="str">
        <f>IF(M5_Ocupacion!A193="","",IF(M5_Ocupacion!B193="","",M5_Ocupacion!B193))</f>
        <v/>
      </c>
      <c r="X988" s="17" t="str">
        <f>IF(M5_Ocupacion!A193="","",IF(M5_Ocupacion!C193="","",M5_Ocupacion!C193))</f>
        <v/>
      </c>
      <c r="Y988" s="17" t="str">
        <f>IF(M5_Ocupacion!A193="","",IF(M5_Ocupacion!E193="","",M5_Ocupacion!E193))</f>
        <v/>
      </c>
      <c r="Z988" s="17" t="str">
        <f>IF(M5_Ocupacion!A193="","",IF(M5_Ocupacion!F193="","",M5_Ocupacion!F193))</f>
        <v/>
      </c>
      <c r="AA988" s="17" t="str">
        <f>IF(M5_Ocupacion!A193="","","M5 Ocupación")</f>
        <v/>
      </c>
      <c r="AB988" s="17" t="str">
        <f>IF(M5_Ocupacion!A193="","",IF(M5_Ocupacion!G193="","",M5_Ocupacion!G193))</f>
        <v/>
      </c>
      <c r="AC988" s="17" t="str">
        <f>IF(M5_Ocupacion!A193="","",IF(COUNTIFS(M5_Ocupacion!$A$10:A193,M5_Ocupacion!A193,M5_Ocupacion!$D$10:D193,M5_Ocupacion!D193)=1,IF(M5_Ocupacion!M193="","",M5_Ocupacion!M193),""))</f>
        <v/>
      </c>
      <c r="AD988" s="17" t="str">
        <f>IF(M5_Ocupacion!A193="","","MO")</f>
        <v/>
      </c>
      <c r="AE988" s="17" t="str">
        <f>IF(M5_Ocupacion!A193="","",IF(M5_Ocupacion!O193="","",M5_Ocupacion!O193))</f>
        <v/>
      </c>
      <c r="AF988" s="17" t="str">
        <f>IF(M5_Ocupacion!A193="","",IF(M5_Ocupacion!P193="","",M5_Ocupacion!P193))</f>
        <v/>
      </c>
      <c r="AG988" s="17" t="str">
        <f>IF(M5_Ocupacion!A193="","",IF(M5_Ocupacion!Q193="","",M5_Ocupacion!Q193))</f>
        <v/>
      </c>
      <c r="AH988" s="17" t="str">
        <f>IF(M5_Ocupacion!A193="","",IF(M5_Ocupacion!J193="","",M5_Ocupacion!J193))</f>
        <v/>
      </c>
      <c r="AI988" s="17" t="str">
        <f>IF(M5_Ocupacion!A193="","","M5_Ocupacion!193")</f>
        <v/>
      </c>
      <c r="AJ988" s="17" t="str">
        <f>IF(M5_Ocupacion!A193="","",IF(M5_Ocupacion!M193="","Pendiente de medición completa",IF(COUNTIFS(M5_Ocupacion!$A$10:A193,M5_Ocupacion!A193,M5_Ocupacion!$D$10:D193,M5_Ocupacion!D193)=1,"Promedio de la actividad y fecha","Observación incluida en promedio")))</f>
        <v/>
      </c>
    </row>
    <row r="989" spans="1:36" ht="55.5" customHeight="1">
      <c r="A989" s="6" t="str">
        <f t="array" ref="A989">IF(985&gt;$S$1204,"",INDEX($T$5:$AJ$1204,MATCH(985,$S$5:$S$1204,0),1))</f>
        <v/>
      </c>
      <c r="B989" s="8" t="str">
        <f t="array" ref="B989">IF(985&gt;$S$1204,"",INDEX($T$5:$AJ$1204,MATCH(985,$S$5:$S$1204,0),2))</f>
        <v/>
      </c>
      <c r="C989" s="10" t="str">
        <f t="array" ref="C989">IF(985&gt;$S$1204,"",INDEX($T$5:$AJ$1204,MATCH(985,$S$5:$S$1204,0),3))</f>
        <v/>
      </c>
      <c r="D989" s="8" t="str">
        <f t="array" ref="D989">IF(985&gt;$S$1204,"",INDEX($T$5:$AJ$1204,MATCH(985,$S$5:$S$1204,0),4))</f>
        <v/>
      </c>
      <c r="E989" s="8" t="str">
        <f t="array" ref="E989">IF(985&gt;$S$1204,"",INDEX($T$5:$AJ$1204,MATCH(985,$S$5:$S$1204,0),5))</f>
        <v/>
      </c>
      <c r="F989" s="8" t="str">
        <f t="array" ref="F989">IF(985&gt;$S$1204,"",INDEX($T$5:$AJ$1204,MATCH(985,$S$5:$S$1204,0),6))</f>
        <v/>
      </c>
      <c r="G989" s="8" t="str">
        <f t="array" ref="G989">IF(985&gt;$S$1204,"",INDEX($T$5:$AJ$1204,MATCH(985,$S$5:$S$1204,0),7))</f>
        <v/>
      </c>
      <c r="H989" s="8" t="str">
        <f t="array" ref="H989">IF(985&gt;$S$1204,"",INDEX($T$5:$AJ$1204,MATCH(985,$S$5:$S$1204,0),8))</f>
        <v/>
      </c>
      <c r="I989" s="8" t="str">
        <f t="array" ref="I989">IF(985&gt;$S$1204,"",INDEX($T$5:$AJ$1204,MATCH(985,$S$5:$S$1204,0),9))</f>
        <v/>
      </c>
      <c r="J989" s="14" t="str">
        <f t="array" ref="J989">IF(985&gt;$S$1204,"",INDEX($T$5:$AJ$1204,MATCH(985,$S$5:$S$1204,0),10))</f>
        <v/>
      </c>
      <c r="K989" s="8" t="str">
        <f t="array" ref="K989">IF(985&gt;$S$1204,"",INDEX($T$5:$AJ$1204,MATCH(985,$S$5:$S$1204,0),11))</f>
        <v/>
      </c>
      <c r="L989" s="8" t="str">
        <f t="array" ref="L989">IF(985&gt;$S$1204,"",INDEX($T$5:$AJ$1204,MATCH(985,$S$5:$S$1204,0),12))</f>
        <v/>
      </c>
      <c r="M989" s="8" t="str">
        <f t="array" ref="M989">IF(985&gt;$S$1204,"",INDEX($T$5:$AJ$1204,MATCH(985,$S$5:$S$1204,0),13))</f>
        <v/>
      </c>
      <c r="N989" s="8" t="str">
        <f t="array" ref="N989">IF(985&gt;$S$1204,"",INDEX($T$5:$AJ$1204,MATCH(985,$S$5:$S$1204,0),14))</f>
        <v/>
      </c>
      <c r="O989" s="15" t="str">
        <f t="array" ref="O989">IF(985&gt;$S$1204,"",INDEX($T$5:$AJ$1204,MATCH(985,$S$5:$S$1204,0),15))</f>
        <v/>
      </c>
      <c r="P989" s="8" t="str">
        <f t="array" ref="P989">IF(985&gt;$S$1204,"",INDEX($T$5:$AJ$1204,MATCH(985,$S$5:$S$1204,0),16))</f>
        <v/>
      </c>
      <c r="Q989" s="8" t="str">
        <f t="array" ref="Q989">IF(985&gt;$S$1204,"",INDEX($T$5:$AJ$1204,MATCH(985,$S$5:$S$1204,0),17))</f>
        <v/>
      </c>
      <c r="R989" s="17"/>
      <c r="S989" s="17">
        <f>S988+IF(M5_Ocupacion!A194="",0,1)</f>
        <v>0</v>
      </c>
      <c r="T989" s="17" t="str">
        <f>IF(M5_Ocupacion!A194="","",IF(M5_Ocupacion!A194="","",M5_Ocupacion!A194))</f>
        <v/>
      </c>
      <c r="U989" s="17" t="str">
        <f>IF(M5_Ocupacion!A194="","",IF(M5_Ocupacion!R194="","",M5_Ocupacion!R194))</f>
        <v/>
      </c>
      <c r="V989" s="17" t="str">
        <f>IF(M5_Ocupacion!A194="","",IF(M5_Ocupacion!D194="","",M5_Ocupacion!D194))</f>
        <v/>
      </c>
      <c r="W989" s="17" t="str">
        <f>IF(M5_Ocupacion!A194="","",IF(M5_Ocupacion!B194="","",M5_Ocupacion!B194))</f>
        <v/>
      </c>
      <c r="X989" s="17" t="str">
        <f>IF(M5_Ocupacion!A194="","",IF(M5_Ocupacion!C194="","",M5_Ocupacion!C194))</f>
        <v/>
      </c>
      <c r="Y989" s="17" t="str">
        <f>IF(M5_Ocupacion!A194="","",IF(M5_Ocupacion!E194="","",M5_Ocupacion!E194))</f>
        <v/>
      </c>
      <c r="Z989" s="17" t="str">
        <f>IF(M5_Ocupacion!A194="","",IF(M5_Ocupacion!F194="","",M5_Ocupacion!F194))</f>
        <v/>
      </c>
      <c r="AA989" s="17" t="str">
        <f>IF(M5_Ocupacion!A194="","","M5 Ocupación")</f>
        <v/>
      </c>
      <c r="AB989" s="17" t="str">
        <f>IF(M5_Ocupacion!A194="","",IF(M5_Ocupacion!G194="","",M5_Ocupacion!G194))</f>
        <v/>
      </c>
      <c r="AC989" s="17" t="str">
        <f>IF(M5_Ocupacion!A194="","",IF(COUNTIFS(M5_Ocupacion!$A$10:A194,M5_Ocupacion!A194,M5_Ocupacion!$D$10:D194,M5_Ocupacion!D194)=1,IF(M5_Ocupacion!M194="","",M5_Ocupacion!M194),""))</f>
        <v/>
      </c>
      <c r="AD989" s="17" t="str">
        <f>IF(M5_Ocupacion!A194="","","MO")</f>
        <v/>
      </c>
      <c r="AE989" s="17" t="str">
        <f>IF(M5_Ocupacion!A194="","",IF(M5_Ocupacion!O194="","",M5_Ocupacion!O194))</f>
        <v/>
      </c>
      <c r="AF989" s="17" t="str">
        <f>IF(M5_Ocupacion!A194="","",IF(M5_Ocupacion!P194="","",M5_Ocupacion!P194))</f>
        <v/>
      </c>
      <c r="AG989" s="17" t="str">
        <f>IF(M5_Ocupacion!A194="","",IF(M5_Ocupacion!Q194="","",M5_Ocupacion!Q194))</f>
        <v/>
      </c>
      <c r="AH989" s="17" t="str">
        <f>IF(M5_Ocupacion!A194="","",IF(M5_Ocupacion!J194="","",M5_Ocupacion!J194))</f>
        <v/>
      </c>
      <c r="AI989" s="17" t="str">
        <f>IF(M5_Ocupacion!A194="","","M5_Ocupacion!194")</f>
        <v/>
      </c>
      <c r="AJ989" s="17" t="str">
        <f>IF(M5_Ocupacion!A194="","",IF(M5_Ocupacion!M194="","Pendiente de medición completa",IF(COUNTIFS(M5_Ocupacion!$A$10:A194,M5_Ocupacion!A194,M5_Ocupacion!$D$10:D194,M5_Ocupacion!D194)=1,"Promedio de la actividad y fecha","Observación incluida en promedio")))</f>
        <v/>
      </c>
    </row>
    <row r="990" spans="1:36" ht="55.5" customHeight="1">
      <c r="A990" s="6" t="str">
        <f t="array" ref="A990">IF(986&gt;$S$1204,"",INDEX($T$5:$AJ$1204,MATCH(986,$S$5:$S$1204,0),1))</f>
        <v/>
      </c>
      <c r="B990" s="8" t="str">
        <f t="array" ref="B990">IF(986&gt;$S$1204,"",INDEX($T$5:$AJ$1204,MATCH(986,$S$5:$S$1204,0),2))</f>
        <v/>
      </c>
      <c r="C990" s="10" t="str">
        <f t="array" ref="C990">IF(986&gt;$S$1204,"",INDEX($T$5:$AJ$1204,MATCH(986,$S$5:$S$1204,0),3))</f>
        <v/>
      </c>
      <c r="D990" s="8" t="str">
        <f t="array" ref="D990">IF(986&gt;$S$1204,"",INDEX($T$5:$AJ$1204,MATCH(986,$S$5:$S$1204,0),4))</f>
        <v/>
      </c>
      <c r="E990" s="8" t="str">
        <f t="array" ref="E990">IF(986&gt;$S$1204,"",INDEX($T$5:$AJ$1204,MATCH(986,$S$5:$S$1204,0),5))</f>
        <v/>
      </c>
      <c r="F990" s="8" t="str">
        <f t="array" ref="F990">IF(986&gt;$S$1204,"",INDEX($T$5:$AJ$1204,MATCH(986,$S$5:$S$1204,0),6))</f>
        <v/>
      </c>
      <c r="G990" s="8" t="str">
        <f t="array" ref="G990">IF(986&gt;$S$1204,"",INDEX($T$5:$AJ$1204,MATCH(986,$S$5:$S$1204,0),7))</f>
        <v/>
      </c>
      <c r="H990" s="8" t="str">
        <f t="array" ref="H990">IF(986&gt;$S$1204,"",INDEX($T$5:$AJ$1204,MATCH(986,$S$5:$S$1204,0),8))</f>
        <v/>
      </c>
      <c r="I990" s="8" t="str">
        <f t="array" ref="I990">IF(986&gt;$S$1204,"",INDEX($T$5:$AJ$1204,MATCH(986,$S$5:$S$1204,0),9))</f>
        <v/>
      </c>
      <c r="J990" s="14" t="str">
        <f t="array" ref="J990">IF(986&gt;$S$1204,"",INDEX($T$5:$AJ$1204,MATCH(986,$S$5:$S$1204,0),10))</f>
        <v/>
      </c>
      <c r="K990" s="8" t="str">
        <f t="array" ref="K990">IF(986&gt;$S$1204,"",INDEX($T$5:$AJ$1204,MATCH(986,$S$5:$S$1204,0),11))</f>
        <v/>
      </c>
      <c r="L990" s="8" t="str">
        <f t="array" ref="L990">IF(986&gt;$S$1204,"",INDEX($T$5:$AJ$1204,MATCH(986,$S$5:$S$1204,0),12))</f>
        <v/>
      </c>
      <c r="M990" s="8" t="str">
        <f t="array" ref="M990">IF(986&gt;$S$1204,"",INDEX($T$5:$AJ$1204,MATCH(986,$S$5:$S$1204,0),13))</f>
        <v/>
      </c>
      <c r="N990" s="8" t="str">
        <f t="array" ref="N990">IF(986&gt;$S$1204,"",INDEX($T$5:$AJ$1204,MATCH(986,$S$5:$S$1204,0),14))</f>
        <v/>
      </c>
      <c r="O990" s="15" t="str">
        <f t="array" ref="O990">IF(986&gt;$S$1204,"",INDEX($T$5:$AJ$1204,MATCH(986,$S$5:$S$1204,0),15))</f>
        <v/>
      </c>
      <c r="P990" s="8" t="str">
        <f t="array" ref="P990">IF(986&gt;$S$1204,"",INDEX($T$5:$AJ$1204,MATCH(986,$S$5:$S$1204,0),16))</f>
        <v/>
      </c>
      <c r="Q990" s="8" t="str">
        <f t="array" ref="Q990">IF(986&gt;$S$1204,"",INDEX($T$5:$AJ$1204,MATCH(986,$S$5:$S$1204,0),17))</f>
        <v/>
      </c>
      <c r="R990" s="17"/>
      <c r="S990" s="17">
        <f>S989+IF(M5_Ocupacion!A195="",0,1)</f>
        <v>0</v>
      </c>
      <c r="T990" s="17" t="str">
        <f>IF(M5_Ocupacion!A195="","",IF(M5_Ocupacion!A195="","",M5_Ocupacion!A195))</f>
        <v/>
      </c>
      <c r="U990" s="17" t="str">
        <f>IF(M5_Ocupacion!A195="","",IF(M5_Ocupacion!R195="","",M5_Ocupacion!R195))</f>
        <v/>
      </c>
      <c r="V990" s="17" t="str">
        <f>IF(M5_Ocupacion!A195="","",IF(M5_Ocupacion!D195="","",M5_Ocupacion!D195))</f>
        <v/>
      </c>
      <c r="W990" s="17" t="str">
        <f>IF(M5_Ocupacion!A195="","",IF(M5_Ocupacion!B195="","",M5_Ocupacion!B195))</f>
        <v/>
      </c>
      <c r="X990" s="17" t="str">
        <f>IF(M5_Ocupacion!A195="","",IF(M5_Ocupacion!C195="","",M5_Ocupacion!C195))</f>
        <v/>
      </c>
      <c r="Y990" s="17" t="str">
        <f>IF(M5_Ocupacion!A195="","",IF(M5_Ocupacion!E195="","",M5_Ocupacion!E195))</f>
        <v/>
      </c>
      <c r="Z990" s="17" t="str">
        <f>IF(M5_Ocupacion!A195="","",IF(M5_Ocupacion!F195="","",M5_Ocupacion!F195))</f>
        <v/>
      </c>
      <c r="AA990" s="17" t="str">
        <f>IF(M5_Ocupacion!A195="","","M5 Ocupación")</f>
        <v/>
      </c>
      <c r="AB990" s="17" t="str">
        <f>IF(M5_Ocupacion!A195="","",IF(M5_Ocupacion!G195="","",M5_Ocupacion!G195))</f>
        <v/>
      </c>
      <c r="AC990" s="17" t="str">
        <f>IF(M5_Ocupacion!A195="","",IF(COUNTIFS(M5_Ocupacion!$A$10:A195,M5_Ocupacion!A195,M5_Ocupacion!$D$10:D195,M5_Ocupacion!D195)=1,IF(M5_Ocupacion!M195="","",M5_Ocupacion!M195),""))</f>
        <v/>
      </c>
      <c r="AD990" s="17" t="str">
        <f>IF(M5_Ocupacion!A195="","","MO")</f>
        <v/>
      </c>
      <c r="AE990" s="17" t="str">
        <f>IF(M5_Ocupacion!A195="","",IF(M5_Ocupacion!O195="","",M5_Ocupacion!O195))</f>
        <v/>
      </c>
      <c r="AF990" s="17" t="str">
        <f>IF(M5_Ocupacion!A195="","",IF(M5_Ocupacion!P195="","",M5_Ocupacion!P195))</f>
        <v/>
      </c>
      <c r="AG990" s="17" t="str">
        <f>IF(M5_Ocupacion!A195="","",IF(M5_Ocupacion!Q195="","",M5_Ocupacion!Q195))</f>
        <v/>
      </c>
      <c r="AH990" s="17" t="str">
        <f>IF(M5_Ocupacion!A195="","",IF(M5_Ocupacion!J195="","",M5_Ocupacion!J195))</f>
        <v/>
      </c>
      <c r="AI990" s="17" t="str">
        <f>IF(M5_Ocupacion!A195="","","M5_Ocupacion!195")</f>
        <v/>
      </c>
      <c r="AJ990" s="17" t="str">
        <f>IF(M5_Ocupacion!A195="","",IF(M5_Ocupacion!M195="","Pendiente de medición completa",IF(COUNTIFS(M5_Ocupacion!$A$10:A195,M5_Ocupacion!A195,M5_Ocupacion!$D$10:D195,M5_Ocupacion!D195)=1,"Promedio de la actividad y fecha","Observación incluida en promedio")))</f>
        <v/>
      </c>
    </row>
    <row r="991" spans="1:36" ht="55.5" customHeight="1">
      <c r="A991" s="6" t="str">
        <f t="array" ref="A991">IF(987&gt;$S$1204,"",INDEX($T$5:$AJ$1204,MATCH(987,$S$5:$S$1204,0),1))</f>
        <v/>
      </c>
      <c r="B991" s="8" t="str">
        <f t="array" ref="B991">IF(987&gt;$S$1204,"",INDEX($T$5:$AJ$1204,MATCH(987,$S$5:$S$1204,0),2))</f>
        <v/>
      </c>
      <c r="C991" s="10" t="str">
        <f t="array" ref="C991">IF(987&gt;$S$1204,"",INDEX($T$5:$AJ$1204,MATCH(987,$S$5:$S$1204,0),3))</f>
        <v/>
      </c>
      <c r="D991" s="8" t="str">
        <f t="array" ref="D991">IF(987&gt;$S$1204,"",INDEX($T$5:$AJ$1204,MATCH(987,$S$5:$S$1204,0),4))</f>
        <v/>
      </c>
      <c r="E991" s="8" t="str">
        <f t="array" ref="E991">IF(987&gt;$S$1204,"",INDEX($T$5:$AJ$1204,MATCH(987,$S$5:$S$1204,0),5))</f>
        <v/>
      </c>
      <c r="F991" s="8" t="str">
        <f t="array" ref="F991">IF(987&gt;$S$1204,"",INDEX($T$5:$AJ$1204,MATCH(987,$S$5:$S$1204,0),6))</f>
        <v/>
      </c>
      <c r="G991" s="8" t="str">
        <f t="array" ref="G991">IF(987&gt;$S$1204,"",INDEX($T$5:$AJ$1204,MATCH(987,$S$5:$S$1204,0),7))</f>
        <v/>
      </c>
      <c r="H991" s="8" t="str">
        <f t="array" ref="H991">IF(987&gt;$S$1204,"",INDEX($T$5:$AJ$1204,MATCH(987,$S$5:$S$1204,0),8))</f>
        <v/>
      </c>
      <c r="I991" s="8" t="str">
        <f t="array" ref="I991">IF(987&gt;$S$1204,"",INDEX($T$5:$AJ$1204,MATCH(987,$S$5:$S$1204,0),9))</f>
        <v/>
      </c>
      <c r="J991" s="14" t="str">
        <f t="array" ref="J991">IF(987&gt;$S$1204,"",INDEX($T$5:$AJ$1204,MATCH(987,$S$5:$S$1204,0),10))</f>
        <v/>
      </c>
      <c r="K991" s="8" t="str">
        <f t="array" ref="K991">IF(987&gt;$S$1204,"",INDEX($T$5:$AJ$1204,MATCH(987,$S$5:$S$1204,0),11))</f>
        <v/>
      </c>
      <c r="L991" s="8" t="str">
        <f t="array" ref="L991">IF(987&gt;$S$1204,"",INDEX($T$5:$AJ$1204,MATCH(987,$S$5:$S$1204,0),12))</f>
        <v/>
      </c>
      <c r="M991" s="8" t="str">
        <f t="array" ref="M991">IF(987&gt;$S$1204,"",INDEX($T$5:$AJ$1204,MATCH(987,$S$5:$S$1204,0),13))</f>
        <v/>
      </c>
      <c r="N991" s="8" t="str">
        <f t="array" ref="N991">IF(987&gt;$S$1204,"",INDEX($T$5:$AJ$1204,MATCH(987,$S$5:$S$1204,0),14))</f>
        <v/>
      </c>
      <c r="O991" s="15" t="str">
        <f t="array" ref="O991">IF(987&gt;$S$1204,"",INDEX($T$5:$AJ$1204,MATCH(987,$S$5:$S$1204,0),15))</f>
        <v/>
      </c>
      <c r="P991" s="8" t="str">
        <f t="array" ref="P991">IF(987&gt;$S$1204,"",INDEX($T$5:$AJ$1204,MATCH(987,$S$5:$S$1204,0),16))</f>
        <v/>
      </c>
      <c r="Q991" s="8" t="str">
        <f t="array" ref="Q991">IF(987&gt;$S$1204,"",INDEX($T$5:$AJ$1204,MATCH(987,$S$5:$S$1204,0),17))</f>
        <v/>
      </c>
      <c r="R991" s="17"/>
      <c r="S991" s="17">
        <f>S990+IF(M5_Ocupacion!A196="",0,1)</f>
        <v>0</v>
      </c>
      <c r="T991" s="17" t="str">
        <f>IF(M5_Ocupacion!A196="","",IF(M5_Ocupacion!A196="","",M5_Ocupacion!A196))</f>
        <v/>
      </c>
      <c r="U991" s="17" t="str">
        <f>IF(M5_Ocupacion!A196="","",IF(M5_Ocupacion!R196="","",M5_Ocupacion!R196))</f>
        <v/>
      </c>
      <c r="V991" s="17" t="str">
        <f>IF(M5_Ocupacion!A196="","",IF(M5_Ocupacion!D196="","",M5_Ocupacion!D196))</f>
        <v/>
      </c>
      <c r="W991" s="17" t="str">
        <f>IF(M5_Ocupacion!A196="","",IF(M5_Ocupacion!B196="","",M5_Ocupacion!B196))</f>
        <v/>
      </c>
      <c r="X991" s="17" t="str">
        <f>IF(M5_Ocupacion!A196="","",IF(M5_Ocupacion!C196="","",M5_Ocupacion!C196))</f>
        <v/>
      </c>
      <c r="Y991" s="17" t="str">
        <f>IF(M5_Ocupacion!A196="","",IF(M5_Ocupacion!E196="","",M5_Ocupacion!E196))</f>
        <v/>
      </c>
      <c r="Z991" s="17" t="str">
        <f>IF(M5_Ocupacion!A196="","",IF(M5_Ocupacion!F196="","",M5_Ocupacion!F196))</f>
        <v/>
      </c>
      <c r="AA991" s="17" t="str">
        <f>IF(M5_Ocupacion!A196="","","M5 Ocupación")</f>
        <v/>
      </c>
      <c r="AB991" s="17" t="str">
        <f>IF(M5_Ocupacion!A196="","",IF(M5_Ocupacion!G196="","",M5_Ocupacion!G196))</f>
        <v/>
      </c>
      <c r="AC991" s="17" t="str">
        <f>IF(M5_Ocupacion!A196="","",IF(COUNTIFS(M5_Ocupacion!$A$10:A196,M5_Ocupacion!A196,M5_Ocupacion!$D$10:D196,M5_Ocupacion!D196)=1,IF(M5_Ocupacion!M196="","",M5_Ocupacion!M196),""))</f>
        <v/>
      </c>
      <c r="AD991" s="17" t="str">
        <f>IF(M5_Ocupacion!A196="","","MO")</f>
        <v/>
      </c>
      <c r="AE991" s="17" t="str">
        <f>IF(M5_Ocupacion!A196="","",IF(M5_Ocupacion!O196="","",M5_Ocupacion!O196))</f>
        <v/>
      </c>
      <c r="AF991" s="17" t="str">
        <f>IF(M5_Ocupacion!A196="","",IF(M5_Ocupacion!P196="","",M5_Ocupacion!P196))</f>
        <v/>
      </c>
      <c r="AG991" s="17" t="str">
        <f>IF(M5_Ocupacion!A196="","",IF(M5_Ocupacion!Q196="","",M5_Ocupacion!Q196))</f>
        <v/>
      </c>
      <c r="AH991" s="17" t="str">
        <f>IF(M5_Ocupacion!A196="","",IF(M5_Ocupacion!J196="","",M5_Ocupacion!J196))</f>
        <v/>
      </c>
      <c r="AI991" s="17" t="str">
        <f>IF(M5_Ocupacion!A196="","","M5_Ocupacion!196")</f>
        <v/>
      </c>
      <c r="AJ991" s="17" t="str">
        <f>IF(M5_Ocupacion!A196="","",IF(M5_Ocupacion!M196="","Pendiente de medición completa",IF(COUNTIFS(M5_Ocupacion!$A$10:A196,M5_Ocupacion!A196,M5_Ocupacion!$D$10:D196,M5_Ocupacion!D196)=1,"Promedio de la actividad y fecha","Observación incluida en promedio")))</f>
        <v/>
      </c>
    </row>
    <row r="992" spans="1:36" ht="55.5" customHeight="1">
      <c r="A992" s="6" t="str">
        <f t="array" ref="A992">IF(988&gt;$S$1204,"",INDEX($T$5:$AJ$1204,MATCH(988,$S$5:$S$1204,0),1))</f>
        <v/>
      </c>
      <c r="B992" s="8" t="str">
        <f t="array" ref="B992">IF(988&gt;$S$1204,"",INDEX($T$5:$AJ$1204,MATCH(988,$S$5:$S$1204,0),2))</f>
        <v/>
      </c>
      <c r="C992" s="10" t="str">
        <f t="array" ref="C992">IF(988&gt;$S$1204,"",INDEX($T$5:$AJ$1204,MATCH(988,$S$5:$S$1204,0),3))</f>
        <v/>
      </c>
      <c r="D992" s="8" t="str">
        <f t="array" ref="D992">IF(988&gt;$S$1204,"",INDEX($T$5:$AJ$1204,MATCH(988,$S$5:$S$1204,0),4))</f>
        <v/>
      </c>
      <c r="E992" s="8" t="str">
        <f t="array" ref="E992">IF(988&gt;$S$1204,"",INDEX($T$5:$AJ$1204,MATCH(988,$S$5:$S$1204,0),5))</f>
        <v/>
      </c>
      <c r="F992" s="8" t="str">
        <f t="array" ref="F992">IF(988&gt;$S$1204,"",INDEX($T$5:$AJ$1204,MATCH(988,$S$5:$S$1204,0),6))</f>
        <v/>
      </c>
      <c r="G992" s="8" t="str">
        <f t="array" ref="G992">IF(988&gt;$S$1204,"",INDEX($T$5:$AJ$1204,MATCH(988,$S$5:$S$1204,0),7))</f>
        <v/>
      </c>
      <c r="H992" s="8" t="str">
        <f t="array" ref="H992">IF(988&gt;$S$1204,"",INDEX($T$5:$AJ$1204,MATCH(988,$S$5:$S$1204,0),8))</f>
        <v/>
      </c>
      <c r="I992" s="8" t="str">
        <f t="array" ref="I992">IF(988&gt;$S$1204,"",INDEX($T$5:$AJ$1204,MATCH(988,$S$5:$S$1204,0),9))</f>
        <v/>
      </c>
      <c r="J992" s="14" t="str">
        <f t="array" ref="J992">IF(988&gt;$S$1204,"",INDEX($T$5:$AJ$1204,MATCH(988,$S$5:$S$1204,0),10))</f>
        <v/>
      </c>
      <c r="K992" s="8" t="str">
        <f t="array" ref="K992">IF(988&gt;$S$1204,"",INDEX($T$5:$AJ$1204,MATCH(988,$S$5:$S$1204,0),11))</f>
        <v/>
      </c>
      <c r="L992" s="8" t="str">
        <f t="array" ref="L992">IF(988&gt;$S$1204,"",INDEX($T$5:$AJ$1204,MATCH(988,$S$5:$S$1204,0),12))</f>
        <v/>
      </c>
      <c r="M992" s="8" t="str">
        <f t="array" ref="M992">IF(988&gt;$S$1204,"",INDEX($T$5:$AJ$1204,MATCH(988,$S$5:$S$1204,0),13))</f>
        <v/>
      </c>
      <c r="N992" s="8" t="str">
        <f t="array" ref="N992">IF(988&gt;$S$1204,"",INDEX($T$5:$AJ$1204,MATCH(988,$S$5:$S$1204,0),14))</f>
        <v/>
      </c>
      <c r="O992" s="15" t="str">
        <f t="array" ref="O992">IF(988&gt;$S$1204,"",INDEX($T$5:$AJ$1204,MATCH(988,$S$5:$S$1204,0),15))</f>
        <v/>
      </c>
      <c r="P992" s="8" t="str">
        <f t="array" ref="P992">IF(988&gt;$S$1204,"",INDEX($T$5:$AJ$1204,MATCH(988,$S$5:$S$1204,0),16))</f>
        <v/>
      </c>
      <c r="Q992" s="8" t="str">
        <f t="array" ref="Q992">IF(988&gt;$S$1204,"",INDEX($T$5:$AJ$1204,MATCH(988,$S$5:$S$1204,0),17))</f>
        <v/>
      </c>
      <c r="R992" s="17"/>
      <c r="S992" s="17">
        <f>S991+IF(M5_Ocupacion!A197="",0,1)</f>
        <v>0</v>
      </c>
      <c r="T992" s="17" t="str">
        <f>IF(M5_Ocupacion!A197="","",IF(M5_Ocupacion!A197="","",M5_Ocupacion!A197))</f>
        <v/>
      </c>
      <c r="U992" s="17" t="str">
        <f>IF(M5_Ocupacion!A197="","",IF(M5_Ocupacion!R197="","",M5_Ocupacion!R197))</f>
        <v/>
      </c>
      <c r="V992" s="17" t="str">
        <f>IF(M5_Ocupacion!A197="","",IF(M5_Ocupacion!D197="","",M5_Ocupacion!D197))</f>
        <v/>
      </c>
      <c r="W992" s="17" t="str">
        <f>IF(M5_Ocupacion!A197="","",IF(M5_Ocupacion!B197="","",M5_Ocupacion!B197))</f>
        <v/>
      </c>
      <c r="X992" s="17" t="str">
        <f>IF(M5_Ocupacion!A197="","",IF(M5_Ocupacion!C197="","",M5_Ocupacion!C197))</f>
        <v/>
      </c>
      <c r="Y992" s="17" t="str">
        <f>IF(M5_Ocupacion!A197="","",IF(M5_Ocupacion!E197="","",M5_Ocupacion!E197))</f>
        <v/>
      </c>
      <c r="Z992" s="17" t="str">
        <f>IF(M5_Ocupacion!A197="","",IF(M5_Ocupacion!F197="","",M5_Ocupacion!F197))</f>
        <v/>
      </c>
      <c r="AA992" s="17" t="str">
        <f>IF(M5_Ocupacion!A197="","","M5 Ocupación")</f>
        <v/>
      </c>
      <c r="AB992" s="17" t="str">
        <f>IF(M5_Ocupacion!A197="","",IF(M5_Ocupacion!G197="","",M5_Ocupacion!G197))</f>
        <v/>
      </c>
      <c r="AC992" s="17" t="str">
        <f>IF(M5_Ocupacion!A197="","",IF(COUNTIFS(M5_Ocupacion!$A$10:A197,M5_Ocupacion!A197,M5_Ocupacion!$D$10:D197,M5_Ocupacion!D197)=1,IF(M5_Ocupacion!M197="","",M5_Ocupacion!M197),""))</f>
        <v/>
      </c>
      <c r="AD992" s="17" t="str">
        <f>IF(M5_Ocupacion!A197="","","MO")</f>
        <v/>
      </c>
      <c r="AE992" s="17" t="str">
        <f>IF(M5_Ocupacion!A197="","",IF(M5_Ocupacion!O197="","",M5_Ocupacion!O197))</f>
        <v/>
      </c>
      <c r="AF992" s="17" t="str">
        <f>IF(M5_Ocupacion!A197="","",IF(M5_Ocupacion!P197="","",M5_Ocupacion!P197))</f>
        <v/>
      </c>
      <c r="AG992" s="17" t="str">
        <f>IF(M5_Ocupacion!A197="","",IF(M5_Ocupacion!Q197="","",M5_Ocupacion!Q197))</f>
        <v/>
      </c>
      <c r="AH992" s="17" t="str">
        <f>IF(M5_Ocupacion!A197="","",IF(M5_Ocupacion!J197="","",M5_Ocupacion!J197))</f>
        <v/>
      </c>
      <c r="AI992" s="17" t="str">
        <f>IF(M5_Ocupacion!A197="","","M5_Ocupacion!197")</f>
        <v/>
      </c>
      <c r="AJ992" s="17" t="str">
        <f>IF(M5_Ocupacion!A197="","",IF(M5_Ocupacion!M197="","Pendiente de medición completa",IF(COUNTIFS(M5_Ocupacion!$A$10:A197,M5_Ocupacion!A197,M5_Ocupacion!$D$10:D197,M5_Ocupacion!D197)=1,"Promedio de la actividad y fecha","Observación incluida en promedio")))</f>
        <v/>
      </c>
    </row>
    <row r="993" spans="1:36" ht="55.5" customHeight="1">
      <c r="A993" s="6" t="str">
        <f t="array" ref="A993">IF(989&gt;$S$1204,"",INDEX($T$5:$AJ$1204,MATCH(989,$S$5:$S$1204,0),1))</f>
        <v/>
      </c>
      <c r="B993" s="8" t="str">
        <f t="array" ref="B993">IF(989&gt;$S$1204,"",INDEX($T$5:$AJ$1204,MATCH(989,$S$5:$S$1204,0),2))</f>
        <v/>
      </c>
      <c r="C993" s="10" t="str">
        <f t="array" ref="C993">IF(989&gt;$S$1204,"",INDEX($T$5:$AJ$1204,MATCH(989,$S$5:$S$1204,0),3))</f>
        <v/>
      </c>
      <c r="D993" s="8" t="str">
        <f t="array" ref="D993">IF(989&gt;$S$1204,"",INDEX($T$5:$AJ$1204,MATCH(989,$S$5:$S$1204,0),4))</f>
        <v/>
      </c>
      <c r="E993" s="8" t="str">
        <f t="array" ref="E993">IF(989&gt;$S$1204,"",INDEX($T$5:$AJ$1204,MATCH(989,$S$5:$S$1204,0),5))</f>
        <v/>
      </c>
      <c r="F993" s="8" t="str">
        <f t="array" ref="F993">IF(989&gt;$S$1204,"",INDEX($T$5:$AJ$1204,MATCH(989,$S$5:$S$1204,0),6))</f>
        <v/>
      </c>
      <c r="G993" s="8" t="str">
        <f t="array" ref="G993">IF(989&gt;$S$1204,"",INDEX($T$5:$AJ$1204,MATCH(989,$S$5:$S$1204,0),7))</f>
        <v/>
      </c>
      <c r="H993" s="8" t="str">
        <f t="array" ref="H993">IF(989&gt;$S$1204,"",INDEX($T$5:$AJ$1204,MATCH(989,$S$5:$S$1204,0),8))</f>
        <v/>
      </c>
      <c r="I993" s="8" t="str">
        <f t="array" ref="I993">IF(989&gt;$S$1204,"",INDEX($T$5:$AJ$1204,MATCH(989,$S$5:$S$1204,0),9))</f>
        <v/>
      </c>
      <c r="J993" s="14" t="str">
        <f t="array" ref="J993">IF(989&gt;$S$1204,"",INDEX($T$5:$AJ$1204,MATCH(989,$S$5:$S$1204,0),10))</f>
        <v/>
      </c>
      <c r="K993" s="8" t="str">
        <f t="array" ref="K993">IF(989&gt;$S$1204,"",INDEX($T$5:$AJ$1204,MATCH(989,$S$5:$S$1204,0),11))</f>
        <v/>
      </c>
      <c r="L993" s="8" t="str">
        <f t="array" ref="L993">IF(989&gt;$S$1204,"",INDEX($T$5:$AJ$1204,MATCH(989,$S$5:$S$1204,0),12))</f>
        <v/>
      </c>
      <c r="M993" s="8" t="str">
        <f t="array" ref="M993">IF(989&gt;$S$1204,"",INDEX($T$5:$AJ$1204,MATCH(989,$S$5:$S$1204,0),13))</f>
        <v/>
      </c>
      <c r="N993" s="8" t="str">
        <f t="array" ref="N993">IF(989&gt;$S$1204,"",INDEX($T$5:$AJ$1204,MATCH(989,$S$5:$S$1204,0),14))</f>
        <v/>
      </c>
      <c r="O993" s="15" t="str">
        <f t="array" ref="O993">IF(989&gt;$S$1204,"",INDEX($T$5:$AJ$1204,MATCH(989,$S$5:$S$1204,0),15))</f>
        <v/>
      </c>
      <c r="P993" s="8" t="str">
        <f t="array" ref="P993">IF(989&gt;$S$1204,"",INDEX($T$5:$AJ$1204,MATCH(989,$S$5:$S$1204,0),16))</f>
        <v/>
      </c>
      <c r="Q993" s="8" t="str">
        <f t="array" ref="Q993">IF(989&gt;$S$1204,"",INDEX($T$5:$AJ$1204,MATCH(989,$S$5:$S$1204,0),17))</f>
        <v/>
      </c>
      <c r="R993" s="17"/>
      <c r="S993" s="17">
        <f>S992+IF(M5_Ocupacion!A198="",0,1)</f>
        <v>0</v>
      </c>
      <c r="T993" s="17" t="str">
        <f>IF(M5_Ocupacion!A198="","",IF(M5_Ocupacion!A198="","",M5_Ocupacion!A198))</f>
        <v/>
      </c>
      <c r="U993" s="17" t="str">
        <f>IF(M5_Ocupacion!A198="","",IF(M5_Ocupacion!R198="","",M5_Ocupacion!R198))</f>
        <v/>
      </c>
      <c r="V993" s="17" t="str">
        <f>IF(M5_Ocupacion!A198="","",IF(M5_Ocupacion!D198="","",M5_Ocupacion!D198))</f>
        <v/>
      </c>
      <c r="W993" s="17" t="str">
        <f>IF(M5_Ocupacion!A198="","",IF(M5_Ocupacion!B198="","",M5_Ocupacion!B198))</f>
        <v/>
      </c>
      <c r="X993" s="17" t="str">
        <f>IF(M5_Ocupacion!A198="","",IF(M5_Ocupacion!C198="","",M5_Ocupacion!C198))</f>
        <v/>
      </c>
      <c r="Y993" s="17" t="str">
        <f>IF(M5_Ocupacion!A198="","",IF(M5_Ocupacion!E198="","",M5_Ocupacion!E198))</f>
        <v/>
      </c>
      <c r="Z993" s="17" t="str">
        <f>IF(M5_Ocupacion!A198="","",IF(M5_Ocupacion!F198="","",M5_Ocupacion!F198))</f>
        <v/>
      </c>
      <c r="AA993" s="17" t="str">
        <f>IF(M5_Ocupacion!A198="","","M5 Ocupación")</f>
        <v/>
      </c>
      <c r="AB993" s="17" t="str">
        <f>IF(M5_Ocupacion!A198="","",IF(M5_Ocupacion!G198="","",M5_Ocupacion!G198))</f>
        <v/>
      </c>
      <c r="AC993" s="17" t="str">
        <f>IF(M5_Ocupacion!A198="","",IF(COUNTIFS(M5_Ocupacion!$A$10:A198,M5_Ocupacion!A198,M5_Ocupacion!$D$10:D198,M5_Ocupacion!D198)=1,IF(M5_Ocupacion!M198="","",M5_Ocupacion!M198),""))</f>
        <v/>
      </c>
      <c r="AD993" s="17" t="str">
        <f>IF(M5_Ocupacion!A198="","","MO")</f>
        <v/>
      </c>
      <c r="AE993" s="17" t="str">
        <f>IF(M5_Ocupacion!A198="","",IF(M5_Ocupacion!O198="","",M5_Ocupacion!O198))</f>
        <v/>
      </c>
      <c r="AF993" s="17" t="str">
        <f>IF(M5_Ocupacion!A198="","",IF(M5_Ocupacion!P198="","",M5_Ocupacion!P198))</f>
        <v/>
      </c>
      <c r="AG993" s="17" t="str">
        <f>IF(M5_Ocupacion!A198="","",IF(M5_Ocupacion!Q198="","",M5_Ocupacion!Q198))</f>
        <v/>
      </c>
      <c r="AH993" s="17" t="str">
        <f>IF(M5_Ocupacion!A198="","",IF(M5_Ocupacion!J198="","",M5_Ocupacion!J198))</f>
        <v/>
      </c>
      <c r="AI993" s="17" t="str">
        <f>IF(M5_Ocupacion!A198="","","M5_Ocupacion!198")</f>
        <v/>
      </c>
      <c r="AJ993" s="17" t="str">
        <f>IF(M5_Ocupacion!A198="","",IF(M5_Ocupacion!M198="","Pendiente de medición completa",IF(COUNTIFS(M5_Ocupacion!$A$10:A198,M5_Ocupacion!A198,M5_Ocupacion!$D$10:D198,M5_Ocupacion!D198)=1,"Promedio de la actividad y fecha","Observación incluida en promedio")))</f>
        <v/>
      </c>
    </row>
    <row r="994" spans="1:36" ht="55.5" customHeight="1">
      <c r="A994" s="6" t="str">
        <f t="array" ref="A994">IF(990&gt;$S$1204,"",INDEX($T$5:$AJ$1204,MATCH(990,$S$5:$S$1204,0),1))</f>
        <v/>
      </c>
      <c r="B994" s="8" t="str">
        <f t="array" ref="B994">IF(990&gt;$S$1204,"",INDEX($T$5:$AJ$1204,MATCH(990,$S$5:$S$1204,0),2))</f>
        <v/>
      </c>
      <c r="C994" s="10" t="str">
        <f t="array" ref="C994">IF(990&gt;$S$1204,"",INDEX($T$5:$AJ$1204,MATCH(990,$S$5:$S$1204,0),3))</f>
        <v/>
      </c>
      <c r="D994" s="8" t="str">
        <f t="array" ref="D994">IF(990&gt;$S$1204,"",INDEX($T$5:$AJ$1204,MATCH(990,$S$5:$S$1204,0),4))</f>
        <v/>
      </c>
      <c r="E994" s="8" t="str">
        <f t="array" ref="E994">IF(990&gt;$S$1204,"",INDEX($T$5:$AJ$1204,MATCH(990,$S$5:$S$1204,0),5))</f>
        <v/>
      </c>
      <c r="F994" s="8" t="str">
        <f t="array" ref="F994">IF(990&gt;$S$1204,"",INDEX($T$5:$AJ$1204,MATCH(990,$S$5:$S$1204,0),6))</f>
        <v/>
      </c>
      <c r="G994" s="8" t="str">
        <f t="array" ref="G994">IF(990&gt;$S$1204,"",INDEX($T$5:$AJ$1204,MATCH(990,$S$5:$S$1204,0),7))</f>
        <v/>
      </c>
      <c r="H994" s="8" t="str">
        <f t="array" ref="H994">IF(990&gt;$S$1204,"",INDEX($T$5:$AJ$1204,MATCH(990,$S$5:$S$1204,0),8))</f>
        <v/>
      </c>
      <c r="I994" s="8" t="str">
        <f t="array" ref="I994">IF(990&gt;$S$1204,"",INDEX($T$5:$AJ$1204,MATCH(990,$S$5:$S$1204,0),9))</f>
        <v/>
      </c>
      <c r="J994" s="14" t="str">
        <f t="array" ref="J994">IF(990&gt;$S$1204,"",INDEX($T$5:$AJ$1204,MATCH(990,$S$5:$S$1204,0),10))</f>
        <v/>
      </c>
      <c r="K994" s="8" t="str">
        <f t="array" ref="K994">IF(990&gt;$S$1204,"",INDEX($T$5:$AJ$1204,MATCH(990,$S$5:$S$1204,0),11))</f>
        <v/>
      </c>
      <c r="L994" s="8" t="str">
        <f t="array" ref="L994">IF(990&gt;$S$1204,"",INDEX($T$5:$AJ$1204,MATCH(990,$S$5:$S$1204,0),12))</f>
        <v/>
      </c>
      <c r="M994" s="8" t="str">
        <f t="array" ref="M994">IF(990&gt;$S$1204,"",INDEX($T$5:$AJ$1204,MATCH(990,$S$5:$S$1204,0),13))</f>
        <v/>
      </c>
      <c r="N994" s="8" t="str">
        <f t="array" ref="N994">IF(990&gt;$S$1204,"",INDEX($T$5:$AJ$1204,MATCH(990,$S$5:$S$1204,0),14))</f>
        <v/>
      </c>
      <c r="O994" s="15" t="str">
        <f t="array" ref="O994">IF(990&gt;$S$1204,"",INDEX($T$5:$AJ$1204,MATCH(990,$S$5:$S$1204,0),15))</f>
        <v/>
      </c>
      <c r="P994" s="8" t="str">
        <f t="array" ref="P994">IF(990&gt;$S$1204,"",INDEX($T$5:$AJ$1204,MATCH(990,$S$5:$S$1204,0),16))</f>
        <v/>
      </c>
      <c r="Q994" s="8" t="str">
        <f t="array" ref="Q994">IF(990&gt;$S$1204,"",INDEX($T$5:$AJ$1204,MATCH(990,$S$5:$S$1204,0),17))</f>
        <v/>
      </c>
      <c r="R994" s="17"/>
      <c r="S994" s="17">
        <f>S993+IF(M5_Ocupacion!A199="",0,1)</f>
        <v>0</v>
      </c>
      <c r="T994" s="17" t="str">
        <f>IF(M5_Ocupacion!A199="","",IF(M5_Ocupacion!A199="","",M5_Ocupacion!A199))</f>
        <v/>
      </c>
      <c r="U994" s="17" t="str">
        <f>IF(M5_Ocupacion!A199="","",IF(M5_Ocupacion!R199="","",M5_Ocupacion!R199))</f>
        <v/>
      </c>
      <c r="V994" s="17" t="str">
        <f>IF(M5_Ocupacion!A199="","",IF(M5_Ocupacion!D199="","",M5_Ocupacion!D199))</f>
        <v/>
      </c>
      <c r="W994" s="17" t="str">
        <f>IF(M5_Ocupacion!A199="","",IF(M5_Ocupacion!B199="","",M5_Ocupacion!B199))</f>
        <v/>
      </c>
      <c r="X994" s="17" t="str">
        <f>IF(M5_Ocupacion!A199="","",IF(M5_Ocupacion!C199="","",M5_Ocupacion!C199))</f>
        <v/>
      </c>
      <c r="Y994" s="17" t="str">
        <f>IF(M5_Ocupacion!A199="","",IF(M5_Ocupacion!E199="","",M5_Ocupacion!E199))</f>
        <v/>
      </c>
      <c r="Z994" s="17" t="str">
        <f>IF(M5_Ocupacion!A199="","",IF(M5_Ocupacion!F199="","",M5_Ocupacion!F199))</f>
        <v/>
      </c>
      <c r="AA994" s="17" t="str">
        <f>IF(M5_Ocupacion!A199="","","M5 Ocupación")</f>
        <v/>
      </c>
      <c r="AB994" s="17" t="str">
        <f>IF(M5_Ocupacion!A199="","",IF(M5_Ocupacion!G199="","",M5_Ocupacion!G199))</f>
        <v/>
      </c>
      <c r="AC994" s="17" t="str">
        <f>IF(M5_Ocupacion!A199="","",IF(COUNTIFS(M5_Ocupacion!$A$10:A199,M5_Ocupacion!A199,M5_Ocupacion!$D$10:D199,M5_Ocupacion!D199)=1,IF(M5_Ocupacion!M199="","",M5_Ocupacion!M199),""))</f>
        <v/>
      </c>
      <c r="AD994" s="17" t="str">
        <f>IF(M5_Ocupacion!A199="","","MO")</f>
        <v/>
      </c>
      <c r="AE994" s="17" t="str">
        <f>IF(M5_Ocupacion!A199="","",IF(M5_Ocupacion!O199="","",M5_Ocupacion!O199))</f>
        <v/>
      </c>
      <c r="AF994" s="17" t="str">
        <f>IF(M5_Ocupacion!A199="","",IF(M5_Ocupacion!P199="","",M5_Ocupacion!P199))</f>
        <v/>
      </c>
      <c r="AG994" s="17" t="str">
        <f>IF(M5_Ocupacion!A199="","",IF(M5_Ocupacion!Q199="","",M5_Ocupacion!Q199))</f>
        <v/>
      </c>
      <c r="AH994" s="17" t="str">
        <f>IF(M5_Ocupacion!A199="","",IF(M5_Ocupacion!J199="","",M5_Ocupacion!J199))</f>
        <v/>
      </c>
      <c r="AI994" s="17" t="str">
        <f>IF(M5_Ocupacion!A199="","","M5_Ocupacion!199")</f>
        <v/>
      </c>
      <c r="AJ994" s="17" t="str">
        <f>IF(M5_Ocupacion!A199="","",IF(M5_Ocupacion!M199="","Pendiente de medición completa",IF(COUNTIFS(M5_Ocupacion!$A$10:A199,M5_Ocupacion!A199,M5_Ocupacion!$D$10:D199,M5_Ocupacion!D199)=1,"Promedio de la actividad y fecha","Observación incluida en promedio")))</f>
        <v/>
      </c>
    </row>
    <row r="995" spans="1:36" ht="55.5" customHeight="1">
      <c r="A995" s="6" t="str">
        <f t="array" ref="A995">IF(991&gt;$S$1204,"",INDEX($T$5:$AJ$1204,MATCH(991,$S$5:$S$1204,0),1))</f>
        <v/>
      </c>
      <c r="B995" s="8" t="str">
        <f t="array" ref="B995">IF(991&gt;$S$1204,"",INDEX($T$5:$AJ$1204,MATCH(991,$S$5:$S$1204,0),2))</f>
        <v/>
      </c>
      <c r="C995" s="10" t="str">
        <f t="array" ref="C995">IF(991&gt;$S$1204,"",INDEX($T$5:$AJ$1204,MATCH(991,$S$5:$S$1204,0),3))</f>
        <v/>
      </c>
      <c r="D995" s="8" t="str">
        <f t="array" ref="D995">IF(991&gt;$S$1204,"",INDEX($T$5:$AJ$1204,MATCH(991,$S$5:$S$1204,0),4))</f>
        <v/>
      </c>
      <c r="E995" s="8" t="str">
        <f t="array" ref="E995">IF(991&gt;$S$1204,"",INDEX($T$5:$AJ$1204,MATCH(991,$S$5:$S$1204,0),5))</f>
        <v/>
      </c>
      <c r="F995" s="8" t="str">
        <f t="array" ref="F995">IF(991&gt;$S$1204,"",INDEX($T$5:$AJ$1204,MATCH(991,$S$5:$S$1204,0),6))</f>
        <v/>
      </c>
      <c r="G995" s="8" t="str">
        <f t="array" ref="G995">IF(991&gt;$S$1204,"",INDEX($T$5:$AJ$1204,MATCH(991,$S$5:$S$1204,0),7))</f>
        <v/>
      </c>
      <c r="H995" s="8" t="str">
        <f t="array" ref="H995">IF(991&gt;$S$1204,"",INDEX($T$5:$AJ$1204,MATCH(991,$S$5:$S$1204,0),8))</f>
        <v/>
      </c>
      <c r="I995" s="8" t="str">
        <f t="array" ref="I995">IF(991&gt;$S$1204,"",INDEX($T$5:$AJ$1204,MATCH(991,$S$5:$S$1204,0),9))</f>
        <v/>
      </c>
      <c r="J995" s="14" t="str">
        <f t="array" ref="J995">IF(991&gt;$S$1204,"",INDEX($T$5:$AJ$1204,MATCH(991,$S$5:$S$1204,0),10))</f>
        <v/>
      </c>
      <c r="K995" s="8" t="str">
        <f t="array" ref="K995">IF(991&gt;$S$1204,"",INDEX($T$5:$AJ$1204,MATCH(991,$S$5:$S$1204,0),11))</f>
        <v/>
      </c>
      <c r="L995" s="8" t="str">
        <f t="array" ref="L995">IF(991&gt;$S$1204,"",INDEX($T$5:$AJ$1204,MATCH(991,$S$5:$S$1204,0),12))</f>
        <v/>
      </c>
      <c r="M995" s="8" t="str">
        <f t="array" ref="M995">IF(991&gt;$S$1204,"",INDEX($T$5:$AJ$1204,MATCH(991,$S$5:$S$1204,0),13))</f>
        <v/>
      </c>
      <c r="N995" s="8" t="str">
        <f t="array" ref="N995">IF(991&gt;$S$1204,"",INDEX($T$5:$AJ$1204,MATCH(991,$S$5:$S$1204,0),14))</f>
        <v/>
      </c>
      <c r="O995" s="15" t="str">
        <f t="array" ref="O995">IF(991&gt;$S$1204,"",INDEX($T$5:$AJ$1204,MATCH(991,$S$5:$S$1204,0),15))</f>
        <v/>
      </c>
      <c r="P995" s="8" t="str">
        <f t="array" ref="P995">IF(991&gt;$S$1204,"",INDEX($T$5:$AJ$1204,MATCH(991,$S$5:$S$1204,0),16))</f>
        <v/>
      </c>
      <c r="Q995" s="8" t="str">
        <f t="array" ref="Q995">IF(991&gt;$S$1204,"",INDEX($T$5:$AJ$1204,MATCH(991,$S$5:$S$1204,0),17))</f>
        <v/>
      </c>
      <c r="R995" s="17"/>
      <c r="S995" s="17">
        <f>S994+IF(M5_Ocupacion!A200="",0,1)</f>
        <v>0</v>
      </c>
      <c r="T995" s="17" t="str">
        <f>IF(M5_Ocupacion!A200="","",IF(M5_Ocupacion!A200="","",M5_Ocupacion!A200))</f>
        <v/>
      </c>
      <c r="U995" s="17" t="str">
        <f>IF(M5_Ocupacion!A200="","",IF(M5_Ocupacion!R200="","",M5_Ocupacion!R200))</f>
        <v/>
      </c>
      <c r="V995" s="17" t="str">
        <f>IF(M5_Ocupacion!A200="","",IF(M5_Ocupacion!D200="","",M5_Ocupacion!D200))</f>
        <v/>
      </c>
      <c r="W995" s="17" t="str">
        <f>IF(M5_Ocupacion!A200="","",IF(M5_Ocupacion!B200="","",M5_Ocupacion!B200))</f>
        <v/>
      </c>
      <c r="X995" s="17" t="str">
        <f>IF(M5_Ocupacion!A200="","",IF(M5_Ocupacion!C200="","",M5_Ocupacion!C200))</f>
        <v/>
      </c>
      <c r="Y995" s="17" t="str">
        <f>IF(M5_Ocupacion!A200="","",IF(M5_Ocupacion!E200="","",M5_Ocupacion!E200))</f>
        <v/>
      </c>
      <c r="Z995" s="17" t="str">
        <f>IF(M5_Ocupacion!A200="","",IF(M5_Ocupacion!F200="","",M5_Ocupacion!F200))</f>
        <v/>
      </c>
      <c r="AA995" s="17" t="str">
        <f>IF(M5_Ocupacion!A200="","","M5 Ocupación")</f>
        <v/>
      </c>
      <c r="AB995" s="17" t="str">
        <f>IF(M5_Ocupacion!A200="","",IF(M5_Ocupacion!G200="","",M5_Ocupacion!G200))</f>
        <v/>
      </c>
      <c r="AC995" s="17" t="str">
        <f>IF(M5_Ocupacion!A200="","",IF(COUNTIFS(M5_Ocupacion!$A$10:A200,M5_Ocupacion!A200,M5_Ocupacion!$D$10:D200,M5_Ocupacion!D200)=1,IF(M5_Ocupacion!M200="","",M5_Ocupacion!M200),""))</f>
        <v/>
      </c>
      <c r="AD995" s="17" t="str">
        <f>IF(M5_Ocupacion!A200="","","MO")</f>
        <v/>
      </c>
      <c r="AE995" s="17" t="str">
        <f>IF(M5_Ocupacion!A200="","",IF(M5_Ocupacion!O200="","",M5_Ocupacion!O200))</f>
        <v/>
      </c>
      <c r="AF995" s="17" t="str">
        <f>IF(M5_Ocupacion!A200="","",IF(M5_Ocupacion!P200="","",M5_Ocupacion!P200))</f>
        <v/>
      </c>
      <c r="AG995" s="17" t="str">
        <f>IF(M5_Ocupacion!A200="","",IF(M5_Ocupacion!Q200="","",M5_Ocupacion!Q200))</f>
        <v/>
      </c>
      <c r="AH995" s="17" t="str">
        <f>IF(M5_Ocupacion!A200="","",IF(M5_Ocupacion!J200="","",M5_Ocupacion!J200))</f>
        <v/>
      </c>
      <c r="AI995" s="17" t="str">
        <f>IF(M5_Ocupacion!A200="","","M5_Ocupacion!200")</f>
        <v/>
      </c>
      <c r="AJ995" s="17" t="str">
        <f>IF(M5_Ocupacion!A200="","",IF(M5_Ocupacion!M200="","Pendiente de medición completa",IF(COUNTIFS(M5_Ocupacion!$A$10:A200,M5_Ocupacion!A200,M5_Ocupacion!$D$10:D200,M5_Ocupacion!D200)=1,"Promedio de la actividad y fecha","Observación incluida en promedio")))</f>
        <v/>
      </c>
    </row>
    <row r="996" spans="1:36" ht="55.5" customHeight="1">
      <c r="A996" s="6" t="str">
        <f t="array" ref="A996">IF(992&gt;$S$1204,"",INDEX($T$5:$AJ$1204,MATCH(992,$S$5:$S$1204,0),1))</f>
        <v/>
      </c>
      <c r="B996" s="8" t="str">
        <f t="array" ref="B996">IF(992&gt;$S$1204,"",INDEX($T$5:$AJ$1204,MATCH(992,$S$5:$S$1204,0),2))</f>
        <v/>
      </c>
      <c r="C996" s="10" t="str">
        <f t="array" ref="C996">IF(992&gt;$S$1204,"",INDEX($T$5:$AJ$1204,MATCH(992,$S$5:$S$1204,0),3))</f>
        <v/>
      </c>
      <c r="D996" s="8" t="str">
        <f t="array" ref="D996">IF(992&gt;$S$1204,"",INDEX($T$5:$AJ$1204,MATCH(992,$S$5:$S$1204,0),4))</f>
        <v/>
      </c>
      <c r="E996" s="8" t="str">
        <f t="array" ref="E996">IF(992&gt;$S$1204,"",INDEX($T$5:$AJ$1204,MATCH(992,$S$5:$S$1204,0),5))</f>
        <v/>
      </c>
      <c r="F996" s="8" t="str">
        <f t="array" ref="F996">IF(992&gt;$S$1204,"",INDEX($T$5:$AJ$1204,MATCH(992,$S$5:$S$1204,0),6))</f>
        <v/>
      </c>
      <c r="G996" s="8" t="str">
        <f t="array" ref="G996">IF(992&gt;$S$1204,"",INDEX($T$5:$AJ$1204,MATCH(992,$S$5:$S$1204,0),7))</f>
        <v/>
      </c>
      <c r="H996" s="8" t="str">
        <f t="array" ref="H996">IF(992&gt;$S$1204,"",INDEX($T$5:$AJ$1204,MATCH(992,$S$5:$S$1204,0),8))</f>
        <v/>
      </c>
      <c r="I996" s="8" t="str">
        <f t="array" ref="I996">IF(992&gt;$S$1204,"",INDEX($T$5:$AJ$1204,MATCH(992,$S$5:$S$1204,0),9))</f>
        <v/>
      </c>
      <c r="J996" s="14" t="str">
        <f t="array" ref="J996">IF(992&gt;$S$1204,"",INDEX($T$5:$AJ$1204,MATCH(992,$S$5:$S$1204,0),10))</f>
        <v/>
      </c>
      <c r="K996" s="8" t="str">
        <f t="array" ref="K996">IF(992&gt;$S$1204,"",INDEX($T$5:$AJ$1204,MATCH(992,$S$5:$S$1204,0),11))</f>
        <v/>
      </c>
      <c r="L996" s="8" t="str">
        <f t="array" ref="L996">IF(992&gt;$S$1204,"",INDEX($T$5:$AJ$1204,MATCH(992,$S$5:$S$1204,0),12))</f>
        <v/>
      </c>
      <c r="M996" s="8" t="str">
        <f t="array" ref="M996">IF(992&gt;$S$1204,"",INDEX($T$5:$AJ$1204,MATCH(992,$S$5:$S$1204,0),13))</f>
        <v/>
      </c>
      <c r="N996" s="8" t="str">
        <f t="array" ref="N996">IF(992&gt;$S$1204,"",INDEX($T$5:$AJ$1204,MATCH(992,$S$5:$S$1204,0),14))</f>
        <v/>
      </c>
      <c r="O996" s="15" t="str">
        <f t="array" ref="O996">IF(992&gt;$S$1204,"",INDEX($T$5:$AJ$1204,MATCH(992,$S$5:$S$1204,0),15))</f>
        <v/>
      </c>
      <c r="P996" s="8" t="str">
        <f t="array" ref="P996">IF(992&gt;$S$1204,"",INDEX($T$5:$AJ$1204,MATCH(992,$S$5:$S$1204,0),16))</f>
        <v/>
      </c>
      <c r="Q996" s="8" t="str">
        <f t="array" ref="Q996">IF(992&gt;$S$1204,"",INDEX($T$5:$AJ$1204,MATCH(992,$S$5:$S$1204,0),17))</f>
        <v/>
      </c>
      <c r="R996" s="17"/>
      <c r="S996" s="17">
        <f>S995+IF(M5_Ocupacion!A201="",0,1)</f>
        <v>0</v>
      </c>
      <c r="T996" s="17" t="str">
        <f>IF(M5_Ocupacion!A201="","",IF(M5_Ocupacion!A201="","",M5_Ocupacion!A201))</f>
        <v/>
      </c>
      <c r="U996" s="17" t="str">
        <f>IF(M5_Ocupacion!A201="","",IF(M5_Ocupacion!R201="","",M5_Ocupacion!R201))</f>
        <v/>
      </c>
      <c r="V996" s="17" t="str">
        <f>IF(M5_Ocupacion!A201="","",IF(M5_Ocupacion!D201="","",M5_Ocupacion!D201))</f>
        <v/>
      </c>
      <c r="W996" s="17" t="str">
        <f>IF(M5_Ocupacion!A201="","",IF(M5_Ocupacion!B201="","",M5_Ocupacion!B201))</f>
        <v/>
      </c>
      <c r="X996" s="17" t="str">
        <f>IF(M5_Ocupacion!A201="","",IF(M5_Ocupacion!C201="","",M5_Ocupacion!C201))</f>
        <v/>
      </c>
      <c r="Y996" s="17" t="str">
        <f>IF(M5_Ocupacion!A201="","",IF(M5_Ocupacion!E201="","",M5_Ocupacion!E201))</f>
        <v/>
      </c>
      <c r="Z996" s="17" t="str">
        <f>IF(M5_Ocupacion!A201="","",IF(M5_Ocupacion!F201="","",M5_Ocupacion!F201))</f>
        <v/>
      </c>
      <c r="AA996" s="17" t="str">
        <f>IF(M5_Ocupacion!A201="","","M5 Ocupación")</f>
        <v/>
      </c>
      <c r="AB996" s="17" t="str">
        <f>IF(M5_Ocupacion!A201="","",IF(M5_Ocupacion!G201="","",M5_Ocupacion!G201))</f>
        <v/>
      </c>
      <c r="AC996" s="17" t="str">
        <f>IF(M5_Ocupacion!A201="","",IF(COUNTIFS(M5_Ocupacion!$A$10:A201,M5_Ocupacion!A201,M5_Ocupacion!$D$10:D201,M5_Ocupacion!D201)=1,IF(M5_Ocupacion!M201="","",M5_Ocupacion!M201),""))</f>
        <v/>
      </c>
      <c r="AD996" s="17" t="str">
        <f>IF(M5_Ocupacion!A201="","","MO")</f>
        <v/>
      </c>
      <c r="AE996" s="17" t="str">
        <f>IF(M5_Ocupacion!A201="","",IF(M5_Ocupacion!O201="","",M5_Ocupacion!O201))</f>
        <v/>
      </c>
      <c r="AF996" s="17" t="str">
        <f>IF(M5_Ocupacion!A201="","",IF(M5_Ocupacion!P201="","",M5_Ocupacion!P201))</f>
        <v/>
      </c>
      <c r="AG996" s="17" t="str">
        <f>IF(M5_Ocupacion!A201="","",IF(M5_Ocupacion!Q201="","",M5_Ocupacion!Q201))</f>
        <v/>
      </c>
      <c r="AH996" s="17" t="str">
        <f>IF(M5_Ocupacion!A201="","",IF(M5_Ocupacion!J201="","",M5_Ocupacion!J201))</f>
        <v/>
      </c>
      <c r="AI996" s="17" t="str">
        <f>IF(M5_Ocupacion!A201="","","M5_Ocupacion!201")</f>
        <v/>
      </c>
      <c r="AJ996" s="17" t="str">
        <f>IF(M5_Ocupacion!A201="","",IF(M5_Ocupacion!M201="","Pendiente de medición completa",IF(COUNTIFS(M5_Ocupacion!$A$10:A201,M5_Ocupacion!A201,M5_Ocupacion!$D$10:D201,M5_Ocupacion!D201)=1,"Promedio de la actividad y fecha","Observación incluida en promedio")))</f>
        <v/>
      </c>
    </row>
    <row r="997" spans="1:36" ht="55.5" customHeight="1">
      <c r="A997" s="6" t="str">
        <f t="array" ref="A997">IF(993&gt;$S$1204,"",INDEX($T$5:$AJ$1204,MATCH(993,$S$5:$S$1204,0),1))</f>
        <v/>
      </c>
      <c r="B997" s="8" t="str">
        <f t="array" ref="B997">IF(993&gt;$S$1204,"",INDEX($T$5:$AJ$1204,MATCH(993,$S$5:$S$1204,0),2))</f>
        <v/>
      </c>
      <c r="C997" s="10" t="str">
        <f t="array" ref="C997">IF(993&gt;$S$1204,"",INDEX($T$5:$AJ$1204,MATCH(993,$S$5:$S$1204,0),3))</f>
        <v/>
      </c>
      <c r="D997" s="8" t="str">
        <f t="array" ref="D997">IF(993&gt;$S$1204,"",INDEX($T$5:$AJ$1204,MATCH(993,$S$5:$S$1204,0),4))</f>
        <v/>
      </c>
      <c r="E997" s="8" t="str">
        <f t="array" ref="E997">IF(993&gt;$S$1204,"",INDEX($T$5:$AJ$1204,MATCH(993,$S$5:$S$1204,0),5))</f>
        <v/>
      </c>
      <c r="F997" s="8" t="str">
        <f t="array" ref="F997">IF(993&gt;$S$1204,"",INDEX($T$5:$AJ$1204,MATCH(993,$S$5:$S$1204,0),6))</f>
        <v/>
      </c>
      <c r="G997" s="8" t="str">
        <f t="array" ref="G997">IF(993&gt;$S$1204,"",INDEX($T$5:$AJ$1204,MATCH(993,$S$5:$S$1204,0),7))</f>
        <v/>
      </c>
      <c r="H997" s="8" t="str">
        <f t="array" ref="H997">IF(993&gt;$S$1204,"",INDEX($T$5:$AJ$1204,MATCH(993,$S$5:$S$1204,0),8))</f>
        <v/>
      </c>
      <c r="I997" s="8" t="str">
        <f t="array" ref="I997">IF(993&gt;$S$1204,"",INDEX($T$5:$AJ$1204,MATCH(993,$S$5:$S$1204,0),9))</f>
        <v/>
      </c>
      <c r="J997" s="14" t="str">
        <f t="array" ref="J997">IF(993&gt;$S$1204,"",INDEX($T$5:$AJ$1204,MATCH(993,$S$5:$S$1204,0),10))</f>
        <v/>
      </c>
      <c r="K997" s="8" t="str">
        <f t="array" ref="K997">IF(993&gt;$S$1204,"",INDEX($T$5:$AJ$1204,MATCH(993,$S$5:$S$1204,0),11))</f>
        <v/>
      </c>
      <c r="L997" s="8" t="str">
        <f t="array" ref="L997">IF(993&gt;$S$1204,"",INDEX($T$5:$AJ$1204,MATCH(993,$S$5:$S$1204,0),12))</f>
        <v/>
      </c>
      <c r="M997" s="8" t="str">
        <f t="array" ref="M997">IF(993&gt;$S$1204,"",INDEX($T$5:$AJ$1204,MATCH(993,$S$5:$S$1204,0),13))</f>
        <v/>
      </c>
      <c r="N997" s="8" t="str">
        <f t="array" ref="N997">IF(993&gt;$S$1204,"",INDEX($T$5:$AJ$1204,MATCH(993,$S$5:$S$1204,0),14))</f>
        <v/>
      </c>
      <c r="O997" s="15" t="str">
        <f t="array" ref="O997">IF(993&gt;$S$1204,"",INDEX($T$5:$AJ$1204,MATCH(993,$S$5:$S$1204,0),15))</f>
        <v/>
      </c>
      <c r="P997" s="8" t="str">
        <f t="array" ref="P997">IF(993&gt;$S$1204,"",INDEX($T$5:$AJ$1204,MATCH(993,$S$5:$S$1204,0),16))</f>
        <v/>
      </c>
      <c r="Q997" s="8" t="str">
        <f t="array" ref="Q997">IF(993&gt;$S$1204,"",INDEX($T$5:$AJ$1204,MATCH(993,$S$5:$S$1204,0),17))</f>
        <v/>
      </c>
      <c r="R997" s="17"/>
      <c r="S997" s="17">
        <f>S996+IF(M5_Ocupacion!A202="",0,1)</f>
        <v>0</v>
      </c>
      <c r="T997" s="17" t="str">
        <f>IF(M5_Ocupacion!A202="","",IF(M5_Ocupacion!A202="","",M5_Ocupacion!A202))</f>
        <v/>
      </c>
      <c r="U997" s="17" t="str">
        <f>IF(M5_Ocupacion!A202="","",IF(M5_Ocupacion!R202="","",M5_Ocupacion!R202))</f>
        <v/>
      </c>
      <c r="V997" s="17" t="str">
        <f>IF(M5_Ocupacion!A202="","",IF(M5_Ocupacion!D202="","",M5_Ocupacion!D202))</f>
        <v/>
      </c>
      <c r="W997" s="17" t="str">
        <f>IF(M5_Ocupacion!A202="","",IF(M5_Ocupacion!B202="","",M5_Ocupacion!B202))</f>
        <v/>
      </c>
      <c r="X997" s="17" t="str">
        <f>IF(M5_Ocupacion!A202="","",IF(M5_Ocupacion!C202="","",M5_Ocupacion!C202))</f>
        <v/>
      </c>
      <c r="Y997" s="17" t="str">
        <f>IF(M5_Ocupacion!A202="","",IF(M5_Ocupacion!E202="","",M5_Ocupacion!E202))</f>
        <v/>
      </c>
      <c r="Z997" s="17" t="str">
        <f>IF(M5_Ocupacion!A202="","",IF(M5_Ocupacion!F202="","",M5_Ocupacion!F202))</f>
        <v/>
      </c>
      <c r="AA997" s="17" t="str">
        <f>IF(M5_Ocupacion!A202="","","M5 Ocupación")</f>
        <v/>
      </c>
      <c r="AB997" s="17" t="str">
        <f>IF(M5_Ocupacion!A202="","",IF(M5_Ocupacion!G202="","",M5_Ocupacion!G202))</f>
        <v/>
      </c>
      <c r="AC997" s="17" t="str">
        <f>IF(M5_Ocupacion!A202="","",IF(COUNTIFS(M5_Ocupacion!$A$10:A202,M5_Ocupacion!A202,M5_Ocupacion!$D$10:D202,M5_Ocupacion!D202)=1,IF(M5_Ocupacion!M202="","",M5_Ocupacion!M202),""))</f>
        <v/>
      </c>
      <c r="AD997" s="17" t="str">
        <f>IF(M5_Ocupacion!A202="","","MO")</f>
        <v/>
      </c>
      <c r="AE997" s="17" t="str">
        <f>IF(M5_Ocupacion!A202="","",IF(M5_Ocupacion!O202="","",M5_Ocupacion!O202))</f>
        <v/>
      </c>
      <c r="AF997" s="17" t="str">
        <f>IF(M5_Ocupacion!A202="","",IF(M5_Ocupacion!P202="","",M5_Ocupacion!P202))</f>
        <v/>
      </c>
      <c r="AG997" s="17" t="str">
        <f>IF(M5_Ocupacion!A202="","",IF(M5_Ocupacion!Q202="","",M5_Ocupacion!Q202))</f>
        <v/>
      </c>
      <c r="AH997" s="17" t="str">
        <f>IF(M5_Ocupacion!A202="","",IF(M5_Ocupacion!J202="","",M5_Ocupacion!J202))</f>
        <v/>
      </c>
      <c r="AI997" s="17" t="str">
        <f>IF(M5_Ocupacion!A202="","","M5_Ocupacion!202")</f>
        <v/>
      </c>
      <c r="AJ997" s="17" t="str">
        <f>IF(M5_Ocupacion!A202="","",IF(M5_Ocupacion!M202="","Pendiente de medición completa",IF(COUNTIFS(M5_Ocupacion!$A$10:A202,M5_Ocupacion!A202,M5_Ocupacion!$D$10:D202,M5_Ocupacion!D202)=1,"Promedio de la actividad y fecha","Observación incluida en promedio")))</f>
        <v/>
      </c>
    </row>
    <row r="998" spans="1:36" ht="55.5" customHeight="1">
      <c r="A998" s="6" t="str">
        <f t="array" ref="A998">IF(994&gt;$S$1204,"",INDEX($T$5:$AJ$1204,MATCH(994,$S$5:$S$1204,0),1))</f>
        <v/>
      </c>
      <c r="B998" s="8" t="str">
        <f t="array" ref="B998">IF(994&gt;$S$1204,"",INDEX($T$5:$AJ$1204,MATCH(994,$S$5:$S$1204,0),2))</f>
        <v/>
      </c>
      <c r="C998" s="10" t="str">
        <f t="array" ref="C998">IF(994&gt;$S$1204,"",INDEX($T$5:$AJ$1204,MATCH(994,$S$5:$S$1204,0),3))</f>
        <v/>
      </c>
      <c r="D998" s="8" t="str">
        <f t="array" ref="D998">IF(994&gt;$S$1204,"",INDEX($T$5:$AJ$1204,MATCH(994,$S$5:$S$1204,0),4))</f>
        <v/>
      </c>
      <c r="E998" s="8" t="str">
        <f t="array" ref="E998">IF(994&gt;$S$1204,"",INDEX($T$5:$AJ$1204,MATCH(994,$S$5:$S$1204,0),5))</f>
        <v/>
      </c>
      <c r="F998" s="8" t="str">
        <f t="array" ref="F998">IF(994&gt;$S$1204,"",INDEX($T$5:$AJ$1204,MATCH(994,$S$5:$S$1204,0),6))</f>
        <v/>
      </c>
      <c r="G998" s="8" t="str">
        <f t="array" ref="G998">IF(994&gt;$S$1204,"",INDEX($T$5:$AJ$1204,MATCH(994,$S$5:$S$1204,0),7))</f>
        <v/>
      </c>
      <c r="H998" s="8" t="str">
        <f t="array" ref="H998">IF(994&gt;$S$1204,"",INDEX($T$5:$AJ$1204,MATCH(994,$S$5:$S$1204,0),8))</f>
        <v/>
      </c>
      <c r="I998" s="8" t="str">
        <f t="array" ref="I998">IF(994&gt;$S$1204,"",INDEX($T$5:$AJ$1204,MATCH(994,$S$5:$S$1204,0),9))</f>
        <v/>
      </c>
      <c r="J998" s="14" t="str">
        <f t="array" ref="J998">IF(994&gt;$S$1204,"",INDEX($T$5:$AJ$1204,MATCH(994,$S$5:$S$1204,0),10))</f>
        <v/>
      </c>
      <c r="K998" s="8" t="str">
        <f t="array" ref="K998">IF(994&gt;$S$1204,"",INDEX($T$5:$AJ$1204,MATCH(994,$S$5:$S$1204,0),11))</f>
        <v/>
      </c>
      <c r="L998" s="8" t="str">
        <f t="array" ref="L998">IF(994&gt;$S$1204,"",INDEX($T$5:$AJ$1204,MATCH(994,$S$5:$S$1204,0),12))</f>
        <v/>
      </c>
      <c r="M998" s="8" t="str">
        <f t="array" ref="M998">IF(994&gt;$S$1204,"",INDEX($T$5:$AJ$1204,MATCH(994,$S$5:$S$1204,0),13))</f>
        <v/>
      </c>
      <c r="N998" s="8" t="str">
        <f t="array" ref="N998">IF(994&gt;$S$1204,"",INDEX($T$5:$AJ$1204,MATCH(994,$S$5:$S$1204,0),14))</f>
        <v/>
      </c>
      <c r="O998" s="15" t="str">
        <f t="array" ref="O998">IF(994&gt;$S$1204,"",INDEX($T$5:$AJ$1204,MATCH(994,$S$5:$S$1204,0),15))</f>
        <v/>
      </c>
      <c r="P998" s="8" t="str">
        <f t="array" ref="P998">IF(994&gt;$S$1204,"",INDEX($T$5:$AJ$1204,MATCH(994,$S$5:$S$1204,0),16))</f>
        <v/>
      </c>
      <c r="Q998" s="8" t="str">
        <f t="array" ref="Q998">IF(994&gt;$S$1204,"",INDEX($T$5:$AJ$1204,MATCH(994,$S$5:$S$1204,0),17))</f>
        <v/>
      </c>
      <c r="R998" s="17"/>
      <c r="S998" s="17">
        <f>S997+IF(M5_Ocupacion!A203="",0,1)</f>
        <v>0</v>
      </c>
      <c r="T998" s="17" t="str">
        <f>IF(M5_Ocupacion!A203="","",IF(M5_Ocupacion!A203="","",M5_Ocupacion!A203))</f>
        <v/>
      </c>
      <c r="U998" s="17" t="str">
        <f>IF(M5_Ocupacion!A203="","",IF(M5_Ocupacion!R203="","",M5_Ocupacion!R203))</f>
        <v/>
      </c>
      <c r="V998" s="17" t="str">
        <f>IF(M5_Ocupacion!A203="","",IF(M5_Ocupacion!D203="","",M5_Ocupacion!D203))</f>
        <v/>
      </c>
      <c r="W998" s="17" t="str">
        <f>IF(M5_Ocupacion!A203="","",IF(M5_Ocupacion!B203="","",M5_Ocupacion!B203))</f>
        <v/>
      </c>
      <c r="X998" s="17" t="str">
        <f>IF(M5_Ocupacion!A203="","",IF(M5_Ocupacion!C203="","",M5_Ocupacion!C203))</f>
        <v/>
      </c>
      <c r="Y998" s="17" t="str">
        <f>IF(M5_Ocupacion!A203="","",IF(M5_Ocupacion!E203="","",M5_Ocupacion!E203))</f>
        <v/>
      </c>
      <c r="Z998" s="17" t="str">
        <f>IF(M5_Ocupacion!A203="","",IF(M5_Ocupacion!F203="","",M5_Ocupacion!F203))</f>
        <v/>
      </c>
      <c r="AA998" s="17" t="str">
        <f>IF(M5_Ocupacion!A203="","","M5 Ocupación")</f>
        <v/>
      </c>
      <c r="AB998" s="17" t="str">
        <f>IF(M5_Ocupacion!A203="","",IF(M5_Ocupacion!G203="","",M5_Ocupacion!G203))</f>
        <v/>
      </c>
      <c r="AC998" s="17" t="str">
        <f>IF(M5_Ocupacion!A203="","",IF(COUNTIFS(M5_Ocupacion!$A$10:A203,M5_Ocupacion!A203,M5_Ocupacion!$D$10:D203,M5_Ocupacion!D203)=1,IF(M5_Ocupacion!M203="","",M5_Ocupacion!M203),""))</f>
        <v/>
      </c>
      <c r="AD998" s="17" t="str">
        <f>IF(M5_Ocupacion!A203="","","MO")</f>
        <v/>
      </c>
      <c r="AE998" s="17" t="str">
        <f>IF(M5_Ocupacion!A203="","",IF(M5_Ocupacion!O203="","",M5_Ocupacion!O203))</f>
        <v/>
      </c>
      <c r="AF998" s="17" t="str">
        <f>IF(M5_Ocupacion!A203="","",IF(M5_Ocupacion!P203="","",M5_Ocupacion!P203))</f>
        <v/>
      </c>
      <c r="AG998" s="17" t="str">
        <f>IF(M5_Ocupacion!A203="","",IF(M5_Ocupacion!Q203="","",M5_Ocupacion!Q203))</f>
        <v/>
      </c>
      <c r="AH998" s="17" t="str">
        <f>IF(M5_Ocupacion!A203="","",IF(M5_Ocupacion!J203="","",M5_Ocupacion!J203))</f>
        <v/>
      </c>
      <c r="AI998" s="17" t="str">
        <f>IF(M5_Ocupacion!A203="","","M5_Ocupacion!203")</f>
        <v/>
      </c>
      <c r="AJ998" s="17" t="str">
        <f>IF(M5_Ocupacion!A203="","",IF(M5_Ocupacion!M203="","Pendiente de medición completa",IF(COUNTIFS(M5_Ocupacion!$A$10:A203,M5_Ocupacion!A203,M5_Ocupacion!$D$10:D203,M5_Ocupacion!D203)=1,"Promedio de la actividad y fecha","Observación incluida en promedio")))</f>
        <v/>
      </c>
    </row>
    <row r="999" spans="1:36" ht="55.5" customHeight="1">
      <c r="A999" s="6" t="str">
        <f t="array" ref="A999">IF(995&gt;$S$1204,"",INDEX($T$5:$AJ$1204,MATCH(995,$S$5:$S$1204,0),1))</f>
        <v/>
      </c>
      <c r="B999" s="8" t="str">
        <f t="array" ref="B999">IF(995&gt;$S$1204,"",INDEX($T$5:$AJ$1204,MATCH(995,$S$5:$S$1204,0),2))</f>
        <v/>
      </c>
      <c r="C999" s="10" t="str">
        <f t="array" ref="C999">IF(995&gt;$S$1204,"",INDEX($T$5:$AJ$1204,MATCH(995,$S$5:$S$1204,0),3))</f>
        <v/>
      </c>
      <c r="D999" s="8" t="str">
        <f t="array" ref="D999">IF(995&gt;$S$1204,"",INDEX($T$5:$AJ$1204,MATCH(995,$S$5:$S$1204,0),4))</f>
        <v/>
      </c>
      <c r="E999" s="8" t="str">
        <f t="array" ref="E999">IF(995&gt;$S$1204,"",INDEX($T$5:$AJ$1204,MATCH(995,$S$5:$S$1204,0),5))</f>
        <v/>
      </c>
      <c r="F999" s="8" t="str">
        <f t="array" ref="F999">IF(995&gt;$S$1204,"",INDEX($T$5:$AJ$1204,MATCH(995,$S$5:$S$1204,0),6))</f>
        <v/>
      </c>
      <c r="G999" s="8" t="str">
        <f t="array" ref="G999">IF(995&gt;$S$1204,"",INDEX($T$5:$AJ$1204,MATCH(995,$S$5:$S$1204,0),7))</f>
        <v/>
      </c>
      <c r="H999" s="8" t="str">
        <f t="array" ref="H999">IF(995&gt;$S$1204,"",INDEX($T$5:$AJ$1204,MATCH(995,$S$5:$S$1204,0),8))</f>
        <v/>
      </c>
      <c r="I999" s="8" t="str">
        <f t="array" ref="I999">IF(995&gt;$S$1204,"",INDEX($T$5:$AJ$1204,MATCH(995,$S$5:$S$1204,0),9))</f>
        <v/>
      </c>
      <c r="J999" s="14" t="str">
        <f t="array" ref="J999">IF(995&gt;$S$1204,"",INDEX($T$5:$AJ$1204,MATCH(995,$S$5:$S$1204,0),10))</f>
        <v/>
      </c>
      <c r="K999" s="8" t="str">
        <f t="array" ref="K999">IF(995&gt;$S$1204,"",INDEX($T$5:$AJ$1204,MATCH(995,$S$5:$S$1204,0),11))</f>
        <v/>
      </c>
      <c r="L999" s="8" t="str">
        <f t="array" ref="L999">IF(995&gt;$S$1204,"",INDEX($T$5:$AJ$1204,MATCH(995,$S$5:$S$1204,0),12))</f>
        <v/>
      </c>
      <c r="M999" s="8" t="str">
        <f t="array" ref="M999">IF(995&gt;$S$1204,"",INDEX($T$5:$AJ$1204,MATCH(995,$S$5:$S$1204,0),13))</f>
        <v/>
      </c>
      <c r="N999" s="8" t="str">
        <f t="array" ref="N999">IF(995&gt;$S$1204,"",INDEX($T$5:$AJ$1204,MATCH(995,$S$5:$S$1204,0),14))</f>
        <v/>
      </c>
      <c r="O999" s="15" t="str">
        <f t="array" ref="O999">IF(995&gt;$S$1204,"",INDEX($T$5:$AJ$1204,MATCH(995,$S$5:$S$1204,0),15))</f>
        <v/>
      </c>
      <c r="P999" s="8" t="str">
        <f t="array" ref="P999">IF(995&gt;$S$1204,"",INDEX($T$5:$AJ$1204,MATCH(995,$S$5:$S$1204,0),16))</f>
        <v/>
      </c>
      <c r="Q999" s="8" t="str">
        <f t="array" ref="Q999">IF(995&gt;$S$1204,"",INDEX($T$5:$AJ$1204,MATCH(995,$S$5:$S$1204,0),17))</f>
        <v/>
      </c>
      <c r="R999" s="17"/>
      <c r="S999" s="17">
        <f>S998+IF(M5_Ocupacion!A204="",0,1)</f>
        <v>0</v>
      </c>
      <c r="T999" s="17" t="str">
        <f>IF(M5_Ocupacion!A204="","",IF(M5_Ocupacion!A204="","",M5_Ocupacion!A204))</f>
        <v/>
      </c>
      <c r="U999" s="17" t="str">
        <f>IF(M5_Ocupacion!A204="","",IF(M5_Ocupacion!R204="","",M5_Ocupacion!R204))</f>
        <v/>
      </c>
      <c r="V999" s="17" t="str">
        <f>IF(M5_Ocupacion!A204="","",IF(M5_Ocupacion!D204="","",M5_Ocupacion!D204))</f>
        <v/>
      </c>
      <c r="W999" s="17" t="str">
        <f>IF(M5_Ocupacion!A204="","",IF(M5_Ocupacion!B204="","",M5_Ocupacion!B204))</f>
        <v/>
      </c>
      <c r="X999" s="17" t="str">
        <f>IF(M5_Ocupacion!A204="","",IF(M5_Ocupacion!C204="","",M5_Ocupacion!C204))</f>
        <v/>
      </c>
      <c r="Y999" s="17" t="str">
        <f>IF(M5_Ocupacion!A204="","",IF(M5_Ocupacion!E204="","",M5_Ocupacion!E204))</f>
        <v/>
      </c>
      <c r="Z999" s="17" t="str">
        <f>IF(M5_Ocupacion!A204="","",IF(M5_Ocupacion!F204="","",M5_Ocupacion!F204))</f>
        <v/>
      </c>
      <c r="AA999" s="17" t="str">
        <f>IF(M5_Ocupacion!A204="","","M5 Ocupación")</f>
        <v/>
      </c>
      <c r="AB999" s="17" t="str">
        <f>IF(M5_Ocupacion!A204="","",IF(M5_Ocupacion!G204="","",M5_Ocupacion!G204))</f>
        <v/>
      </c>
      <c r="AC999" s="17" t="str">
        <f>IF(M5_Ocupacion!A204="","",IF(COUNTIFS(M5_Ocupacion!$A$10:A204,M5_Ocupacion!A204,M5_Ocupacion!$D$10:D204,M5_Ocupacion!D204)=1,IF(M5_Ocupacion!M204="","",M5_Ocupacion!M204),""))</f>
        <v/>
      </c>
      <c r="AD999" s="17" t="str">
        <f>IF(M5_Ocupacion!A204="","","MO")</f>
        <v/>
      </c>
      <c r="AE999" s="17" t="str">
        <f>IF(M5_Ocupacion!A204="","",IF(M5_Ocupacion!O204="","",M5_Ocupacion!O204))</f>
        <v/>
      </c>
      <c r="AF999" s="17" t="str">
        <f>IF(M5_Ocupacion!A204="","",IF(M5_Ocupacion!P204="","",M5_Ocupacion!P204))</f>
        <v/>
      </c>
      <c r="AG999" s="17" t="str">
        <f>IF(M5_Ocupacion!A204="","",IF(M5_Ocupacion!Q204="","",M5_Ocupacion!Q204))</f>
        <v/>
      </c>
      <c r="AH999" s="17" t="str">
        <f>IF(M5_Ocupacion!A204="","",IF(M5_Ocupacion!J204="","",M5_Ocupacion!J204))</f>
        <v/>
      </c>
      <c r="AI999" s="17" t="str">
        <f>IF(M5_Ocupacion!A204="","","M5_Ocupacion!204")</f>
        <v/>
      </c>
      <c r="AJ999" s="17" t="str">
        <f>IF(M5_Ocupacion!A204="","",IF(M5_Ocupacion!M204="","Pendiente de medición completa",IF(COUNTIFS(M5_Ocupacion!$A$10:A204,M5_Ocupacion!A204,M5_Ocupacion!$D$10:D204,M5_Ocupacion!D204)=1,"Promedio de la actividad y fecha","Observación incluida en promedio")))</f>
        <v/>
      </c>
    </row>
    <row r="1000" spans="1:36" ht="55.5" customHeight="1">
      <c r="A1000" s="6" t="str">
        <f t="array" ref="A1000">IF(996&gt;$S$1204,"",INDEX($T$5:$AJ$1204,MATCH(996,$S$5:$S$1204,0),1))</f>
        <v/>
      </c>
      <c r="B1000" s="8" t="str">
        <f t="array" ref="B1000">IF(996&gt;$S$1204,"",INDEX($T$5:$AJ$1204,MATCH(996,$S$5:$S$1204,0),2))</f>
        <v/>
      </c>
      <c r="C1000" s="10" t="str">
        <f t="array" ref="C1000">IF(996&gt;$S$1204,"",INDEX($T$5:$AJ$1204,MATCH(996,$S$5:$S$1204,0),3))</f>
        <v/>
      </c>
      <c r="D1000" s="8" t="str">
        <f t="array" ref="D1000">IF(996&gt;$S$1204,"",INDEX($T$5:$AJ$1204,MATCH(996,$S$5:$S$1204,0),4))</f>
        <v/>
      </c>
      <c r="E1000" s="8" t="str">
        <f t="array" ref="E1000">IF(996&gt;$S$1204,"",INDEX($T$5:$AJ$1204,MATCH(996,$S$5:$S$1204,0),5))</f>
        <v/>
      </c>
      <c r="F1000" s="8" t="str">
        <f t="array" ref="F1000">IF(996&gt;$S$1204,"",INDEX($T$5:$AJ$1204,MATCH(996,$S$5:$S$1204,0),6))</f>
        <v/>
      </c>
      <c r="G1000" s="8" t="str">
        <f t="array" ref="G1000">IF(996&gt;$S$1204,"",INDEX($T$5:$AJ$1204,MATCH(996,$S$5:$S$1204,0),7))</f>
        <v/>
      </c>
      <c r="H1000" s="8" t="str">
        <f t="array" ref="H1000">IF(996&gt;$S$1204,"",INDEX($T$5:$AJ$1204,MATCH(996,$S$5:$S$1204,0),8))</f>
        <v/>
      </c>
      <c r="I1000" s="8" t="str">
        <f t="array" ref="I1000">IF(996&gt;$S$1204,"",INDEX($T$5:$AJ$1204,MATCH(996,$S$5:$S$1204,0),9))</f>
        <v/>
      </c>
      <c r="J1000" s="14" t="str">
        <f t="array" ref="J1000">IF(996&gt;$S$1204,"",INDEX($T$5:$AJ$1204,MATCH(996,$S$5:$S$1204,0),10))</f>
        <v/>
      </c>
      <c r="K1000" s="8" t="str">
        <f t="array" ref="K1000">IF(996&gt;$S$1204,"",INDEX($T$5:$AJ$1204,MATCH(996,$S$5:$S$1204,0),11))</f>
        <v/>
      </c>
      <c r="L1000" s="8" t="str">
        <f t="array" ref="L1000">IF(996&gt;$S$1204,"",INDEX($T$5:$AJ$1204,MATCH(996,$S$5:$S$1204,0),12))</f>
        <v/>
      </c>
      <c r="M1000" s="8" t="str">
        <f t="array" ref="M1000">IF(996&gt;$S$1204,"",INDEX($T$5:$AJ$1204,MATCH(996,$S$5:$S$1204,0),13))</f>
        <v/>
      </c>
      <c r="N1000" s="8" t="str">
        <f t="array" ref="N1000">IF(996&gt;$S$1204,"",INDEX($T$5:$AJ$1204,MATCH(996,$S$5:$S$1204,0),14))</f>
        <v/>
      </c>
      <c r="O1000" s="15" t="str">
        <f t="array" ref="O1000">IF(996&gt;$S$1204,"",INDEX($T$5:$AJ$1204,MATCH(996,$S$5:$S$1204,0),15))</f>
        <v/>
      </c>
      <c r="P1000" s="8" t="str">
        <f t="array" ref="P1000">IF(996&gt;$S$1204,"",INDEX($T$5:$AJ$1204,MATCH(996,$S$5:$S$1204,0),16))</f>
        <v/>
      </c>
      <c r="Q1000" s="8" t="str">
        <f t="array" ref="Q1000">IF(996&gt;$S$1204,"",INDEX($T$5:$AJ$1204,MATCH(996,$S$5:$S$1204,0),17))</f>
        <v/>
      </c>
      <c r="R1000" s="17"/>
      <c r="S1000" s="17">
        <f>S999+IF(M5_Ocupacion!A205="",0,1)</f>
        <v>0</v>
      </c>
      <c r="T1000" s="17" t="str">
        <f>IF(M5_Ocupacion!A205="","",IF(M5_Ocupacion!A205="","",M5_Ocupacion!A205))</f>
        <v/>
      </c>
      <c r="U1000" s="17" t="str">
        <f>IF(M5_Ocupacion!A205="","",IF(M5_Ocupacion!R205="","",M5_Ocupacion!R205))</f>
        <v/>
      </c>
      <c r="V1000" s="17" t="str">
        <f>IF(M5_Ocupacion!A205="","",IF(M5_Ocupacion!D205="","",M5_Ocupacion!D205))</f>
        <v/>
      </c>
      <c r="W1000" s="17" t="str">
        <f>IF(M5_Ocupacion!A205="","",IF(M5_Ocupacion!B205="","",M5_Ocupacion!B205))</f>
        <v/>
      </c>
      <c r="X1000" s="17" t="str">
        <f>IF(M5_Ocupacion!A205="","",IF(M5_Ocupacion!C205="","",M5_Ocupacion!C205))</f>
        <v/>
      </c>
      <c r="Y1000" s="17" t="str">
        <f>IF(M5_Ocupacion!A205="","",IF(M5_Ocupacion!E205="","",M5_Ocupacion!E205))</f>
        <v/>
      </c>
      <c r="Z1000" s="17" t="str">
        <f>IF(M5_Ocupacion!A205="","",IF(M5_Ocupacion!F205="","",M5_Ocupacion!F205))</f>
        <v/>
      </c>
      <c r="AA1000" s="17" t="str">
        <f>IF(M5_Ocupacion!A205="","","M5 Ocupación")</f>
        <v/>
      </c>
      <c r="AB1000" s="17" t="str">
        <f>IF(M5_Ocupacion!A205="","",IF(M5_Ocupacion!G205="","",M5_Ocupacion!G205))</f>
        <v/>
      </c>
      <c r="AC1000" s="17" t="str">
        <f>IF(M5_Ocupacion!A205="","",IF(COUNTIFS(M5_Ocupacion!$A$10:A205,M5_Ocupacion!A205,M5_Ocupacion!$D$10:D205,M5_Ocupacion!D205)=1,IF(M5_Ocupacion!M205="","",M5_Ocupacion!M205),""))</f>
        <v/>
      </c>
      <c r="AD1000" s="17" t="str">
        <f>IF(M5_Ocupacion!A205="","","MO")</f>
        <v/>
      </c>
      <c r="AE1000" s="17" t="str">
        <f>IF(M5_Ocupacion!A205="","",IF(M5_Ocupacion!O205="","",M5_Ocupacion!O205))</f>
        <v/>
      </c>
      <c r="AF1000" s="17" t="str">
        <f>IF(M5_Ocupacion!A205="","",IF(M5_Ocupacion!P205="","",M5_Ocupacion!P205))</f>
        <v/>
      </c>
      <c r="AG1000" s="17" t="str">
        <f>IF(M5_Ocupacion!A205="","",IF(M5_Ocupacion!Q205="","",M5_Ocupacion!Q205))</f>
        <v/>
      </c>
      <c r="AH1000" s="17" t="str">
        <f>IF(M5_Ocupacion!A205="","",IF(M5_Ocupacion!J205="","",M5_Ocupacion!J205))</f>
        <v/>
      </c>
      <c r="AI1000" s="17" t="str">
        <f>IF(M5_Ocupacion!A205="","","M5_Ocupacion!205")</f>
        <v/>
      </c>
      <c r="AJ1000" s="17" t="str">
        <f>IF(M5_Ocupacion!A205="","",IF(M5_Ocupacion!M205="","Pendiente de medición completa",IF(COUNTIFS(M5_Ocupacion!$A$10:A205,M5_Ocupacion!A205,M5_Ocupacion!$D$10:D205,M5_Ocupacion!D205)=1,"Promedio de la actividad y fecha","Observación incluida en promedio")))</f>
        <v/>
      </c>
    </row>
    <row r="1001" spans="1:36" ht="55.5" customHeight="1">
      <c r="A1001" s="6" t="str">
        <f t="array" ref="A1001">IF(997&gt;$S$1204,"",INDEX($T$5:$AJ$1204,MATCH(997,$S$5:$S$1204,0),1))</f>
        <v/>
      </c>
      <c r="B1001" s="8" t="str">
        <f t="array" ref="B1001">IF(997&gt;$S$1204,"",INDEX($T$5:$AJ$1204,MATCH(997,$S$5:$S$1204,0),2))</f>
        <v/>
      </c>
      <c r="C1001" s="10" t="str">
        <f t="array" ref="C1001">IF(997&gt;$S$1204,"",INDEX($T$5:$AJ$1204,MATCH(997,$S$5:$S$1204,0),3))</f>
        <v/>
      </c>
      <c r="D1001" s="8" t="str">
        <f t="array" ref="D1001">IF(997&gt;$S$1204,"",INDEX($T$5:$AJ$1204,MATCH(997,$S$5:$S$1204,0),4))</f>
        <v/>
      </c>
      <c r="E1001" s="8" t="str">
        <f t="array" ref="E1001">IF(997&gt;$S$1204,"",INDEX($T$5:$AJ$1204,MATCH(997,$S$5:$S$1204,0),5))</f>
        <v/>
      </c>
      <c r="F1001" s="8" t="str">
        <f t="array" ref="F1001">IF(997&gt;$S$1204,"",INDEX($T$5:$AJ$1204,MATCH(997,$S$5:$S$1204,0),6))</f>
        <v/>
      </c>
      <c r="G1001" s="8" t="str">
        <f t="array" ref="G1001">IF(997&gt;$S$1204,"",INDEX($T$5:$AJ$1204,MATCH(997,$S$5:$S$1204,0),7))</f>
        <v/>
      </c>
      <c r="H1001" s="8" t="str">
        <f t="array" ref="H1001">IF(997&gt;$S$1204,"",INDEX($T$5:$AJ$1204,MATCH(997,$S$5:$S$1204,0),8))</f>
        <v/>
      </c>
      <c r="I1001" s="8" t="str">
        <f t="array" ref="I1001">IF(997&gt;$S$1204,"",INDEX($T$5:$AJ$1204,MATCH(997,$S$5:$S$1204,0),9))</f>
        <v/>
      </c>
      <c r="J1001" s="14" t="str">
        <f t="array" ref="J1001">IF(997&gt;$S$1204,"",INDEX($T$5:$AJ$1204,MATCH(997,$S$5:$S$1204,0),10))</f>
        <v/>
      </c>
      <c r="K1001" s="8" t="str">
        <f t="array" ref="K1001">IF(997&gt;$S$1204,"",INDEX($T$5:$AJ$1204,MATCH(997,$S$5:$S$1204,0),11))</f>
        <v/>
      </c>
      <c r="L1001" s="8" t="str">
        <f t="array" ref="L1001">IF(997&gt;$S$1204,"",INDEX($T$5:$AJ$1204,MATCH(997,$S$5:$S$1204,0),12))</f>
        <v/>
      </c>
      <c r="M1001" s="8" t="str">
        <f t="array" ref="M1001">IF(997&gt;$S$1204,"",INDEX($T$5:$AJ$1204,MATCH(997,$S$5:$S$1204,0),13))</f>
        <v/>
      </c>
      <c r="N1001" s="8" t="str">
        <f t="array" ref="N1001">IF(997&gt;$S$1204,"",INDEX($T$5:$AJ$1204,MATCH(997,$S$5:$S$1204,0),14))</f>
        <v/>
      </c>
      <c r="O1001" s="15" t="str">
        <f t="array" ref="O1001">IF(997&gt;$S$1204,"",INDEX($T$5:$AJ$1204,MATCH(997,$S$5:$S$1204,0),15))</f>
        <v/>
      </c>
      <c r="P1001" s="8" t="str">
        <f t="array" ref="P1001">IF(997&gt;$S$1204,"",INDEX($T$5:$AJ$1204,MATCH(997,$S$5:$S$1204,0),16))</f>
        <v/>
      </c>
      <c r="Q1001" s="8" t="str">
        <f t="array" ref="Q1001">IF(997&gt;$S$1204,"",INDEX($T$5:$AJ$1204,MATCH(997,$S$5:$S$1204,0),17))</f>
        <v/>
      </c>
      <c r="R1001" s="17"/>
      <c r="S1001" s="17">
        <f>S1000+IF(M5_Ocupacion!A206="",0,1)</f>
        <v>0</v>
      </c>
      <c r="T1001" s="17" t="str">
        <f>IF(M5_Ocupacion!A206="","",IF(M5_Ocupacion!A206="","",M5_Ocupacion!A206))</f>
        <v/>
      </c>
      <c r="U1001" s="17" t="str">
        <f>IF(M5_Ocupacion!A206="","",IF(M5_Ocupacion!R206="","",M5_Ocupacion!R206))</f>
        <v/>
      </c>
      <c r="V1001" s="17" t="str">
        <f>IF(M5_Ocupacion!A206="","",IF(M5_Ocupacion!D206="","",M5_Ocupacion!D206))</f>
        <v/>
      </c>
      <c r="W1001" s="17" t="str">
        <f>IF(M5_Ocupacion!A206="","",IF(M5_Ocupacion!B206="","",M5_Ocupacion!B206))</f>
        <v/>
      </c>
      <c r="X1001" s="17" t="str">
        <f>IF(M5_Ocupacion!A206="","",IF(M5_Ocupacion!C206="","",M5_Ocupacion!C206))</f>
        <v/>
      </c>
      <c r="Y1001" s="17" t="str">
        <f>IF(M5_Ocupacion!A206="","",IF(M5_Ocupacion!E206="","",M5_Ocupacion!E206))</f>
        <v/>
      </c>
      <c r="Z1001" s="17" t="str">
        <f>IF(M5_Ocupacion!A206="","",IF(M5_Ocupacion!F206="","",M5_Ocupacion!F206))</f>
        <v/>
      </c>
      <c r="AA1001" s="17" t="str">
        <f>IF(M5_Ocupacion!A206="","","M5 Ocupación")</f>
        <v/>
      </c>
      <c r="AB1001" s="17" t="str">
        <f>IF(M5_Ocupacion!A206="","",IF(M5_Ocupacion!G206="","",M5_Ocupacion!G206))</f>
        <v/>
      </c>
      <c r="AC1001" s="17" t="str">
        <f>IF(M5_Ocupacion!A206="","",IF(COUNTIFS(M5_Ocupacion!$A$10:A206,M5_Ocupacion!A206,M5_Ocupacion!$D$10:D206,M5_Ocupacion!D206)=1,IF(M5_Ocupacion!M206="","",M5_Ocupacion!M206),""))</f>
        <v/>
      </c>
      <c r="AD1001" s="17" t="str">
        <f>IF(M5_Ocupacion!A206="","","MO")</f>
        <v/>
      </c>
      <c r="AE1001" s="17" t="str">
        <f>IF(M5_Ocupacion!A206="","",IF(M5_Ocupacion!O206="","",M5_Ocupacion!O206))</f>
        <v/>
      </c>
      <c r="AF1001" s="17" t="str">
        <f>IF(M5_Ocupacion!A206="","",IF(M5_Ocupacion!P206="","",M5_Ocupacion!P206))</f>
        <v/>
      </c>
      <c r="AG1001" s="17" t="str">
        <f>IF(M5_Ocupacion!A206="","",IF(M5_Ocupacion!Q206="","",M5_Ocupacion!Q206))</f>
        <v/>
      </c>
      <c r="AH1001" s="17" t="str">
        <f>IF(M5_Ocupacion!A206="","",IF(M5_Ocupacion!J206="","",M5_Ocupacion!J206))</f>
        <v/>
      </c>
      <c r="AI1001" s="17" t="str">
        <f>IF(M5_Ocupacion!A206="","","M5_Ocupacion!206")</f>
        <v/>
      </c>
      <c r="AJ1001" s="17" t="str">
        <f>IF(M5_Ocupacion!A206="","",IF(M5_Ocupacion!M206="","Pendiente de medición completa",IF(COUNTIFS(M5_Ocupacion!$A$10:A206,M5_Ocupacion!A206,M5_Ocupacion!$D$10:D206,M5_Ocupacion!D206)=1,"Promedio de la actividad y fecha","Observación incluida en promedio")))</f>
        <v/>
      </c>
    </row>
    <row r="1002" spans="1:36" ht="55.5" customHeight="1">
      <c r="A1002" s="6" t="str">
        <f t="array" ref="A1002">IF(998&gt;$S$1204,"",INDEX($T$5:$AJ$1204,MATCH(998,$S$5:$S$1204,0),1))</f>
        <v/>
      </c>
      <c r="B1002" s="8" t="str">
        <f t="array" ref="B1002">IF(998&gt;$S$1204,"",INDEX($T$5:$AJ$1204,MATCH(998,$S$5:$S$1204,0),2))</f>
        <v/>
      </c>
      <c r="C1002" s="10" t="str">
        <f t="array" ref="C1002">IF(998&gt;$S$1204,"",INDEX($T$5:$AJ$1204,MATCH(998,$S$5:$S$1204,0),3))</f>
        <v/>
      </c>
      <c r="D1002" s="8" t="str">
        <f t="array" ref="D1002">IF(998&gt;$S$1204,"",INDEX($T$5:$AJ$1204,MATCH(998,$S$5:$S$1204,0),4))</f>
        <v/>
      </c>
      <c r="E1002" s="8" t="str">
        <f t="array" ref="E1002">IF(998&gt;$S$1204,"",INDEX($T$5:$AJ$1204,MATCH(998,$S$5:$S$1204,0),5))</f>
        <v/>
      </c>
      <c r="F1002" s="8" t="str">
        <f t="array" ref="F1002">IF(998&gt;$S$1204,"",INDEX($T$5:$AJ$1204,MATCH(998,$S$5:$S$1204,0),6))</f>
        <v/>
      </c>
      <c r="G1002" s="8" t="str">
        <f t="array" ref="G1002">IF(998&gt;$S$1204,"",INDEX($T$5:$AJ$1204,MATCH(998,$S$5:$S$1204,0),7))</f>
        <v/>
      </c>
      <c r="H1002" s="8" t="str">
        <f t="array" ref="H1002">IF(998&gt;$S$1204,"",INDEX($T$5:$AJ$1204,MATCH(998,$S$5:$S$1204,0),8))</f>
        <v/>
      </c>
      <c r="I1002" s="8" t="str">
        <f t="array" ref="I1002">IF(998&gt;$S$1204,"",INDEX($T$5:$AJ$1204,MATCH(998,$S$5:$S$1204,0),9))</f>
        <v/>
      </c>
      <c r="J1002" s="14" t="str">
        <f t="array" ref="J1002">IF(998&gt;$S$1204,"",INDEX($T$5:$AJ$1204,MATCH(998,$S$5:$S$1204,0),10))</f>
        <v/>
      </c>
      <c r="K1002" s="8" t="str">
        <f t="array" ref="K1002">IF(998&gt;$S$1204,"",INDEX($T$5:$AJ$1204,MATCH(998,$S$5:$S$1204,0),11))</f>
        <v/>
      </c>
      <c r="L1002" s="8" t="str">
        <f t="array" ref="L1002">IF(998&gt;$S$1204,"",INDEX($T$5:$AJ$1204,MATCH(998,$S$5:$S$1204,0),12))</f>
        <v/>
      </c>
      <c r="M1002" s="8" t="str">
        <f t="array" ref="M1002">IF(998&gt;$S$1204,"",INDEX($T$5:$AJ$1204,MATCH(998,$S$5:$S$1204,0),13))</f>
        <v/>
      </c>
      <c r="N1002" s="8" t="str">
        <f t="array" ref="N1002">IF(998&gt;$S$1204,"",INDEX($T$5:$AJ$1204,MATCH(998,$S$5:$S$1204,0),14))</f>
        <v/>
      </c>
      <c r="O1002" s="15" t="str">
        <f t="array" ref="O1002">IF(998&gt;$S$1204,"",INDEX($T$5:$AJ$1204,MATCH(998,$S$5:$S$1204,0),15))</f>
        <v/>
      </c>
      <c r="P1002" s="8" t="str">
        <f t="array" ref="P1002">IF(998&gt;$S$1204,"",INDEX($T$5:$AJ$1204,MATCH(998,$S$5:$S$1204,0),16))</f>
        <v/>
      </c>
      <c r="Q1002" s="8" t="str">
        <f t="array" ref="Q1002">IF(998&gt;$S$1204,"",INDEX($T$5:$AJ$1204,MATCH(998,$S$5:$S$1204,0),17))</f>
        <v/>
      </c>
      <c r="R1002" s="17"/>
      <c r="S1002" s="17">
        <f>S1001+IF(M5_Ocupacion!A207="",0,1)</f>
        <v>0</v>
      </c>
      <c r="T1002" s="17" t="str">
        <f>IF(M5_Ocupacion!A207="","",IF(M5_Ocupacion!A207="","",M5_Ocupacion!A207))</f>
        <v/>
      </c>
      <c r="U1002" s="17" t="str">
        <f>IF(M5_Ocupacion!A207="","",IF(M5_Ocupacion!R207="","",M5_Ocupacion!R207))</f>
        <v/>
      </c>
      <c r="V1002" s="17" t="str">
        <f>IF(M5_Ocupacion!A207="","",IF(M5_Ocupacion!D207="","",M5_Ocupacion!D207))</f>
        <v/>
      </c>
      <c r="W1002" s="17" t="str">
        <f>IF(M5_Ocupacion!A207="","",IF(M5_Ocupacion!B207="","",M5_Ocupacion!B207))</f>
        <v/>
      </c>
      <c r="X1002" s="17" t="str">
        <f>IF(M5_Ocupacion!A207="","",IF(M5_Ocupacion!C207="","",M5_Ocupacion!C207))</f>
        <v/>
      </c>
      <c r="Y1002" s="17" t="str">
        <f>IF(M5_Ocupacion!A207="","",IF(M5_Ocupacion!E207="","",M5_Ocupacion!E207))</f>
        <v/>
      </c>
      <c r="Z1002" s="17" t="str">
        <f>IF(M5_Ocupacion!A207="","",IF(M5_Ocupacion!F207="","",M5_Ocupacion!F207))</f>
        <v/>
      </c>
      <c r="AA1002" s="17" t="str">
        <f>IF(M5_Ocupacion!A207="","","M5 Ocupación")</f>
        <v/>
      </c>
      <c r="AB1002" s="17" t="str">
        <f>IF(M5_Ocupacion!A207="","",IF(M5_Ocupacion!G207="","",M5_Ocupacion!G207))</f>
        <v/>
      </c>
      <c r="AC1002" s="17" t="str">
        <f>IF(M5_Ocupacion!A207="","",IF(COUNTIFS(M5_Ocupacion!$A$10:A207,M5_Ocupacion!A207,M5_Ocupacion!$D$10:D207,M5_Ocupacion!D207)=1,IF(M5_Ocupacion!M207="","",M5_Ocupacion!M207),""))</f>
        <v/>
      </c>
      <c r="AD1002" s="17" t="str">
        <f>IF(M5_Ocupacion!A207="","","MO")</f>
        <v/>
      </c>
      <c r="AE1002" s="17" t="str">
        <f>IF(M5_Ocupacion!A207="","",IF(M5_Ocupacion!O207="","",M5_Ocupacion!O207))</f>
        <v/>
      </c>
      <c r="AF1002" s="17" t="str">
        <f>IF(M5_Ocupacion!A207="","",IF(M5_Ocupacion!P207="","",M5_Ocupacion!P207))</f>
        <v/>
      </c>
      <c r="AG1002" s="17" t="str">
        <f>IF(M5_Ocupacion!A207="","",IF(M5_Ocupacion!Q207="","",M5_Ocupacion!Q207))</f>
        <v/>
      </c>
      <c r="AH1002" s="17" t="str">
        <f>IF(M5_Ocupacion!A207="","",IF(M5_Ocupacion!J207="","",M5_Ocupacion!J207))</f>
        <v/>
      </c>
      <c r="AI1002" s="17" t="str">
        <f>IF(M5_Ocupacion!A207="","","M5_Ocupacion!207")</f>
        <v/>
      </c>
      <c r="AJ1002" s="17" t="str">
        <f>IF(M5_Ocupacion!A207="","",IF(M5_Ocupacion!M207="","Pendiente de medición completa",IF(COUNTIFS(M5_Ocupacion!$A$10:A207,M5_Ocupacion!A207,M5_Ocupacion!$D$10:D207,M5_Ocupacion!D207)=1,"Promedio de la actividad y fecha","Observación incluida en promedio")))</f>
        <v/>
      </c>
    </row>
    <row r="1003" spans="1:36" ht="55.5" customHeight="1">
      <c r="A1003" s="6" t="str">
        <f t="array" ref="A1003">IF(999&gt;$S$1204,"",INDEX($T$5:$AJ$1204,MATCH(999,$S$5:$S$1204,0),1))</f>
        <v/>
      </c>
      <c r="B1003" s="8" t="str">
        <f t="array" ref="B1003">IF(999&gt;$S$1204,"",INDEX($T$5:$AJ$1204,MATCH(999,$S$5:$S$1204,0),2))</f>
        <v/>
      </c>
      <c r="C1003" s="10" t="str">
        <f t="array" ref="C1003">IF(999&gt;$S$1204,"",INDEX($T$5:$AJ$1204,MATCH(999,$S$5:$S$1204,0),3))</f>
        <v/>
      </c>
      <c r="D1003" s="8" t="str">
        <f t="array" ref="D1003">IF(999&gt;$S$1204,"",INDEX($T$5:$AJ$1204,MATCH(999,$S$5:$S$1204,0),4))</f>
        <v/>
      </c>
      <c r="E1003" s="8" t="str">
        <f t="array" ref="E1003">IF(999&gt;$S$1204,"",INDEX($T$5:$AJ$1204,MATCH(999,$S$5:$S$1204,0),5))</f>
        <v/>
      </c>
      <c r="F1003" s="8" t="str">
        <f t="array" ref="F1003">IF(999&gt;$S$1204,"",INDEX($T$5:$AJ$1204,MATCH(999,$S$5:$S$1204,0),6))</f>
        <v/>
      </c>
      <c r="G1003" s="8" t="str">
        <f t="array" ref="G1003">IF(999&gt;$S$1204,"",INDEX($T$5:$AJ$1204,MATCH(999,$S$5:$S$1204,0),7))</f>
        <v/>
      </c>
      <c r="H1003" s="8" t="str">
        <f t="array" ref="H1003">IF(999&gt;$S$1204,"",INDEX($T$5:$AJ$1204,MATCH(999,$S$5:$S$1204,0),8))</f>
        <v/>
      </c>
      <c r="I1003" s="8" t="str">
        <f t="array" ref="I1003">IF(999&gt;$S$1204,"",INDEX($T$5:$AJ$1204,MATCH(999,$S$5:$S$1204,0),9))</f>
        <v/>
      </c>
      <c r="J1003" s="14" t="str">
        <f t="array" ref="J1003">IF(999&gt;$S$1204,"",INDEX($T$5:$AJ$1204,MATCH(999,$S$5:$S$1204,0),10))</f>
        <v/>
      </c>
      <c r="K1003" s="8" t="str">
        <f t="array" ref="K1003">IF(999&gt;$S$1204,"",INDEX($T$5:$AJ$1204,MATCH(999,$S$5:$S$1204,0),11))</f>
        <v/>
      </c>
      <c r="L1003" s="8" t="str">
        <f t="array" ref="L1003">IF(999&gt;$S$1204,"",INDEX($T$5:$AJ$1204,MATCH(999,$S$5:$S$1204,0),12))</f>
        <v/>
      </c>
      <c r="M1003" s="8" t="str">
        <f t="array" ref="M1003">IF(999&gt;$S$1204,"",INDEX($T$5:$AJ$1204,MATCH(999,$S$5:$S$1204,0),13))</f>
        <v/>
      </c>
      <c r="N1003" s="8" t="str">
        <f t="array" ref="N1003">IF(999&gt;$S$1204,"",INDEX($T$5:$AJ$1204,MATCH(999,$S$5:$S$1204,0),14))</f>
        <v/>
      </c>
      <c r="O1003" s="15" t="str">
        <f t="array" ref="O1003">IF(999&gt;$S$1204,"",INDEX($T$5:$AJ$1204,MATCH(999,$S$5:$S$1204,0),15))</f>
        <v/>
      </c>
      <c r="P1003" s="8" t="str">
        <f t="array" ref="P1003">IF(999&gt;$S$1204,"",INDEX($T$5:$AJ$1204,MATCH(999,$S$5:$S$1204,0),16))</f>
        <v/>
      </c>
      <c r="Q1003" s="8" t="str">
        <f t="array" ref="Q1003">IF(999&gt;$S$1204,"",INDEX($T$5:$AJ$1204,MATCH(999,$S$5:$S$1204,0),17))</f>
        <v/>
      </c>
      <c r="R1003" s="17"/>
      <c r="S1003" s="17">
        <f>S1002+IF(M5_Ocupacion!A208="",0,1)</f>
        <v>0</v>
      </c>
      <c r="T1003" s="17" t="str">
        <f>IF(M5_Ocupacion!A208="","",IF(M5_Ocupacion!A208="","",M5_Ocupacion!A208))</f>
        <v/>
      </c>
      <c r="U1003" s="17" t="str">
        <f>IF(M5_Ocupacion!A208="","",IF(M5_Ocupacion!R208="","",M5_Ocupacion!R208))</f>
        <v/>
      </c>
      <c r="V1003" s="17" t="str">
        <f>IF(M5_Ocupacion!A208="","",IF(M5_Ocupacion!D208="","",M5_Ocupacion!D208))</f>
        <v/>
      </c>
      <c r="W1003" s="17" t="str">
        <f>IF(M5_Ocupacion!A208="","",IF(M5_Ocupacion!B208="","",M5_Ocupacion!B208))</f>
        <v/>
      </c>
      <c r="X1003" s="17" t="str">
        <f>IF(M5_Ocupacion!A208="","",IF(M5_Ocupacion!C208="","",M5_Ocupacion!C208))</f>
        <v/>
      </c>
      <c r="Y1003" s="17" t="str">
        <f>IF(M5_Ocupacion!A208="","",IF(M5_Ocupacion!E208="","",M5_Ocupacion!E208))</f>
        <v/>
      </c>
      <c r="Z1003" s="17" t="str">
        <f>IF(M5_Ocupacion!A208="","",IF(M5_Ocupacion!F208="","",M5_Ocupacion!F208))</f>
        <v/>
      </c>
      <c r="AA1003" s="17" t="str">
        <f>IF(M5_Ocupacion!A208="","","M5 Ocupación")</f>
        <v/>
      </c>
      <c r="AB1003" s="17" t="str">
        <f>IF(M5_Ocupacion!A208="","",IF(M5_Ocupacion!G208="","",M5_Ocupacion!G208))</f>
        <v/>
      </c>
      <c r="AC1003" s="17" t="str">
        <f>IF(M5_Ocupacion!A208="","",IF(COUNTIFS(M5_Ocupacion!$A$10:A208,M5_Ocupacion!A208,M5_Ocupacion!$D$10:D208,M5_Ocupacion!D208)=1,IF(M5_Ocupacion!M208="","",M5_Ocupacion!M208),""))</f>
        <v/>
      </c>
      <c r="AD1003" s="17" t="str">
        <f>IF(M5_Ocupacion!A208="","","MO")</f>
        <v/>
      </c>
      <c r="AE1003" s="17" t="str">
        <f>IF(M5_Ocupacion!A208="","",IF(M5_Ocupacion!O208="","",M5_Ocupacion!O208))</f>
        <v/>
      </c>
      <c r="AF1003" s="17" t="str">
        <f>IF(M5_Ocupacion!A208="","",IF(M5_Ocupacion!P208="","",M5_Ocupacion!P208))</f>
        <v/>
      </c>
      <c r="AG1003" s="17" t="str">
        <f>IF(M5_Ocupacion!A208="","",IF(M5_Ocupacion!Q208="","",M5_Ocupacion!Q208))</f>
        <v/>
      </c>
      <c r="AH1003" s="17" t="str">
        <f>IF(M5_Ocupacion!A208="","",IF(M5_Ocupacion!J208="","",M5_Ocupacion!J208))</f>
        <v/>
      </c>
      <c r="AI1003" s="17" t="str">
        <f>IF(M5_Ocupacion!A208="","","M5_Ocupacion!208")</f>
        <v/>
      </c>
      <c r="AJ1003" s="17" t="str">
        <f>IF(M5_Ocupacion!A208="","",IF(M5_Ocupacion!M208="","Pendiente de medición completa",IF(COUNTIFS(M5_Ocupacion!$A$10:A208,M5_Ocupacion!A208,M5_Ocupacion!$D$10:D208,M5_Ocupacion!D208)=1,"Promedio de la actividad y fecha","Observación incluida en promedio")))</f>
        <v/>
      </c>
    </row>
    <row r="1004" spans="1:36" ht="55.5" customHeight="1">
      <c r="A1004" s="6" t="str">
        <f t="array" ref="A1004">IF(1000&gt;$S$1204,"",INDEX($T$5:$AJ$1204,MATCH(1000,$S$5:$S$1204,0),1))</f>
        <v/>
      </c>
      <c r="B1004" s="8" t="str">
        <f t="array" ref="B1004">IF(1000&gt;$S$1204,"",INDEX($T$5:$AJ$1204,MATCH(1000,$S$5:$S$1204,0),2))</f>
        <v/>
      </c>
      <c r="C1004" s="10" t="str">
        <f t="array" ref="C1004">IF(1000&gt;$S$1204,"",INDEX($T$5:$AJ$1204,MATCH(1000,$S$5:$S$1204,0),3))</f>
        <v/>
      </c>
      <c r="D1004" s="8" t="str">
        <f t="array" ref="D1004">IF(1000&gt;$S$1204,"",INDEX($T$5:$AJ$1204,MATCH(1000,$S$5:$S$1204,0),4))</f>
        <v/>
      </c>
      <c r="E1004" s="8" t="str">
        <f t="array" ref="E1004">IF(1000&gt;$S$1204,"",INDEX($T$5:$AJ$1204,MATCH(1000,$S$5:$S$1204,0),5))</f>
        <v/>
      </c>
      <c r="F1004" s="8" t="str">
        <f t="array" ref="F1004">IF(1000&gt;$S$1204,"",INDEX($T$5:$AJ$1204,MATCH(1000,$S$5:$S$1204,0),6))</f>
        <v/>
      </c>
      <c r="G1004" s="8" t="str">
        <f t="array" ref="G1004">IF(1000&gt;$S$1204,"",INDEX($T$5:$AJ$1204,MATCH(1000,$S$5:$S$1204,0),7))</f>
        <v/>
      </c>
      <c r="H1004" s="8" t="str">
        <f t="array" ref="H1004">IF(1000&gt;$S$1204,"",INDEX($T$5:$AJ$1204,MATCH(1000,$S$5:$S$1204,0),8))</f>
        <v/>
      </c>
      <c r="I1004" s="8" t="str">
        <f t="array" ref="I1004">IF(1000&gt;$S$1204,"",INDEX($T$5:$AJ$1204,MATCH(1000,$S$5:$S$1204,0),9))</f>
        <v/>
      </c>
      <c r="J1004" s="14" t="str">
        <f t="array" ref="J1004">IF(1000&gt;$S$1204,"",INDEX($T$5:$AJ$1204,MATCH(1000,$S$5:$S$1204,0),10))</f>
        <v/>
      </c>
      <c r="K1004" s="8" t="str">
        <f t="array" ref="K1004">IF(1000&gt;$S$1204,"",INDEX($T$5:$AJ$1204,MATCH(1000,$S$5:$S$1204,0),11))</f>
        <v/>
      </c>
      <c r="L1004" s="8" t="str">
        <f t="array" ref="L1004">IF(1000&gt;$S$1204,"",INDEX($T$5:$AJ$1204,MATCH(1000,$S$5:$S$1204,0),12))</f>
        <v/>
      </c>
      <c r="M1004" s="8" t="str">
        <f t="array" ref="M1004">IF(1000&gt;$S$1204,"",INDEX($T$5:$AJ$1204,MATCH(1000,$S$5:$S$1204,0),13))</f>
        <v/>
      </c>
      <c r="N1004" s="8" t="str">
        <f t="array" ref="N1004">IF(1000&gt;$S$1204,"",INDEX($T$5:$AJ$1204,MATCH(1000,$S$5:$S$1204,0),14))</f>
        <v/>
      </c>
      <c r="O1004" s="15" t="str">
        <f t="array" ref="O1004">IF(1000&gt;$S$1204,"",INDEX($T$5:$AJ$1204,MATCH(1000,$S$5:$S$1204,0),15))</f>
        <v/>
      </c>
      <c r="P1004" s="8" t="str">
        <f t="array" ref="P1004">IF(1000&gt;$S$1204,"",INDEX($T$5:$AJ$1204,MATCH(1000,$S$5:$S$1204,0),16))</f>
        <v/>
      </c>
      <c r="Q1004" s="8" t="str">
        <f t="array" ref="Q1004">IF(1000&gt;$S$1204,"",INDEX($T$5:$AJ$1204,MATCH(1000,$S$5:$S$1204,0),17))</f>
        <v/>
      </c>
      <c r="R1004" s="17"/>
      <c r="S1004" s="17">
        <f>S1003+IF(M5_Ocupacion!A209="",0,1)</f>
        <v>0</v>
      </c>
      <c r="T1004" s="17" t="str">
        <f>IF(M5_Ocupacion!A209="","",IF(M5_Ocupacion!A209="","",M5_Ocupacion!A209))</f>
        <v/>
      </c>
      <c r="U1004" s="17" t="str">
        <f>IF(M5_Ocupacion!A209="","",IF(M5_Ocupacion!R209="","",M5_Ocupacion!R209))</f>
        <v/>
      </c>
      <c r="V1004" s="17" t="str">
        <f>IF(M5_Ocupacion!A209="","",IF(M5_Ocupacion!D209="","",M5_Ocupacion!D209))</f>
        <v/>
      </c>
      <c r="W1004" s="17" t="str">
        <f>IF(M5_Ocupacion!A209="","",IF(M5_Ocupacion!B209="","",M5_Ocupacion!B209))</f>
        <v/>
      </c>
      <c r="X1004" s="17" t="str">
        <f>IF(M5_Ocupacion!A209="","",IF(M5_Ocupacion!C209="","",M5_Ocupacion!C209))</f>
        <v/>
      </c>
      <c r="Y1004" s="17" t="str">
        <f>IF(M5_Ocupacion!A209="","",IF(M5_Ocupacion!E209="","",M5_Ocupacion!E209))</f>
        <v/>
      </c>
      <c r="Z1004" s="17" t="str">
        <f>IF(M5_Ocupacion!A209="","",IF(M5_Ocupacion!F209="","",M5_Ocupacion!F209))</f>
        <v/>
      </c>
      <c r="AA1004" s="17" t="str">
        <f>IF(M5_Ocupacion!A209="","","M5 Ocupación")</f>
        <v/>
      </c>
      <c r="AB1004" s="17" t="str">
        <f>IF(M5_Ocupacion!A209="","",IF(M5_Ocupacion!G209="","",M5_Ocupacion!G209))</f>
        <v/>
      </c>
      <c r="AC1004" s="17" t="str">
        <f>IF(M5_Ocupacion!A209="","",IF(COUNTIFS(M5_Ocupacion!$A$10:A209,M5_Ocupacion!A209,M5_Ocupacion!$D$10:D209,M5_Ocupacion!D209)=1,IF(M5_Ocupacion!M209="","",M5_Ocupacion!M209),""))</f>
        <v/>
      </c>
      <c r="AD1004" s="17" t="str">
        <f>IF(M5_Ocupacion!A209="","","MO")</f>
        <v/>
      </c>
      <c r="AE1004" s="17" t="str">
        <f>IF(M5_Ocupacion!A209="","",IF(M5_Ocupacion!O209="","",M5_Ocupacion!O209))</f>
        <v/>
      </c>
      <c r="AF1004" s="17" t="str">
        <f>IF(M5_Ocupacion!A209="","",IF(M5_Ocupacion!P209="","",M5_Ocupacion!P209))</f>
        <v/>
      </c>
      <c r="AG1004" s="17" t="str">
        <f>IF(M5_Ocupacion!A209="","",IF(M5_Ocupacion!Q209="","",M5_Ocupacion!Q209))</f>
        <v/>
      </c>
      <c r="AH1004" s="17" t="str">
        <f>IF(M5_Ocupacion!A209="","",IF(M5_Ocupacion!J209="","",M5_Ocupacion!J209))</f>
        <v/>
      </c>
      <c r="AI1004" s="17" t="str">
        <f>IF(M5_Ocupacion!A209="","","M5_Ocupacion!209")</f>
        <v/>
      </c>
      <c r="AJ1004" s="17" t="str">
        <f>IF(M5_Ocupacion!A209="","",IF(M5_Ocupacion!M209="","Pendiente de medición completa",IF(COUNTIFS(M5_Ocupacion!$A$10:A209,M5_Ocupacion!A209,M5_Ocupacion!$D$10:D209,M5_Ocupacion!D209)=1,"Promedio de la actividad y fecha","Observación incluida en promedio")))</f>
        <v/>
      </c>
    </row>
    <row r="1005" spans="1:36" ht="55.5" customHeight="1">
      <c r="A1005" s="6" t="str">
        <f t="array" ref="A1005">IF(1001&gt;$S$1204,"",INDEX($T$5:$AJ$1204,MATCH(1001,$S$5:$S$1204,0),1))</f>
        <v/>
      </c>
      <c r="B1005" s="8" t="str">
        <f t="array" ref="B1005">IF(1001&gt;$S$1204,"",INDEX($T$5:$AJ$1204,MATCH(1001,$S$5:$S$1204,0),2))</f>
        <v/>
      </c>
      <c r="C1005" s="10" t="str">
        <f t="array" ref="C1005">IF(1001&gt;$S$1204,"",INDEX($T$5:$AJ$1204,MATCH(1001,$S$5:$S$1204,0),3))</f>
        <v/>
      </c>
      <c r="D1005" s="8" t="str">
        <f t="array" ref="D1005">IF(1001&gt;$S$1204,"",INDEX($T$5:$AJ$1204,MATCH(1001,$S$5:$S$1204,0),4))</f>
        <v/>
      </c>
      <c r="E1005" s="8" t="str">
        <f t="array" ref="E1005">IF(1001&gt;$S$1204,"",INDEX($T$5:$AJ$1204,MATCH(1001,$S$5:$S$1204,0),5))</f>
        <v/>
      </c>
      <c r="F1005" s="8" t="str">
        <f t="array" ref="F1005">IF(1001&gt;$S$1204,"",INDEX($T$5:$AJ$1204,MATCH(1001,$S$5:$S$1204,0),6))</f>
        <v/>
      </c>
      <c r="G1005" s="8" t="str">
        <f t="array" ref="G1005">IF(1001&gt;$S$1204,"",INDEX($T$5:$AJ$1204,MATCH(1001,$S$5:$S$1204,0),7))</f>
        <v/>
      </c>
      <c r="H1005" s="8" t="str">
        <f t="array" ref="H1005">IF(1001&gt;$S$1204,"",INDEX($T$5:$AJ$1204,MATCH(1001,$S$5:$S$1204,0),8))</f>
        <v/>
      </c>
      <c r="I1005" s="8" t="str">
        <f t="array" ref="I1005">IF(1001&gt;$S$1204,"",INDEX($T$5:$AJ$1204,MATCH(1001,$S$5:$S$1204,0),9))</f>
        <v/>
      </c>
      <c r="J1005" s="14" t="str">
        <f t="array" ref="J1005">IF(1001&gt;$S$1204,"",INDEX($T$5:$AJ$1204,MATCH(1001,$S$5:$S$1204,0),10))</f>
        <v/>
      </c>
      <c r="K1005" s="8" t="str">
        <f t="array" ref="K1005">IF(1001&gt;$S$1204,"",INDEX($T$5:$AJ$1204,MATCH(1001,$S$5:$S$1204,0),11))</f>
        <v/>
      </c>
      <c r="L1005" s="8" t="str">
        <f t="array" ref="L1005">IF(1001&gt;$S$1204,"",INDEX($T$5:$AJ$1204,MATCH(1001,$S$5:$S$1204,0),12))</f>
        <v/>
      </c>
      <c r="M1005" s="8" t="str">
        <f t="array" ref="M1005">IF(1001&gt;$S$1204,"",INDEX($T$5:$AJ$1204,MATCH(1001,$S$5:$S$1204,0),13))</f>
        <v/>
      </c>
      <c r="N1005" s="8" t="str">
        <f t="array" ref="N1005">IF(1001&gt;$S$1204,"",INDEX($T$5:$AJ$1204,MATCH(1001,$S$5:$S$1204,0),14))</f>
        <v/>
      </c>
      <c r="O1005" s="15" t="str">
        <f t="array" ref="O1005">IF(1001&gt;$S$1204,"",INDEX($T$5:$AJ$1204,MATCH(1001,$S$5:$S$1204,0),15))</f>
        <v/>
      </c>
      <c r="P1005" s="8" t="str">
        <f t="array" ref="P1005">IF(1001&gt;$S$1204,"",INDEX($T$5:$AJ$1204,MATCH(1001,$S$5:$S$1204,0),16))</f>
        <v/>
      </c>
      <c r="Q1005" s="8" t="str">
        <f t="array" ref="Q1005">IF(1001&gt;$S$1204,"",INDEX($T$5:$AJ$1204,MATCH(1001,$S$5:$S$1204,0),17))</f>
        <v/>
      </c>
      <c r="R1005" s="17"/>
      <c r="S1005" s="17">
        <f>S1004+IF(M6_Puntos_Control!A9="",0,1)</f>
        <v>0</v>
      </c>
      <c r="T1005" s="17" t="str">
        <f>IF(M6_Puntos_Control!A9="","",IF(M6_Puntos_Control!A9="","",M6_Puntos_Control!A9))</f>
        <v/>
      </c>
      <c r="U1005" s="17" t="str">
        <f>IF(M6_Puntos_Control!A9="","",IF(M6_Puntos_Control!R9="","",M6_Puntos_Control!R9))</f>
        <v/>
      </c>
      <c r="V1005" s="17" t="str">
        <f>IF(M6_Puntos_Control!A9="","",IF(M6_Puntos_Control!D9="","",M6_Puntos_Control!D9))</f>
        <v/>
      </c>
      <c r="W1005" s="17" t="str">
        <f>IF(M6_Puntos_Control!A9="","",IF(M6_Puntos_Control!B9="","",M6_Puntos_Control!B9))</f>
        <v/>
      </c>
      <c r="X1005" s="17" t="str">
        <f>IF(M6_Puntos_Control!A9="","",IF(M6_Puntos_Control!C9="","",M6_Puntos_Control!C9))</f>
        <v/>
      </c>
      <c r="Y1005" s="17" t="str">
        <f>IF(M6_Puntos_Control!A9="","",IF(M6_Puntos_Control!E9="","",M6_Puntos_Control!E9))</f>
        <v/>
      </c>
      <c r="Z1005" s="17" t="str">
        <f>IF(M6_Puntos_Control!A9="","",IF(M6_Puntos_Control!F9="","",M6_Puntos_Control!F9))</f>
        <v/>
      </c>
      <c r="AA1005" s="17" t="str">
        <f>IF(M6_Puntos_Control!A9="","","M6 Puntos de control")</f>
        <v/>
      </c>
      <c r="AB1005" s="17" t="str">
        <f>IF(M6_Puntos_Control!A9="","",IF(M6_Puntos_Control!G9="","",M6_Puntos_Control!G9))</f>
        <v/>
      </c>
      <c r="AC1005" s="17" t="str">
        <f>IF(M6_Puntos_Control!A9="","",IF(M6_Puntos_Control!K9="Sí",IF(COUNTIFS(M6_Puntos_Control!$A$9:A9,M6_Puntos_Control!A9,M6_Puntos_Control!$D$9:D9,M6_Puntos_Control!D9,M6_Puntos_Control!$G$9:G9,M6_Puntos_Control!G9,M6_Puntos_Control!$H$9:H9,M6_Puntos_Control!H9,M6_Puntos_Control!$K$9:K9,"Sí")=1,IF(M6_Puntos_Control!M9="","",M6_Puntos_Control!M9),""),""))</f>
        <v/>
      </c>
      <c r="AD1005" s="17" t="str">
        <f>IF(M6_Puntos_Control!A9="","","RD")</f>
        <v/>
      </c>
      <c r="AE1005" s="17" t="str">
        <f>IF(M6_Puntos_Control!A9="","",IF(M6_Puntos_Control!O9="","",M6_Puntos_Control!O9))</f>
        <v/>
      </c>
      <c r="AF1005" s="17" t="str">
        <f>IF(M6_Puntos_Control!A9="","",IF(M6_Puntos_Control!P9="","",M6_Puntos_Control!P9))</f>
        <v/>
      </c>
      <c r="AG1005" s="17" t="str">
        <f>IF(M6_Puntos_Control!A9="","",IF(M6_Puntos_Control!Q9="","",M6_Puntos_Control!Q9))</f>
        <v/>
      </c>
      <c r="AH1005" s="17" t="str">
        <f>IF(M6_Puntos_Control!A9="","",IF(M6_Puntos_Control!I9="","",M6_Puntos_Control!I9))</f>
        <v/>
      </c>
      <c r="AI1005" s="17" t="str">
        <f>IF(M6_Puntos_Control!A9="","","M6_Puntos_Control!9")</f>
        <v/>
      </c>
      <c r="AJ1005" s="17" t="str">
        <f>IF(M6_Puntos_Control!A9="","",IF(M6_Puntos_Control!K9&lt;&gt;"Sí","Punto de comparación",IF(COUNTIFS(M6_Puntos_Control!$A$9:A9,M6_Puntos_Control!A9,M6_Puntos_Control!$D$9:D9,M6_Puntos_Control!D9,M6_Puntos_Control!$G$9:G9,M6_Puntos_Control!G9,M6_Puntos_Control!$H$9:H9,M6_Puntos_Control!H9,M6_Puntos_Control!$K$9:K9,"Sí")=1,IF(M6_Puntos_Control!M9="","Pendiente de resultado","Punto oficial"),"Revisar: varios puntos oficiales")))</f>
        <v/>
      </c>
    </row>
    <row r="1006" spans="1:36" ht="55.5" customHeight="1">
      <c r="A1006" s="6" t="str">
        <f t="array" ref="A1006">IF(1002&gt;$S$1204,"",INDEX($T$5:$AJ$1204,MATCH(1002,$S$5:$S$1204,0),1))</f>
        <v/>
      </c>
      <c r="B1006" s="8" t="str">
        <f t="array" ref="B1006">IF(1002&gt;$S$1204,"",INDEX($T$5:$AJ$1204,MATCH(1002,$S$5:$S$1204,0),2))</f>
        <v/>
      </c>
      <c r="C1006" s="10" t="str">
        <f t="array" ref="C1006">IF(1002&gt;$S$1204,"",INDEX($T$5:$AJ$1204,MATCH(1002,$S$5:$S$1204,0),3))</f>
        <v/>
      </c>
      <c r="D1006" s="8" t="str">
        <f t="array" ref="D1006">IF(1002&gt;$S$1204,"",INDEX($T$5:$AJ$1204,MATCH(1002,$S$5:$S$1204,0),4))</f>
        <v/>
      </c>
      <c r="E1006" s="8" t="str">
        <f t="array" ref="E1006">IF(1002&gt;$S$1204,"",INDEX($T$5:$AJ$1204,MATCH(1002,$S$5:$S$1204,0),5))</f>
        <v/>
      </c>
      <c r="F1006" s="8" t="str">
        <f t="array" ref="F1006">IF(1002&gt;$S$1204,"",INDEX($T$5:$AJ$1204,MATCH(1002,$S$5:$S$1204,0),6))</f>
        <v/>
      </c>
      <c r="G1006" s="8" t="str">
        <f t="array" ref="G1006">IF(1002&gt;$S$1204,"",INDEX($T$5:$AJ$1204,MATCH(1002,$S$5:$S$1204,0),7))</f>
        <v/>
      </c>
      <c r="H1006" s="8" t="str">
        <f t="array" ref="H1006">IF(1002&gt;$S$1204,"",INDEX($T$5:$AJ$1204,MATCH(1002,$S$5:$S$1204,0),8))</f>
        <v/>
      </c>
      <c r="I1006" s="8" t="str">
        <f t="array" ref="I1006">IF(1002&gt;$S$1204,"",INDEX($T$5:$AJ$1204,MATCH(1002,$S$5:$S$1204,0),9))</f>
        <v/>
      </c>
      <c r="J1006" s="14" t="str">
        <f t="array" ref="J1006">IF(1002&gt;$S$1204,"",INDEX($T$5:$AJ$1204,MATCH(1002,$S$5:$S$1204,0),10))</f>
        <v/>
      </c>
      <c r="K1006" s="8" t="str">
        <f t="array" ref="K1006">IF(1002&gt;$S$1204,"",INDEX($T$5:$AJ$1204,MATCH(1002,$S$5:$S$1204,0),11))</f>
        <v/>
      </c>
      <c r="L1006" s="8" t="str">
        <f t="array" ref="L1006">IF(1002&gt;$S$1204,"",INDEX($T$5:$AJ$1204,MATCH(1002,$S$5:$S$1204,0),12))</f>
        <v/>
      </c>
      <c r="M1006" s="8" t="str">
        <f t="array" ref="M1006">IF(1002&gt;$S$1204,"",INDEX($T$5:$AJ$1204,MATCH(1002,$S$5:$S$1204,0),13))</f>
        <v/>
      </c>
      <c r="N1006" s="8" t="str">
        <f t="array" ref="N1006">IF(1002&gt;$S$1204,"",INDEX($T$5:$AJ$1204,MATCH(1002,$S$5:$S$1204,0),14))</f>
        <v/>
      </c>
      <c r="O1006" s="15" t="str">
        <f t="array" ref="O1006">IF(1002&gt;$S$1204,"",INDEX($T$5:$AJ$1204,MATCH(1002,$S$5:$S$1204,0),15))</f>
        <v/>
      </c>
      <c r="P1006" s="8" t="str">
        <f t="array" ref="P1006">IF(1002&gt;$S$1204,"",INDEX($T$5:$AJ$1204,MATCH(1002,$S$5:$S$1204,0),16))</f>
        <v/>
      </c>
      <c r="Q1006" s="8" t="str">
        <f t="array" ref="Q1006">IF(1002&gt;$S$1204,"",INDEX($T$5:$AJ$1204,MATCH(1002,$S$5:$S$1204,0),17))</f>
        <v/>
      </c>
      <c r="R1006" s="17"/>
      <c r="S1006" s="17">
        <f>S1005+IF(M6_Puntos_Control!A10="",0,1)</f>
        <v>0</v>
      </c>
      <c r="T1006" s="17" t="str">
        <f>IF(M6_Puntos_Control!A10="","",IF(M6_Puntos_Control!A10="","",M6_Puntos_Control!A10))</f>
        <v/>
      </c>
      <c r="U1006" s="17" t="str">
        <f>IF(M6_Puntos_Control!A10="","",IF(M6_Puntos_Control!R10="","",M6_Puntos_Control!R10))</f>
        <v/>
      </c>
      <c r="V1006" s="17" t="str">
        <f>IF(M6_Puntos_Control!A10="","",IF(M6_Puntos_Control!D10="","",M6_Puntos_Control!D10))</f>
        <v/>
      </c>
      <c r="W1006" s="17" t="str">
        <f>IF(M6_Puntos_Control!A10="","",IF(M6_Puntos_Control!B10="","",M6_Puntos_Control!B10))</f>
        <v/>
      </c>
      <c r="X1006" s="17" t="str">
        <f>IF(M6_Puntos_Control!A10="","",IF(M6_Puntos_Control!C10="","",M6_Puntos_Control!C10))</f>
        <v/>
      </c>
      <c r="Y1006" s="17" t="str">
        <f>IF(M6_Puntos_Control!A10="","",IF(M6_Puntos_Control!E10="","",M6_Puntos_Control!E10))</f>
        <v/>
      </c>
      <c r="Z1006" s="17" t="str">
        <f>IF(M6_Puntos_Control!A10="","",IF(M6_Puntos_Control!F10="","",M6_Puntos_Control!F10))</f>
        <v/>
      </c>
      <c r="AA1006" s="17" t="str">
        <f>IF(M6_Puntos_Control!A10="","","M6 Puntos de control")</f>
        <v/>
      </c>
      <c r="AB1006" s="17" t="str">
        <f>IF(M6_Puntos_Control!A10="","",IF(M6_Puntos_Control!G10="","",M6_Puntos_Control!G10))</f>
        <v/>
      </c>
      <c r="AC1006" s="17" t="str">
        <f>IF(M6_Puntos_Control!A10="","",IF(M6_Puntos_Control!K10="Sí",IF(COUNTIFS(M6_Puntos_Control!$A$9:A10,M6_Puntos_Control!A10,M6_Puntos_Control!$D$9:D10,M6_Puntos_Control!D10,M6_Puntos_Control!$G$9:G10,M6_Puntos_Control!G10,M6_Puntos_Control!$H$9:H10,M6_Puntos_Control!H10,M6_Puntos_Control!$K$9:K10,"Sí")=1,IF(M6_Puntos_Control!M10="","",M6_Puntos_Control!M10),""),""))</f>
        <v/>
      </c>
      <c r="AD1006" s="17" t="str">
        <f>IF(M6_Puntos_Control!A10="","","RD")</f>
        <v/>
      </c>
      <c r="AE1006" s="17" t="str">
        <f>IF(M6_Puntos_Control!A10="","",IF(M6_Puntos_Control!O10="","",M6_Puntos_Control!O10))</f>
        <v/>
      </c>
      <c r="AF1006" s="17" t="str">
        <f>IF(M6_Puntos_Control!A10="","",IF(M6_Puntos_Control!P10="","",M6_Puntos_Control!P10))</f>
        <v/>
      </c>
      <c r="AG1006" s="17" t="str">
        <f>IF(M6_Puntos_Control!A10="","",IF(M6_Puntos_Control!Q10="","",M6_Puntos_Control!Q10))</f>
        <v/>
      </c>
      <c r="AH1006" s="17" t="str">
        <f>IF(M6_Puntos_Control!A10="","",IF(M6_Puntos_Control!I10="","",M6_Puntos_Control!I10))</f>
        <v/>
      </c>
      <c r="AI1006" s="17" t="str">
        <f>IF(M6_Puntos_Control!A10="","","M6_Puntos_Control!10")</f>
        <v/>
      </c>
      <c r="AJ1006" s="17" t="str">
        <f>IF(M6_Puntos_Control!A10="","",IF(M6_Puntos_Control!K10&lt;&gt;"Sí","Punto de comparación",IF(COUNTIFS(M6_Puntos_Control!$A$9:A10,M6_Puntos_Control!A10,M6_Puntos_Control!$D$9:D10,M6_Puntos_Control!D10,M6_Puntos_Control!$G$9:G10,M6_Puntos_Control!G10,M6_Puntos_Control!$H$9:H10,M6_Puntos_Control!H10,M6_Puntos_Control!$K$9:K10,"Sí")=1,IF(M6_Puntos_Control!M10="","Pendiente de resultado","Punto oficial"),"Revisar: varios puntos oficiales")))</f>
        <v/>
      </c>
    </row>
    <row r="1007" spans="1:36" ht="55.5" customHeight="1">
      <c r="A1007" s="6" t="str">
        <f t="array" ref="A1007">IF(1003&gt;$S$1204,"",INDEX($T$5:$AJ$1204,MATCH(1003,$S$5:$S$1204,0),1))</f>
        <v/>
      </c>
      <c r="B1007" s="8" t="str">
        <f t="array" ref="B1007">IF(1003&gt;$S$1204,"",INDEX($T$5:$AJ$1204,MATCH(1003,$S$5:$S$1204,0),2))</f>
        <v/>
      </c>
      <c r="C1007" s="10" t="str">
        <f t="array" ref="C1007">IF(1003&gt;$S$1204,"",INDEX($T$5:$AJ$1204,MATCH(1003,$S$5:$S$1204,0),3))</f>
        <v/>
      </c>
      <c r="D1007" s="8" t="str">
        <f t="array" ref="D1007">IF(1003&gt;$S$1204,"",INDEX($T$5:$AJ$1204,MATCH(1003,$S$5:$S$1204,0),4))</f>
        <v/>
      </c>
      <c r="E1007" s="8" t="str">
        <f t="array" ref="E1007">IF(1003&gt;$S$1204,"",INDEX($T$5:$AJ$1204,MATCH(1003,$S$5:$S$1204,0),5))</f>
        <v/>
      </c>
      <c r="F1007" s="8" t="str">
        <f t="array" ref="F1007">IF(1003&gt;$S$1204,"",INDEX($T$5:$AJ$1204,MATCH(1003,$S$5:$S$1204,0),6))</f>
        <v/>
      </c>
      <c r="G1007" s="8" t="str">
        <f t="array" ref="G1007">IF(1003&gt;$S$1204,"",INDEX($T$5:$AJ$1204,MATCH(1003,$S$5:$S$1204,0),7))</f>
        <v/>
      </c>
      <c r="H1007" s="8" t="str">
        <f t="array" ref="H1007">IF(1003&gt;$S$1204,"",INDEX($T$5:$AJ$1204,MATCH(1003,$S$5:$S$1204,0),8))</f>
        <v/>
      </c>
      <c r="I1007" s="8" t="str">
        <f t="array" ref="I1007">IF(1003&gt;$S$1204,"",INDEX($T$5:$AJ$1204,MATCH(1003,$S$5:$S$1204,0),9))</f>
        <v/>
      </c>
      <c r="J1007" s="14" t="str">
        <f t="array" ref="J1007">IF(1003&gt;$S$1204,"",INDEX($T$5:$AJ$1204,MATCH(1003,$S$5:$S$1204,0),10))</f>
        <v/>
      </c>
      <c r="K1007" s="8" t="str">
        <f t="array" ref="K1007">IF(1003&gt;$S$1204,"",INDEX($T$5:$AJ$1204,MATCH(1003,$S$5:$S$1204,0),11))</f>
        <v/>
      </c>
      <c r="L1007" s="8" t="str">
        <f t="array" ref="L1007">IF(1003&gt;$S$1204,"",INDEX($T$5:$AJ$1204,MATCH(1003,$S$5:$S$1204,0),12))</f>
        <v/>
      </c>
      <c r="M1007" s="8" t="str">
        <f t="array" ref="M1007">IF(1003&gt;$S$1204,"",INDEX($T$5:$AJ$1204,MATCH(1003,$S$5:$S$1204,0),13))</f>
        <v/>
      </c>
      <c r="N1007" s="8" t="str">
        <f t="array" ref="N1007">IF(1003&gt;$S$1204,"",INDEX($T$5:$AJ$1204,MATCH(1003,$S$5:$S$1204,0),14))</f>
        <v/>
      </c>
      <c r="O1007" s="15" t="str">
        <f t="array" ref="O1007">IF(1003&gt;$S$1204,"",INDEX($T$5:$AJ$1204,MATCH(1003,$S$5:$S$1204,0),15))</f>
        <v/>
      </c>
      <c r="P1007" s="8" t="str">
        <f t="array" ref="P1007">IF(1003&gt;$S$1204,"",INDEX($T$5:$AJ$1204,MATCH(1003,$S$5:$S$1204,0),16))</f>
        <v/>
      </c>
      <c r="Q1007" s="8" t="str">
        <f t="array" ref="Q1007">IF(1003&gt;$S$1204,"",INDEX($T$5:$AJ$1204,MATCH(1003,$S$5:$S$1204,0),17))</f>
        <v/>
      </c>
      <c r="R1007" s="17"/>
      <c r="S1007" s="17">
        <f>S1006+IF(M6_Puntos_Control!A11="",0,1)</f>
        <v>0</v>
      </c>
      <c r="T1007" s="17" t="str">
        <f>IF(M6_Puntos_Control!A11="","",IF(M6_Puntos_Control!A11="","",M6_Puntos_Control!A11))</f>
        <v/>
      </c>
      <c r="U1007" s="17" t="str">
        <f>IF(M6_Puntos_Control!A11="","",IF(M6_Puntos_Control!R11="","",M6_Puntos_Control!R11))</f>
        <v/>
      </c>
      <c r="V1007" s="17" t="str">
        <f>IF(M6_Puntos_Control!A11="","",IF(M6_Puntos_Control!D11="","",M6_Puntos_Control!D11))</f>
        <v/>
      </c>
      <c r="W1007" s="17" t="str">
        <f>IF(M6_Puntos_Control!A11="","",IF(M6_Puntos_Control!B11="","",M6_Puntos_Control!B11))</f>
        <v/>
      </c>
      <c r="X1007" s="17" t="str">
        <f>IF(M6_Puntos_Control!A11="","",IF(M6_Puntos_Control!C11="","",M6_Puntos_Control!C11))</f>
        <v/>
      </c>
      <c r="Y1007" s="17" t="str">
        <f>IF(M6_Puntos_Control!A11="","",IF(M6_Puntos_Control!E11="","",M6_Puntos_Control!E11))</f>
        <v/>
      </c>
      <c r="Z1007" s="17" t="str">
        <f>IF(M6_Puntos_Control!A11="","",IF(M6_Puntos_Control!F11="","",M6_Puntos_Control!F11))</f>
        <v/>
      </c>
      <c r="AA1007" s="17" t="str">
        <f>IF(M6_Puntos_Control!A11="","","M6 Puntos de control")</f>
        <v/>
      </c>
      <c r="AB1007" s="17" t="str">
        <f>IF(M6_Puntos_Control!A11="","",IF(M6_Puntos_Control!G11="","",M6_Puntos_Control!G11))</f>
        <v/>
      </c>
      <c r="AC1007" s="17" t="str">
        <f>IF(M6_Puntos_Control!A11="","",IF(M6_Puntos_Control!K11="Sí",IF(COUNTIFS(M6_Puntos_Control!$A$9:A11,M6_Puntos_Control!A11,M6_Puntos_Control!$D$9:D11,M6_Puntos_Control!D11,M6_Puntos_Control!$G$9:G11,M6_Puntos_Control!G11,M6_Puntos_Control!$H$9:H11,M6_Puntos_Control!H11,M6_Puntos_Control!$K$9:K11,"Sí")=1,IF(M6_Puntos_Control!M11="","",M6_Puntos_Control!M11),""),""))</f>
        <v/>
      </c>
      <c r="AD1007" s="17" t="str">
        <f>IF(M6_Puntos_Control!A11="","","RD")</f>
        <v/>
      </c>
      <c r="AE1007" s="17" t="str">
        <f>IF(M6_Puntos_Control!A11="","",IF(M6_Puntos_Control!O11="","",M6_Puntos_Control!O11))</f>
        <v/>
      </c>
      <c r="AF1007" s="17" t="str">
        <f>IF(M6_Puntos_Control!A11="","",IF(M6_Puntos_Control!P11="","",M6_Puntos_Control!P11))</f>
        <v/>
      </c>
      <c r="AG1007" s="17" t="str">
        <f>IF(M6_Puntos_Control!A11="","",IF(M6_Puntos_Control!Q11="","",M6_Puntos_Control!Q11))</f>
        <v/>
      </c>
      <c r="AH1007" s="17" t="str">
        <f>IF(M6_Puntos_Control!A11="","",IF(M6_Puntos_Control!I11="","",M6_Puntos_Control!I11))</f>
        <v/>
      </c>
      <c r="AI1007" s="17" t="str">
        <f>IF(M6_Puntos_Control!A11="","","M6_Puntos_Control!11")</f>
        <v/>
      </c>
      <c r="AJ1007" s="17" t="str">
        <f>IF(M6_Puntos_Control!A11="","",IF(M6_Puntos_Control!K11&lt;&gt;"Sí","Punto de comparación",IF(COUNTIFS(M6_Puntos_Control!$A$9:A11,M6_Puntos_Control!A11,M6_Puntos_Control!$D$9:D11,M6_Puntos_Control!D11,M6_Puntos_Control!$G$9:G11,M6_Puntos_Control!G11,M6_Puntos_Control!$H$9:H11,M6_Puntos_Control!H11,M6_Puntos_Control!$K$9:K11,"Sí")=1,IF(M6_Puntos_Control!M11="","Pendiente de resultado","Punto oficial"),"Revisar: varios puntos oficiales")))</f>
        <v/>
      </c>
    </row>
    <row r="1008" spans="1:36" ht="55.5" customHeight="1">
      <c r="A1008" s="6" t="str">
        <f t="array" ref="A1008">IF(1004&gt;$S$1204,"",INDEX($T$5:$AJ$1204,MATCH(1004,$S$5:$S$1204,0),1))</f>
        <v/>
      </c>
      <c r="B1008" s="8" t="str">
        <f t="array" ref="B1008">IF(1004&gt;$S$1204,"",INDEX($T$5:$AJ$1204,MATCH(1004,$S$5:$S$1204,0),2))</f>
        <v/>
      </c>
      <c r="C1008" s="10" t="str">
        <f t="array" ref="C1008">IF(1004&gt;$S$1204,"",INDEX($T$5:$AJ$1204,MATCH(1004,$S$5:$S$1204,0),3))</f>
        <v/>
      </c>
      <c r="D1008" s="8" t="str">
        <f t="array" ref="D1008">IF(1004&gt;$S$1204,"",INDEX($T$5:$AJ$1204,MATCH(1004,$S$5:$S$1204,0),4))</f>
        <v/>
      </c>
      <c r="E1008" s="8" t="str">
        <f t="array" ref="E1008">IF(1004&gt;$S$1204,"",INDEX($T$5:$AJ$1204,MATCH(1004,$S$5:$S$1204,0),5))</f>
        <v/>
      </c>
      <c r="F1008" s="8" t="str">
        <f t="array" ref="F1008">IF(1004&gt;$S$1204,"",INDEX($T$5:$AJ$1204,MATCH(1004,$S$5:$S$1204,0),6))</f>
        <v/>
      </c>
      <c r="G1008" s="8" t="str">
        <f t="array" ref="G1008">IF(1004&gt;$S$1204,"",INDEX($T$5:$AJ$1204,MATCH(1004,$S$5:$S$1204,0),7))</f>
        <v/>
      </c>
      <c r="H1008" s="8" t="str">
        <f t="array" ref="H1008">IF(1004&gt;$S$1204,"",INDEX($T$5:$AJ$1204,MATCH(1004,$S$5:$S$1204,0),8))</f>
        <v/>
      </c>
      <c r="I1008" s="8" t="str">
        <f t="array" ref="I1008">IF(1004&gt;$S$1204,"",INDEX($T$5:$AJ$1204,MATCH(1004,$S$5:$S$1204,0),9))</f>
        <v/>
      </c>
      <c r="J1008" s="14" t="str">
        <f t="array" ref="J1008">IF(1004&gt;$S$1204,"",INDEX($T$5:$AJ$1204,MATCH(1004,$S$5:$S$1204,0),10))</f>
        <v/>
      </c>
      <c r="K1008" s="8" t="str">
        <f t="array" ref="K1008">IF(1004&gt;$S$1204,"",INDEX($T$5:$AJ$1204,MATCH(1004,$S$5:$S$1204,0),11))</f>
        <v/>
      </c>
      <c r="L1008" s="8" t="str">
        <f t="array" ref="L1008">IF(1004&gt;$S$1204,"",INDEX($T$5:$AJ$1204,MATCH(1004,$S$5:$S$1204,0),12))</f>
        <v/>
      </c>
      <c r="M1008" s="8" t="str">
        <f t="array" ref="M1008">IF(1004&gt;$S$1204,"",INDEX($T$5:$AJ$1204,MATCH(1004,$S$5:$S$1204,0),13))</f>
        <v/>
      </c>
      <c r="N1008" s="8" t="str">
        <f t="array" ref="N1008">IF(1004&gt;$S$1204,"",INDEX($T$5:$AJ$1204,MATCH(1004,$S$5:$S$1204,0),14))</f>
        <v/>
      </c>
      <c r="O1008" s="15" t="str">
        <f t="array" ref="O1008">IF(1004&gt;$S$1204,"",INDEX($T$5:$AJ$1204,MATCH(1004,$S$5:$S$1204,0),15))</f>
        <v/>
      </c>
      <c r="P1008" s="8" t="str">
        <f t="array" ref="P1008">IF(1004&gt;$S$1204,"",INDEX($T$5:$AJ$1204,MATCH(1004,$S$5:$S$1204,0),16))</f>
        <v/>
      </c>
      <c r="Q1008" s="8" t="str">
        <f t="array" ref="Q1008">IF(1004&gt;$S$1204,"",INDEX($T$5:$AJ$1204,MATCH(1004,$S$5:$S$1204,0),17))</f>
        <v/>
      </c>
      <c r="R1008" s="17"/>
      <c r="S1008" s="17">
        <f>S1007+IF(M6_Puntos_Control!A12="",0,1)</f>
        <v>0</v>
      </c>
      <c r="T1008" s="17" t="str">
        <f>IF(M6_Puntos_Control!A12="","",IF(M6_Puntos_Control!A12="","",M6_Puntos_Control!A12))</f>
        <v/>
      </c>
      <c r="U1008" s="17" t="str">
        <f>IF(M6_Puntos_Control!A12="","",IF(M6_Puntos_Control!R12="","",M6_Puntos_Control!R12))</f>
        <v/>
      </c>
      <c r="V1008" s="17" t="str">
        <f>IF(M6_Puntos_Control!A12="","",IF(M6_Puntos_Control!D12="","",M6_Puntos_Control!D12))</f>
        <v/>
      </c>
      <c r="W1008" s="17" t="str">
        <f>IF(M6_Puntos_Control!A12="","",IF(M6_Puntos_Control!B12="","",M6_Puntos_Control!B12))</f>
        <v/>
      </c>
      <c r="X1008" s="17" t="str">
        <f>IF(M6_Puntos_Control!A12="","",IF(M6_Puntos_Control!C12="","",M6_Puntos_Control!C12))</f>
        <v/>
      </c>
      <c r="Y1008" s="17" t="str">
        <f>IF(M6_Puntos_Control!A12="","",IF(M6_Puntos_Control!E12="","",M6_Puntos_Control!E12))</f>
        <v/>
      </c>
      <c r="Z1008" s="17" t="str">
        <f>IF(M6_Puntos_Control!A12="","",IF(M6_Puntos_Control!F12="","",M6_Puntos_Control!F12))</f>
        <v/>
      </c>
      <c r="AA1008" s="17" t="str">
        <f>IF(M6_Puntos_Control!A12="","","M6 Puntos de control")</f>
        <v/>
      </c>
      <c r="AB1008" s="17" t="str">
        <f>IF(M6_Puntos_Control!A12="","",IF(M6_Puntos_Control!G12="","",M6_Puntos_Control!G12))</f>
        <v/>
      </c>
      <c r="AC1008" s="17" t="str">
        <f>IF(M6_Puntos_Control!A12="","",IF(M6_Puntos_Control!K12="Sí",IF(COUNTIFS(M6_Puntos_Control!$A$9:A12,M6_Puntos_Control!A12,M6_Puntos_Control!$D$9:D12,M6_Puntos_Control!D12,M6_Puntos_Control!$G$9:G12,M6_Puntos_Control!G12,M6_Puntos_Control!$H$9:H12,M6_Puntos_Control!H12,M6_Puntos_Control!$K$9:K12,"Sí")=1,IF(M6_Puntos_Control!M12="","",M6_Puntos_Control!M12),""),""))</f>
        <v/>
      </c>
      <c r="AD1008" s="17" t="str">
        <f>IF(M6_Puntos_Control!A12="","","RD")</f>
        <v/>
      </c>
      <c r="AE1008" s="17" t="str">
        <f>IF(M6_Puntos_Control!A12="","",IF(M6_Puntos_Control!O12="","",M6_Puntos_Control!O12))</f>
        <v/>
      </c>
      <c r="AF1008" s="17" t="str">
        <f>IF(M6_Puntos_Control!A12="","",IF(M6_Puntos_Control!P12="","",M6_Puntos_Control!P12))</f>
        <v/>
      </c>
      <c r="AG1008" s="17" t="str">
        <f>IF(M6_Puntos_Control!A12="","",IF(M6_Puntos_Control!Q12="","",M6_Puntos_Control!Q12))</f>
        <v/>
      </c>
      <c r="AH1008" s="17" t="str">
        <f>IF(M6_Puntos_Control!A12="","",IF(M6_Puntos_Control!I12="","",M6_Puntos_Control!I12))</f>
        <v/>
      </c>
      <c r="AI1008" s="17" t="str">
        <f>IF(M6_Puntos_Control!A12="","","M6_Puntos_Control!12")</f>
        <v/>
      </c>
      <c r="AJ1008" s="17" t="str">
        <f>IF(M6_Puntos_Control!A12="","",IF(M6_Puntos_Control!K12&lt;&gt;"Sí","Punto de comparación",IF(COUNTIFS(M6_Puntos_Control!$A$9:A12,M6_Puntos_Control!A12,M6_Puntos_Control!$D$9:D12,M6_Puntos_Control!D12,M6_Puntos_Control!$G$9:G12,M6_Puntos_Control!G12,M6_Puntos_Control!$H$9:H12,M6_Puntos_Control!H12,M6_Puntos_Control!$K$9:K12,"Sí")=1,IF(M6_Puntos_Control!M12="","Pendiente de resultado","Punto oficial"),"Revisar: varios puntos oficiales")))</f>
        <v/>
      </c>
    </row>
    <row r="1009" spans="1:36" ht="55.5" customHeight="1">
      <c r="A1009" s="6" t="str">
        <f t="array" ref="A1009">IF(1005&gt;$S$1204,"",INDEX($T$5:$AJ$1204,MATCH(1005,$S$5:$S$1204,0),1))</f>
        <v/>
      </c>
      <c r="B1009" s="8" t="str">
        <f t="array" ref="B1009">IF(1005&gt;$S$1204,"",INDEX($T$5:$AJ$1204,MATCH(1005,$S$5:$S$1204,0),2))</f>
        <v/>
      </c>
      <c r="C1009" s="10" t="str">
        <f t="array" ref="C1009">IF(1005&gt;$S$1204,"",INDEX($T$5:$AJ$1204,MATCH(1005,$S$5:$S$1204,0),3))</f>
        <v/>
      </c>
      <c r="D1009" s="8" t="str">
        <f t="array" ref="D1009">IF(1005&gt;$S$1204,"",INDEX($T$5:$AJ$1204,MATCH(1005,$S$5:$S$1204,0),4))</f>
        <v/>
      </c>
      <c r="E1009" s="8" t="str">
        <f t="array" ref="E1009">IF(1005&gt;$S$1204,"",INDEX($T$5:$AJ$1204,MATCH(1005,$S$5:$S$1204,0),5))</f>
        <v/>
      </c>
      <c r="F1009" s="8" t="str">
        <f t="array" ref="F1009">IF(1005&gt;$S$1204,"",INDEX($T$5:$AJ$1204,MATCH(1005,$S$5:$S$1204,0),6))</f>
        <v/>
      </c>
      <c r="G1009" s="8" t="str">
        <f t="array" ref="G1009">IF(1005&gt;$S$1204,"",INDEX($T$5:$AJ$1204,MATCH(1005,$S$5:$S$1204,0),7))</f>
        <v/>
      </c>
      <c r="H1009" s="8" t="str">
        <f t="array" ref="H1009">IF(1005&gt;$S$1204,"",INDEX($T$5:$AJ$1204,MATCH(1005,$S$5:$S$1204,0),8))</f>
        <v/>
      </c>
      <c r="I1009" s="8" t="str">
        <f t="array" ref="I1009">IF(1005&gt;$S$1204,"",INDEX($T$5:$AJ$1204,MATCH(1005,$S$5:$S$1204,0),9))</f>
        <v/>
      </c>
      <c r="J1009" s="14" t="str">
        <f t="array" ref="J1009">IF(1005&gt;$S$1204,"",INDEX($T$5:$AJ$1204,MATCH(1005,$S$5:$S$1204,0),10))</f>
        <v/>
      </c>
      <c r="K1009" s="8" t="str">
        <f t="array" ref="K1009">IF(1005&gt;$S$1204,"",INDEX($T$5:$AJ$1204,MATCH(1005,$S$5:$S$1204,0),11))</f>
        <v/>
      </c>
      <c r="L1009" s="8" t="str">
        <f t="array" ref="L1009">IF(1005&gt;$S$1204,"",INDEX($T$5:$AJ$1204,MATCH(1005,$S$5:$S$1204,0),12))</f>
        <v/>
      </c>
      <c r="M1009" s="8" t="str">
        <f t="array" ref="M1009">IF(1005&gt;$S$1204,"",INDEX($T$5:$AJ$1204,MATCH(1005,$S$5:$S$1204,0),13))</f>
        <v/>
      </c>
      <c r="N1009" s="8" t="str">
        <f t="array" ref="N1009">IF(1005&gt;$S$1204,"",INDEX($T$5:$AJ$1204,MATCH(1005,$S$5:$S$1204,0),14))</f>
        <v/>
      </c>
      <c r="O1009" s="15" t="str">
        <f t="array" ref="O1009">IF(1005&gt;$S$1204,"",INDEX($T$5:$AJ$1204,MATCH(1005,$S$5:$S$1204,0),15))</f>
        <v/>
      </c>
      <c r="P1009" s="8" t="str">
        <f t="array" ref="P1009">IF(1005&gt;$S$1204,"",INDEX($T$5:$AJ$1204,MATCH(1005,$S$5:$S$1204,0),16))</f>
        <v/>
      </c>
      <c r="Q1009" s="8" t="str">
        <f t="array" ref="Q1009">IF(1005&gt;$S$1204,"",INDEX($T$5:$AJ$1204,MATCH(1005,$S$5:$S$1204,0),17))</f>
        <v/>
      </c>
      <c r="R1009" s="17"/>
      <c r="S1009" s="17">
        <f>S1008+IF(M6_Puntos_Control!A13="",0,1)</f>
        <v>0</v>
      </c>
      <c r="T1009" s="17" t="str">
        <f>IF(M6_Puntos_Control!A13="","",IF(M6_Puntos_Control!A13="","",M6_Puntos_Control!A13))</f>
        <v/>
      </c>
      <c r="U1009" s="17" t="str">
        <f>IF(M6_Puntos_Control!A13="","",IF(M6_Puntos_Control!R13="","",M6_Puntos_Control!R13))</f>
        <v/>
      </c>
      <c r="V1009" s="17" t="str">
        <f>IF(M6_Puntos_Control!A13="","",IF(M6_Puntos_Control!D13="","",M6_Puntos_Control!D13))</f>
        <v/>
      </c>
      <c r="W1009" s="17" t="str">
        <f>IF(M6_Puntos_Control!A13="","",IF(M6_Puntos_Control!B13="","",M6_Puntos_Control!B13))</f>
        <v/>
      </c>
      <c r="X1009" s="17" t="str">
        <f>IF(M6_Puntos_Control!A13="","",IF(M6_Puntos_Control!C13="","",M6_Puntos_Control!C13))</f>
        <v/>
      </c>
      <c r="Y1009" s="17" t="str">
        <f>IF(M6_Puntos_Control!A13="","",IF(M6_Puntos_Control!E13="","",M6_Puntos_Control!E13))</f>
        <v/>
      </c>
      <c r="Z1009" s="17" t="str">
        <f>IF(M6_Puntos_Control!A13="","",IF(M6_Puntos_Control!F13="","",M6_Puntos_Control!F13))</f>
        <v/>
      </c>
      <c r="AA1009" s="17" t="str">
        <f>IF(M6_Puntos_Control!A13="","","M6 Puntos de control")</f>
        <v/>
      </c>
      <c r="AB1009" s="17" t="str">
        <f>IF(M6_Puntos_Control!A13="","",IF(M6_Puntos_Control!G13="","",M6_Puntos_Control!G13))</f>
        <v/>
      </c>
      <c r="AC1009" s="17" t="str">
        <f>IF(M6_Puntos_Control!A13="","",IF(M6_Puntos_Control!K13="Sí",IF(COUNTIFS(M6_Puntos_Control!$A$9:A13,M6_Puntos_Control!A13,M6_Puntos_Control!$D$9:D13,M6_Puntos_Control!D13,M6_Puntos_Control!$G$9:G13,M6_Puntos_Control!G13,M6_Puntos_Control!$H$9:H13,M6_Puntos_Control!H13,M6_Puntos_Control!$K$9:K13,"Sí")=1,IF(M6_Puntos_Control!M13="","",M6_Puntos_Control!M13),""),""))</f>
        <v/>
      </c>
      <c r="AD1009" s="17" t="str">
        <f>IF(M6_Puntos_Control!A13="","","RD")</f>
        <v/>
      </c>
      <c r="AE1009" s="17" t="str">
        <f>IF(M6_Puntos_Control!A13="","",IF(M6_Puntos_Control!O13="","",M6_Puntos_Control!O13))</f>
        <v/>
      </c>
      <c r="AF1009" s="17" t="str">
        <f>IF(M6_Puntos_Control!A13="","",IF(M6_Puntos_Control!P13="","",M6_Puntos_Control!P13))</f>
        <v/>
      </c>
      <c r="AG1009" s="17" t="str">
        <f>IF(M6_Puntos_Control!A13="","",IF(M6_Puntos_Control!Q13="","",M6_Puntos_Control!Q13))</f>
        <v/>
      </c>
      <c r="AH1009" s="17" t="str">
        <f>IF(M6_Puntos_Control!A13="","",IF(M6_Puntos_Control!I13="","",M6_Puntos_Control!I13))</f>
        <v/>
      </c>
      <c r="AI1009" s="17" t="str">
        <f>IF(M6_Puntos_Control!A13="","","M6_Puntos_Control!13")</f>
        <v/>
      </c>
      <c r="AJ1009" s="17" t="str">
        <f>IF(M6_Puntos_Control!A13="","",IF(M6_Puntos_Control!K13&lt;&gt;"Sí","Punto de comparación",IF(COUNTIFS(M6_Puntos_Control!$A$9:A13,M6_Puntos_Control!A13,M6_Puntos_Control!$D$9:D13,M6_Puntos_Control!D13,M6_Puntos_Control!$G$9:G13,M6_Puntos_Control!G13,M6_Puntos_Control!$H$9:H13,M6_Puntos_Control!H13,M6_Puntos_Control!$K$9:K13,"Sí")=1,IF(M6_Puntos_Control!M13="","Pendiente de resultado","Punto oficial"),"Revisar: varios puntos oficiales")))</f>
        <v/>
      </c>
    </row>
    <row r="1010" spans="1:36" ht="55.5" customHeight="1">
      <c r="A1010" s="6" t="str">
        <f t="array" ref="A1010">IF(1006&gt;$S$1204,"",INDEX($T$5:$AJ$1204,MATCH(1006,$S$5:$S$1204,0),1))</f>
        <v/>
      </c>
      <c r="B1010" s="8" t="str">
        <f t="array" ref="B1010">IF(1006&gt;$S$1204,"",INDEX($T$5:$AJ$1204,MATCH(1006,$S$5:$S$1204,0),2))</f>
        <v/>
      </c>
      <c r="C1010" s="10" t="str">
        <f t="array" ref="C1010">IF(1006&gt;$S$1204,"",INDEX($T$5:$AJ$1204,MATCH(1006,$S$5:$S$1204,0),3))</f>
        <v/>
      </c>
      <c r="D1010" s="8" t="str">
        <f t="array" ref="D1010">IF(1006&gt;$S$1204,"",INDEX($T$5:$AJ$1204,MATCH(1006,$S$5:$S$1204,0),4))</f>
        <v/>
      </c>
      <c r="E1010" s="8" t="str">
        <f t="array" ref="E1010">IF(1006&gt;$S$1204,"",INDEX($T$5:$AJ$1204,MATCH(1006,$S$5:$S$1204,0),5))</f>
        <v/>
      </c>
      <c r="F1010" s="8" t="str">
        <f t="array" ref="F1010">IF(1006&gt;$S$1204,"",INDEX($T$5:$AJ$1204,MATCH(1006,$S$5:$S$1204,0),6))</f>
        <v/>
      </c>
      <c r="G1010" s="8" t="str">
        <f t="array" ref="G1010">IF(1006&gt;$S$1204,"",INDEX($T$5:$AJ$1204,MATCH(1006,$S$5:$S$1204,0),7))</f>
        <v/>
      </c>
      <c r="H1010" s="8" t="str">
        <f t="array" ref="H1010">IF(1006&gt;$S$1204,"",INDEX($T$5:$AJ$1204,MATCH(1006,$S$5:$S$1204,0),8))</f>
        <v/>
      </c>
      <c r="I1010" s="8" t="str">
        <f t="array" ref="I1010">IF(1006&gt;$S$1204,"",INDEX($T$5:$AJ$1204,MATCH(1006,$S$5:$S$1204,0),9))</f>
        <v/>
      </c>
      <c r="J1010" s="14" t="str">
        <f t="array" ref="J1010">IF(1006&gt;$S$1204,"",INDEX($T$5:$AJ$1204,MATCH(1006,$S$5:$S$1204,0),10))</f>
        <v/>
      </c>
      <c r="K1010" s="8" t="str">
        <f t="array" ref="K1010">IF(1006&gt;$S$1204,"",INDEX($T$5:$AJ$1204,MATCH(1006,$S$5:$S$1204,0),11))</f>
        <v/>
      </c>
      <c r="L1010" s="8" t="str">
        <f t="array" ref="L1010">IF(1006&gt;$S$1204,"",INDEX($T$5:$AJ$1204,MATCH(1006,$S$5:$S$1204,0),12))</f>
        <v/>
      </c>
      <c r="M1010" s="8" t="str">
        <f t="array" ref="M1010">IF(1006&gt;$S$1204,"",INDEX($T$5:$AJ$1204,MATCH(1006,$S$5:$S$1204,0),13))</f>
        <v/>
      </c>
      <c r="N1010" s="8" t="str">
        <f t="array" ref="N1010">IF(1006&gt;$S$1204,"",INDEX($T$5:$AJ$1204,MATCH(1006,$S$5:$S$1204,0),14))</f>
        <v/>
      </c>
      <c r="O1010" s="15" t="str">
        <f t="array" ref="O1010">IF(1006&gt;$S$1204,"",INDEX($T$5:$AJ$1204,MATCH(1006,$S$5:$S$1204,0),15))</f>
        <v/>
      </c>
      <c r="P1010" s="8" t="str">
        <f t="array" ref="P1010">IF(1006&gt;$S$1204,"",INDEX($T$5:$AJ$1204,MATCH(1006,$S$5:$S$1204,0),16))</f>
        <v/>
      </c>
      <c r="Q1010" s="8" t="str">
        <f t="array" ref="Q1010">IF(1006&gt;$S$1204,"",INDEX($T$5:$AJ$1204,MATCH(1006,$S$5:$S$1204,0),17))</f>
        <v/>
      </c>
      <c r="R1010" s="17"/>
      <c r="S1010" s="17">
        <f>S1009+IF(M6_Puntos_Control!A14="",0,1)</f>
        <v>0</v>
      </c>
      <c r="T1010" s="17" t="str">
        <f>IF(M6_Puntos_Control!A14="","",IF(M6_Puntos_Control!A14="","",M6_Puntos_Control!A14))</f>
        <v/>
      </c>
      <c r="U1010" s="17" t="str">
        <f>IF(M6_Puntos_Control!A14="","",IF(M6_Puntos_Control!R14="","",M6_Puntos_Control!R14))</f>
        <v/>
      </c>
      <c r="V1010" s="17" t="str">
        <f>IF(M6_Puntos_Control!A14="","",IF(M6_Puntos_Control!D14="","",M6_Puntos_Control!D14))</f>
        <v/>
      </c>
      <c r="W1010" s="17" t="str">
        <f>IF(M6_Puntos_Control!A14="","",IF(M6_Puntos_Control!B14="","",M6_Puntos_Control!B14))</f>
        <v/>
      </c>
      <c r="X1010" s="17" t="str">
        <f>IF(M6_Puntos_Control!A14="","",IF(M6_Puntos_Control!C14="","",M6_Puntos_Control!C14))</f>
        <v/>
      </c>
      <c r="Y1010" s="17" t="str">
        <f>IF(M6_Puntos_Control!A14="","",IF(M6_Puntos_Control!E14="","",M6_Puntos_Control!E14))</f>
        <v/>
      </c>
      <c r="Z1010" s="17" t="str">
        <f>IF(M6_Puntos_Control!A14="","",IF(M6_Puntos_Control!F14="","",M6_Puntos_Control!F14))</f>
        <v/>
      </c>
      <c r="AA1010" s="17" t="str">
        <f>IF(M6_Puntos_Control!A14="","","M6 Puntos de control")</f>
        <v/>
      </c>
      <c r="AB1010" s="17" t="str">
        <f>IF(M6_Puntos_Control!A14="","",IF(M6_Puntos_Control!G14="","",M6_Puntos_Control!G14))</f>
        <v/>
      </c>
      <c r="AC1010" s="17" t="str">
        <f>IF(M6_Puntos_Control!A14="","",IF(M6_Puntos_Control!K14="Sí",IF(COUNTIFS(M6_Puntos_Control!$A$9:A14,M6_Puntos_Control!A14,M6_Puntos_Control!$D$9:D14,M6_Puntos_Control!D14,M6_Puntos_Control!$G$9:G14,M6_Puntos_Control!G14,M6_Puntos_Control!$H$9:H14,M6_Puntos_Control!H14,M6_Puntos_Control!$K$9:K14,"Sí")=1,IF(M6_Puntos_Control!M14="","",M6_Puntos_Control!M14),""),""))</f>
        <v/>
      </c>
      <c r="AD1010" s="17" t="str">
        <f>IF(M6_Puntos_Control!A14="","","RD")</f>
        <v/>
      </c>
      <c r="AE1010" s="17" t="str">
        <f>IF(M6_Puntos_Control!A14="","",IF(M6_Puntos_Control!O14="","",M6_Puntos_Control!O14))</f>
        <v/>
      </c>
      <c r="AF1010" s="17" t="str">
        <f>IF(M6_Puntos_Control!A14="","",IF(M6_Puntos_Control!P14="","",M6_Puntos_Control!P14))</f>
        <v/>
      </c>
      <c r="AG1010" s="17" t="str">
        <f>IF(M6_Puntos_Control!A14="","",IF(M6_Puntos_Control!Q14="","",M6_Puntos_Control!Q14))</f>
        <v/>
      </c>
      <c r="AH1010" s="17" t="str">
        <f>IF(M6_Puntos_Control!A14="","",IF(M6_Puntos_Control!I14="","",M6_Puntos_Control!I14))</f>
        <v/>
      </c>
      <c r="AI1010" s="17" t="str">
        <f>IF(M6_Puntos_Control!A14="","","M6_Puntos_Control!14")</f>
        <v/>
      </c>
      <c r="AJ1010" s="17" t="str">
        <f>IF(M6_Puntos_Control!A14="","",IF(M6_Puntos_Control!K14&lt;&gt;"Sí","Punto de comparación",IF(COUNTIFS(M6_Puntos_Control!$A$9:A14,M6_Puntos_Control!A14,M6_Puntos_Control!$D$9:D14,M6_Puntos_Control!D14,M6_Puntos_Control!$G$9:G14,M6_Puntos_Control!G14,M6_Puntos_Control!$H$9:H14,M6_Puntos_Control!H14,M6_Puntos_Control!$K$9:K14,"Sí")=1,IF(M6_Puntos_Control!M14="","Pendiente de resultado","Punto oficial"),"Revisar: varios puntos oficiales")))</f>
        <v/>
      </c>
    </row>
    <row r="1011" spans="1:36" ht="55.5" customHeight="1">
      <c r="A1011" s="6" t="str">
        <f t="array" ref="A1011">IF(1007&gt;$S$1204,"",INDEX($T$5:$AJ$1204,MATCH(1007,$S$5:$S$1204,0),1))</f>
        <v/>
      </c>
      <c r="B1011" s="8" t="str">
        <f t="array" ref="B1011">IF(1007&gt;$S$1204,"",INDEX($T$5:$AJ$1204,MATCH(1007,$S$5:$S$1204,0),2))</f>
        <v/>
      </c>
      <c r="C1011" s="10" t="str">
        <f t="array" ref="C1011">IF(1007&gt;$S$1204,"",INDEX($T$5:$AJ$1204,MATCH(1007,$S$5:$S$1204,0),3))</f>
        <v/>
      </c>
      <c r="D1011" s="8" t="str">
        <f t="array" ref="D1011">IF(1007&gt;$S$1204,"",INDEX($T$5:$AJ$1204,MATCH(1007,$S$5:$S$1204,0),4))</f>
        <v/>
      </c>
      <c r="E1011" s="8" t="str">
        <f t="array" ref="E1011">IF(1007&gt;$S$1204,"",INDEX($T$5:$AJ$1204,MATCH(1007,$S$5:$S$1204,0),5))</f>
        <v/>
      </c>
      <c r="F1011" s="8" t="str">
        <f t="array" ref="F1011">IF(1007&gt;$S$1204,"",INDEX($T$5:$AJ$1204,MATCH(1007,$S$5:$S$1204,0),6))</f>
        <v/>
      </c>
      <c r="G1011" s="8" t="str">
        <f t="array" ref="G1011">IF(1007&gt;$S$1204,"",INDEX($T$5:$AJ$1204,MATCH(1007,$S$5:$S$1204,0),7))</f>
        <v/>
      </c>
      <c r="H1011" s="8" t="str">
        <f t="array" ref="H1011">IF(1007&gt;$S$1204,"",INDEX($T$5:$AJ$1204,MATCH(1007,$S$5:$S$1204,0),8))</f>
        <v/>
      </c>
      <c r="I1011" s="8" t="str">
        <f t="array" ref="I1011">IF(1007&gt;$S$1204,"",INDEX($T$5:$AJ$1204,MATCH(1007,$S$5:$S$1204,0),9))</f>
        <v/>
      </c>
      <c r="J1011" s="14" t="str">
        <f t="array" ref="J1011">IF(1007&gt;$S$1204,"",INDEX($T$5:$AJ$1204,MATCH(1007,$S$5:$S$1204,0),10))</f>
        <v/>
      </c>
      <c r="K1011" s="8" t="str">
        <f t="array" ref="K1011">IF(1007&gt;$S$1204,"",INDEX($T$5:$AJ$1204,MATCH(1007,$S$5:$S$1204,0),11))</f>
        <v/>
      </c>
      <c r="L1011" s="8" t="str">
        <f t="array" ref="L1011">IF(1007&gt;$S$1204,"",INDEX($T$5:$AJ$1204,MATCH(1007,$S$5:$S$1204,0),12))</f>
        <v/>
      </c>
      <c r="M1011" s="8" t="str">
        <f t="array" ref="M1011">IF(1007&gt;$S$1204,"",INDEX($T$5:$AJ$1204,MATCH(1007,$S$5:$S$1204,0),13))</f>
        <v/>
      </c>
      <c r="N1011" s="8" t="str">
        <f t="array" ref="N1011">IF(1007&gt;$S$1204,"",INDEX($T$5:$AJ$1204,MATCH(1007,$S$5:$S$1204,0),14))</f>
        <v/>
      </c>
      <c r="O1011" s="15" t="str">
        <f t="array" ref="O1011">IF(1007&gt;$S$1204,"",INDEX($T$5:$AJ$1204,MATCH(1007,$S$5:$S$1204,0),15))</f>
        <v/>
      </c>
      <c r="P1011" s="8" t="str">
        <f t="array" ref="P1011">IF(1007&gt;$S$1204,"",INDEX($T$5:$AJ$1204,MATCH(1007,$S$5:$S$1204,0),16))</f>
        <v/>
      </c>
      <c r="Q1011" s="8" t="str">
        <f t="array" ref="Q1011">IF(1007&gt;$S$1204,"",INDEX($T$5:$AJ$1204,MATCH(1007,$S$5:$S$1204,0),17))</f>
        <v/>
      </c>
      <c r="R1011" s="17"/>
      <c r="S1011" s="17">
        <f>S1010+IF(M6_Puntos_Control!A15="",0,1)</f>
        <v>0</v>
      </c>
      <c r="T1011" s="17" t="str">
        <f>IF(M6_Puntos_Control!A15="","",IF(M6_Puntos_Control!A15="","",M6_Puntos_Control!A15))</f>
        <v/>
      </c>
      <c r="U1011" s="17" t="str">
        <f>IF(M6_Puntos_Control!A15="","",IF(M6_Puntos_Control!R15="","",M6_Puntos_Control!R15))</f>
        <v/>
      </c>
      <c r="V1011" s="17" t="str">
        <f>IF(M6_Puntos_Control!A15="","",IF(M6_Puntos_Control!D15="","",M6_Puntos_Control!D15))</f>
        <v/>
      </c>
      <c r="W1011" s="17" t="str">
        <f>IF(M6_Puntos_Control!A15="","",IF(M6_Puntos_Control!B15="","",M6_Puntos_Control!B15))</f>
        <v/>
      </c>
      <c r="X1011" s="17" t="str">
        <f>IF(M6_Puntos_Control!A15="","",IF(M6_Puntos_Control!C15="","",M6_Puntos_Control!C15))</f>
        <v/>
      </c>
      <c r="Y1011" s="17" t="str">
        <f>IF(M6_Puntos_Control!A15="","",IF(M6_Puntos_Control!E15="","",M6_Puntos_Control!E15))</f>
        <v/>
      </c>
      <c r="Z1011" s="17" t="str">
        <f>IF(M6_Puntos_Control!A15="","",IF(M6_Puntos_Control!F15="","",M6_Puntos_Control!F15))</f>
        <v/>
      </c>
      <c r="AA1011" s="17" t="str">
        <f>IF(M6_Puntos_Control!A15="","","M6 Puntos de control")</f>
        <v/>
      </c>
      <c r="AB1011" s="17" t="str">
        <f>IF(M6_Puntos_Control!A15="","",IF(M6_Puntos_Control!G15="","",M6_Puntos_Control!G15))</f>
        <v/>
      </c>
      <c r="AC1011" s="17" t="str">
        <f>IF(M6_Puntos_Control!A15="","",IF(M6_Puntos_Control!K15="Sí",IF(COUNTIFS(M6_Puntos_Control!$A$9:A15,M6_Puntos_Control!A15,M6_Puntos_Control!$D$9:D15,M6_Puntos_Control!D15,M6_Puntos_Control!$G$9:G15,M6_Puntos_Control!G15,M6_Puntos_Control!$H$9:H15,M6_Puntos_Control!H15,M6_Puntos_Control!$K$9:K15,"Sí")=1,IF(M6_Puntos_Control!M15="","",M6_Puntos_Control!M15),""),""))</f>
        <v/>
      </c>
      <c r="AD1011" s="17" t="str">
        <f>IF(M6_Puntos_Control!A15="","","RD")</f>
        <v/>
      </c>
      <c r="AE1011" s="17" t="str">
        <f>IF(M6_Puntos_Control!A15="","",IF(M6_Puntos_Control!O15="","",M6_Puntos_Control!O15))</f>
        <v/>
      </c>
      <c r="AF1011" s="17" t="str">
        <f>IF(M6_Puntos_Control!A15="","",IF(M6_Puntos_Control!P15="","",M6_Puntos_Control!P15))</f>
        <v/>
      </c>
      <c r="AG1011" s="17" t="str">
        <f>IF(M6_Puntos_Control!A15="","",IF(M6_Puntos_Control!Q15="","",M6_Puntos_Control!Q15))</f>
        <v/>
      </c>
      <c r="AH1011" s="17" t="str">
        <f>IF(M6_Puntos_Control!A15="","",IF(M6_Puntos_Control!I15="","",M6_Puntos_Control!I15))</f>
        <v/>
      </c>
      <c r="AI1011" s="17" t="str">
        <f>IF(M6_Puntos_Control!A15="","","M6_Puntos_Control!15")</f>
        <v/>
      </c>
      <c r="AJ1011" s="17" t="str">
        <f>IF(M6_Puntos_Control!A15="","",IF(M6_Puntos_Control!K15&lt;&gt;"Sí","Punto de comparación",IF(COUNTIFS(M6_Puntos_Control!$A$9:A15,M6_Puntos_Control!A15,M6_Puntos_Control!$D$9:D15,M6_Puntos_Control!D15,M6_Puntos_Control!$G$9:G15,M6_Puntos_Control!G15,M6_Puntos_Control!$H$9:H15,M6_Puntos_Control!H15,M6_Puntos_Control!$K$9:K15,"Sí")=1,IF(M6_Puntos_Control!M15="","Pendiente de resultado","Punto oficial"),"Revisar: varios puntos oficiales")))</f>
        <v/>
      </c>
    </row>
    <row r="1012" spans="1:36" ht="55.5" customHeight="1">
      <c r="A1012" s="6" t="str">
        <f t="array" ref="A1012">IF(1008&gt;$S$1204,"",INDEX($T$5:$AJ$1204,MATCH(1008,$S$5:$S$1204,0),1))</f>
        <v/>
      </c>
      <c r="B1012" s="8" t="str">
        <f t="array" ref="B1012">IF(1008&gt;$S$1204,"",INDEX($T$5:$AJ$1204,MATCH(1008,$S$5:$S$1204,0),2))</f>
        <v/>
      </c>
      <c r="C1012" s="10" t="str">
        <f t="array" ref="C1012">IF(1008&gt;$S$1204,"",INDEX($T$5:$AJ$1204,MATCH(1008,$S$5:$S$1204,0),3))</f>
        <v/>
      </c>
      <c r="D1012" s="8" t="str">
        <f t="array" ref="D1012">IF(1008&gt;$S$1204,"",INDEX($T$5:$AJ$1204,MATCH(1008,$S$5:$S$1204,0),4))</f>
        <v/>
      </c>
      <c r="E1012" s="8" t="str">
        <f t="array" ref="E1012">IF(1008&gt;$S$1204,"",INDEX($T$5:$AJ$1204,MATCH(1008,$S$5:$S$1204,0),5))</f>
        <v/>
      </c>
      <c r="F1012" s="8" t="str">
        <f t="array" ref="F1012">IF(1008&gt;$S$1204,"",INDEX($T$5:$AJ$1204,MATCH(1008,$S$5:$S$1204,0),6))</f>
        <v/>
      </c>
      <c r="G1012" s="8" t="str">
        <f t="array" ref="G1012">IF(1008&gt;$S$1204,"",INDEX($T$5:$AJ$1204,MATCH(1008,$S$5:$S$1204,0),7))</f>
        <v/>
      </c>
      <c r="H1012" s="8" t="str">
        <f t="array" ref="H1012">IF(1008&gt;$S$1204,"",INDEX($T$5:$AJ$1204,MATCH(1008,$S$5:$S$1204,0),8))</f>
        <v/>
      </c>
      <c r="I1012" s="8" t="str">
        <f t="array" ref="I1012">IF(1008&gt;$S$1204,"",INDEX($T$5:$AJ$1204,MATCH(1008,$S$5:$S$1204,0),9))</f>
        <v/>
      </c>
      <c r="J1012" s="14" t="str">
        <f t="array" ref="J1012">IF(1008&gt;$S$1204,"",INDEX($T$5:$AJ$1204,MATCH(1008,$S$5:$S$1204,0),10))</f>
        <v/>
      </c>
      <c r="K1012" s="8" t="str">
        <f t="array" ref="K1012">IF(1008&gt;$S$1204,"",INDEX($T$5:$AJ$1204,MATCH(1008,$S$5:$S$1204,0),11))</f>
        <v/>
      </c>
      <c r="L1012" s="8" t="str">
        <f t="array" ref="L1012">IF(1008&gt;$S$1204,"",INDEX($T$5:$AJ$1204,MATCH(1008,$S$5:$S$1204,0),12))</f>
        <v/>
      </c>
      <c r="M1012" s="8" t="str">
        <f t="array" ref="M1012">IF(1008&gt;$S$1204,"",INDEX($T$5:$AJ$1204,MATCH(1008,$S$5:$S$1204,0),13))</f>
        <v/>
      </c>
      <c r="N1012" s="8" t="str">
        <f t="array" ref="N1012">IF(1008&gt;$S$1204,"",INDEX($T$5:$AJ$1204,MATCH(1008,$S$5:$S$1204,0),14))</f>
        <v/>
      </c>
      <c r="O1012" s="15" t="str">
        <f t="array" ref="O1012">IF(1008&gt;$S$1204,"",INDEX($T$5:$AJ$1204,MATCH(1008,$S$5:$S$1204,0),15))</f>
        <v/>
      </c>
      <c r="P1012" s="8" t="str">
        <f t="array" ref="P1012">IF(1008&gt;$S$1204,"",INDEX($T$5:$AJ$1204,MATCH(1008,$S$5:$S$1204,0),16))</f>
        <v/>
      </c>
      <c r="Q1012" s="8" t="str">
        <f t="array" ref="Q1012">IF(1008&gt;$S$1204,"",INDEX($T$5:$AJ$1204,MATCH(1008,$S$5:$S$1204,0),17))</f>
        <v/>
      </c>
      <c r="R1012" s="17"/>
      <c r="S1012" s="17">
        <f>S1011+IF(M6_Puntos_Control!A16="",0,1)</f>
        <v>0</v>
      </c>
      <c r="T1012" s="17" t="str">
        <f>IF(M6_Puntos_Control!A16="","",IF(M6_Puntos_Control!A16="","",M6_Puntos_Control!A16))</f>
        <v/>
      </c>
      <c r="U1012" s="17" t="str">
        <f>IF(M6_Puntos_Control!A16="","",IF(M6_Puntos_Control!R16="","",M6_Puntos_Control!R16))</f>
        <v/>
      </c>
      <c r="V1012" s="17" t="str">
        <f>IF(M6_Puntos_Control!A16="","",IF(M6_Puntos_Control!D16="","",M6_Puntos_Control!D16))</f>
        <v/>
      </c>
      <c r="W1012" s="17" t="str">
        <f>IF(M6_Puntos_Control!A16="","",IF(M6_Puntos_Control!B16="","",M6_Puntos_Control!B16))</f>
        <v/>
      </c>
      <c r="X1012" s="17" t="str">
        <f>IF(M6_Puntos_Control!A16="","",IF(M6_Puntos_Control!C16="","",M6_Puntos_Control!C16))</f>
        <v/>
      </c>
      <c r="Y1012" s="17" t="str">
        <f>IF(M6_Puntos_Control!A16="","",IF(M6_Puntos_Control!E16="","",M6_Puntos_Control!E16))</f>
        <v/>
      </c>
      <c r="Z1012" s="17" t="str">
        <f>IF(M6_Puntos_Control!A16="","",IF(M6_Puntos_Control!F16="","",M6_Puntos_Control!F16))</f>
        <v/>
      </c>
      <c r="AA1012" s="17" t="str">
        <f>IF(M6_Puntos_Control!A16="","","M6 Puntos de control")</f>
        <v/>
      </c>
      <c r="AB1012" s="17" t="str">
        <f>IF(M6_Puntos_Control!A16="","",IF(M6_Puntos_Control!G16="","",M6_Puntos_Control!G16))</f>
        <v/>
      </c>
      <c r="AC1012" s="17" t="str">
        <f>IF(M6_Puntos_Control!A16="","",IF(M6_Puntos_Control!K16="Sí",IF(COUNTIFS(M6_Puntos_Control!$A$9:A16,M6_Puntos_Control!A16,M6_Puntos_Control!$D$9:D16,M6_Puntos_Control!D16,M6_Puntos_Control!$G$9:G16,M6_Puntos_Control!G16,M6_Puntos_Control!$H$9:H16,M6_Puntos_Control!H16,M6_Puntos_Control!$K$9:K16,"Sí")=1,IF(M6_Puntos_Control!M16="","",M6_Puntos_Control!M16),""),""))</f>
        <v/>
      </c>
      <c r="AD1012" s="17" t="str">
        <f>IF(M6_Puntos_Control!A16="","","RD")</f>
        <v/>
      </c>
      <c r="AE1012" s="17" t="str">
        <f>IF(M6_Puntos_Control!A16="","",IF(M6_Puntos_Control!O16="","",M6_Puntos_Control!O16))</f>
        <v/>
      </c>
      <c r="AF1012" s="17" t="str">
        <f>IF(M6_Puntos_Control!A16="","",IF(M6_Puntos_Control!P16="","",M6_Puntos_Control!P16))</f>
        <v/>
      </c>
      <c r="AG1012" s="17" t="str">
        <f>IF(M6_Puntos_Control!A16="","",IF(M6_Puntos_Control!Q16="","",M6_Puntos_Control!Q16))</f>
        <v/>
      </c>
      <c r="AH1012" s="17" t="str">
        <f>IF(M6_Puntos_Control!A16="","",IF(M6_Puntos_Control!I16="","",M6_Puntos_Control!I16))</f>
        <v/>
      </c>
      <c r="AI1012" s="17" t="str">
        <f>IF(M6_Puntos_Control!A16="","","M6_Puntos_Control!16")</f>
        <v/>
      </c>
      <c r="AJ1012" s="17" t="str">
        <f>IF(M6_Puntos_Control!A16="","",IF(M6_Puntos_Control!K16&lt;&gt;"Sí","Punto de comparación",IF(COUNTIFS(M6_Puntos_Control!$A$9:A16,M6_Puntos_Control!A16,M6_Puntos_Control!$D$9:D16,M6_Puntos_Control!D16,M6_Puntos_Control!$G$9:G16,M6_Puntos_Control!G16,M6_Puntos_Control!$H$9:H16,M6_Puntos_Control!H16,M6_Puntos_Control!$K$9:K16,"Sí")=1,IF(M6_Puntos_Control!M16="","Pendiente de resultado","Punto oficial"),"Revisar: varios puntos oficiales")))</f>
        <v/>
      </c>
    </row>
    <row r="1013" spans="1:36" ht="55.5" customHeight="1">
      <c r="A1013" s="6" t="str">
        <f t="array" ref="A1013">IF(1009&gt;$S$1204,"",INDEX($T$5:$AJ$1204,MATCH(1009,$S$5:$S$1204,0),1))</f>
        <v/>
      </c>
      <c r="B1013" s="8" t="str">
        <f t="array" ref="B1013">IF(1009&gt;$S$1204,"",INDEX($T$5:$AJ$1204,MATCH(1009,$S$5:$S$1204,0),2))</f>
        <v/>
      </c>
      <c r="C1013" s="10" t="str">
        <f t="array" ref="C1013">IF(1009&gt;$S$1204,"",INDEX($T$5:$AJ$1204,MATCH(1009,$S$5:$S$1204,0),3))</f>
        <v/>
      </c>
      <c r="D1013" s="8" t="str">
        <f t="array" ref="D1013">IF(1009&gt;$S$1204,"",INDEX($T$5:$AJ$1204,MATCH(1009,$S$5:$S$1204,0),4))</f>
        <v/>
      </c>
      <c r="E1013" s="8" t="str">
        <f t="array" ref="E1013">IF(1009&gt;$S$1204,"",INDEX($T$5:$AJ$1204,MATCH(1009,$S$5:$S$1204,0),5))</f>
        <v/>
      </c>
      <c r="F1013" s="8" t="str">
        <f t="array" ref="F1013">IF(1009&gt;$S$1204,"",INDEX($T$5:$AJ$1204,MATCH(1009,$S$5:$S$1204,0),6))</f>
        <v/>
      </c>
      <c r="G1013" s="8" t="str">
        <f t="array" ref="G1013">IF(1009&gt;$S$1204,"",INDEX($T$5:$AJ$1204,MATCH(1009,$S$5:$S$1204,0),7))</f>
        <v/>
      </c>
      <c r="H1013" s="8" t="str">
        <f t="array" ref="H1013">IF(1009&gt;$S$1204,"",INDEX($T$5:$AJ$1204,MATCH(1009,$S$5:$S$1204,0),8))</f>
        <v/>
      </c>
      <c r="I1013" s="8" t="str">
        <f t="array" ref="I1013">IF(1009&gt;$S$1204,"",INDEX($T$5:$AJ$1204,MATCH(1009,$S$5:$S$1204,0),9))</f>
        <v/>
      </c>
      <c r="J1013" s="14" t="str">
        <f t="array" ref="J1013">IF(1009&gt;$S$1204,"",INDEX($T$5:$AJ$1204,MATCH(1009,$S$5:$S$1204,0),10))</f>
        <v/>
      </c>
      <c r="K1013" s="8" t="str">
        <f t="array" ref="K1013">IF(1009&gt;$S$1204,"",INDEX($T$5:$AJ$1204,MATCH(1009,$S$5:$S$1204,0),11))</f>
        <v/>
      </c>
      <c r="L1013" s="8" t="str">
        <f t="array" ref="L1013">IF(1009&gt;$S$1204,"",INDEX($T$5:$AJ$1204,MATCH(1009,$S$5:$S$1204,0),12))</f>
        <v/>
      </c>
      <c r="M1013" s="8" t="str">
        <f t="array" ref="M1013">IF(1009&gt;$S$1204,"",INDEX($T$5:$AJ$1204,MATCH(1009,$S$5:$S$1204,0),13))</f>
        <v/>
      </c>
      <c r="N1013" s="8" t="str">
        <f t="array" ref="N1013">IF(1009&gt;$S$1204,"",INDEX($T$5:$AJ$1204,MATCH(1009,$S$5:$S$1204,0),14))</f>
        <v/>
      </c>
      <c r="O1013" s="15" t="str">
        <f t="array" ref="O1013">IF(1009&gt;$S$1204,"",INDEX($T$5:$AJ$1204,MATCH(1009,$S$5:$S$1204,0),15))</f>
        <v/>
      </c>
      <c r="P1013" s="8" t="str">
        <f t="array" ref="P1013">IF(1009&gt;$S$1204,"",INDEX($T$5:$AJ$1204,MATCH(1009,$S$5:$S$1204,0),16))</f>
        <v/>
      </c>
      <c r="Q1013" s="8" t="str">
        <f t="array" ref="Q1013">IF(1009&gt;$S$1204,"",INDEX($T$5:$AJ$1204,MATCH(1009,$S$5:$S$1204,0),17))</f>
        <v/>
      </c>
      <c r="R1013" s="17"/>
      <c r="S1013" s="17">
        <f>S1012+IF(M6_Puntos_Control!A17="",0,1)</f>
        <v>0</v>
      </c>
      <c r="T1013" s="17" t="str">
        <f>IF(M6_Puntos_Control!A17="","",IF(M6_Puntos_Control!A17="","",M6_Puntos_Control!A17))</f>
        <v/>
      </c>
      <c r="U1013" s="17" t="str">
        <f>IF(M6_Puntos_Control!A17="","",IF(M6_Puntos_Control!R17="","",M6_Puntos_Control!R17))</f>
        <v/>
      </c>
      <c r="V1013" s="17" t="str">
        <f>IF(M6_Puntos_Control!A17="","",IF(M6_Puntos_Control!D17="","",M6_Puntos_Control!D17))</f>
        <v/>
      </c>
      <c r="W1013" s="17" t="str">
        <f>IF(M6_Puntos_Control!A17="","",IF(M6_Puntos_Control!B17="","",M6_Puntos_Control!B17))</f>
        <v/>
      </c>
      <c r="X1013" s="17" t="str">
        <f>IF(M6_Puntos_Control!A17="","",IF(M6_Puntos_Control!C17="","",M6_Puntos_Control!C17))</f>
        <v/>
      </c>
      <c r="Y1013" s="17" t="str">
        <f>IF(M6_Puntos_Control!A17="","",IF(M6_Puntos_Control!E17="","",M6_Puntos_Control!E17))</f>
        <v/>
      </c>
      <c r="Z1013" s="17" t="str">
        <f>IF(M6_Puntos_Control!A17="","",IF(M6_Puntos_Control!F17="","",M6_Puntos_Control!F17))</f>
        <v/>
      </c>
      <c r="AA1013" s="17" t="str">
        <f>IF(M6_Puntos_Control!A17="","","M6 Puntos de control")</f>
        <v/>
      </c>
      <c r="AB1013" s="17" t="str">
        <f>IF(M6_Puntos_Control!A17="","",IF(M6_Puntos_Control!G17="","",M6_Puntos_Control!G17))</f>
        <v/>
      </c>
      <c r="AC1013" s="17" t="str">
        <f>IF(M6_Puntos_Control!A17="","",IF(M6_Puntos_Control!K17="Sí",IF(COUNTIFS(M6_Puntos_Control!$A$9:A17,M6_Puntos_Control!A17,M6_Puntos_Control!$D$9:D17,M6_Puntos_Control!D17,M6_Puntos_Control!$G$9:G17,M6_Puntos_Control!G17,M6_Puntos_Control!$H$9:H17,M6_Puntos_Control!H17,M6_Puntos_Control!$K$9:K17,"Sí")=1,IF(M6_Puntos_Control!M17="","",M6_Puntos_Control!M17),""),""))</f>
        <v/>
      </c>
      <c r="AD1013" s="17" t="str">
        <f>IF(M6_Puntos_Control!A17="","","RD")</f>
        <v/>
      </c>
      <c r="AE1013" s="17" t="str">
        <f>IF(M6_Puntos_Control!A17="","",IF(M6_Puntos_Control!O17="","",M6_Puntos_Control!O17))</f>
        <v/>
      </c>
      <c r="AF1013" s="17" t="str">
        <f>IF(M6_Puntos_Control!A17="","",IF(M6_Puntos_Control!P17="","",M6_Puntos_Control!P17))</f>
        <v/>
      </c>
      <c r="AG1013" s="17" t="str">
        <f>IF(M6_Puntos_Control!A17="","",IF(M6_Puntos_Control!Q17="","",M6_Puntos_Control!Q17))</f>
        <v/>
      </c>
      <c r="AH1013" s="17" t="str">
        <f>IF(M6_Puntos_Control!A17="","",IF(M6_Puntos_Control!I17="","",M6_Puntos_Control!I17))</f>
        <v/>
      </c>
      <c r="AI1013" s="17" t="str">
        <f>IF(M6_Puntos_Control!A17="","","M6_Puntos_Control!17")</f>
        <v/>
      </c>
      <c r="AJ1013" s="17" t="str">
        <f>IF(M6_Puntos_Control!A17="","",IF(M6_Puntos_Control!K17&lt;&gt;"Sí","Punto de comparación",IF(COUNTIFS(M6_Puntos_Control!$A$9:A17,M6_Puntos_Control!A17,M6_Puntos_Control!$D$9:D17,M6_Puntos_Control!D17,M6_Puntos_Control!$G$9:G17,M6_Puntos_Control!G17,M6_Puntos_Control!$H$9:H17,M6_Puntos_Control!H17,M6_Puntos_Control!$K$9:K17,"Sí")=1,IF(M6_Puntos_Control!M17="","Pendiente de resultado","Punto oficial"),"Revisar: varios puntos oficiales")))</f>
        <v/>
      </c>
    </row>
    <row r="1014" spans="1:36" ht="55.5" customHeight="1">
      <c r="A1014" s="6" t="str">
        <f t="array" ref="A1014">IF(1010&gt;$S$1204,"",INDEX($T$5:$AJ$1204,MATCH(1010,$S$5:$S$1204,0),1))</f>
        <v/>
      </c>
      <c r="B1014" s="8" t="str">
        <f t="array" ref="B1014">IF(1010&gt;$S$1204,"",INDEX($T$5:$AJ$1204,MATCH(1010,$S$5:$S$1204,0),2))</f>
        <v/>
      </c>
      <c r="C1014" s="10" t="str">
        <f t="array" ref="C1014">IF(1010&gt;$S$1204,"",INDEX($T$5:$AJ$1204,MATCH(1010,$S$5:$S$1204,0),3))</f>
        <v/>
      </c>
      <c r="D1014" s="8" t="str">
        <f t="array" ref="D1014">IF(1010&gt;$S$1204,"",INDEX($T$5:$AJ$1204,MATCH(1010,$S$5:$S$1204,0),4))</f>
        <v/>
      </c>
      <c r="E1014" s="8" t="str">
        <f t="array" ref="E1014">IF(1010&gt;$S$1204,"",INDEX($T$5:$AJ$1204,MATCH(1010,$S$5:$S$1204,0),5))</f>
        <v/>
      </c>
      <c r="F1014" s="8" t="str">
        <f t="array" ref="F1014">IF(1010&gt;$S$1204,"",INDEX($T$5:$AJ$1204,MATCH(1010,$S$5:$S$1204,0),6))</f>
        <v/>
      </c>
      <c r="G1014" s="8" t="str">
        <f t="array" ref="G1014">IF(1010&gt;$S$1204,"",INDEX($T$5:$AJ$1204,MATCH(1010,$S$5:$S$1204,0),7))</f>
        <v/>
      </c>
      <c r="H1014" s="8" t="str">
        <f t="array" ref="H1014">IF(1010&gt;$S$1204,"",INDEX($T$5:$AJ$1204,MATCH(1010,$S$5:$S$1204,0),8))</f>
        <v/>
      </c>
      <c r="I1014" s="8" t="str">
        <f t="array" ref="I1014">IF(1010&gt;$S$1204,"",INDEX($T$5:$AJ$1204,MATCH(1010,$S$5:$S$1204,0),9))</f>
        <v/>
      </c>
      <c r="J1014" s="14" t="str">
        <f t="array" ref="J1014">IF(1010&gt;$S$1204,"",INDEX($T$5:$AJ$1204,MATCH(1010,$S$5:$S$1204,0),10))</f>
        <v/>
      </c>
      <c r="K1014" s="8" t="str">
        <f t="array" ref="K1014">IF(1010&gt;$S$1204,"",INDEX($T$5:$AJ$1204,MATCH(1010,$S$5:$S$1204,0),11))</f>
        <v/>
      </c>
      <c r="L1014" s="8" t="str">
        <f t="array" ref="L1014">IF(1010&gt;$S$1204,"",INDEX($T$5:$AJ$1204,MATCH(1010,$S$5:$S$1204,0),12))</f>
        <v/>
      </c>
      <c r="M1014" s="8" t="str">
        <f t="array" ref="M1014">IF(1010&gt;$S$1204,"",INDEX($T$5:$AJ$1204,MATCH(1010,$S$5:$S$1204,0),13))</f>
        <v/>
      </c>
      <c r="N1014" s="8" t="str">
        <f t="array" ref="N1014">IF(1010&gt;$S$1204,"",INDEX($T$5:$AJ$1204,MATCH(1010,$S$5:$S$1204,0),14))</f>
        <v/>
      </c>
      <c r="O1014" s="15" t="str">
        <f t="array" ref="O1014">IF(1010&gt;$S$1204,"",INDEX($T$5:$AJ$1204,MATCH(1010,$S$5:$S$1204,0),15))</f>
        <v/>
      </c>
      <c r="P1014" s="8" t="str">
        <f t="array" ref="P1014">IF(1010&gt;$S$1204,"",INDEX($T$5:$AJ$1204,MATCH(1010,$S$5:$S$1204,0),16))</f>
        <v/>
      </c>
      <c r="Q1014" s="8" t="str">
        <f t="array" ref="Q1014">IF(1010&gt;$S$1204,"",INDEX($T$5:$AJ$1204,MATCH(1010,$S$5:$S$1204,0),17))</f>
        <v/>
      </c>
      <c r="R1014" s="17"/>
      <c r="S1014" s="17">
        <f>S1013+IF(M6_Puntos_Control!A18="",0,1)</f>
        <v>0</v>
      </c>
      <c r="T1014" s="17" t="str">
        <f>IF(M6_Puntos_Control!A18="","",IF(M6_Puntos_Control!A18="","",M6_Puntos_Control!A18))</f>
        <v/>
      </c>
      <c r="U1014" s="17" t="str">
        <f>IF(M6_Puntos_Control!A18="","",IF(M6_Puntos_Control!R18="","",M6_Puntos_Control!R18))</f>
        <v/>
      </c>
      <c r="V1014" s="17" t="str">
        <f>IF(M6_Puntos_Control!A18="","",IF(M6_Puntos_Control!D18="","",M6_Puntos_Control!D18))</f>
        <v/>
      </c>
      <c r="W1014" s="17" t="str">
        <f>IF(M6_Puntos_Control!A18="","",IF(M6_Puntos_Control!B18="","",M6_Puntos_Control!B18))</f>
        <v/>
      </c>
      <c r="X1014" s="17" t="str">
        <f>IF(M6_Puntos_Control!A18="","",IF(M6_Puntos_Control!C18="","",M6_Puntos_Control!C18))</f>
        <v/>
      </c>
      <c r="Y1014" s="17" t="str">
        <f>IF(M6_Puntos_Control!A18="","",IF(M6_Puntos_Control!E18="","",M6_Puntos_Control!E18))</f>
        <v/>
      </c>
      <c r="Z1014" s="17" t="str">
        <f>IF(M6_Puntos_Control!A18="","",IF(M6_Puntos_Control!F18="","",M6_Puntos_Control!F18))</f>
        <v/>
      </c>
      <c r="AA1014" s="17" t="str">
        <f>IF(M6_Puntos_Control!A18="","","M6 Puntos de control")</f>
        <v/>
      </c>
      <c r="AB1014" s="17" t="str">
        <f>IF(M6_Puntos_Control!A18="","",IF(M6_Puntos_Control!G18="","",M6_Puntos_Control!G18))</f>
        <v/>
      </c>
      <c r="AC1014" s="17" t="str">
        <f>IF(M6_Puntos_Control!A18="","",IF(M6_Puntos_Control!K18="Sí",IF(COUNTIFS(M6_Puntos_Control!$A$9:A18,M6_Puntos_Control!A18,M6_Puntos_Control!$D$9:D18,M6_Puntos_Control!D18,M6_Puntos_Control!$G$9:G18,M6_Puntos_Control!G18,M6_Puntos_Control!$H$9:H18,M6_Puntos_Control!H18,M6_Puntos_Control!$K$9:K18,"Sí")=1,IF(M6_Puntos_Control!M18="","",M6_Puntos_Control!M18),""),""))</f>
        <v/>
      </c>
      <c r="AD1014" s="17" t="str">
        <f>IF(M6_Puntos_Control!A18="","","RD")</f>
        <v/>
      </c>
      <c r="AE1014" s="17" t="str">
        <f>IF(M6_Puntos_Control!A18="","",IF(M6_Puntos_Control!O18="","",M6_Puntos_Control!O18))</f>
        <v/>
      </c>
      <c r="AF1014" s="17" t="str">
        <f>IF(M6_Puntos_Control!A18="","",IF(M6_Puntos_Control!P18="","",M6_Puntos_Control!P18))</f>
        <v/>
      </c>
      <c r="AG1014" s="17" t="str">
        <f>IF(M6_Puntos_Control!A18="","",IF(M6_Puntos_Control!Q18="","",M6_Puntos_Control!Q18))</f>
        <v/>
      </c>
      <c r="AH1014" s="17" t="str">
        <f>IF(M6_Puntos_Control!A18="","",IF(M6_Puntos_Control!I18="","",M6_Puntos_Control!I18))</f>
        <v/>
      </c>
      <c r="AI1014" s="17" t="str">
        <f>IF(M6_Puntos_Control!A18="","","M6_Puntos_Control!18")</f>
        <v/>
      </c>
      <c r="AJ1014" s="17" t="str">
        <f>IF(M6_Puntos_Control!A18="","",IF(M6_Puntos_Control!K18&lt;&gt;"Sí","Punto de comparación",IF(COUNTIFS(M6_Puntos_Control!$A$9:A18,M6_Puntos_Control!A18,M6_Puntos_Control!$D$9:D18,M6_Puntos_Control!D18,M6_Puntos_Control!$G$9:G18,M6_Puntos_Control!G18,M6_Puntos_Control!$H$9:H18,M6_Puntos_Control!H18,M6_Puntos_Control!$K$9:K18,"Sí")=1,IF(M6_Puntos_Control!M18="","Pendiente de resultado","Punto oficial"),"Revisar: varios puntos oficiales")))</f>
        <v/>
      </c>
    </row>
    <row r="1015" spans="1:36" ht="55.5" customHeight="1">
      <c r="A1015" s="6" t="str">
        <f t="array" ref="A1015">IF(1011&gt;$S$1204,"",INDEX($T$5:$AJ$1204,MATCH(1011,$S$5:$S$1204,0),1))</f>
        <v/>
      </c>
      <c r="B1015" s="8" t="str">
        <f t="array" ref="B1015">IF(1011&gt;$S$1204,"",INDEX($T$5:$AJ$1204,MATCH(1011,$S$5:$S$1204,0),2))</f>
        <v/>
      </c>
      <c r="C1015" s="10" t="str">
        <f t="array" ref="C1015">IF(1011&gt;$S$1204,"",INDEX($T$5:$AJ$1204,MATCH(1011,$S$5:$S$1204,0),3))</f>
        <v/>
      </c>
      <c r="D1015" s="8" t="str">
        <f t="array" ref="D1015">IF(1011&gt;$S$1204,"",INDEX($T$5:$AJ$1204,MATCH(1011,$S$5:$S$1204,0),4))</f>
        <v/>
      </c>
      <c r="E1015" s="8" t="str">
        <f t="array" ref="E1015">IF(1011&gt;$S$1204,"",INDEX($T$5:$AJ$1204,MATCH(1011,$S$5:$S$1204,0),5))</f>
        <v/>
      </c>
      <c r="F1015" s="8" t="str">
        <f t="array" ref="F1015">IF(1011&gt;$S$1204,"",INDEX($T$5:$AJ$1204,MATCH(1011,$S$5:$S$1204,0),6))</f>
        <v/>
      </c>
      <c r="G1015" s="8" t="str">
        <f t="array" ref="G1015">IF(1011&gt;$S$1204,"",INDEX($T$5:$AJ$1204,MATCH(1011,$S$5:$S$1204,0),7))</f>
        <v/>
      </c>
      <c r="H1015" s="8" t="str">
        <f t="array" ref="H1015">IF(1011&gt;$S$1204,"",INDEX($T$5:$AJ$1204,MATCH(1011,$S$5:$S$1204,0),8))</f>
        <v/>
      </c>
      <c r="I1015" s="8" t="str">
        <f t="array" ref="I1015">IF(1011&gt;$S$1204,"",INDEX($T$5:$AJ$1204,MATCH(1011,$S$5:$S$1204,0),9))</f>
        <v/>
      </c>
      <c r="J1015" s="14" t="str">
        <f t="array" ref="J1015">IF(1011&gt;$S$1204,"",INDEX($T$5:$AJ$1204,MATCH(1011,$S$5:$S$1204,0),10))</f>
        <v/>
      </c>
      <c r="K1015" s="8" t="str">
        <f t="array" ref="K1015">IF(1011&gt;$S$1204,"",INDEX($T$5:$AJ$1204,MATCH(1011,$S$5:$S$1204,0),11))</f>
        <v/>
      </c>
      <c r="L1015" s="8" t="str">
        <f t="array" ref="L1015">IF(1011&gt;$S$1204,"",INDEX($T$5:$AJ$1204,MATCH(1011,$S$5:$S$1204,0),12))</f>
        <v/>
      </c>
      <c r="M1015" s="8" t="str">
        <f t="array" ref="M1015">IF(1011&gt;$S$1204,"",INDEX($T$5:$AJ$1204,MATCH(1011,$S$5:$S$1204,0),13))</f>
        <v/>
      </c>
      <c r="N1015" s="8" t="str">
        <f t="array" ref="N1015">IF(1011&gt;$S$1204,"",INDEX($T$5:$AJ$1204,MATCH(1011,$S$5:$S$1204,0),14))</f>
        <v/>
      </c>
      <c r="O1015" s="15" t="str">
        <f t="array" ref="O1015">IF(1011&gt;$S$1204,"",INDEX($T$5:$AJ$1204,MATCH(1011,$S$5:$S$1204,0),15))</f>
        <v/>
      </c>
      <c r="P1015" s="8" t="str">
        <f t="array" ref="P1015">IF(1011&gt;$S$1204,"",INDEX($T$5:$AJ$1204,MATCH(1011,$S$5:$S$1204,0),16))</f>
        <v/>
      </c>
      <c r="Q1015" s="8" t="str">
        <f t="array" ref="Q1015">IF(1011&gt;$S$1204,"",INDEX($T$5:$AJ$1204,MATCH(1011,$S$5:$S$1204,0),17))</f>
        <v/>
      </c>
      <c r="R1015" s="17"/>
      <c r="S1015" s="17">
        <f>S1014+IF(M6_Puntos_Control!A19="",0,1)</f>
        <v>0</v>
      </c>
      <c r="T1015" s="17" t="str">
        <f>IF(M6_Puntos_Control!A19="","",IF(M6_Puntos_Control!A19="","",M6_Puntos_Control!A19))</f>
        <v/>
      </c>
      <c r="U1015" s="17" t="str">
        <f>IF(M6_Puntos_Control!A19="","",IF(M6_Puntos_Control!R19="","",M6_Puntos_Control!R19))</f>
        <v/>
      </c>
      <c r="V1015" s="17" t="str">
        <f>IF(M6_Puntos_Control!A19="","",IF(M6_Puntos_Control!D19="","",M6_Puntos_Control!D19))</f>
        <v/>
      </c>
      <c r="W1015" s="17" t="str">
        <f>IF(M6_Puntos_Control!A19="","",IF(M6_Puntos_Control!B19="","",M6_Puntos_Control!B19))</f>
        <v/>
      </c>
      <c r="X1015" s="17" t="str">
        <f>IF(M6_Puntos_Control!A19="","",IF(M6_Puntos_Control!C19="","",M6_Puntos_Control!C19))</f>
        <v/>
      </c>
      <c r="Y1015" s="17" t="str">
        <f>IF(M6_Puntos_Control!A19="","",IF(M6_Puntos_Control!E19="","",M6_Puntos_Control!E19))</f>
        <v/>
      </c>
      <c r="Z1015" s="17" t="str">
        <f>IF(M6_Puntos_Control!A19="","",IF(M6_Puntos_Control!F19="","",M6_Puntos_Control!F19))</f>
        <v/>
      </c>
      <c r="AA1015" s="17" t="str">
        <f>IF(M6_Puntos_Control!A19="","","M6 Puntos de control")</f>
        <v/>
      </c>
      <c r="AB1015" s="17" t="str">
        <f>IF(M6_Puntos_Control!A19="","",IF(M6_Puntos_Control!G19="","",M6_Puntos_Control!G19))</f>
        <v/>
      </c>
      <c r="AC1015" s="17" t="str">
        <f>IF(M6_Puntos_Control!A19="","",IF(M6_Puntos_Control!K19="Sí",IF(COUNTIFS(M6_Puntos_Control!$A$9:A19,M6_Puntos_Control!A19,M6_Puntos_Control!$D$9:D19,M6_Puntos_Control!D19,M6_Puntos_Control!$G$9:G19,M6_Puntos_Control!G19,M6_Puntos_Control!$H$9:H19,M6_Puntos_Control!H19,M6_Puntos_Control!$K$9:K19,"Sí")=1,IF(M6_Puntos_Control!M19="","",M6_Puntos_Control!M19),""),""))</f>
        <v/>
      </c>
      <c r="AD1015" s="17" t="str">
        <f>IF(M6_Puntos_Control!A19="","","RD")</f>
        <v/>
      </c>
      <c r="AE1015" s="17" t="str">
        <f>IF(M6_Puntos_Control!A19="","",IF(M6_Puntos_Control!O19="","",M6_Puntos_Control!O19))</f>
        <v/>
      </c>
      <c r="AF1015" s="17" t="str">
        <f>IF(M6_Puntos_Control!A19="","",IF(M6_Puntos_Control!P19="","",M6_Puntos_Control!P19))</f>
        <v/>
      </c>
      <c r="AG1015" s="17" t="str">
        <f>IF(M6_Puntos_Control!A19="","",IF(M6_Puntos_Control!Q19="","",M6_Puntos_Control!Q19))</f>
        <v/>
      </c>
      <c r="AH1015" s="17" t="str">
        <f>IF(M6_Puntos_Control!A19="","",IF(M6_Puntos_Control!I19="","",M6_Puntos_Control!I19))</f>
        <v/>
      </c>
      <c r="AI1015" s="17" t="str">
        <f>IF(M6_Puntos_Control!A19="","","M6_Puntos_Control!19")</f>
        <v/>
      </c>
      <c r="AJ1015" s="17" t="str">
        <f>IF(M6_Puntos_Control!A19="","",IF(M6_Puntos_Control!K19&lt;&gt;"Sí","Punto de comparación",IF(COUNTIFS(M6_Puntos_Control!$A$9:A19,M6_Puntos_Control!A19,M6_Puntos_Control!$D$9:D19,M6_Puntos_Control!D19,M6_Puntos_Control!$G$9:G19,M6_Puntos_Control!G19,M6_Puntos_Control!$H$9:H19,M6_Puntos_Control!H19,M6_Puntos_Control!$K$9:K19,"Sí")=1,IF(M6_Puntos_Control!M19="","Pendiente de resultado","Punto oficial"),"Revisar: varios puntos oficiales")))</f>
        <v/>
      </c>
    </row>
    <row r="1016" spans="1:36" ht="55.5" customHeight="1">
      <c r="A1016" s="6" t="str">
        <f t="array" ref="A1016">IF(1012&gt;$S$1204,"",INDEX($T$5:$AJ$1204,MATCH(1012,$S$5:$S$1204,0),1))</f>
        <v/>
      </c>
      <c r="B1016" s="8" t="str">
        <f t="array" ref="B1016">IF(1012&gt;$S$1204,"",INDEX($T$5:$AJ$1204,MATCH(1012,$S$5:$S$1204,0),2))</f>
        <v/>
      </c>
      <c r="C1016" s="10" t="str">
        <f t="array" ref="C1016">IF(1012&gt;$S$1204,"",INDEX($T$5:$AJ$1204,MATCH(1012,$S$5:$S$1204,0),3))</f>
        <v/>
      </c>
      <c r="D1016" s="8" t="str">
        <f t="array" ref="D1016">IF(1012&gt;$S$1204,"",INDEX($T$5:$AJ$1204,MATCH(1012,$S$5:$S$1204,0),4))</f>
        <v/>
      </c>
      <c r="E1016" s="8" t="str">
        <f t="array" ref="E1016">IF(1012&gt;$S$1204,"",INDEX($T$5:$AJ$1204,MATCH(1012,$S$5:$S$1204,0),5))</f>
        <v/>
      </c>
      <c r="F1016" s="8" t="str">
        <f t="array" ref="F1016">IF(1012&gt;$S$1204,"",INDEX($T$5:$AJ$1204,MATCH(1012,$S$5:$S$1204,0),6))</f>
        <v/>
      </c>
      <c r="G1016" s="8" t="str">
        <f t="array" ref="G1016">IF(1012&gt;$S$1204,"",INDEX($T$5:$AJ$1204,MATCH(1012,$S$5:$S$1204,0),7))</f>
        <v/>
      </c>
      <c r="H1016" s="8" t="str">
        <f t="array" ref="H1016">IF(1012&gt;$S$1204,"",INDEX($T$5:$AJ$1204,MATCH(1012,$S$5:$S$1204,0),8))</f>
        <v/>
      </c>
      <c r="I1016" s="8" t="str">
        <f t="array" ref="I1016">IF(1012&gt;$S$1204,"",INDEX($T$5:$AJ$1204,MATCH(1012,$S$5:$S$1204,0),9))</f>
        <v/>
      </c>
      <c r="J1016" s="14" t="str">
        <f t="array" ref="J1016">IF(1012&gt;$S$1204,"",INDEX($T$5:$AJ$1204,MATCH(1012,$S$5:$S$1204,0),10))</f>
        <v/>
      </c>
      <c r="K1016" s="8" t="str">
        <f t="array" ref="K1016">IF(1012&gt;$S$1204,"",INDEX($T$5:$AJ$1204,MATCH(1012,$S$5:$S$1204,0),11))</f>
        <v/>
      </c>
      <c r="L1016" s="8" t="str">
        <f t="array" ref="L1016">IF(1012&gt;$S$1204,"",INDEX($T$5:$AJ$1204,MATCH(1012,$S$5:$S$1204,0),12))</f>
        <v/>
      </c>
      <c r="M1016" s="8" t="str">
        <f t="array" ref="M1016">IF(1012&gt;$S$1204,"",INDEX($T$5:$AJ$1204,MATCH(1012,$S$5:$S$1204,0),13))</f>
        <v/>
      </c>
      <c r="N1016" s="8" t="str">
        <f t="array" ref="N1016">IF(1012&gt;$S$1204,"",INDEX($T$5:$AJ$1204,MATCH(1012,$S$5:$S$1204,0),14))</f>
        <v/>
      </c>
      <c r="O1016" s="15" t="str">
        <f t="array" ref="O1016">IF(1012&gt;$S$1204,"",INDEX($T$5:$AJ$1204,MATCH(1012,$S$5:$S$1204,0),15))</f>
        <v/>
      </c>
      <c r="P1016" s="8" t="str">
        <f t="array" ref="P1016">IF(1012&gt;$S$1204,"",INDEX($T$5:$AJ$1204,MATCH(1012,$S$5:$S$1204,0),16))</f>
        <v/>
      </c>
      <c r="Q1016" s="8" t="str">
        <f t="array" ref="Q1016">IF(1012&gt;$S$1204,"",INDEX($T$5:$AJ$1204,MATCH(1012,$S$5:$S$1204,0),17))</f>
        <v/>
      </c>
      <c r="R1016" s="17"/>
      <c r="S1016" s="17">
        <f>S1015+IF(M6_Puntos_Control!A20="",0,1)</f>
        <v>0</v>
      </c>
      <c r="T1016" s="17" t="str">
        <f>IF(M6_Puntos_Control!A20="","",IF(M6_Puntos_Control!A20="","",M6_Puntos_Control!A20))</f>
        <v/>
      </c>
      <c r="U1016" s="17" t="str">
        <f>IF(M6_Puntos_Control!A20="","",IF(M6_Puntos_Control!R20="","",M6_Puntos_Control!R20))</f>
        <v/>
      </c>
      <c r="V1016" s="17" t="str">
        <f>IF(M6_Puntos_Control!A20="","",IF(M6_Puntos_Control!D20="","",M6_Puntos_Control!D20))</f>
        <v/>
      </c>
      <c r="W1016" s="17" t="str">
        <f>IF(M6_Puntos_Control!A20="","",IF(M6_Puntos_Control!B20="","",M6_Puntos_Control!B20))</f>
        <v/>
      </c>
      <c r="X1016" s="17" t="str">
        <f>IF(M6_Puntos_Control!A20="","",IF(M6_Puntos_Control!C20="","",M6_Puntos_Control!C20))</f>
        <v/>
      </c>
      <c r="Y1016" s="17" t="str">
        <f>IF(M6_Puntos_Control!A20="","",IF(M6_Puntos_Control!E20="","",M6_Puntos_Control!E20))</f>
        <v/>
      </c>
      <c r="Z1016" s="17" t="str">
        <f>IF(M6_Puntos_Control!A20="","",IF(M6_Puntos_Control!F20="","",M6_Puntos_Control!F20))</f>
        <v/>
      </c>
      <c r="AA1016" s="17" t="str">
        <f>IF(M6_Puntos_Control!A20="","","M6 Puntos de control")</f>
        <v/>
      </c>
      <c r="AB1016" s="17" t="str">
        <f>IF(M6_Puntos_Control!A20="","",IF(M6_Puntos_Control!G20="","",M6_Puntos_Control!G20))</f>
        <v/>
      </c>
      <c r="AC1016" s="17" t="str">
        <f>IF(M6_Puntos_Control!A20="","",IF(M6_Puntos_Control!K20="Sí",IF(COUNTIFS(M6_Puntos_Control!$A$9:A20,M6_Puntos_Control!A20,M6_Puntos_Control!$D$9:D20,M6_Puntos_Control!D20,M6_Puntos_Control!$G$9:G20,M6_Puntos_Control!G20,M6_Puntos_Control!$H$9:H20,M6_Puntos_Control!H20,M6_Puntos_Control!$K$9:K20,"Sí")=1,IF(M6_Puntos_Control!M20="","",M6_Puntos_Control!M20),""),""))</f>
        <v/>
      </c>
      <c r="AD1016" s="17" t="str">
        <f>IF(M6_Puntos_Control!A20="","","RD")</f>
        <v/>
      </c>
      <c r="AE1016" s="17" t="str">
        <f>IF(M6_Puntos_Control!A20="","",IF(M6_Puntos_Control!O20="","",M6_Puntos_Control!O20))</f>
        <v/>
      </c>
      <c r="AF1016" s="17" t="str">
        <f>IF(M6_Puntos_Control!A20="","",IF(M6_Puntos_Control!P20="","",M6_Puntos_Control!P20))</f>
        <v/>
      </c>
      <c r="AG1016" s="17" t="str">
        <f>IF(M6_Puntos_Control!A20="","",IF(M6_Puntos_Control!Q20="","",M6_Puntos_Control!Q20))</f>
        <v/>
      </c>
      <c r="AH1016" s="17" t="str">
        <f>IF(M6_Puntos_Control!A20="","",IF(M6_Puntos_Control!I20="","",M6_Puntos_Control!I20))</f>
        <v/>
      </c>
      <c r="AI1016" s="17" t="str">
        <f>IF(M6_Puntos_Control!A20="","","M6_Puntos_Control!20")</f>
        <v/>
      </c>
      <c r="AJ1016" s="17" t="str">
        <f>IF(M6_Puntos_Control!A20="","",IF(M6_Puntos_Control!K20&lt;&gt;"Sí","Punto de comparación",IF(COUNTIFS(M6_Puntos_Control!$A$9:A20,M6_Puntos_Control!A20,M6_Puntos_Control!$D$9:D20,M6_Puntos_Control!D20,M6_Puntos_Control!$G$9:G20,M6_Puntos_Control!G20,M6_Puntos_Control!$H$9:H20,M6_Puntos_Control!H20,M6_Puntos_Control!$K$9:K20,"Sí")=1,IF(M6_Puntos_Control!M20="","Pendiente de resultado","Punto oficial"),"Revisar: varios puntos oficiales")))</f>
        <v/>
      </c>
    </row>
    <row r="1017" spans="1:36" ht="55.5" customHeight="1">
      <c r="A1017" s="6" t="str">
        <f t="array" ref="A1017">IF(1013&gt;$S$1204,"",INDEX($T$5:$AJ$1204,MATCH(1013,$S$5:$S$1204,0),1))</f>
        <v/>
      </c>
      <c r="B1017" s="8" t="str">
        <f t="array" ref="B1017">IF(1013&gt;$S$1204,"",INDEX($T$5:$AJ$1204,MATCH(1013,$S$5:$S$1204,0),2))</f>
        <v/>
      </c>
      <c r="C1017" s="10" t="str">
        <f t="array" ref="C1017">IF(1013&gt;$S$1204,"",INDEX($T$5:$AJ$1204,MATCH(1013,$S$5:$S$1204,0),3))</f>
        <v/>
      </c>
      <c r="D1017" s="8" t="str">
        <f t="array" ref="D1017">IF(1013&gt;$S$1204,"",INDEX($T$5:$AJ$1204,MATCH(1013,$S$5:$S$1204,0),4))</f>
        <v/>
      </c>
      <c r="E1017" s="8" t="str">
        <f t="array" ref="E1017">IF(1013&gt;$S$1204,"",INDEX($T$5:$AJ$1204,MATCH(1013,$S$5:$S$1204,0),5))</f>
        <v/>
      </c>
      <c r="F1017" s="8" t="str">
        <f t="array" ref="F1017">IF(1013&gt;$S$1204,"",INDEX($T$5:$AJ$1204,MATCH(1013,$S$5:$S$1204,0),6))</f>
        <v/>
      </c>
      <c r="G1017" s="8" t="str">
        <f t="array" ref="G1017">IF(1013&gt;$S$1204,"",INDEX($T$5:$AJ$1204,MATCH(1013,$S$5:$S$1204,0),7))</f>
        <v/>
      </c>
      <c r="H1017" s="8" t="str">
        <f t="array" ref="H1017">IF(1013&gt;$S$1204,"",INDEX($T$5:$AJ$1204,MATCH(1013,$S$5:$S$1204,0),8))</f>
        <v/>
      </c>
      <c r="I1017" s="8" t="str">
        <f t="array" ref="I1017">IF(1013&gt;$S$1204,"",INDEX($T$5:$AJ$1204,MATCH(1013,$S$5:$S$1204,0),9))</f>
        <v/>
      </c>
      <c r="J1017" s="14" t="str">
        <f t="array" ref="J1017">IF(1013&gt;$S$1204,"",INDEX($T$5:$AJ$1204,MATCH(1013,$S$5:$S$1204,0),10))</f>
        <v/>
      </c>
      <c r="K1017" s="8" t="str">
        <f t="array" ref="K1017">IF(1013&gt;$S$1204,"",INDEX($T$5:$AJ$1204,MATCH(1013,$S$5:$S$1204,0),11))</f>
        <v/>
      </c>
      <c r="L1017" s="8" t="str">
        <f t="array" ref="L1017">IF(1013&gt;$S$1204,"",INDEX($T$5:$AJ$1204,MATCH(1013,$S$5:$S$1204,0),12))</f>
        <v/>
      </c>
      <c r="M1017" s="8" t="str">
        <f t="array" ref="M1017">IF(1013&gt;$S$1204,"",INDEX($T$5:$AJ$1204,MATCH(1013,$S$5:$S$1204,0),13))</f>
        <v/>
      </c>
      <c r="N1017" s="8" t="str">
        <f t="array" ref="N1017">IF(1013&gt;$S$1204,"",INDEX($T$5:$AJ$1204,MATCH(1013,$S$5:$S$1204,0),14))</f>
        <v/>
      </c>
      <c r="O1017" s="15" t="str">
        <f t="array" ref="O1017">IF(1013&gt;$S$1204,"",INDEX($T$5:$AJ$1204,MATCH(1013,$S$5:$S$1204,0),15))</f>
        <v/>
      </c>
      <c r="P1017" s="8" t="str">
        <f t="array" ref="P1017">IF(1013&gt;$S$1204,"",INDEX($T$5:$AJ$1204,MATCH(1013,$S$5:$S$1204,0),16))</f>
        <v/>
      </c>
      <c r="Q1017" s="8" t="str">
        <f t="array" ref="Q1017">IF(1013&gt;$S$1204,"",INDEX($T$5:$AJ$1204,MATCH(1013,$S$5:$S$1204,0),17))</f>
        <v/>
      </c>
      <c r="R1017" s="17"/>
      <c r="S1017" s="17">
        <f>S1016+IF(M6_Puntos_Control!A21="",0,1)</f>
        <v>0</v>
      </c>
      <c r="T1017" s="17" t="str">
        <f>IF(M6_Puntos_Control!A21="","",IF(M6_Puntos_Control!A21="","",M6_Puntos_Control!A21))</f>
        <v/>
      </c>
      <c r="U1017" s="17" t="str">
        <f>IF(M6_Puntos_Control!A21="","",IF(M6_Puntos_Control!R21="","",M6_Puntos_Control!R21))</f>
        <v/>
      </c>
      <c r="V1017" s="17" t="str">
        <f>IF(M6_Puntos_Control!A21="","",IF(M6_Puntos_Control!D21="","",M6_Puntos_Control!D21))</f>
        <v/>
      </c>
      <c r="W1017" s="17" t="str">
        <f>IF(M6_Puntos_Control!A21="","",IF(M6_Puntos_Control!B21="","",M6_Puntos_Control!B21))</f>
        <v/>
      </c>
      <c r="X1017" s="17" t="str">
        <f>IF(M6_Puntos_Control!A21="","",IF(M6_Puntos_Control!C21="","",M6_Puntos_Control!C21))</f>
        <v/>
      </c>
      <c r="Y1017" s="17" t="str">
        <f>IF(M6_Puntos_Control!A21="","",IF(M6_Puntos_Control!E21="","",M6_Puntos_Control!E21))</f>
        <v/>
      </c>
      <c r="Z1017" s="17" t="str">
        <f>IF(M6_Puntos_Control!A21="","",IF(M6_Puntos_Control!F21="","",M6_Puntos_Control!F21))</f>
        <v/>
      </c>
      <c r="AA1017" s="17" t="str">
        <f>IF(M6_Puntos_Control!A21="","","M6 Puntos de control")</f>
        <v/>
      </c>
      <c r="AB1017" s="17" t="str">
        <f>IF(M6_Puntos_Control!A21="","",IF(M6_Puntos_Control!G21="","",M6_Puntos_Control!G21))</f>
        <v/>
      </c>
      <c r="AC1017" s="17" t="str">
        <f>IF(M6_Puntos_Control!A21="","",IF(M6_Puntos_Control!K21="Sí",IF(COUNTIFS(M6_Puntos_Control!$A$9:A21,M6_Puntos_Control!A21,M6_Puntos_Control!$D$9:D21,M6_Puntos_Control!D21,M6_Puntos_Control!$G$9:G21,M6_Puntos_Control!G21,M6_Puntos_Control!$H$9:H21,M6_Puntos_Control!H21,M6_Puntos_Control!$K$9:K21,"Sí")=1,IF(M6_Puntos_Control!M21="","",M6_Puntos_Control!M21),""),""))</f>
        <v/>
      </c>
      <c r="AD1017" s="17" t="str">
        <f>IF(M6_Puntos_Control!A21="","","RD")</f>
        <v/>
      </c>
      <c r="AE1017" s="17" t="str">
        <f>IF(M6_Puntos_Control!A21="","",IF(M6_Puntos_Control!O21="","",M6_Puntos_Control!O21))</f>
        <v/>
      </c>
      <c r="AF1017" s="17" t="str">
        <f>IF(M6_Puntos_Control!A21="","",IF(M6_Puntos_Control!P21="","",M6_Puntos_Control!P21))</f>
        <v/>
      </c>
      <c r="AG1017" s="17" t="str">
        <f>IF(M6_Puntos_Control!A21="","",IF(M6_Puntos_Control!Q21="","",M6_Puntos_Control!Q21))</f>
        <v/>
      </c>
      <c r="AH1017" s="17" t="str">
        <f>IF(M6_Puntos_Control!A21="","",IF(M6_Puntos_Control!I21="","",M6_Puntos_Control!I21))</f>
        <v/>
      </c>
      <c r="AI1017" s="17" t="str">
        <f>IF(M6_Puntos_Control!A21="","","M6_Puntos_Control!21")</f>
        <v/>
      </c>
      <c r="AJ1017" s="17" t="str">
        <f>IF(M6_Puntos_Control!A21="","",IF(M6_Puntos_Control!K21&lt;&gt;"Sí","Punto de comparación",IF(COUNTIFS(M6_Puntos_Control!$A$9:A21,M6_Puntos_Control!A21,M6_Puntos_Control!$D$9:D21,M6_Puntos_Control!D21,M6_Puntos_Control!$G$9:G21,M6_Puntos_Control!G21,M6_Puntos_Control!$H$9:H21,M6_Puntos_Control!H21,M6_Puntos_Control!$K$9:K21,"Sí")=1,IF(M6_Puntos_Control!M21="","Pendiente de resultado","Punto oficial"),"Revisar: varios puntos oficiales")))</f>
        <v/>
      </c>
    </row>
    <row r="1018" spans="1:36" ht="55.5" customHeight="1">
      <c r="A1018" s="6" t="str">
        <f t="array" ref="A1018">IF(1014&gt;$S$1204,"",INDEX($T$5:$AJ$1204,MATCH(1014,$S$5:$S$1204,0),1))</f>
        <v/>
      </c>
      <c r="B1018" s="8" t="str">
        <f t="array" ref="B1018">IF(1014&gt;$S$1204,"",INDEX($T$5:$AJ$1204,MATCH(1014,$S$5:$S$1204,0),2))</f>
        <v/>
      </c>
      <c r="C1018" s="10" t="str">
        <f t="array" ref="C1018">IF(1014&gt;$S$1204,"",INDEX($T$5:$AJ$1204,MATCH(1014,$S$5:$S$1204,0),3))</f>
        <v/>
      </c>
      <c r="D1018" s="8" t="str">
        <f t="array" ref="D1018">IF(1014&gt;$S$1204,"",INDEX($T$5:$AJ$1204,MATCH(1014,$S$5:$S$1204,0),4))</f>
        <v/>
      </c>
      <c r="E1018" s="8" t="str">
        <f t="array" ref="E1018">IF(1014&gt;$S$1204,"",INDEX($T$5:$AJ$1204,MATCH(1014,$S$5:$S$1204,0),5))</f>
        <v/>
      </c>
      <c r="F1018" s="8" t="str">
        <f t="array" ref="F1018">IF(1014&gt;$S$1204,"",INDEX($T$5:$AJ$1204,MATCH(1014,$S$5:$S$1204,0),6))</f>
        <v/>
      </c>
      <c r="G1018" s="8" t="str">
        <f t="array" ref="G1018">IF(1014&gt;$S$1204,"",INDEX($T$5:$AJ$1204,MATCH(1014,$S$5:$S$1204,0),7))</f>
        <v/>
      </c>
      <c r="H1018" s="8" t="str">
        <f t="array" ref="H1018">IF(1014&gt;$S$1204,"",INDEX($T$5:$AJ$1204,MATCH(1014,$S$5:$S$1204,0),8))</f>
        <v/>
      </c>
      <c r="I1018" s="8" t="str">
        <f t="array" ref="I1018">IF(1014&gt;$S$1204,"",INDEX($T$5:$AJ$1204,MATCH(1014,$S$5:$S$1204,0),9))</f>
        <v/>
      </c>
      <c r="J1018" s="14" t="str">
        <f t="array" ref="J1018">IF(1014&gt;$S$1204,"",INDEX($T$5:$AJ$1204,MATCH(1014,$S$5:$S$1204,0),10))</f>
        <v/>
      </c>
      <c r="K1018" s="8" t="str">
        <f t="array" ref="K1018">IF(1014&gt;$S$1204,"",INDEX($T$5:$AJ$1204,MATCH(1014,$S$5:$S$1204,0),11))</f>
        <v/>
      </c>
      <c r="L1018" s="8" t="str">
        <f t="array" ref="L1018">IF(1014&gt;$S$1204,"",INDEX($T$5:$AJ$1204,MATCH(1014,$S$5:$S$1204,0),12))</f>
        <v/>
      </c>
      <c r="M1018" s="8" t="str">
        <f t="array" ref="M1018">IF(1014&gt;$S$1204,"",INDEX($T$5:$AJ$1204,MATCH(1014,$S$5:$S$1204,0),13))</f>
        <v/>
      </c>
      <c r="N1018" s="8" t="str">
        <f t="array" ref="N1018">IF(1014&gt;$S$1204,"",INDEX($T$5:$AJ$1204,MATCH(1014,$S$5:$S$1204,0),14))</f>
        <v/>
      </c>
      <c r="O1018" s="15" t="str">
        <f t="array" ref="O1018">IF(1014&gt;$S$1204,"",INDEX($T$5:$AJ$1204,MATCH(1014,$S$5:$S$1204,0),15))</f>
        <v/>
      </c>
      <c r="P1018" s="8" t="str">
        <f t="array" ref="P1018">IF(1014&gt;$S$1204,"",INDEX($T$5:$AJ$1204,MATCH(1014,$S$5:$S$1204,0),16))</f>
        <v/>
      </c>
      <c r="Q1018" s="8" t="str">
        <f t="array" ref="Q1018">IF(1014&gt;$S$1204,"",INDEX($T$5:$AJ$1204,MATCH(1014,$S$5:$S$1204,0),17))</f>
        <v/>
      </c>
      <c r="R1018" s="17"/>
      <c r="S1018" s="17">
        <f>S1017+IF(M6_Puntos_Control!A22="",0,1)</f>
        <v>0</v>
      </c>
      <c r="T1018" s="17" t="str">
        <f>IF(M6_Puntos_Control!A22="","",IF(M6_Puntos_Control!A22="","",M6_Puntos_Control!A22))</f>
        <v/>
      </c>
      <c r="U1018" s="17" t="str">
        <f>IF(M6_Puntos_Control!A22="","",IF(M6_Puntos_Control!R22="","",M6_Puntos_Control!R22))</f>
        <v/>
      </c>
      <c r="V1018" s="17" t="str">
        <f>IF(M6_Puntos_Control!A22="","",IF(M6_Puntos_Control!D22="","",M6_Puntos_Control!D22))</f>
        <v/>
      </c>
      <c r="W1018" s="17" t="str">
        <f>IF(M6_Puntos_Control!A22="","",IF(M6_Puntos_Control!B22="","",M6_Puntos_Control!B22))</f>
        <v/>
      </c>
      <c r="X1018" s="17" t="str">
        <f>IF(M6_Puntos_Control!A22="","",IF(M6_Puntos_Control!C22="","",M6_Puntos_Control!C22))</f>
        <v/>
      </c>
      <c r="Y1018" s="17" t="str">
        <f>IF(M6_Puntos_Control!A22="","",IF(M6_Puntos_Control!E22="","",M6_Puntos_Control!E22))</f>
        <v/>
      </c>
      <c r="Z1018" s="17" t="str">
        <f>IF(M6_Puntos_Control!A22="","",IF(M6_Puntos_Control!F22="","",M6_Puntos_Control!F22))</f>
        <v/>
      </c>
      <c r="AA1018" s="17" t="str">
        <f>IF(M6_Puntos_Control!A22="","","M6 Puntos de control")</f>
        <v/>
      </c>
      <c r="AB1018" s="17" t="str">
        <f>IF(M6_Puntos_Control!A22="","",IF(M6_Puntos_Control!G22="","",M6_Puntos_Control!G22))</f>
        <v/>
      </c>
      <c r="AC1018" s="17" t="str">
        <f>IF(M6_Puntos_Control!A22="","",IF(M6_Puntos_Control!K22="Sí",IF(COUNTIFS(M6_Puntos_Control!$A$9:A22,M6_Puntos_Control!A22,M6_Puntos_Control!$D$9:D22,M6_Puntos_Control!D22,M6_Puntos_Control!$G$9:G22,M6_Puntos_Control!G22,M6_Puntos_Control!$H$9:H22,M6_Puntos_Control!H22,M6_Puntos_Control!$K$9:K22,"Sí")=1,IF(M6_Puntos_Control!M22="","",M6_Puntos_Control!M22),""),""))</f>
        <v/>
      </c>
      <c r="AD1018" s="17" t="str">
        <f>IF(M6_Puntos_Control!A22="","","RD")</f>
        <v/>
      </c>
      <c r="AE1018" s="17" t="str">
        <f>IF(M6_Puntos_Control!A22="","",IF(M6_Puntos_Control!O22="","",M6_Puntos_Control!O22))</f>
        <v/>
      </c>
      <c r="AF1018" s="17" t="str">
        <f>IF(M6_Puntos_Control!A22="","",IF(M6_Puntos_Control!P22="","",M6_Puntos_Control!P22))</f>
        <v/>
      </c>
      <c r="AG1018" s="17" t="str">
        <f>IF(M6_Puntos_Control!A22="","",IF(M6_Puntos_Control!Q22="","",M6_Puntos_Control!Q22))</f>
        <v/>
      </c>
      <c r="AH1018" s="17" t="str">
        <f>IF(M6_Puntos_Control!A22="","",IF(M6_Puntos_Control!I22="","",M6_Puntos_Control!I22))</f>
        <v/>
      </c>
      <c r="AI1018" s="17" t="str">
        <f>IF(M6_Puntos_Control!A22="","","M6_Puntos_Control!22")</f>
        <v/>
      </c>
      <c r="AJ1018" s="17" t="str">
        <f>IF(M6_Puntos_Control!A22="","",IF(M6_Puntos_Control!K22&lt;&gt;"Sí","Punto de comparación",IF(COUNTIFS(M6_Puntos_Control!$A$9:A22,M6_Puntos_Control!A22,M6_Puntos_Control!$D$9:D22,M6_Puntos_Control!D22,M6_Puntos_Control!$G$9:G22,M6_Puntos_Control!G22,M6_Puntos_Control!$H$9:H22,M6_Puntos_Control!H22,M6_Puntos_Control!$K$9:K22,"Sí")=1,IF(M6_Puntos_Control!M22="","Pendiente de resultado","Punto oficial"),"Revisar: varios puntos oficiales")))</f>
        <v/>
      </c>
    </row>
    <row r="1019" spans="1:36" ht="55.5" customHeight="1">
      <c r="A1019" s="6" t="str">
        <f t="array" ref="A1019">IF(1015&gt;$S$1204,"",INDEX($T$5:$AJ$1204,MATCH(1015,$S$5:$S$1204,0),1))</f>
        <v/>
      </c>
      <c r="B1019" s="8" t="str">
        <f t="array" ref="B1019">IF(1015&gt;$S$1204,"",INDEX($T$5:$AJ$1204,MATCH(1015,$S$5:$S$1204,0),2))</f>
        <v/>
      </c>
      <c r="C1019" s="10" t="str">
        <f t="array" ref="C1019">IF(1015&gt;$S$1204,"",INDEX($T$5:$AJ$1204,MATCH(1015,$S$5:$S$1204,0),3))</f>
        <v/>
      </c>
      <c r="D1019" s="8" t="str">
        <f t="array" ref="D1019">IF(1015&gt;$S$1204,"",INDEX($T$5:$AJ$1204,MATCH(1015,$S$5:$S$1204,0),4))</f>
        <v/>
      </c>
      <c r="E1019" s="8" t="str">
        <f t="array" ref="E1019">IF(1015&gt;$S$1204,"",INDEX($T$5:$AJ$1204,MATCH(1015,$S$5:$S$1204,0),5))</f>
        <v/>
      </c>
      <c r="F1019" s="8" t="str">
        <f t="array" ref="F1019">IF(1015&gt;$S$1204,"",INDEX($T$5:$AJ$1204,MATCH(1015,$S$5:$S$1204,0),6))</f>
        <v/>
      </c>
      <c r="G1019" s="8" t="str">
        <f t="array" ref="G1019">IF(1015&gt;$S$1204,"",INDEX($T$5:$AJ$1204,MATCH(1015,$S$5:$S$1204,0),7))</f>
        <v/>
      </c>
      <c r="H1019" s="8" t="str">
        <f t="array" ref="H1019">IF(1015&gt;$S$1204,"",INDEX($T$5:$AJ$1204,MATCH(1015,$S$5:$S$1204,0),8))</f>
        <v/>
      </c>
      <c r="I1019" s="8" t="str">
        <f t="array" ref="I1019">IF(1015&gt;$S$1204,"",INDEX($T$5:$AJ$1204,MATCH(1015,$S$5:$S$1204,0),9))</f>
        <v/>
      </c>
      <c r="J1019" s="14" t="str">
        <f t="array" ref="J1019">IF(1015&gt;$S$1204,"",INDEX($T$5:$AJ$1204,MATCH(1015,$S$5:$S$1204,0),10))</f>
        <v/>
      </c>
      <c r="K1019" s="8" t="str">
        <f t="array" ref="K1019">IF(1015&gt;$S$1204,"",INDEX($T$5:$AJ$1204,MATCH(1015,$S$5:$S$1204,0),11))</f>
        <v/>
      </c>
      <c r="L1019" s="8" t="str">
        <f t="array" ref="L1019">IF(1015&gt;$S$1204,"",INDEX($T$5:$AJ$1204,MATCH(1015,$S$5:$S$1204,0),12))</f>
        <v/>
      </c>
      <c r="M1019" s="8" t="str">
        <f t="array" ref="M1019">IF(1015&gt;$S$1204,"",INDEX($T$5:$AJ$1204,MATCH(1015,$S$5:$S$1204,0),13))</f>
        <v/>
      </c>
      <c r="N1019" s="8" t="str">
        <f t="array" ref="N1019">IF(1015&gt;$S$1204,"",INDEX($T$5:$AJ$1204,MATCH(1015,$S$5:$S$1204,0),14))</f>
        <v/>
      </c>
      <c r="O1019" s="15" t="str">
        <f t="array" ref="O1019">IF(1015&gt;$S$1204,"",INDEX($T$5:$AJ$1204,MATCH(1015,$S$5:$S$1204,0),15))</f>
        <v/>
      </c>
      <c r="P1019" s="8" t="str">
        <f t="array" ref="P1019">IF(1015&gt;$S$1204,"",INDEX($T$5:$AJ$1204,MATCH(1015,$S$5:$S$1204,0),16))</f>
        <v/>
      </c>
      <c r="Q1019" s="8" t="str">
        <f t="array" ref="Q1019">IF(1015&gt;$S$1204,"",INDEX($T$5:$AJ$1204,MATCH(1015,$S$5:$S$1204,0),17))</f>
        <v/>
      </c>
      <c r="R1019" s="17"/>
      <c r="S1019" s="17">
        <f>S1018+IF(M6_Puntos_Control!A23="",0,1)</f>
        <v>0</v>
      </c>
      <c r="T1019" s="17" t="str">
        <f>IF(M6_Puntos_Control!A23="","",IF(M6_Puntos_Control!A23="","",M6_Puntos_Control!A23))</f>
        <v/>
      </c>
      <c r="U1019" s="17" t="str">
        <f>IF(M6_Puntos_Control!A23="","",IF(M6_Puntos_Control!R23="","",M6_Puntos_Control!R23))</f>
        <v/>
      </c>
      <c r="V1019" s="17" t="str">
        <f>IF(M6_Puntos_Control!A23="","",IF(M6_Puntos_Control!D23="","",M6_Puntos_Control!D23))</f>
        <v/>
      </c>
      <c r="W1019" s="17" t="str">
        <f>IF(M6_Puntos_Control!A23="","",IF(M6_Puntos_Control!B23="","",M6_Puntos_Control!B23))</f>
        <v/>
      </c>
      <c r="X1019" s="17" t="str">
        <f>IF(M6_Puntos_Control!A23="","",IF(M6_Puntos_Control!C23="","",M6_Puntos_Control!C23))</f>
        <v/>
      </c>
      <c r="Y1019" s="17" t="str">
        <f>IF(M6_Puntos_Control!A23="","",IF(M6_Puntos_Control!E23="","",M6_Puntos_Control!E23))</f>
        <v/>
      </c>
      <c r="Z1019" s="17" t="str">
        <f>IF(M6_Puntos_Control!A23="","",IF(M6_Puntos_Control!F23="","",M6_Puntos_Control!F23))</f>
        <v/>
      </c>
      <c r="AA1019" s="17" t="str">
        <f>IF(M6_Puntos_Control!A23="","","M6 Puntos de control")</f>
        <v/>
      </c>
      <c r="AB1019" s="17" t="str">
        <f>IF(M6_Puntos_Control!A23="","",IF(M6_Puntos_Control!G23="","",M6_Puntos_Control!G23))</f>
        <v/>
      </c>
      <c r="AC1019" s="17" t="str">
        <f>IF(M6_Puntos_Control!A23="","",IF(M6_Puntos_Control!K23="Sí",IF(COUNTIFS(M6_Puntos_Control!$A$9:A23,M6_Puntos_Control!A23,M6_Puntos_Control!$D$9:D23,M6_Puntos_Control!D23,M6_Puntos_Control!$G$9:G23,M6_Puntos_Control!G23,M6_Puntos_Control!$H$9:H23,M6_Puntos_Control!H23,M6_Puntos_Control!$K$9:K23,"Sí")=1,IF(M6_Puntos_Control!M23="","",M6_Puntos_Control!M23),""),""))</f>
        <v/>
      </c>
      <c r="AD1019" s="17" t="str">
        <f>IF(M6_Puntos_Control!A23="","","RD")</f>
        <v/>
      </c>
      <c r="AE1019" s="17" t="str">
        <f>IF(M6_Puntos_Control!A23="","",IF(M6_Puntos_Control!O23="","",M6_Puntos_Control!O23))</f>
        <v/>
      </c>
      <c r="AF1019" s="17" t="str">
        <f>IF(M6_Puntos_Control!A23="","",IF(M6_Puntos_Control!P23="","",M6_Puntos_Control!P23))</f>
        <v/>
      </c>
      <c r="AG1019" s="17" t="str">
        <f>IF(M6_Puntos_Control!A23="","",IF(M6_Puntos_Control!Q23="","",M6_Puntos_Control!Q23))</f>
        <v/>
      </c>
      <c r="AH1019" s="17" t="str">
        <f>IF(M6_Puntos_Control!A23="","",IF(M6_Puntos_Control!I23="","",M6_Puntos_Control!I23))</f>
        <v/>
      </c>
      <c r="AI1019" s="17" t="str">
        <f>IF(M6_Puntos_Control!A23="","","M6_Puntos_Control!23")</f>
        <v/>
      </c>
      <c r="AJ1019" s="17" t="str">
        <f>IF(M6_Puntos_Control!A23="","",IF(M6_Puntos_Control!K23&lt;&gt;"Sí","Punto de comparación",IF(COUNTIFS(M6_Puntos_Control!$A$9:A23,M6_Puntos_Control!A23,M6_Puntos_Control!$D$9:D23,M6_Puntos_Control!D23,M6_Puntos_Control!$G$9:G23,M6_Puntos_Control!G23,M6_Puntos_Control!$H$9:H23,M6_Puntos_Control!H23,M6_Puntos_Control!$K$9:K23,"Sí")=1,IF(M6_Puntos_Control!M23="","Pendiente de resultado","Punto oficial"),"Revisar: varios puntos oficiales")))</f>
        <v/>
      </c>
    </row>
    <row r="1020" spans="1:36" ht="55.5" customHeight="1">
      <c r="A1020" s="6" t="str">
        <f t="array" ref="A1020">IF(1016&gt;$S$1204,"",INDEX($T$5:$AJ$1204,MATCH(1016,$S$5:$S$1204,0),1))</f>
        <v/>
      </c>
      <c r="B1020" s="8" t="str">
        <f t="array" ref="B1020">IF(1016&gt;$S$1204,"",INDEX($T$5:$AJ$1204,MATCH(1016,$S$5:$S$1204,0),2))</f>
        <v/>
      </c>
      <c r="C1020" s="10" t="str">
        <f t="array" ref="C1020">IF(1016&gt;$S$1204,"",INDEX($T$5:$AJ$1204,MATCH(1016,$S$5:$S$1204,0),3))</f>
        <v/>
      </c>
      <c r="D1020" s="8" t="str">
        <f t="array" ref="D1020">IF(1016&gt;$S$1204,"",INDEX($T$5:$AJ$1204,MATCH(1016,$S$5:$S$1204,0),4))</f>
        <v/>
      </c>
      <c r="E1020" s="8" t="str">
        <f t="array" ref="E1020">IF(1016&gt;$S$1204,"",INDEX($T$5:$AJ$1204,MATCH(1016,$S$5:$S$1204,0),5))</f>
        <v/>
      </c>
      <c r="F1020" s="8" t="str">
        <f t="array" ref="F1020">IF(1016&gt;$S$1204,"",INDEX($T$5:$AJ$1204,MATCH(1016,$S$5:$S$1204,0),6))</f>
        <v/>
      </c>
      <c r="G1020" s="8" t="str">
        <f t="array" ref="G1020">IF(1016&gt;$S$1204,"",INDEX($T$5:$AJ$1204,MATCH(1016,$S$5:$S$1204,0),7))</f>
        <v/>
      </c>
      <c r="H1020" s="8" t="str">
        <f t="array" ref="H1020">IF(1016&gt;$S$1204,"",INDEX($T$5:$AJ$1204,MATCH(1016,$S$5:$S$1204,0),8))</f>
        <v/>
      </c>
      <c r="I1020" s="8" t="str">
        <f t="array" ref="I1020">IF(1016&gt;$S$1204,"",INDEX($T$5:$AJ$1204,MATCH(1016,$S$5:$S$1204,0),9))</f>
        <v/>
      </c>
      <c r="J1020" s="14" t="str">
        <f t="array" ref="J1020">IF(1016&gt;$S$1204,"",INDEX($T$5:$AJ$1204,MATCH(1016,$S$5:$S$1204,0),10))</f>
        <v/>
      </c>
      <c r="K1020" s="8" t="str">
        <f t="array" ref="K1020">IF(1016&gt;$S$1204,"",INDEX($T$5:$AJ$1204,MATCH(1016,$S$5:$S$1204,0),11))</f>
        <v/>
      </c>
      <c r="L1020" s="8" t="str">
        <f t="array" ref="L1020">IF(1016&gt;$S$1204,"",INDEX($T$5:$AJ$1204,MATCH(1016,$S$5:$S$1204,0),12))</f>
        <v/>
      </c>
      <c r="M1020" s="8" t="str">
        <f t="array" ref="M1020">IF(1016&gt;$S$1204,"",INDEX($T$5:$AJ$1204,MATCH(1016,$S$5:$S$1204,0),13))</f>
        <v/>
      </c>
      <c r="N1020" s="8" t="str">
        <f t="array" ref="N1020">IF(1016&gt;$S$1204,"",INDEX($T$5:$AJ$1204,MATCH(1016,$S$5:$S$1204,0),14))</f>
        <v/>
      </c>
      <c r="O1020" s="15" t="str">
        <f t="array" ref="O1020">IF(1016&gt;$S$1204,"",INDEX($T$5:$AJ$1204,MATCH(1016,$S$5:$S$1204,0),15))</f>
        <v/>
      </c>
      <c r="P1020" s="8" t="str">
        <f t="array" ref="P1020">IF(1016&gt;$S$1204,"",INDEX($T$5:$AJ$1204,MATCH(1016,$S$5:$S$1204,0),16))</f>
        <v/>
      </c>
      <c r="Q1020" s="8" t="str">
        <f t="array" ref="Q1020">IF(1016&gt;$S$1204,"",INDEX($T$5:$AJ$1204,MATCH(1016,$S$5:$S$1204,0),17))</f>
        <v/>
      </c>
      <c r="R1020" s="17"/>
      <c r="S1020" s="17">
        <f>S1019+IF(M6_Puntos_Control!A24="",0,1)</f>
        <v>0</v>
      </c>
      <c r="T1020" s="17" t="str">
        <f>IF(M6_Puntos_Control!A24="","",IF(M6_Puntos_Control!A24="","",M6_Puntos_Control!A24))</f>
        <v/>
      </c>
      <c r="U1020" s="17" t="str">
        <f>IF(M6_Puntos_Control!A24="","",IF(M6_Puntos_Control!R24="","",M6_Puntos_Control!R24))</f>
        <v/>
      </c>
      <c r="V1020" s="17" t="str">
        <f>IF(M6_Puntos_Control!A24="","",IF(M6_Puntos_Control!D24="","",M6_Puntos_Control!D24))</f>
        <v/>
      </c>
      <c r="W1020" s="17" t="str">
        <f>IF(M6_Puntos_Control!A24="","",IF(M6_Puntos_Control!B24="","",M6_Puntos_Control!B24))</f>
        <v/>
      </c>
      <c r="X1020" s="17" t="str">
        <f>IF(M6_Puntos_Control!A24="","",IF(M6_Puntos_Control!C24="","",M6_Puntos_Control!C24))</f>
        <v/>
      </c>
      <c r="Y1020" s="17" t="str">
        <f>IF(M6_Puntos_Control!A24="","",IF(M6_Puntos_Control!E24="","",M6_Puntos_Control!E24))</f>
        <v/>
      </c>
      <c r="Z1020" s="17" t="str">
        <f>IF(M6_Puntos_Control!A24="","",IF(M6_Puntos_Control!F24="","",M6_Puntos_Control!F24))</f>
        <v/>
      </c>
      <c r="AA1020" s="17" t="str">
        <f>IF(M6_Puntos_Control!A24="","","M6 Puntos de control")</f>
        <v/>
      </c>
      <c r="AB1020" s="17" t="str">
        <f>IF(M6_Puntos_Control!A24="","",IF(M6_Puntos_Control!G24="","",M6_Puntos_Control!G24))</f>
        <v/>
      </c>
      <c r="AC1020" s="17" t="str">
        <f>IF(M6_Puntos_Control!A24="","",IF(M6_Puntos_Control!K24="Sí",IF(COUNTIFS(M6_Puntos_Control!$A$9:A24,M6_Puntos_Control!A24,M6_Puntos_Control!$D$9:D24,M6_Puntos_Control!D24,M6_Puntos_Control!$G$9:G24,M6_Puntos_Control!G24,M6_Puntos_Control!$H$9:H24,M6_Puntos_Control!H24,M6_Puntos_Control!$K$9:K24,"Sí")=1,IF(M6_Puntos_Control!M24="","",M6_Puntos_Control!M24),""),""))</f>
        <v/>
      </c>
      <c r="AD1020" s="17" t="str">
        <f>IF(M6_Puntos_Control!A24="","","RD")</f>
        <v/>
      </c>
      <c r="AE1020" s="17" t="str">
        <f>IF(M6_Puntos_Control!A24="","",IF(M6_Puntos_Control!O24="","",M6_Puntos_Control!O24))</f>
        <v/>
      </c>
      <c r="AF1020" s="17" t="str">
        <f>IF(M6_Puntos_Control!A24="","",IF(M6_Puntos_Control!P24="","",M6_Puntos_Control!P24))</f>
        <v/>
      </c>
      <c r="AG1020" s="17" t="str">
        <f>IF(M6_Puntos_Control!A24="","",IF(M6_Puntos_Control!Q24="","",M6_Puntos_Control!Q24))</f>
        <v/>
      </c>
      <c r="AH1020" s="17" t="str">
        <f>IF(M6_Puntos_Control!A24="","",IF(M6_Puntos_Control!I24="","",M6_Puntos_Control!I24))</f>
        <v/>
      </c>
      <c r="AI1020" s="17" t="str">
        <f>IF(M6_Puntos_Control!A24="","","M6_Puntos_Control!24")</f>
        <v/>
      </c>
      <c r="AJ1020" s="17" t="str">
        <f>IF(M6_Puntos_Control!A24="","",IF(M6_Puntos_Control!K24&lt;&gt;"Sí","Punto de comparación",IF(COUNTIFS(M6_Puntos_Control!$A$9:A24,M6_Puntos_Control!A24,M6_Puntos_Control!$D$9:D24,M6_Puntos_Control!D24,M6_Puntos_Control!$G$9:G24,M6_Puntos_Control!G24,M6_Puntos_Control!$H$9:H24,M6_Puntos_Control!H24,M6_Puntos_Control!$K$9:K24,"Sí")=1,IF(M6_Puntos_Control!M24="","Pendiente de resultado","Punto oficial"),"Revisar: varios puntos oficiales")))</f>
        <v/>
      </c>
    </row>
    <row r="1021" spans="1:36" ht="55.5" customHeight="1">
      <c r="A1021" s="6" t="str">
        <f t="array" ref="A1021">IF(1017&gt;$S$1204,"",INDEX($T$5:$AJ$1204,MATCH(1017,$S$5:$S$1204,0),1))</f>
        <v/>
      </c>
      <c r="B1021" s="8" t="str">
        <f t="array" ref="B1021">IF(1017&gt;$S$1204,"",INDEX($T$5:$AJ$1204,MATCH(1017,$S$5:$S$1204,0),2))</f>
        <v/>
      </c>
      <c r="C1021" s="10" t="str">
        <f t="array" ref="C1021">IF(1017&gt;$S$1204,"",INDEX($T$5:$AJ$1204,MATCH(1017,$S$5:$S$1204,0),3))</f>
        <v/>
      </c>
      <c r="D1021" s="8" t="str">
        <f t="array" ref="D1021">IF(1017&gt;$S$1204,"",INDEX($T$5:$AJ$1204,MATCH(1017,$S$5:$S$1204,0),4))</f>
        <v/>
      </c>
      <c r="E1021" s="8" t="str">
        <f t="array" ref="E1021">IF(1017&gt;$S$1204,"",INDEX($T$5:$AJ$1204,MATCH(1017,$S$5:$S$1204,0),5))</f>
        <v/>
      </c>
      <c r="F1021" s="8" t="str">
        <f t="array" ref="F1021">IF(1017&gt;$S$1204,"",INDEX($T$5:$AJ$1204,MATCH(1017,$S$5:$S$1204,0),6))</f>
        <v/>
      </c>
      <c r="G1021" s="8" t="str">
        <f t="array" ref="G1021">IF(1017&gt;$S$1204,"",INDEX($T$5:$AJ$1204,MATCH(1017,$S$5:$S$1204,0),7))</f>
        <v/>
      </c>
      <c r="H1021" s="8" t="str">
        <f t="array" ref="H1021">IF(1017&gt;$S$1204,"",INDEX($T$5:$AJ$1204,MATCH(1017,$S$5:$S$1204,0),8))</f>
        <v/>
      </c>
      <c r="I1021" s="8" t="str">
        <f t="array" ref="I1021">IF(1017&gt;$S$1204,"",INDEX($T$5:$AJ$1204,MATCH(1017,$S$5:$S$1204,0),9))</f>
        <v/>
      </c>
      <c r="J1021" s="14" t="str">
        <f t="array" ref="J1021">IF(1017&gt;$S$1204,"",INDEX($T$5:$AJ$1204,MATCH(1017,$S$5:$S$1204,0),10))</f>
        <v/>
      </c>
      <c r="K1021" s="8" t="str">
        <f t="array" ref="K1021">IF(1017&gt;$S$1204,"",INDEX($T$5:$AJ$1204,MATCH(1017,$S$5:$S$1204,0),11))</f>
        <v/>
      </c>
      <c r="L1021" s="8" t="str">
        <f t="array" ref="L1021">IF(1017&gt;$S$1204,"",INDEX($T$5:$AJ$1204,MATCH(1017,$S$5:$S$1204,0),12))</f>
        <v/>
      </c>
      <c r="M1021" s="8" t="str">
        <f t="array" ref="M1021">IF(1017&gt;$S$1204,"",INDEX($T$5:$AJ$1204,MATCH(1017,$S$5:$S$1204,0),13))</f>
        <v/>
      </c>
      <c r="N1021" s="8" t="str">
        <f t="array" ref="N1021">IF(1017&gt;$S$1204,"",INDEX($T$5:$AJ$1204,MATCH(1017,$S$5:$S$1204,0),14))</f>
        <v/>
      </c>
      <c r="O1021" s="15" t="str">
        <f t="array" ref="O1021">IF(1017&gt;$S$1204,"",INDEX($T$5:$AJ$1204,MATCH(1017,$S$5:$S$1204,0),15))</f>
        <v/>
      </c>
      <c r="P1021" s="8" t="str">
        <f t="array" ref="P1021">IF(1017&gt;$S$1204,"",INDEX($T$5:$AJ$1204,MATCH(1017,$S$5:$S$1204,0),16))</f>
        <v/>
      </c>
      <c r="Q1021" s="8" t="str">
        <f t="array" ref="Q1021">IF(1017&gt;$S$1204,"",INDEX($T$5:$AJ$1204,MATCH(1017,$S$5:$S$1204,0),17))</f>
        <v/>
      </c>
      <c r="R1021" s="17"/>
      <c r="S1021" s="17">
        <f>S1020+IF(M6_Puntos_Control!A25="",0,1)</f>
        <v>0</v>
      </c>
      <c r="T1021" s="17" t="str">
        <f>IF(M6_Puntos_Control!A25="","",IF(M6_Puntos_Control!A25="","",M6_Puntos_Control!A25))</f>
        <v/>
      </c>
      <c r="U1021" s="17" t="str">
        <f>IF(M6_Puntos_Control!A25="","",IF(M6_Puntos_Control!R25="","",M6_Puntos_Control!R25))</f>
        <v/>
      </c>
      <c r="V1021" s="17" t="str">
        <f>IF(M6_Puntos_Control!A25="","",IF(M6_Puntos_Control!D25="","",M6_Puntos_Control!D25))</f>
        <v/>
      </c>
      <c r="W1021" s="17" t="str">
        <f>IF(M6_Puntos_Control!A25="","",IF(M6_Puntos_Control!B25="","",M6_Puntos_Control!B25))</f>
        <v/>
      </c>
      <c r="X1021" s="17" t="str">
        <f>IF(M6_Puntos_Control!A25="","",IF(M6_Puntos_Control!C25="","",M6_Puntos_Control!C25))</f>
        <v/>
      </c>
      <c r="Y1021" s="17" t="str">
        <f>IF(M6_Puntos_Control!A25="","",IF(M6_Puntos_Control!E25="","",M6_Puntos_Control!E25))</f>
        <v/>
      </c>
      <c r="Z1021" s="17" t="str">
        <f>IF(M6_Puntos_Control!A25="","",IF(M6_Puntos_Control!F25="","",M6_Puntos_Control!F25))</f>
        <v/>
      </c>
      <c r="AA1021" s="17" t="str">
        <f>IF(M6_Puntos_Control!A25="","","M6 Puntos de control")</f>
        <v/>
      </c>
      <c r="AB1021" s="17" t="str">
        <f>IF(M6_Puntos_Control!A25="","",IF(M6_Puntos_Control!G25="","",M6_Puntos_Control!G25))</f>
        <v/>
      </c>
      <c r="AC1021" s="17" t="str">
        <f>IF(M6_Puntos_Control!A25="","",IF(M6_Puntos_Control!K25="Sí",IF(COUNTIFS(M6_Puntos_Control!$A$9:A25,M6_Puntos_Control!A25,M6_Puntos_Control!$D$9:D25,M6_Puntos_Control!D25,M6_Puntos_Control!$G$9:G25,M6_Puntos_Control!G25,M6_Puntos_Control!$H$9:H25,M6_Puntos_Control!H25,M6_Puntos_Control!$K$9:K25,"Sí")=1,IF(M6_Puntos_Control!M25="","",M6_Puntos_Control!M25),""),""))</f>
        <v/>
      </c>
      <c r="AD1021" s="17" t="str">
        <f>IF(M6_Puntos_Control!A25="","","RD")</f>
        <v/>
      </c>
      <c r="AE1021" s="17" t="str">
        <f>IF(M6_Puntos_Control!A25="","",IF(M6_Puntos_Control!O25="","",M6_Puntos_Control!O25))</f>
        <v/>
      </c>
      <c r="AF1021" s="17" t="str">
        <f>IF(M6_Puntos_Control!A25="","",IF(M6_Puntos_Control!P25="","",M6_Puntos_Control!P25))</f>
        <v/>
      </c>
      <c r="AG1021" s="17" t="str">
        <f>IF(M6_Puntos_Control!A25="","",IF(M6_Puntos_Control!Q25="","",M6_Puntos_Control!Q25))</f>
        <v/>
      </c>
      <c r="AH1021" s="17" t="str">
        <f>IF(M6_Puntos_Control!A25="","",IF(M6_Puntos_Control!I25="","",M6_Puntos_Control!I25))</f>
        <v/>
      </c>
      <c r="AI1021" s="17" t="str">
        <f>IF(M6_Puntos_Control!A25="","","M6_Puntos_Control!25")</f>
        <v/>
      </c>
      <c r="AJ1021" s="17" t="str">
        <f>IF(M6_Puntos_Control!A25="","",IF(M6_Puntos_Control!K25&lt;&gt;"Sí","Punto de comparación",IF(COUNTIFS(M6_Puntos_Control!$A$9:A25,M6_Puntos_Control!A25,M6_Puntos_Control!$D$9:D25,M6_Puntos_Control!D25,M6_Puntos_Control!$G$9:G25,M6_Puntos_Control!G25,M6_Puntos_Control!$H$9:H25,M6_Puntos_Control!H25,M6_Puntos_Control!$K$9:K25,"Sí")=1,IF(M6_Puntos_Control!M25="","Pendiente de resultado","Punto oficial"),"Revisar: varios puntos oficiales")))</f>
        <v/>
      </c>
    </row>
    <row r="1022" spans="1:36" ht="55.5" customHeight="1">
      <c r="A1022" s="6" t="str">
        <f t="array" ref="A1022">IF(1018&gt;$S$1204,"",INDEX($T$5:$AJ$1204,MATCH(1018,$S$5:$S$1204,0),1))</f>
        <v/>
      </c>
      <c r="B1022" s="8" t="str">
        <f t="array" ref="B1022">IF(1018&gt;$S$1204,"",INDEX($T$5:$AJ$1204,MATCH(1018,$S$5:$S$1204,0),2))</f>
        <v/>
      </c>
      <c r="C1022" s="10" t="str">
        <f t="array" ref="C1022">IF(1018&gt;$S$1204,"",INDEX($T$5:$AJ$1204,MATCH(1018,$S$5:$S$1204,0),3))</f>
        <v/>
      </c>
      <c r="D1022" s="8" t="str">
        <f t="array" ref="D1022">IF(1018&gt;$S$1204,"",INDEX($T$5:$AJ$1204,MATCH(1018,$S$5:$S$1204,0),4))</f>
        <v/>
      </c>
      <c r="E1022" s="8" t="str">
        <f t="array" ref="E1022">IF(1018&gt;$S$1204,"",INDEX($T$5:$AJ$1204,MATCH(1018,$S$5:$S$1204,0),5))</f>
        <v/>
      </c>
      <c r="F1022" s="8" t="str">
        <f t="array" ref="F1022">IF(1018&gt;$S$1204,"",INDEX($T$5:$AJ$1204,MATCH(1018,$S$5:$S$1204,0),6))</f>
        <v/>
      </c>
      <c r="G1022" s="8" t="str">
        <f t="array" ref="G1022">IF(1018&gt;$S$1204,"",INDEX($T$5:$AJ$1204,MATCH(1018,$S$5:$S$1204,0),7))</f>
        <v/>
      </c>
      <c r="H1022" s="8" t="str">
        <f t="array" ref="H1022">IF(1018&gt;$S$1204,"",INDEX($T$5:$AJ$1204,MATCH(1018,$S$5:$S$1204,0),8))</f>
        <v/>
      </c>
      <c r="I1022" s="8" t="str">
        <f t="array" ref="I1022">IF(1018&gt;$S$1204,"",INDEX($T$5:$AJ$1204,MATCH(1018,$S$5:$S$1204,0),9))</f>
        <v/>
      </c>
      <c r="J1022" s="14" t="str">
        <f t="array" ref="J1022">IF(1018&gt;$S$1204,"",INDEX($T$5:$AJ$1204,MATCH(1018,$S$5:$S$1204,0),10))</f>
        <v/>
      </c>
      <c r="K1022" s="8" t="str">
        <f t="array" ref="K1022">IF(1018&gt;$S$1204,"",INDEX($T$5:$AJ$1204,MATCH(1018,$S$5:$S$1204,0),11))</f>
        <v/>
      </c>
      <c r="L1022" s="8" t="str">
        <f t="array" ref="L1022">IF(1018&gt;$S$1204,"",INDEX($T$5:$AJ$1204,MATCH(1018,$S$5:$S$1204,0),12))</f>
        <v/>
      </c>
      <c r="M1022" s="8" t="str">
        <f t="array" ref="M1022">IF(1018&gt;$S$1204,"",INDEX($T$5:$AJ$1204,MATCH(1018,$S$5:$S$1204,0),13))</f>
        <v/>
      </c>
      <c r="N1022" s="8" t="str">
        <f t="array" ref="N1022">IF(1018&gt;$S$1204,"",INDEX($T$5:$AJ$1204,MATCH(1018,$S$5:$S$1204,0),14))</f>
        <v/>
      </c>
      <c r="O1022" s="15" t="str">
        <f t="array" ref="O1022">IF(1018&gt;$S$1204,"",INDEX($T$5:$AJ$1204,MATCH(1018,$S$5:$S$1204,0),15))</f>
        <v/>
      </c>
      <c r="P1022" s="8" t="str">
        <f t="array" ref="P1022">IF(1018&gt;$S$1204,"",INDEX($T$5:$AJ$1204,MATCH(1018,$S$5:$S$1204,0),16))</f>
        <v/>
      </c>
      <c r="Q1022" s="8" t="str">
        <f t="array" ref="Q1022">IF(1018&gt;$S$1204,"",INDEX($T$5:$AJ$1204,MATCH(1018,$S$5:$S$1204,0),17))</f>
        <v/>
      </c>
      <c r="R1022" s="17"/>
      <c r="S1022" s="17">
        <f>S1021+IF(M6_Puntos_Control!A26="",0,1)</f>
        <v>0</v>
      </c>
      <c r="T1022" s="17" t="str">
        <f>IF(M6_Puntos_Control!A26="","",IF(M6_Puntos_Control!A26="","",M6_Puntos_Control!A26))</f>
        <v/>
      </c>
      <c r="U1022" s="17" t="str">
        <f>IF(M6_Puntos_Control!A26="","",IF(M6_Puntos_Control!R26="","",M6_Puntos_Control!R26))</f>
        <v/>
      </c>
      <c r="V1022" s="17" t="str">
        <f>IF(M6_Puntos_Control!A26="","",IF(M6_Puntos_Control!D26="","",M6_Puntos_Control!D26))</f>
        <v/>
      </c>
      <c r="W1022" s="17" t="str">
        <f>IF(M6_Puntos_Control!A26="","",IF(M6_Puntos_Control!B26="","",M6_Puntos_Control!B26))</f>
        <v/>
      </c>
      <c r="X1022" s="17" t="str">
        <f>IF(M6_Puntos_Control!A26="","",IF(M6_Puntos_Control!C26="","",M6_Puntos_Control!C26))</f>
        <v/>
      </c>
      <c r="Y1022" s="17" t="str">
        <f>IF(M6_Puntos_Control!A26="","",IF(M6_Puntos_Control!E26="","",M6_Puntos_Control!E26))</f>
        <v/>
      </c>
      <c r="Z1022" s="17" t="str">
        <f>IF(M6_Puntos_Control!A26="","",IF(M6_Puntos_Control!F26="","",M6_Puntos_Control!F26))</f>
        <v/>
      </c>
      <c r="AA1022" s="17" t="str">
        <f>IF(M6_Puntos_Control!A26="","","M6 Puntos de control")</f>
        <v/>
      </c>
      <c r="AB1022" s="17" t="str">
        <f>IF(M6_Puntos_Control!A26="","",IF(M6_Puntos_Control!G26="","",M6_Puntos_Control!G26))</f>
        <v/>
      </c>
      <c r="AC1022" s="17" t="str">
        <f>IF(M6_Puntos_Control!A26="","",IF(M6_Puntos_Control!K26="Sí",IF(COUNTIFS(M6_Puntos_Control!$A$9:A26,M6_Puntos_Control!A26,M6_Puntos_Control!$D$9:D26,M6_Puntos_Control!D26,M6_Puntos_Control!$G$9:G26,M6_Puntos_Control!G26,M6_Puntos_Control!$H$9:H26,M6_Puntos_Control!H26,M6_Puntos_Control!$K$9:K26,"Sí")=1,IF(M6_Puntos_Control!M26="","",M6_Puntos_Control!M26),""),""))</f>
        <v/>
      </c>
      <c r="AD1022" s="17" t="str">
        <f>IF(M6_Puntos_Control!A26="","","RD")</f>
        <v/>
      </c>
      <c r="AE1022" s="17" t="str">
        <f>IF(M6_Puntos_Control!A26="","",IF(M6_Puntos_Control!O26="","",M6_Puntos_Control!O26))</f>
        <v/>
      </c>
      <c r="AF1022" s="17" t="str">
        <f>IF(M6_Puntos_Control!A26="","",IF(M6_Puntos_Control!P26="","",M6_Puntos_Control!P26))</f>
        <v/>
      </c>
      <c r="AG1022" s="17" t="str">
        <f>IF(M6_Puntos_Control!A26="","",IF(M6_Puntos_Control!Q26="","",M6_Puntos_Control!Q26))</f>
        <v/>
      </c>
      <c r="AH1022" s="17" t="str">
        <f>IF(M6_Puntos_Control!A26="","",IF(M6_Puntos_Control!I26="","",M6_Puntos_Control!I26))</f>
        <v/>
      </c>
      <c r="AI1022" s="17" t="str">
        <f>IF(M6_Puntos_Control!A26="","","M6_Puntos_Control!26")</f>
        <v/>
      </c>
      <c r="AJ1022" s="17" t="str">
        <f>IF(M6_Puntos_Control!A26="","",IF(M6_Puntos_Control!K26&lt;&gt;"Sí","Punto de comparación",IF(COUNTIFS(M6_Puntos_Control!$A$9:A26,M6_Puntos_Control!A26,M6_Puntos_Control!$D$9:D26,M6_Puntos_Control!D26,M6_Puntos_Control!$G$9:G26,M6_Puntos_Control!G26,M6_Puntos_Control!$H$9:H26,M6_Puntos_Control!H26,M6_Puntos_Control!$K$9:K26,"Sí")=1,IF(M6_Puntos_Control!M26="","Pendiente de resultado","Punto oficial"),"Revisar: varios puntos oficiales")))</f>
        <v/>
      </c>
    </row>
    <row r="1023" spans="1:36" ht="55.5" customHeight="1">
      <c r="A1023" s="6" t="str">
        <f t="array" ref="A1023">IF(1019&gt;$S$1204,"",INDEX($T$5:$AJ$1204,MATCH(1019,$S$5:$S$1204,0),1))</f>
        <v/>
      </c>
      <c r="B1023" s="8" t="str">
        <f t="array" ref="B1023">IF(1019&gt;$S$1204,"",INDEX($T$5:$AJ$1204,MATCH(1019,$S$5:$S$1204,0),2))</f>
        <v/>
      </c>
      <c r="C1023" s="10" t="str">
        <f t="array" ref="C1023">IF(1019&gt;$S$1204,"",INDEX($T$5:$AJ$1204,MATCH(1019,$S$5:$S$1204,0),3))</f>
        <v/>
      </c>
      <c r="D1023" s="8" t="str">
        <f t="array" ref="D1023">IF(1019&gt;$S$1204,"",INDEX($T$5:$AJ$1204,MATCH(1019,$S$5:$S$1204,0),4))</f>
        <v/>
      </c>
      <c r="E1023" s="8" t="str">
        <f t="array" ref="E1023">IF(1019&gt;$S$1204,"",INDEX($T$5:$AJ$1204,MATCH(1019,$S$5:$S$1204,0),5))</f>
        <v/>
      </c>
      <c r="F1023" s="8" t="str">
        <f t="array" ref="F1023">IF(1019&gt;$S$1204,"",INDEX($T$5:$AJ$1204,MATCH(1019,$S$5:$S$1204,0),6))</f>
        <v/>
      </c>
      <c r="G1023" s="8" t="str">
        <f t="array" ref="G1023">IF(1019&gt;$S$1204,"",INDEX($T$5:$AJ$1204,MATCH(1019,$S$5:$S$1204,0),7))</f>
        <v/>
      </c>
      <c r="H1023" s="8" t="str">
        <f t="array" ref="H1023">IF(1019&gt;$S$1204,"",INDEX($T$5:$AJ$1204,MATCH(1019,$S$5:$S$1204,0),8))</f>
        <v/>
      </c>
      <c r="I1023" s="8" t="str">
        <f t="array" ref="I1023">IF(1019&gt;$S$1204,"",INDEX($T$5:$AJ$1204,MATCH(1019,$S$5:$S$1204,0),9))</f>
        <v/>
      </c>
      <c r="J1023" s="14" t="str">
        <f t="array" ref="J1023">IF(1019&gt;$S$1204,"",INDEX($T$5:$AJ$1204,MATCH(1019,$S$5:$S$1204,0),10))</f>
        <v/>
      </c>
      <c r="K1023" s="8" t="str">
        <f t="array" ref="K1023">IF(1019&gt;$S$1204,"",INDEX($T$5:$AJ$1204,MATCH(1019,$S$5:$S$1204,0),11))</f>
        <v/>
      </c>
      <c r="L1023" s="8" t="str">
        <f t="array" ref="L1023">IF(1019&gt;$S$1204,"",INDEX($T$5:$AJ$1204,MATCH(1019,$S$5:$S$1204,0),12))</f>
        <v/>
      </c>
      <c r="M1023" s="8" t="str">
        <f t="array" ref="M1023">IF(1019&gt;$S$1204,"",INDEX($T$5:$AJ$1204,MATCH(1019,$S$5:$S$1204,0),13))</f>
        <v/>
      </c>
      <c r="N1023" s="8" t="str">
        <f t="array" ref="N1023">IF(1019&gt;$S$1204,"",INDEX($T$5:$AJ$1204,MATCH(1019,$S$5:$S$1204,0),14))</f>
        <v/>
      </c>
      <c r="O1023" s="15" t="str">
        <f t="array" ref="O1023">IF(1019&gt;$S$1204,"",INDEX($T$5:$AJ$1204,MATCH(1019,$S$5:$S$1204,0),15))</f>
        <v/>
      </c>
      <c r="P1023" s="8" t="str">
        <f t="array" ref="P1023">IF(1019&gt;$S$1204,"",INDEX($T$5:$AJ$1204,MATCH(1019,$S$5:$S$1204,0),16))</f>
        <v/>
      </c>
      <c r="Q1023" s="8" t="str">
        <f t="array" ref="Q1023">IF(1019&gt;$S$1204,"",INDEX($T$5:$AJ$1204,MATCH(1019,$S$5:$S$1204,0),17))</f>
        <v/>
      </c>
      <c r="R1023" s="17"/>
      <c r="S1023" s="17">
        <f>S1022+IF(M6_Puntos_Control!A27="",0,1)</f>
        <v>0</v>
      </c>
      <c r="T1023" s="17" t="str">
        <f>IF(M6_Puntos_Control!A27="","",IF(M6_Puntos_Control!A27="","",M6_Puntos_Control!A27))</f>
        <v/>
      </c>
      <c r="U1023" s="17" t="str">
        <f>IF(M6_Puntos_Control!A27="","",IF(M6_Puntos_Control!R27="","",M6_Puntos_Control!R27))</f>
        <v/>
      </c>
      <c r="V1023" s="17" t="str">
        <f>IF(M6_Puntos_Control!A27="","",IF(M6_Puntos_Control!D27="","",M6_Puntos_Control!D27))</f>
        <v/>
      </c>
      <c r="W1023" s="17" t="str">
        <f>IF(M6_Puntos_Control!A27="","",IF(M6_Puntos_Control!B27="","",M6_Puntos_Control!B27))</f>
        <v/>
      </c>
      <c r="X1023" s="17" t="str">
        <f>IF(M6_Puntos_Control!A27="","",IF(M6_Puntos_Control!C27="","",M6_Puntos_Control!C27))</f>
        <v/>
      </c>
      <c r="Y1023" s="17" t="str">
        <f>IF(M6_Puntos_Control!A27="","",IF(M6_Puntos_Control!E27="","",M6_Puntos_Control!E27))</f>
        <v/>
      </c>
      <c r="Z1023" s="17" t="str">
        <f>IF(M6_Puntos_Control!A27="","",IF(M6_Puntos_Control!F27="","",M6_Puntos_Control!F27))</f>
        <v/>
      </c>
      <c r="AA1023" s="17" t="str">
        <f>IF(M6_Puntos_Control!A27="","","M6 Puntos de control")</f>
        <v/>
      </c>
      <c r="AB1023" s="17" t="str">
        <f>IF(M6_Puntos_Control!A27="","",IF(M6_Puntos_Control!G27="","",M6_Puntos_Control!G27))</f>
        <v/>
      </c>
      <c r="AC1023" s="17" t="str">
        <f>IF(M6_Puntos_Control!A27="","",IF(M6_Puntos_Control!K27="Sí",IF(COUNTIFS(M6_Puntos_Control!$A$9:A27,M6_Puntos_Control!A27,M6_Puntos_Control!$D$9:D27,M6_Puntos_Control!D27,M6_Puntos_Control!$G$9:G27,M6_Puntos_Control!G27,M6_Puntos_Control!$H$9:H27,M6_Puntos_Control!H27,M6_Puntos_Control!$K$9:K27,"Sí")=1,IF(M6_Puntos_Control!M27="","",M6_Puntos_Control!M27),""),""))</f>
        <v/>
      </c>
      <c r="AD1023" s="17" t="str">
        <f>IF(M6_Puntos_Control!A27="","","RD")</f>
        <v/>
      </c>
      <c r="AE1023" s="17" t="str">
        <f>IF(M6_Puntos_Control!A27="","",IF(M6_Puntos_Control!O27="","",M6_Puntos_Control!O27))</f>
        <v/>
      </c>
      <c r="AF1023" s="17" t="str">
        <f>IF(M6_Puntos_Control!A27="","",IF(M6_Puntos_Control!P27="","",M6_Puntos_Control!P27))</f>
        <v/>
      </c>
      <c r="AG1023" s="17" t="str">
        <f>IF(M6_Puntos_Control!A27="","",IF(M6_Puntos_Control!Q27="","",M6_Puntos_Control!Q27))</f>
        <v/>
      </c>
      <c r="AH1023" s="17" t="str">
        <f>IF(M6_Puntos_Control!A27="","",IF(M6_Puntos_Control!I27="","",M6_Puntos_Control!I27))</f>
        <v/>
      </c>
      <c r="AI1023" s="17" t="str">
        <f>IF(M6_Puntos_Control!A27="","","M6_Puntos_Control!27")</f>
        <v/>
      </c>
      <c r="AJ1023" s="17" t="str">
        <f>IF(M6_Puntos_Control!A27="","",IF(M6_Puntos_Control!K27&lt;&gt;"Sí","Punto de comparación",IF(COUNTIFS(M6_Puntos_Control!$A$9:A27,M6_Puntos_Control!A27,M6_Puntos_Control!$D$9:D27,M6_Puntos_Control!D27,M6_Puntos_Control!$G$9:G27,M6_Puntos_Control!G27,M6_Puntos_Control!$H$9:H27,M6_Puntos_Control!H27,M6_Puntos_Control!$K$9:K27,"Sí")=1,IF(M6_Puntos_Control!M27="","Pendiente de resultado","Punto oficial"),"Revisar: varios puntos oficiales")))</f>
        <v/>
      </c>
    </row>
    <row r="1024" spans="1:36" ht="55.5" customHeight="1">
      <c r="A1024" s="6" t="str">
        <f t="array" ref="A1024">IF(1020&gt;$S$1204,"",INDEX($T$5:$AJ$1204,MATCH(1020,$S$5:$S$1204,0),1))</f>
        <v/>
      </c>
      <c r="B1024" s="8" t="str">
        <f t="array" ref="B1024">IF(1020&gt;$S$1204,"",INDEX($T$5:$AJ$1204,MATCH(1020,$S$5:$S$1204,0),2))</f>
        <v/>
      </c>
      <c r="C1024" s="10" t="str">
        <f t="array" ref="C1024">IF(1020&gt;$S$1204,"",INDEX($T$5:$AJ$1204,MATCH(1020,$S$5:$S$1204,0),3))</f>
        <v/>
      </c>
      <c r="D1024" s="8" t="str">
        <f t="array" ref="D1024">IF(1020&gt;$S$1204,"",INDEX($T$5:$AJ$1204,MATCH(1020,$S$5:$S$1204,0),4))</f>
        <v/>
      </c>
      <c r="E1024" s="8" t="str">
        <f t="array" ref="E1024">IF(1020&gt;$S$1204,"",INDEX($T$5:$AJ$1204,MATCH(1020,$S$5:$S$1204,0),5))</f>
        <v/>
      </c>
      <c r="F1024" s="8" t="str">
        <f t="array" ref="F1024">IF(1020&gt;$S$1204,"",INDEX($T$5:$AJ$1204,MATCH(1020,$S$5:$S$1204,0),6))</f>
        <v/>
      </c>
      <c r="G1024" s="8" t="str">
        <f t="array" ref="G1024">IF(1020&gt;$S$1204,"",INDEX($T$5:$AJ$1204,MATCH(1020,$S$5:$S$1204,0),7))</f>
        <v/>
      </c>
      <c r="H1024" s="8" t="str">
        <f t="array" ref="H1024">IF(1020&gt;$S$1204,"",INDEX($T$5:$AJ$1204,MATCH(1020,$S$5:$S$1204,0),8))</f>
        <v/>
      </c>
      <c r="I1024" s="8" t="str">
        <f t="array" ref="I1024">IF(1020&gt;$S$1204,"",INDEX($T$5:$AJ$1204,MATCH(1020,$S$5:$S$1204,0),9))</f>
        <v/>
      </c>
      <c r="J1024" s="14" t="str">
        <f t="array" ref="J1024">IF(1020&gt;$S$1204,"",INDEX($T$5:$AJ$1204,MATCH(1020,$S$5:$S$1204,0),10))</f>
        <v/>
      </c>
      <c r="K1024" s="8" t="str">
        <f t="array" ref="K1024">IF(1020&gt;$S$1204,"",INDEX($T$5:$AJ$1204,MATCH(1020,$S$5:$S$1204,0),11))</f>
        <v/>
      </c>
      <c r="L1024" s="8" t="str">
        <f t="array" ref="L1024">IF(1020&gt;$S$1204,"",INDEX($T$5:$AJ$1204,MATCH(1020,$S$5:$S$1204,0),12))</f>
        <v/>
      </c>
      <c r="M1024" s="8" t="str">
        <f t="array" ref="M1024">IF(1020&gt;$S$1204,"",INDEX($T$5:$AJ$1204,MATCH(1020,$S$5:$S$1204,0),13))</f>
        <v/>
      </c>
      <c r="N1024" s="8" t="str">
        <f t="array" ref="N1024">IF(1020&gt;$S$1204,"",INDEX($T$5:$AJ$1204,MATCH(1020,$S$5:$S$1204,0),14))</f>
        <v/>
      </c>
      <c r="O1024" s="15" t="str">
        <f t="array" ref="O1024">IF(1020&gt;$S$1204,"",INDEX($T$5:$AJ$1204,MATCH(1020,$S$5:$S$1204,0),15))</f>
        <v/>
      </c>
      <c r="P1024" s="8" t="str">
        <f t="array" ref="P1024">IF(1020&gt;$S$1204,"",INDEX($T$5:$AJ$1204,MATCH(1020,$S$5:$S$1204,0),16))</f>
        <v/>
      </c>
      <c r="Q1024" s="8" t="str">
        <f t="array" ref="Q1024">IF(1020&gt;$S$1204,"",INDEX($T$5:$AJ$1204,MATCH(1020,$S$5:$S$1204,0),17))</f>
        <v/>
      </c>
      <c r="R1024" s="17"/>
      <c r="S1024" s="17">
        <f>S1023+IF(M6_Puntos_Control!A28="",0,1)</f>
        <v>0</v>
      </c>
      <c r="T1024" s="17" t="str">
        <f>IF(M6_Puntos_Control!A28="","",IF(M6_Puntos_Control!A28="","",M6_Puntos_Control!A28))</f>
        <v/>
      </c>
      <c r="U1024" s="17" t="str">
        <f>IF(M6_Puntos_Control!A28="","",IF(M6_Puntos_Control!R28="","",M6_Puntos_Control!R28))</f>
        <v/>
      </c>
      <c r="V1024" s="17" t="str">
        <f>IF(M6_Puntos_Control!A28="","",IF(M6_Puntos_Control!D28="","",M6_Puntos_Control!D28))</f>
        <v/>
      </c>
      <c r="W1024" s="17" t="str">
        <f>IF(M6_Puntos_Control!A28="","",IF(M6_Puntos_Control!B28="","",M6_Puntos_Control!B28))</f>
        <v/>
      </c>
      <c r="X1024" s="17" t="str">
        <f>IF(M6_Puntos_Control!A28="","",IF(M6_Puntos_Control!C28="","",M6_Puntos_Control!C28))</f>
        <v/>
      </c>
      <c r="Y1024" s="17" t="str">
        <f>IF(M6_Puntos_Control!A28="","",IF(M6_Puntos_Control!E28="","",M6_Puntos_Control!E28))</f>
        <v/>
      </c>
      <c r="Z1024" s="17" t="str">
        <f>IF(M6_Puntos_Control!A28="","",IF(M6_Puntos_Control!F28="","",M6_Puntos_Control!F28))</f>
        <v/>
      </c>
      <c r="AA1024" s="17" t="str">
        <f>IF(M6_Puntos_Control!A28="","","M6 Puntos de control")</f>
        <v/>
      </c>
      <c r="AB1024" s="17" t="str">
        <f>IF(M6_Puntos_Control!A28="","",IF(M6_Puntos_Control!G28="","",M6_Puntos_Control!G28))</f>
        <v/>
      </c>
      <c r="AC1024" s="17" t="str">
        <f>IF(M6_Puntos_Control!A28="","",IF(M6_Puntos_Control!K28="Sí",IF(COUNTIFS(M6_Puntos_Control!$A$9:A28,M6_Puntos_Control!A28,M6_Puntos_Control!$D$9:D28,M6_Puntos_Control!D28,M6_Puntos_Control!$G$9:G28,M6_Puntos_Control!G28,M6_Puntos_Control!$H$9:H28,M6_Puntos_Control!H28,M6_Puntos_Control!$K$9:K28,"Sí")=1,IF(M6_Puntos_Control!M28="","",M6_Puntos_Control!M28),""),""))</f>
        <v/>
      </c>
      <c r="AD1024" s="17" t="str">
        <f>IF(M6_Puntos_Control!A28="","","RD")</f>
        <v/>
      </c>
      <c r="AE1024" s="17" t="str">
        <f>IF(M6_Puntos_Control!A28="","",IF(M6_Puntos_Control!O28="","",M6_Puntos_Control!O28))</f>
        <v/>
      </c>
      <c r="AF1024" s="17" t="str">
        <f>IF(M6_Puntos_Control!A28="","",IF(M6_Puntos_Control!P28="","",M6_Puntos_Control!P28))</f>
        <v/>
      </c>
      <c r="AG1024" s="17" t="str">
        <f>IF(M6_Puntos_Control!A28="","",IF(M6_Puntos_Control!Q28="","",M6_Puntos_Control!Q28))</f>
        <v/>
      </c>
      <c r="AH1024" s="17" t="str">
        <f>IF(M6_Puntos_Control!A28="","",IF(M6_Puntos_Control!I28="","",M6_Puntos_Control!I28))</f>
        <v/>
      </c>
      <c r="AI1024" s="17" t="str">
        <f>IF(M6_Puntos_Control!A28="","","M6_Puntos_Control!28")</f>
        <v/>
      </c>
      <c r="AJ1024" s="17" t="str">
        <f>IF(M6_Puntos_Control!A28="","",IF(M6_Puntos_Control!K28&lt;&gt;"Sí","Punto de comparación",IF(COUNTIFS(M6_Puntos_Control!$A$9:A28,M6_Puntos_Control!A28,M6_Puntos_Control!$D$9:D28,M6_Puntos_Control!D28,M6_Puntos_Control!$G$9:G28,M6_Puntos_Control!G28,M6_Puntos_Control!$H$9:H28,M6_Puntos_Control!H28,M6_Puntos_Control!$K$9:K28,"Sí")=1,IF(M6_Puntos_Control!M28="","Pendiente de resultado","Punto oficial"),"Revisar: varios puntos oficiales")))</f>
        <v/>
      </c>
    </row>
    <row r="1025" spans="1:36" ht="55.5" customHeight="1">
      <c r="A1025" s="6" t="str">
        <f t="array" ref="A1025">IF(1021&gt;$S$1204,"",INDEX($T$5:$AJ$1204,MATCH(1021,$S$5:$S$1204,0),1))</f>
        <v/>
      </c>
      <c r="B1025" s="8" t="str">
        <f t="array" ref="B1025">IF(1021&gt;$S$1204,"",INDEX($T$5:$AJ$1204,MATCH(1021,$S$5:$S$1204,0),2))</f>
        <v/>
      </c>
      <c r="C1025" s="10" t="str">
        <f t="array" ref="C1025">IF(1021&gt;$S$1204,"",INDEX($T$5:$AJ$1204,MATCH(1021,$S$5:$S$1204,0),3))</f>
        <v/>
      </c>
      <c r="D1025" s="8" t="str">
        <f t="array" ref="D1025">IF(1021&gt;$S$1204,"",INDEX($T$5:$AJ$1204,MATCH(1021,$S$5:$S$1204,0),4))</f>
        <v/>
      </c>
      <c r="E1025" s="8" t="str">
        <f t="array" ref="E1025">IF(1021&gt;$S$1204,"",INDEX($T$5:$AJ$1204,MATCH(1021,$S$5:$S$1204,0),5))</f>
        <v/>
      </c>
      <c r="F1025" s="8" t="str">
        <f t="array" ref="F1025">IF(1021&gt;$S$1204,"",INDEX($T$5:$AJ$1204,MATCH(1021,$S$5:$S$1204,0),6))</f>
        <v/>
      </c>
      <c r="G1025" s="8" t="str">
        <f t="array" ref="G1025">IF(1021&gt;$S$1204,"",INDEX($T$5:$AJ$1204,MATCH(1021,$S$5:$S$1204,0),7))</f>
        <v/>
      </c>
      <c r="H1025" s="8" t="str">
        <f t="array" ref="H1025">IF(1021&gt;$S$1204,"",INDEX($T$5:$AJ$1204,MATCH(1021,$S$5:$S$1204,0),8))</f>
        <v/>
      </c>
      <c r="I1025" s="8" t="str">
        <f t="array" ref="I1025">IF(1021&gt;$S$1204,"",INDEX($T$5:$AJ$1204,MATCH(1021,$S$5:$S$1204,0),9))</f>
        <v/>
      </c>
      <c r="J1025" s="14" t="str">
        <f t="array" ref="J1025">IF(1021&gt;$S$1204,"",INDEX($T$5:$AJ$1204,MATCH(1021,$S$5:$S$1204,0),10))</f>
        <v/>
      </c>
      <c r="K1025" s="8" t="str">
        <f t="array" ref="K1025">IF(1021&gt;$S$1204,"",INDEX($T$5:$AJ$1204,MATCH(1021,$S$5:$S$1204,0),11))</f>
        <v/>
      </c>
      <c r="L1025" s="8" t="str">
        <f t="array" ref="L1025">IF(1021&gt;$S$1204,"",INDEX($T$5:$AJ$1204,MATCH(1021,$S$5:$S$1204,0),12))</f>
        <v/>
      </c>
      <c r="M1025" s="8" t="str">
        <f t="array" ref="M1025">IF(1021&gt;$S$1204,"",INDEX($T$5:$AJ$1204,MATCH(1021,$S$5:$S$1204,0),13))</f>
        <v/>
      </c>
      <c r="N1025" s="8" t="str">
        <f t="array" ref="N1025">IF(1021&gt;$S$1204,"",INDEX($T$5:$AJ$1204,MATCH(1021,$S$5:$S$1204,0),14))</f>
        <v/>
      </c>
      <c r="O1025" s="15" t="str">
        <f t="array" ref="O1025">IF(1021&gt;$S$1204,"",INDEX($T$5:$AJ$1204,MATCH(1021,$S$5:$S$1204,0),15))</f>
        <v/>
      </c>
      <c r="P1025" s="8" t="str">
        <f t="array" ref="P1025">IF(1021&gt;$S$1204,"",INDEX($T$5:$AJ$1204,MATCH(1021,$S$5:$S$1204,0),16))</f>
        <v/>
      </c>
      <c r="Q1025" s="8" t="str">
        <f t="array" ref="Q1025">IF(1021&gt;$S$1204,"",INDEX($T$5:$AJ$1204,MATCH(1021,$S$5:$S$1204,0),17))</f>
        <v/>
      </c>
      <c r="R1025" s="17"/>
      <c r="S1025" s="17">
        <f>S1024+IF(M6_Puntos_Control!A29="",0,1)</f>
        <v>0</v>
      </c>
      <c r="T1025" s="17" t="str">
        <f>IF(M6_Puntos_Control!A29="","",IF(M6_Puntos_Control!A29="","",M6_Puntos_Control!A29))</f>
        <v/>
      </c>
      <c r="U1025" s="17" t="str">
        <f>IF(M6_Puntos_Control!A29="","",IF(M6_Puntos_Control!R29="","",M6_Puntos_Control!R29))</f>
        <v/>
      </c>
      <c r="V1025" s="17" t="str">
        <f>IF(M6_Puntos_Control!A29="","",IF(M6_Puntos_Control!D29="","",M6_Puntos_Control!D29))</f>
        <v/>
      </c>
      <c r="W1025" s="17" t="str">
        <f>IF(M6_Puntos_Control!A29="","",IF(M6_Puntos_Control!B29="","",M6_Puntos_Control!B29))</f>
        <v/>
      </c>
      <c r="X1025" s="17" t="str">
        <f>IF(M6_Puntos_Control!A29="","",IF(M6_Puntos_Control!C29="","",M6_Puntos_Control!C29))</f>
        <v/>
      </c>
      <c r="Y1025" s="17" t="str">
        <f>IF(M6_Puntos_Control!A29="","",IF(M6_Puntos_Control!E29="","",M6_Puntos_Control!E29))</f>
        <v/>
      </c>
      <c r="Z1025" s="17" t="str">
        <f>IF(M6_Puntos_Control!A29="","",IF(M6_Puntos_Control!F29="","",M6_Puntos_Control!F29))</f>
        <v/>
      </c>
      <c r="AA1025" s="17" t="str">
        <f>IF(M6_Puntos_Control!A29="","","M6 Puntos de control")</f>
        <v/>
      </c>
      <c r="AB1025" s="17" t="str">
        <f>IF(M6_Puntos_Control!A29="","",IF(M6_Puntos_Control!G29="","",M6_Puntos_Control!G29))</f>
        <v/>
      </c>
      <c r="AC1025" s="17" t="str">
        <f>IF(M6_Puntos_Control!A29="","",IF(M6_Puntos_Control!K29="Sí",IF(COUNTIFS(M6_Puntos_Control!$A$9:A29,M6_Puntos_Control!A29,M6_Puntos_Control!$D$9:D29,M6_Puntos_Control!D29,M6_Puntos_Control!$G$9:G29,M6_Puntos_Control!G29,M6_Puntos_Control!$H$9:H29,M6_Puntos_Control!H29,M6_Puntos_Control!$K$9:K29,"Sí")=1,IF(M6_Puntos_Control!M29="","",M6_Puntos_Control!M29),""),""))</f>
        <v/>
      </c>
      <c r="AD1025" s="17" t="str">
        <f>IF(M6_Puntos_Control!A29="","","RD")</f>
        <v/>
      </c>
      <c r="AE1025" s="17" t="str">
        <f>IF(M6_Puntos_Control!A29="","",IF(M6_Puntos_Control!O29="","",M6_Puntos_Control!O29))</f>
        <v/>
      </c>
      <c r="AF1025" s="17" t="str">
        <f>IF(M6_Puntos_Control!A29="","",IF(M6_Puntos_Control!P29="","",M6_Puntos_Control!P29))</f>
        <v/>
      </c>
      <c r="AG1025" s="17" t="str">
        <f>IF(M6_Puntos_Control!A29="","",IF(M6_Puntos_Control!Q29="","",M6_Puntos_Control!Q29))</f>
        <v/>
      </c>
      <c r="AH1025" s="17" t="str">
        <f>IF(M6_Puntos_Control!A29="","",IF(M6_Puntos_Control!I29="","",M6_Puntos_Control!I29))</f>
        <v/>
      </c>
      <c r="AI1025" s="17" t="str">
        <f>IF(M6_Puntos_Control!A29="","","M6_Puntos_Control!29")</f>
        <v/>
      </c>
      <c r="AJ1025" s="17" t="str">
        <f>IF(M6_Puntos_Control!A29="","",IF(M6_Puntos_Control!K29&lt;&gt;"Sí","Punto de comparación",IF(COUNTIFS(M6_Puntos_Control!$A$9:A29,M6_Puntos_Control!A29,M6_Puntos_Control!$D$9:D29,M6_Puntos_Control!D29,M6_Puntos_Control!$G$9:G29,M6_Puntos_Control!G29,M6_Puntos_Control!$H$9:H29,M6_Puntos_Control!H29,M6_Puntos_Control!$K$9:K29,"Sí")=1,IF(M6_Puntos_Control!M29="","Pendiente de resultado","Punto oficial"),"Revisar: varios puntos oficiales")))</f>
        <v/>
      </c>
    </row>
    <row r="1026" spans="1:36" ht="55.5" customHeight="1">
      <c r="A1026" s="6" t="str">
        <f t="array" ref="A1026">IF(1022&gt;$S$1204,"",INDEX($T$5:$AJ$1204,MATCH(1022,$S$5:$S$1204,0),1))</f>
        <v/>
      </c>
      <c r="B1026" s="8" t="str">
        <f t="array" ref="B1026">IF(1022&gt;$S$1204,"",INDEX($T$5:$AJ$1204,MATCH(1022,$S$5:$S$1204,0),2))</f>
        <v/>
      </c>
      <c r="C1026" s="10" t="str">
        <f t="array" ref="C1026">IF(1022&gt;$S$1204,"",INDEX($T$5:$AJ$1204,MATCH(1022,$S$5:$S$1204,0),3))</f>
        <v/>
      </c>
      <c r="D1026" s="8" t="str">
        <f t="array" ref="D1026">IF(1022&gt;$S$1204,"",INDEX($T$5:$AJ$1204,MATCH(1022,$S$5:$S$1204,0),4))</f>
        <v/>
      </c>
      <c r="E1026" s="8" t="str">
        <f t="array" ref="E1026">IF(1022&gt;$S$1204,"",INDEX($T$5:$AJ$1204,MATCH(1022,$S$5:$S$1204,0),5))</f>
        <v/>
      </c>
      <c r="F1026" s="8" t="str">
        <f t="array" ref="F1026">IF(1022&gt;$S$1204,"",INDEX($T$5:$AJ$1204,MATCH(1022,$S$5:$S$1204,0),6))</f>
        <v/>
      </c>
      <c r="G1026" s="8" t="str">
        <f t="array" ref="G1026">IF(1022&gt;$S$1204,"",INDEX($T$5:$AJ$1204,MATCH(1022,$S$5:$S$1204,0),7))</f>
        <v/>
      </c>
      <c r="H1026" s="8" t="str">
        <f t="array" ref="H1026">IF(1022&gt;$S$1204,"",INDEX($T$5:$AJ$1204,MATCH(1022,$S$5:$S$1204,0),8))</f>
        <v/>
      </c>
      <c r="I1026" s="8" t="str">
        <f t="array" ref="I1026">IF(1022&gt;$S$1204,"",INDEX($T$5:$AJ$1204,MATCH(1022,$S$5:$S$1204,0),9))</f>
        <v/>
      </c>
      <c r="J1026" s="14" t="str">
        <f t="array" ref="J1026">IF(1022&gt;$S$1204,"",INDEX($T$5:$AJ$1204,MATCH(1022,$S$5:$S$1204,0),10))</f>
        <v/>
      </c>
      <c r="K1026" s="8" t="str">
        <f t="array" ref="K1026">IF(1022&gt;$S$1204,"",INDEX($T$5:$AJ$1204,MATCH(1022,$S$5:$S$1204,0),11))</f>
        <v/>
      </c>
      <c r="L1026" s="8" t="str">
        <f t="array" ref="L1026">IF(1022&gt;$S$1204,"",INDEX($T$5:$AJ$1204,MATCH(1022,$S$5:$S$1204,0),12))</f>
        <v/>
      </c>
      <c r="M1026" s="8" t="str">
        <f t="array" ref="M1026">IF(1022&gt;$S$1204,"",INDEX($T$5:$AJ$1204,MATCH(1022,$S$5:$S$1204,0),13))</f>
        <v/>
      </c>
      <c r="N1026" s="8" t="str">
        <f t="array" ref="N1026">IF(1022&gt;$S$1204,"",INDEX($T$5:$AJ$1204,MATCH(1022,$S$5:$S$1204,0),14))</f>
        <v/>
      </c>
      <c r="O1026" s="15" t="str">
        <f t="array" ref="O1026">IF(1022&gt;$S$1204,"",INDEX($T$5:$AJ$1204,MATCH(1022,$S$5:$S$1204,0),15))</f>
        <v/>
      </c>
      <c r="P1026" s="8" t="str">
        <f t="array" ref="P1026">IF(1022&gt;$S$1204,"",INDEX($T$5:$AJ$1204,MATCH(1022,$S$5:$S$1204,0),16))</f>
        <v/>
      </c>
      <c r="Q1026" s="8" t="str">
        <f t="array" ref="Q1026">IF(1022&gt;$S$1204,"",INDEX($T$5:$AJ$1204,MATCH(1022,$S$5:$S$1204,0),17))</f>
        <v/>
      </c>
      <c r="R1026" s="17"/>
      <c r="S1026" s="17">
        <f>S1025+IF(M6_Puntos_Control!A30="",0,1)</f>
        <v>0</v>
      </c>
      <c r="T1026" s="17" t="str">
        <f>IF(M6_Puntos_Control!A30="","",IF(M6_Puntos_Control!A30="","",M6_Puntos_Control!A30))</f>
        <v/>
      </c>
      <c r="U1026" s="17" t="str">
        <f>IF(M6_Puntos_Control!A30="","",IF(M6_Puntos_Control!R30="","",M6_Puntos_Control!R30))</f>
        <v/>
      </c>
      <c r="V1026" s="17" t="str">
        <f>IF(M6_Puntos_Control!A30="","",IF(M6_Puntos_Control!D30="","",M6_Puntos_Control!D30))</f>
        <v/>
      </c>
      <c r="W1026" s="17" t="str">
        <f>IF(M6_Puntos_Control!A30="","",IF(M6_Puntos_Control!B30="","",M6_Puntos_Control!B30))</f>
        <v/>
      </c>
      <c r="X1026" s="17" t="str">
        <f>IF(M6_Puntos_Control!A30="","",IF(M6_Puntos_Control!C30="","",M6_Puntos_Control!C30))</f>
        <v/>
      </c>
      <c r="Y1026" s="17" t="str">
        <f>IF(M6_Puntos_Control!A30="","",IF(M6_Puntos_Control!E30="","",M6_Puntos_Control!E30))</f>
        <v/>
      </c>
      <c r="Z1026" s="17" t="str">
        <f>IF(M6_Puntos_Control!A30="","",IF(M6_Puntos_Control!F30="","",M6_Puntos_Control!F30))</f>
        <v/>
      </c>
      <c r="AA1026" s="17" t="str">
        <f>IF(M6_Puntos_Control!A30="","","M6 Puntos de control")</f>
        <v/>
      </c>
      <c r="AB1026" s="17" t="str">
        <f>IF(M6_Puntos_Control!A30="","",IF(M6_Puntos_Control!G30="","",M6_Puntos_Control!G30))</f>
        <v/>
      </c>
      <c r="AC1026" s="17" t="str">
        <f>IF(M6_Puntos_Control!A30="","",IF(M6_Puntos_Control!K30="Sí",IF(COUNTIFS(M6_Puntos_Control!$A$9:A30,M6_Puntos_Control!A30,M6_Puntos_Control!$D$9:D30,M6_Puntos_Control!D30,M6_Puntos_Control!$G$9:G30,M6_Puntos_Control!G30,M6_Puntos_Control!$H$9:H30,M6_Puntos_Control!H30,M6_Puntos_Control!$K$9:K30,"Sí")=1,IF(M6_Puntos_Control!M30="","",M6_Puntos_Control!M30),""),""))</f>
        <v/>
      </c>
      <c r="AD1026" s="17" t="str">
        <f>IF(M6_Puntos_Control!A30="","","RD")</f>
        <v/>
      </c>
      <c r="AE1026" s="17" t="str">
        <f>IF(M6_Puntos_Control!A30="","",IF(M6_Puntos_Control!O30="","",M6_Puntos_Control!O30))</f>
        <v/>
      </c>
      <c r="AF1026" s="17" t="str">
        <f>IF(M6_Puntos_Control!A30="","",IF(M6_Puntos_Control!P30="","",M6_Puntos_Control!P30))</f>
        <v/>
      </c>
      <c r="AG1026" s="17" t="str">
        <f>IF(M6_Puntos_Control!A30="","",IF(M6_Puntos_Control!Q30="","",M6_Puntos_Control!Q30))</f>
        <v/>
      </c>
      <c r="AH1026" s="17" t="str">
        <f>IF(M6_Puntos_Control!A30="","",IF(M6_Puntos_Control!I30="","",M6_Puntos_Control!I30))</f>
        <v/>
      </c>
      <c r="AI1026" s="17" t="str">
        <f>IF(M6_Puntos_Control!A30="","","M6_Puntos_Control!30")</f>
        <v/>
      </c>
      <c r="AJ1026" s="17" t="str">
        <f>IF(M6_Puntos_Control!A30="","",IF(M6_Puntos_Control!K30&lt;&gt;"Sí","Punto de comparación",IF(COUNTIFS(M6_Puntos_Control!$A$9:A30,M6_Puntos_Control!A30,M6_Puntos_Control!$D$9:D30,M6_Puntos_Control!D30,M6_Puntos_Control!$G$9:G30,M6_Puntos_Control!G30,M6_Puntos_Control!$H$9:H30,M6_Puntos_Control!H30,M6_Puntos_Control!$K$9:K30,"Sí")=1,IF(M6_Puntos_Control!M30="","Pendiente de resultado","Punto oficial"),"Revisar: varios puntos oficiales")))</f>
        <v/>
      </c>
    </row>
    <row r="1027" spans="1:36" ht="55.5" customHeight="1">
      <c r="A1027" s="6" t="str">
        <f t="array" ref="A1027">IF(1023&gt;$S$1204,"",INDEX($T$5:$AJ$1204,MATCH(1023,$S$5:$S$1204,0),1))</f>
        <v/>
      </c>
      <c r="B1027" s="8" t="str">
        <f t="array" ref="B1027">IF(1023&gt;$S$1204,"",INDEX($T$5:$AJ$1204,MATCH(1023,$S$5:$S$1204,0),2))</f>
        <v/>
      </c>
      <c r="C1027" s="10" t="str">
        <f t="array" ref="C1027">IF(1023&gt;$S$1204,"",INDEX($T$5:$AJ$1204,MATCH(1023,$S$5:$S$1204,0),3))</f>
        <v/>
      </c>
      <c r="D1027" s="8" t="str">
        <f t="array" ref="D1027">IF(1023&gt;$S$1204,"",INDEX($T$5:$AJ$1204,MATCH(1023,$S$5:$S$1204,0),4))</f>
        <v/>
      </c>
      <c r="E1027" s="8" t="str">
        <f t="array" ref="E1027">IF(1023&gt;$S$1204,"",INDEX($T$5:$AJ$1204,MATCH(1023,$S$5:$S$1204,0),5))</f>
        <v/>
      </c>
      <c r="F1027" s="8" t="str">
        <f t="array" ref="F1027">IF(1023&gt;$S$1204,"",INDEX($T$5:$AJ$1204,MATCH(1023,$S$5:$S$1204,0),6))</f>
        <v/>
      </c>
      <c r="G1027" s="8" t="str">
        <f t="array" ref="G1027">IF(1023&gt;$S$1204,"",INDEX($T$5:$AJ$1204,MATCH(1023,$S$5:$S$1204,0),7))</f>
        <v/>
      </c>
      <c r="H1027" s="8" t="str">
        <f t="array" ref="H1027">IF(1023&gt;$S$1204,"",INDEX($T$5:$AJ$1204,MATCH(1023,$S$5:$S$1204,0),8))</f>
        <v/>
      </c>
      <c r="I1027" s="8" t="str">
        <f t="array" ref="I1027">IF(1023&gt;$S$1204,"",INDEX($T$5:$AJ$1204,MATCH(1023,$S$5:$S$1204,0),9))</f>
        <v/>
      </c>
      <c r="J1027" s="14" t="str">
        <f t="array" ref="J1027">IF(1023&gt;$S$1204,"",INDEX($T$5:$AJ$1204,MATCH(1023,$S$5:$S$1204,0),10))</f>
        <v/>
      </c>
      <c r="K1027" s="8" t="str">
        <f t="array" ref="K1027">IF(1023&gt;$S$1204,"",INDEX($T$5:$AJ$1204,MATCH(1023,$S$5:$S$1204,0),11))</f>
        <v/>
      </c>
      <c r="L1027" s="8" t="str">
        <f t="array" ref="L1027">IF(1023&gt;$S$1204,"",INDEX($T$5:$AJ$1204,MATCH(1023,$S$5:$S$1204,0),12))</f>
        <v/>
      </c>
      <c r="M1027" s="8" t="str">
        <f t="array" ref="M1027">IF(1023&gt;$S$1204,"",INDEX($T$5:$AJ$1204,MATCH(1023,$S$5:$S$1204,0),13))</f>
        <v/>
      </c>
      <c r="N1027" s="8" t="str">
        <f t="array" ref="N1027">IF(1023&gt;$S$1204,"",INDEX($T$5:$AJ$1204,MATCH(1023,$S$5:$S$1204,0),14))</f>
        <v/>
      </c>
      <c r="O1027" s="15" t="str">
        <f t="array" ref="O1027">IF(1023&gt;$S$1204,"",INDEX($T$5:$AJ$1204,MATCH(1023,$S$5:$S$1204,0),15))</f>
        <v/>
      </c>
      <c r="P1027" s="8" t="str">
        <f t="array" ref="P1027">IF(1023&gt;$S$1204,"",INDEX($T$5:$AJ$1204,MATCH(1023,$S$5:$S$1204,0),16))</f>
        <v/>
      </c>
      <c r="Q1027" s="8" t="str">
        <f t="array" ref="Q1027">IF(1023&gt;$S$1204,"",INDEX($T$5:$AJ$1204,MATCH(1023,$S$5:$S$1204,0),17))</f>
        <v/>
      </c>
      <c r="R1027" s="17"/>
      <c r="S1027" s="17">
        <f>S1026+IF(M6_Puntos_Control!A31="",0,1)</f>
        <v>0</v>
      </c>
      <c r="T1027" s="17" t="str">
        <f>IF(M6_Puntos_Control!A31="","",IF(M6_Puntos_Control!A31="","",M6_Puntos_Control!A31))</f>
        <v/>
      </c>
      <c r="U1027" s="17" t="str">
        <f>IF(M6_Puntos_Control!A31="","",IF(M6_Puntos_Control!R31="","",M6_Puntos_Control!R31))</f>
        <v/>
      </c>
      <c r="V1027" s="17" t="str">
        <f>IF(M6_Puntos_Control!A31="","",IF(M6_Puntos_Control!D31="","",M6_Puntos_Control!D31))</f>
        <v/>
      </c>
      <c r="W1027" s="17" t="str">
        <f>IF(M6_Puntos_Control!A31="","",IF(M6_Puntos_Control!B31="","",M6_Puntos_Control!B31))</f>
        <v/>
      </c>
      <c r="X1027" s="17" t="str">
        <f>IF(M6_Puntos_Control!A31="","",IF(M6_Puntos_Control!C31="","",M6_Puntos_Control!C31))</f>
        <v/>
      </c>
      <c r="Y1027" s="17" t="str">
        <f>IF(M6_Puntos_Control!A31="","",IF(M6_Puntos_Control!E31="","",M6_Puntos_Control!E31))</f>
        <v/>
      </c>
      <c r="Z1027" s="17" t="str">
        <f>IF(M6_Puntos_Control!A31="","",IF(M6_Puntos_Control!F31="","",M6_Puntos_Control!F31))</f>
        <v/>
      </c>
      <c r="AA1027" s="17" t="str">
        <f>IF(M6_Puntos_Control!A31="","","M6 Puntos de control")</f>
        <v/>
      </c>
      <c r="AB1027" s="17" t="str">
        <f>IF(M6_Puntos_Control!A31="","",IF(M6_Puntos_Control!G31="","",M6_Puntos_Control!G31))</f>
        <v/>
      </c>
      <c r="AC1027" s="17" t="str">
        <f>IF(M6_Puntos_Control!A31="","",IF(M6_Puntos_Control!K31="Sí",IF(COUNTIFS(M6_Puntos_Control!$A$9:A31,M6_Puntos_Control!A31,M6_Puntos_Control!$D$9:D31,M6_Puntos_Control!D31,M6_Puntos_Control!$G$9:G31,M6_Puntos_Control!G31,M6_Puntos_Control!$H$9:H31,M6_Puntos_Control!H31,M6_Puntos_Control!$K$9:K31,"Sí")=1,IF(M6_Puntos_Control!M31="","",M6_Puntos_Control!M31),""),""))</f>
        <v/>
      </c>
      <c r="AD1027" s="17" t="str">
        <f>IF(M6_Puntos_Control!A31="","","RD")</f>
        <v/>
      </c>
      <c r="AE1027" s="17" t="str">
        <f>IF(M6_Puntos_Control!A31="","",IF(M6_Puntos_Control!O31="","",M6_Puntos_Control!O31))</f>
        <v/>
      </c>
      <c r="AF1027" s="17" t="str">
        <f>IF(M6_Puntos_Control!A31="","",IF(M6_Puntos_Control!P31="","",M6_Puntos_Control!P31))</f>
        <v/>
      </c>
      <c r="AG1027" s="17" t="str">
        <f>IF(M6_Puntos_Control!A31="","",IF(M6_Puntos_Control!Q31="","",M6_Puntos_Control!Q31))</f>
        <v/>
      </c>
      <c r="AH1027" s="17" t="str">
        <f>IF(M6_Puntos_Control!A31="","",IF(M6_Puntos_Control!I31="","",M6_Puntos_Control!I31))</f>
        <v/>
      </c>
      <c r="AI1027" s="17" t="str">
        <f>IF(M6_Puntos_Control!A31="","","M6_Puntos_Control!31")</f>
        <v/>
      </c>
      <c r="AJ1027" s="17" t="str">
        <f>IF(M6_Puntos_Control!A31="","",IF(M6_Puntos_Control!K31&lt;&gt;"Sí","Punto de comparación",IF(COUNTIFS(M6_Puntos_Control!$A$9:A31,M6_Puntos_Control!A31,M6_Puntos_Control!$D$9:D31,M6_Puntos_Control!D31,M6_Puntos_Control!$G$9:G31,M6_Puntos_Control!G31,M6_Puntos_Control!$H$9:H31,M6_Puntos_Control!H31,M6_Puntos_Control!$K$9:K31,"Sí")=1,IF(M6_Puntos_Control!M31="","Pendiente de resultado","Punto oficial"),"Revisar: varios puntos oficiales")))</f>
        <v/>
      </c>
    </row>
    <row r="1028" spans="1:36" ht="55.5" customHeight="1">
      <c r="A1028" s="6" t="str">
        <f t="array" ref="A1028">IF(1024&gt;$S$1204,"",INDEX($T$5:$AJ$1204,MATCH(1024,$S$5:$S$1204,0),1))</f>
        <v/>
      </c>
      <c r="B1028" s="8" t="str">
        <f t="array" ref="B1028">IF(1024&gt;$S$1204,"",INDEX($T$5:$AJ$1204,MATCH(1024,$S$5:$S$1204,0),2))</f>
        <v/>
      </c>
      <c r="C1028" s="10" t="str">
        <f t="array" ref="C1028">IF(1024&gt;$S$1204,"",INDEX($T$5:$AJ$1204,MATCH(1024,$S$5:$S$1204,0),3))</f>
        <v/>
      </c>
      <c r="D1028" s="8" t="str">
        <f t="array" ref="D1028">IF(1024&gt;$S$1204,"",INDEX($T$5:$AJ$1204,MATCH(1024,$S$5:$S$1204,0),4))</f>
        <v/>
      </c>
      <c r="E1028" s="8" t="str">
        <f t="array" ref="E1028">IF(1024&gt;$S$1204,"",INDEX($T$5:$AJ$1204,MATCH(1024,$S$5:$S$1204,0),5))</f>
        <v/>
      </c>
      <c r="F1028" s="8" t="str">
        <f t="array" ref="F1028">IF(1024&gt;$S$1204,"",INDEX($T$5:$AJ$1204,MATCH(1024,$S$5:$S$1204,0),6))</f>
        <v/>
      </c>
      <c r="G1028" s="8" t="str">
        <f t="array" ref="G1028">IF(1024&gt;$S$1204,"",INDEX($T$5:$AJ$1204,MATCH(1024,$S$5:$S$1204,0),7))</f>
        <v/>
      </c>
      <c r="H1028" s="8" t="str">
        <f t="array" ref="H1028">IF(1024&gt;$S$1204,"",INDEX($T$5:$AJ$1204,MATCH(1024,$S$5:$S$1204,0),8))</f>
        <v/>
      </c>
      <c r="I1028" s="8" t="str">
        <f t="array" ref="I1028">IF(1024&gt;$S$1204,"",INDEX($T$5:$AJ$1204,MATCH(1024,$S$5:$S$1204,0),9))</f>
        <v/>
      </c>
      <c r="J1028" s="14" t="str">
        <f t="array" ref="J1028">IF(1024&gt;$S$1204,"",INDEX($T$5:$AJ$1204,MATCH(1024,$S$5:$S$1204,0),10))</f>
        <v/>
      </c>
      <c r="K1028" s="8" t="str">
        <f t="array" ref="K1028">IF(1024&gt;$S$1204,"",INDEX($T$5:$AJ$1204,MATCH(1024,$S$5:$S$1204,0),11))</f>
        <v/>
      </c>
      <c r="L1028" s="8" t="str">
        <f t="array" ref="L1028">IF(1024&gt;$S$1204,"",INDEX($T$5:$AJ$1204,MATCH(1024,$S$5:$S$1204,0),12))</f>
        <v/>
      </c>
      <c r="M1028" s="8" t="str">
        <f t="array" ref="M1028">IF(1024&gt;$S$1204,"",INDEX($T$5:$AJ$1204,MATCH(1024,$S$5:$S$1204,0),13))</f>
        <v/>
      </c>
      <c r="N1028" s="8" t="str">
        <f t="array" ref="N1028">IF(1024&gt;$S$1204,"",INDEX($T$5:$AJ$1204,MATCH(1024,$S$5:$S$1204,0),14))</f>
        <v/>
      </c>
      <c r="O1028" s="15" t="str">
        <f t="array" ref="O1028">IF(1024&gt;$S$1204,"",INDEX($T$5:$AJ$1204,MATCH(1024,$S$5:$S$1204,0),15))</f>
        <v/>
      </c>
      <c r="P1028" s="8" t="str">
        <f t="array" ref="P1028">IF(1024&gt;$S$1204,"",INDEX($T$5:$AJ$1204,MATCH(1024,$S$5:$S$1204,0),16))</f>
        <v/>
      </c>
      <c r="Q1028" s="8" t="str">
        <f t="array" ref="Q1028">IF(1024&gt;$S$1204,"",INDEX($T$5:$AJ$1204,MATCH(1024,$S$5:$S$1204,0),17))</f>
        <v/>
      </c>
      <c r="R1028" s="17"/>
      <c r="S1028" s="17">
        <f>S1027+IF(M6_Puntos_Control!A32="",0,1)</f>
        <v>0</v>
      </c>
      <c r="T1028" s="17" t="str">
        <f>IF(M6_Puntos_Control!A32="","",IF(M6_Puntos_Control!A32="","",M6_Puntos_Control!A32))</f>
        <v/>
      </c>
      <c r="U1028" s="17" t="str">
        <f>IF(M6_Puntos_Control!A32="","",IF(M6_Puntos_Control!R32="","",M6_Puntos_Control!R32))</f>
        <v/>
      </c>
      <c r="V1028" s="17" t="str">
        <f>IF(M6_Puntos_Control!A32="","",IF(M6_Puntos_Control!D32="","",M6_Puntos_Control!D32))</f>
        <v/>
      </c>
      <c r="W1028" s="17" t="str">
        <f>IF(M6_Puntos_Control!A32="","",IF(M6_Puntos_Control!B32="","",M6_Puntos_Control!B32))</f>
        <v/>
      </c>
      <c r="X1028" s="17" t="str">
        <f>IF(M6_Puntos_Control!A32="","",IF(M6_Puntos_Control!C32="","",M6_Puntos_Control!C32))</f>
        <v/>
      </c>
      <c r="Y1028" s="17" t="str">
        <f>IF(M6_Puntos_Control!A32="","",IF(M6_Puntos_Control!E32="","",M6_Puntos_Control!E32))</f>
        <v/>
      </c>
      <c r="Z1028" s="17" t="str">
        <f>IF(M6_Puntos_Control!A32="","",IF(M6_Puntos_Control!F32="","",M6_Puntos_Control!F32))</f>
        <v/>
      </c>
      <c r="AA1028" s="17" t="str">
        <f>IF(M6_Puntos_Control!A32="","","M6 Puntos de control")</f>
        <v/>
      </c>
      <c r="AB1028" s="17" t="str">
        <f>IF(M6_Puntos_Control!A32="","",IF(M6_Puntos_Control!G32="","",M6_Puntos_Control!G32))</f>
        <v/>
      </c>
      <c r="AC1028" s="17" t="str">
        <f>IF(M6_Puntos_Control!A32="","",IF(M6_Puntos_Control!K32="Sí",IF(COUNTIFS(M6_Puntos_Control!$A$9:A32,M6_Puntos_Control!A32,M6_Puntos_Control!$D$9:D32,M6_Puntos_Control!D32,M6_Puntos_Control!$G$9:G32,M6_Puntos_Control!G32,M6_Puntos_Control!$H$9:H32,M6_Puntos_Control!H32,M6_Puntos_Control!$K$9:K32,"Sí")=1,IF(M6_Puntos_Control!M32="","",M6_Puntos_Control!M32),""),""))</f>
        <v/>
      </c>
      <c r="AD1028" s="17" t="str">
        <f>IF(M6_Puntos_Control!A32="","","RD")</f>
        <v/>
      </c>
      <c r="AE1028" s="17" t="str">
        <f>IF(M6_Puntos_Control!A32="","",IF(M6_Puntos_Control!O32="","",M6_Puntos_Control!O32))</f>
        <v/>
      </c>
      <c r="AF1028" s="17" t="str">
        <f>IF(M6_Puntos_Control!A32="","",IF(M6_Puntos_Control!P32="","",M6_Puntos_Control!P32))</f>
        <v/>
      </c>
      <c r="AG1028" s="17" t="str">
        <f>IF(M6_Puntos_Control!A32="","",IF(M6_Puntos_Control!Q32="","",M6_Puntos_Control!Q32))</f>
        <v/>
      </c>
      <c r="AH1028" s="17" t="str">
        <f>IF(M6_Puntos_Control!A32="","",IF(M6_Puntos_Control!I32="","",M6_Puntos_Control!I32))</f>
        <v/>
      </c>
      <c r="AI1028" s="17" t="str">
        <f>IF(M6_Puntos_Control!A32="","","M6_Puntos_Control!32")</f>
        <v/>
      </c>
      <c r="AJ1028" s="17" t="str">
        <f>IF(M6_Puntos_Control!A32="","",IF(M6_Puntos_Control!K32&lt;&gt;"Sí","Punto de comparación",IF(COUNTIFS(M6_Puntos_Control!$A$9:A32,M6_Puntos_Control!A32,M6_Puntos_Control!$D$9:D32,M6_Puntos_Control!D32,M6_Puntos_Control!$G$9:G32,M6_Puntos_Control!G32,M6_Puntos_Control!$H$9:H32,M6_Puntos_Control!H32,M6_Puntos_Control!$K$9:K32,"Sí")=1,IF(M6_Puntos_Control!M32="","Pendiente de resultado","Punto oficial"),"Revisar: varios puntos oficiales")))</f>
        <v/>
      </c>
    </row>
    <row r="1029" spans="1:36" ht="55.5" customHeight="1">
      <c r="A1029" s="6" t="str">
        <f t="array" ref="A1029">IF(1025&gt;$S$1204,"",INDEX($T$5:$AJ$1204,MATCH(1025,$S$5:$S$1204,0),1))</f>
        <v/>
      </c>
      <c r="B1029" s="8" t="str">
        <f t="array" ref="B1029">IF(1025&gt;$S$1204,"",INDEX($T$5:$AJ$1204,MATCH(1025,$S$5:$S$1204,0),2))</f>
        <v/>
      </c>
      <c r="C1029" s="10" t="str">
        <f t="array" ref="C1029">IF(1025&gt;$S$1204,"",INDEX($T$5:$AJ$1204,MATCH(1025,$S$5:$S$1204,0),3))</f>
        <v/>
      </c>
      <c r="D1029" s="8" t="str">
        <f t="array" ref="D1029">IF(1025&gt;$S$1204,"",INDEX($T$5:$AJ$1204,MATCH(1025,$S$5:$S$1204,0),4))</f>
        <v/>
      </c>
      <c r="E1029" s="8" t="str">
        <f t="array" ref="E1029">IF(1025&gt;$S$1204,"",INDEX($T$5:$AJ$1204,MATCH(1025,$S$5:$S$1204,0),5))</f>
        <v/>
      </c>
      <c r="F1029" s="8" t="str">
        <f t="array" ref="F1029">IF(1025&gt;$S$1204,"",INDEX($T$5:$AJ$1204,MATCH(1025,$S$5:$S$1204,0),6))</f>
        <v/>
      </c>
      <c r="G1029" s="8" t="str">
        <f t="array" ref="G1029">IF(1025&gt;$S$1204,"",INDEX($T$5:$AJ$1204,MATCH(1025,$S$5:$S$1204,0),7))</f>
        <v/>
      </c>
      <c r="H1029" s="8" t="str">
        <f t="array" ref="H1029">IF(1025&gt;$S$1204,"",INDEX($T$5:$AJ$1204,MATCH(1025,$S$5:$S$1204,0),8))</f>
        <v/>
      </c>
      <c r="I1029" s="8" t="str">
        <f t="array" ref="I1029">IF(1025&gt;$S$1204,"",INDEX($T$5:$AJ$1204,MATCH(1025,$S$5:$S$1204,0),9))</f>
        <v/>
      </c>
      <c r="J1029" s="14" t="str">
        <f t="array" ref="J1029">IF(1025&gt;$S$1204,"",INDEX($T$5:$AJ$1204,MATCH(1025,$S$5:$S$1204,0),10))</f>
        <v/>
      </c>
      <c r="K1029" s="8" t="str">
        <f t="array" ref="K1029">IF(1025&gt;$S$1204,"",INDEX($T$5:$AJ$1204,MATCH(1025,$S$5:$S$1204,0),11))</f>
        <v/>
      </c>
      <c r="L1029" s="8" t="str">
        <f t="array" ref="L1029">IF(1025&gt;$S$1204,"",INDEX($T$5:$AJ$1204,MATCH(1025,$S$5:$S$1204,0),12))</f>
        <v/>
      </c>
      <c r="M1029" s="8" t="str">
        <f t="array" ref="M1029">IF(1025&gt;$S$1204,"",INDEX($T$5:$AJ$1204,MATCH(1025,$S$5:$S$1204,0),13))</f>
        <v/>
      </c>
      <c r="N1029" s="8" t="str">
        <f t="array" ref="N1029">IF(1025&gt;$S$1204,"",INDEX($T$5:$AJ$1204,MATCH(1025,$S$5:$S$1204,0),14))</f>
        <v/>
      </c>
      <c r="O1029" s="15" t="str">
        <f t="array" ref="O1029">IF(1025&gt;$S$1204,"",INDEX($T$5:$AJ$1204,MATCH(1025,$S$5:$S$1204,0),15))</f>
        <v/>
      </c>
      <c r="P1029" s="8" t="str">
        <f t="array" ref="P1029">IF(1025&gt;$S$1204,"",INDEX($T$5:$AJ$1204,MATCH(1025,$S$5:$S$1204,0),16))</f>
        <v/>
      </c>
      <c r="Q1029" s="8" t="str">
        <f t="array" ref="Q1029">IF(1025&gt;$S$1204,"",INDEX($T$5:$AJ$1204,MATCH(1025,$S$5:$S$1204,0),17))</f>
        <v/>
      </c>
      <c r="R1029" s="17"/>
      <c r="S1029" s="17">
        <f>S1028+IF(M6_Puntos_Control!A33="",0,1)</f>
        <v>0</v>
      </c>
      <c r="T1029" s="17" t="str">
        <f>IF(M6_Puntos_Control!A33="","",IF(M6_Puntos_Control!A33="","",M6_Puntos_Control!A33))</f>
        <v/>
      </c>
      <c r="U1029" s="17" t="str">
        <f>IF(M6_Puntos_Control!A33="","",IF(M6_Puntos_Control!R33="","",M6_Puntos_Control!R33))</f>
        <v/>
      </c>
      <c r="V1029" s="17" t="str">
        <f>IF(M6_Puntos_Control!A33="","",IF(M6_Puntos_Control!D33="","",M6_Puntos_Control!D33))</f>
        <v/>
      </c>
      <c r="W1029" s="17" t="str">
        <f>IF(M6_Puntos_Control!A33="","",IF(M6_Puntos_Control!B33="","",M6_Puntos_Control!B33))</f>
        <v/>
      </c>
      <c r="X1029" s="17" t="str">
        <f>IF(M6_Puntos_Control!A33="","",IF(M6_Puntos_Control!C33="","",M6_Puntos_Control!C33))</f>
        <v/>
      </c>
      <c r="Y1029" s="17" t="str">
        <f>IF(M6_Puntos_Control!A33="","",IF(M6_Puntos_Control!E33="","",M6_Puntos_Control!E33))</f>
        <v/>
      </c>
      <c r="Z1029" s="17" t="str">
        <f>IF(M6_Puntos_Control!A33="","",IF(M6_Puntos_Control!F33="","",M6_Puntos_Control!F33))</f>
        <v/>
      </c>
      <c r="AA1029" s="17" t="str">
        <f>IF(M6_Puntos_Control!A33="","","M6 Puntos de control")</f>
        <v/>
      </c>
      <c r="AB1029" s="17" t="str">
        <f>IF(M6_Puntos_Control!A33="","",IF(M6_Puntos_Control!G33="","",M6_Puntos_Control!G33))</f>
        <v/>
      </c>
      <c r="AC1029" s="17" t="str">
        <f>IF(M6_Puntos_Control!A33="","",IF(M6_Puntos_Control!K33="Sí",IF(COUNTIFS(M6_Puntos_Control!$A$9:A33,M6_Puntos_Control!A33,M6_Puntos_Control!$D$9:D33,M6_Puntos_Control!D33,M6_Puntos_Control!$G$9:G33,M6_Puntos_Control!G33,M6_Puntos_Control!$H$9:H33,M6_Puntos_Control!H33,M6_Puntos_Control!$K$9:K33,"Sí")=1,IF(M6_Puntos_Control!M33="","",M6_Puntos_Control!M33),""),""))</f>
        <v/>
      </c>
      <c r="AD1029" s="17" t="str">
        <f>IF(M6_Puntos_Control!A33="","","RD")</f>
        <v/>
      </c>
      <c r="AE1029" s="17" t="str">
        <f>IF(M6_Puntos_Control!A33="","",IF(M6_Puntos_Control!O33="","",M6_Puntos_Control!O33))</f>
        <v/>
      </c>
      <c r="AF1029" s="17" t="str">
        <f>IF(M6_Puntos_Control!A33="","",IF(M6_Puntos_Control!P33="","",M6_Puntos_Control!P33))</f>
        <v/>
      </c>
      <c r="AG1029" s="17" t="str">
        <f>IF(M6_Puntos_Control!A33="","",IF(M6_Puntos_Control!Q33="","",M6_Puntos_Control!Q33))</f>
        <v/>
      </c>
      <c r="AH1029" s="17" t="str">
        <f>IF(M6_Puntos_Control!A33="","",IF(M6_Puntos_Control!I33="","",M6_Puntos_Control!I33))</f>
        <v/>
      </c>
      <c r="AI1029" s="17" t="str">
        <f>IF(M6_Puntos_Control!A33="","","M6_Puntos_Control!33")</f>
        <v/>
      </c>
      <c r="AJ1029" s="17" t="str">
        <f>IF(M6_Puntos_Control!A33="","",IF(M6_Puntos_Control!K33&lt;&gt;"Sí","Punto de comparación",IF(COUNTIFS(M6_Puntos_Control!$A$9:A33,M6_Puntos_Control!A33,M6_Puntos_Control!$D$9:D33,M6_Puntos_Control!D33,M6_Puntos_Control!$G$9:G33,M6_Puntos_Control!G33,M6_Puntos_Control!$H$9:H33,M6_Puntos_Control!H33,M6_Puntos_Control!$K$9:K33,"Sí")=1,IF(M6_Puntos_Control!M33="","Pendiente de resultado","Punto oficial"),"Revisar: varios puntos oficiales")))</f>
        <v/>
      </c>
    </row>
    <row r="1030" spans="1:36" ht="55.5" customHeight="1">
      <c r="A1030" s="6" t="str">
        <f t="array" ref="A1030">IF(1026&gt;$S$1204,"",INDEX($T$5:$AJ$1204,MATCH(1026,$S$5:$S$1204,0),1))</f>
        <v/>
      </c>
      <c r="B1030" s="8" t="str">
        <f t="array" ref="B1030">IF(1026&gt;$S$1204,"",INDEX($T$5:$AJ$1204,MATCH(1026,$S$5:$S$1204,0),2))</f>
        <v/>
      </c>
      <c r="C1030" s="10" t="str">
        <f t="array" ref="C1030">IF(1026&gt;$S$1204,"",INDEX($T$5:$AJ$1204,MATCH(1026,$S$5:$S$1204,0),3))</f>
        <v/>
      </c>
      <c r="D1030" s="8" t="str">
        <f t="array" ref="D1030">IF(1026&gt;$S$1204,"",INDEX($T$5:$AJ$1204,MATCH(1026,$S$5:$S$1204,0),4))</f>
        <v/>
      </c>
      <c r="E1030" s="8" t="str">
        <f t="array" ref="E1030">IF(1026&gt;$S$1204,"",INDEX($T$5:$AJ$1204,MATCH(1026,$S$5:$S$1204,0),5))</f>
        <v/>
      </c>
      <c r="F1030" s="8" t="str">
        <f t="array" ref="F1030">IF(1026&gt;$S$1204,"",INDEX($T$5:$AJ$1204,MATCH(1026,$S$5:$S$1204,0),6))</f>
        <v/>
      </c>
      <c r="G1030" s="8" t="str">
        <f t="array" ref="G1030">IF(1026&gt;$S$1204,"",INDEX($T$5:$AJ$1204,MATCH(1026,$S$5:$S$1204,0),7))</f>
        <v/>
      </c>
      <c r="H1030" s="8" t="str">
        <f t="array" ref="H1030">IF(1026&gt;$S$1204,"",INDEX($T$5:$AJ$1204,MATCH(1026,$S$5:$S$1204,0),8))</f>
        <v/>
      </c>
      <c r="I1030" s="8" t="str">
        <f t="array" ref="I1030">IF(1026&gt;$S$1204,"",INDEX($T$5:$AJ$1204,MATCH(1026,$S$5:$S$1204,0),9))</f>
        <v/>
      </c>
      <c r="J1030" s="14" t="str">
        <f t="array" ref="J1030">IF(1026&gt;$S$1204,"",INDEX($T$5:$AJ$1204,MATCH(1026,$S$5:$S$1204,0),10))</f>
        <v/>
      </c>
      <c r="K1030" s="8" t="str">
        <f t="array" ref="K1030">IF(1026&gt;$S$1204,"",INDEX($T$5:$AJ$1204,MATCH(1026,$S$5:$S$1204,0),11))</f>
        <v/>
      </c>
      <c r="L1030" s="8" t="str">
        <f t="array" ref="L1030">IF(1026&gt;$S$1204,"",INDEX($T$5:$AJ$1204,MATCH(1026,$S$5:$S$1204,0),12))</f>
        <v/>
      </c>
      <c r="M1030" s="8" t="str">
        <f t="array" ref="M1030">IF(1026&gt;$S$1204,"",INDEX($T$5:$AJ$1204,MATCH(1026,$S$5:$S$1204,0),13))</f>
        <v/>
      </c>
      <c r="N1030" s="8" t="str">
        <f t="array" ref="N1030">IF(1026&gt;$S$1204,"",INDEX($T$5:$AJ$1204,MATCH(1026,$S$5:$S$1204,0),14))</f>
        <v/>
      </c>
      <c r="O1030" s="15" t="str">
        <f t="array" ref="O1030">IF(1026&gt;$S$1204,"",INDEX($T$5:$AJ$1204,MATCH(1026,$S$5:$S$1204,0),15))</f>
        <v/>
      </c>
      <c r="P1030" s="8" t="str">
        <f t="array" ref="P1030">IF(1026&gt;$S$1204,"",INDEX($T$5:$AJ$1204,MATCH(1026,$S$5:$S$1204,0),16))</f>
        <v/>
      </c>
      <c r="Q1030" s="8" t="str">
        <f t="array" ref="Q1030">IF(1026&gt;$S$1204,"",INDEX($T$5:$AJ$1204,MATCH(1026,$S$5:$S$1204,0),17))</f>
        <v/>
      </c>
      <c r="R1030" s="17"/>
      <c r="S1030" s="17">
        <f>S1029+IF(M6_Puntos_Control!A34="",0,1)</f>
        <v>0</v>
      </c>
      <c r="T1030" s="17" t="str">
        <f>IF(M6_Puntos_Control!A34="","",IF(M6_Puntos_Control!A34="","",M6_Puntos_Control!A34))</f>
        <v/>
      </c>
      <c r="U1030" s="17" t="str">
        <f>IF(M6_Puntos_Control!A34="","",IF(M6_Puntos_Control!R34="","",M6_Puntos_Control!R34))</f>
        <v/>
      </c>
      <c r="V1030" s="17" t="str">
        <f>IF(M6_Puntos_Control!A34="","",IF(M6_Puntos_Control!D34="","",M6_Puntos_Control!D34))</f>
        <v/>
      </c>
      <c r="W1030" s="17" t="str">
        <f>IF(M6_Puntos_Control!A34="","",IF(M6_Puntos_Control!B34="","",M6_Puntos_Control!B34))</f>
        <v/>
      </c>
      <c r="X1030" s="17" t="str">
        <f>IF(M6_Puntos_Control!A34="","",IF(M6_Puntos_Control!C34="","",M6_Puntos_Control!C34))</f>
        <v/>
      </c>
      <c r="Y1030" s="17" t="str">
        <f>IF(M6_Puntos_Control!A34="","",IF(M6_Puntos_Control!E34="","",M6_Puntos_Control!E34))</f>
        <v/>
      </c>
      <c r="Z1030" s="17" t="str">
        <f>IF(M6_Puntos_Control!A34="","",IF(M6_Puntos_Control!F34="","",M6_Puntos_Control!F34))</f>
        <v/>
      </c>
      <c r="AA1030" s="17" t="str">
        <f>IF(M6_Puntos_Control!A34="","","M6 Puntos de control")</f>
        <v/>
      </c>
      <c r="AB1030" s="17" t="str">
        <f>IF(M6_Puntos_Control!A34="","",IF(M6_Puntos_Control!G34="","",M6_Puntos_Control!G34))</f>
        <v/>
      </c>
      <c r="AC1030" s="17" t="str">
        <f>IF(M6_Puntos_Control!A34="","",IF(M6_Puntos_Control!K34="Sí",IF(COUNTIFS(M6_Puntos_Control!$A$9:A34,M6_Puntos_Control!A34,M6_Puntos_Control!$D$9:D34,M6_Puntos_Control!D34,M6_Puntos_Control!$G$9:G34,M6_Puntos_Control!G34,M6_Puntos_Control!$H$9:H34,M6_Puntos_Control!H34,M6_Puntos_Control!$K$9:K34,"Sí")=1,IF(M6_Puntos_Control!M34="","",M6_Puntos_Control!M34),""),""))</f>
        <v/>
      </c>
      <c r="AD1030" s="17" t="str">
        <f>IF(M6_Puntos_Control!A34="","","RD")</f>
        <v/>
      </c>
      <c r="AE1030" s="17" t="str">
        <f>IF(M6_Puntos_Control!A34="","",IF(M6_Puntos_Control!O34="","",M6_Puntos_Control!O34))</f>
        <v/>
      </c>
      <c r="AF1030" s="17" t="str">
        <f>IF(M6_Puntos_Control!A34="","",IF(M6_Puntos_Control!P34="","",M6_Puntos_Control!P34))</f>
        <v/>
      </c>
      <c r="AG1030" s="17" t="str">
        <f>IF(M6_Puntos_Control!A34="","",IF(M6_Puntos_Control!Q34="","",M6_Puntos_Control!Q34))</f>
        <v/>
      </c>
      <c r="AH1030" s="17" t="str">
        <f>IF(M6_Puntos_Control!A34="","",IF(M6_Puntos_Control!I34="","",M6_Puntos_Control!I34))</f>
        <v/>
      </c>
      <c r="AI1030" s="17" t="str">
        <f>IF(M6_Puntos_Control!A34="","","M6_Puntos_Control!34")</f>
        <v/>
      </c>
      <c r="AJ1030" s="17" t="str">
        <f>IF(M6_Puntos_Control!A34="","",IF(M6_Puntos_Control!K34&lt;&gt;"Sí","Punto de comparación",IF(COUNTIFS(M6_Puntos_Control!$A$9:A34,M6_Puntos_Control!A34,M6_Puntos_Control!$D$9:D34,M6_Puntos_Control!D34,M6_Puntos_Control!$G$9:G34,M6_Puntos_Control!G34,M6_Puntos_Control!$H$9:H34,M6_Puntos_Control!H34,M6_Puntos_Control!$K$9:K34,"Sí")=1,IF(M6_Puntos_Control!M34="","Pendiente de resultado","Punto oficial"),"Revisar: varios puntos oficiales")))</f>
        <v/>
      </c>
    </row>
    <row r="1031" spans="1:36" ht="55.5" customHeight="1">
      <c r="A1031" s="6" t="str">
        <f t="array" ref="A1031">IF(1027&gt;$S$1204,"",INDEX($T$5:$AJ$1204,MATCH(1027,$S$5:$S$1204,0),1))</f>
        <v/>
      </c>
      <c r="B1031" s="8" t="str">
        <f t="array" ref="B1031">IF(1027&gt;$S$1204,"",INDEX($T$5:$AJ$1204,MATCH(1027,$S$5:$S$1204,0),2))</f>
        <v/>
      </c>
      <c r="C1031" s="10" t="str">
        <f t="array" ref="C1031">IF(1027&gt;$S$1204,"",INDEX($T$5:$AJ$1204,MATCH(1027,$S$5:$S$1204,0),3))</f>
        <v/>
      </c>
      <c r="D1031" s="8" t="str">
        <f t="array" ref="D1031">IF(1027&gt;$S$1204,"",INDEX($T$5:$AJ$1204,MATCH(1027,$S$5:$S$1204,0),4))</f>
        <v/>
      </c>
      <c r="E1031" s="8" t="str">
        <f t="array" ref="E1031">IF(1027&gt;$S$1204,"",INDEX($T$5:$AJ$1204,MATCH(1027,$S$5:$S$1204,0),5))</f>
        <v/>
      </c>
      <c r="F1031" s="8" t="str">
        <f t="array" ref="F1031">IF(1027&gt;$S$1204,"",INDEX($T$5:$AJ$1204,MATCH(1027,$S$5:$S$1204,0),6))</f>
        <v/>
      </c>
      <c r="G1031" s="8" t="str">
        <f t="array" ref="G1031">IF(1027&gt;$S$1204,"",INDEX($T$5:$AJ$1204,MATCH(1027,$S$5:$S$1204,0),7))</f>
        <v/>
      </c>
      <c r="H1031" s="8" t="str">
        <f t="array" ref="H1031">IF(1027&gt;$S$1204,"",INDEX($T$5:$AJ$1204,MATCH(1027,$S$5:$S$1204,0),8))</f>
        <v/>
      </c>
      <c r="I1031" s="8" t="str">
        <f t="array" ref="I1031">IF(1027&gt;$S$1204,"",INDEX($T$5:$AJ$1204,MATCH(1027,$S$5:$S$1204,0),9))</f>
        <v/>
      </c>
      <c r="J1031" s="14" t="str">
        <f t="array" ref="J1031">IF(1027&gt;$S$1204,"",INDEX($T$5:$AJ$1204,MATCH(1027,$S$5:$S$1204,0),10))</f>
        <v/>
      </c>
      <c r="K1031" s="8" t="str">
        <f t="array" ref="K1031">IF(1027&gt;$S$1204,"",INDEX($T$5:$AJ$1204,MATCH(1027,$S$5:$S$1204,0),11))</f>
        <v/>
      </c>
      <c r="L1031" s="8" t="str">
        <f t="array" ref="L1031">IF(1027&gt;$S$1204,"",INDEX($T$5:$AJ$1204,MATCH(1027,$S$5:$S$1204,0),12))</f>
        <v/>
      </c>
      <c r="M1031" s="8" t="str">
        <f t="array" ref="M1031">IF(1027&gt;$S$1204,"",INDEX($T$5:$AJ$1204,MATCH(1027,$S$5:$S$1204,0),13))</f>
        <v/>
      </c>
      <c r="N1031" s="8" t="str">
        <f t="array" ref="N1031">IF(1027&gt;$S$1204,"",INDEX($T$5:$AJ$1204,MATCH(1027,$S$5:$S$1204,0),14))</f>
        <v/>
      </c>
      <c r="O1031" s="15" t="str">
        <f t="array" ref="O1031">IF(1027&gt;$S$1204,"",INDEX($T$5:$AJ$1204,MATCH(1027,$S$5:$S$1204,0),15))</f>
        <v/>
      </c>
      <c r="P1031" s="8" t="str">
        <f t="array" ref="P1031">IF(1027&gt;$S$1204,"",INDEX($T$5:$AJ$1204,MATCH(1027,$S$5:$S$1204,0),16))</f>
        <v/>
      </c>
      <c r="Q1031" s="8" t="str">
        <f t="array" ref="Q1031">IF(1027&gt;$S$1204,"",INDEX($T$5:$AJ$1204,MATCH(1027,$S$5:$S$1204,0),17))</f>
        <v/>
      </c>
      <c r="R1031" s="17"/>
      <c r="S1031" s="17">
        <f>S1030+IF(M6_Puntos_Control!A35="",0,1)</f>
        <v>0</v>
      </c>
      <c r="T1031" s="17" t="str">
        <f>IF(M6_Puntos_Control!A35="","",IF(M6_Puntos_Control!A35="","",M6_Puntos_Control!A35))</f>
        <v/>
      </c>
      <c r="U1031" s="17" t="str">
        <f>IF(M6_Puntos_Control!A35="","",IF(M6_Puntos_Control!R35="","",M6_Puntos_Control!R35))</f>
        <v/>
      </c>
      <c r="V1031" s="17" t="str">
        <f>IF(M6_Puntos_Control!A35="","",IF(M6_Puntos_Control!D35="","",M6_Puntos_Control!D35))</f>
        <v/>
      </c>
      <c r="W1031" s="17" t="str">
        <f>IF(M6_Puntos_Control!A35="","",IF(M6_Puntos_Control!B35="","",M6_Puntos_Control!B35))</f>
        <v/>
      </c>
      <c r="X1031" s="17" t="str">
        <f>IF(M6_Puntos_Control!A35="","",IF(M6_Puntos_Control!C35="","",M6_Puntos_Control!C35))</f>
        <v/>
      </c>
      <c r="Y1031" s="17" t="str">
        <f>IF(M6_Puntos_Control!A35="","",IF(M6_Puntos_Control!E35="","",M6_Puntos_Control!E35))</f>
        <v/>
      </c>
      <c r="Z1031" s="17" t="str">
        <f>IF(M6_Puntos_Control!A35="","",IF(M6_Puntos_Control!F35="","",M6_Puntos_Control!F35))</f>
        <v/>
      </c>
      <c r="AA1031" s="17" t="str">
        <f>IF(M6_Puntos_Control!A35="","","M6 Puntos de control")</f>
        <v/>
      </c>
      <c r="AB1031" s="17" t="str">
        <f>IF(M6_Puntos_Control!A35="","",IF(M6_Puntos_Control!G35="","",M6_Puntos_Control!G35))</f>
        <v/>
      </c>
      <c r="AC1031" s="17" t="str">
        <f>IF(M6_Puntos_Control!A35="","",IF(M6_Puntos_Control!K35="Sí",IF(COUNTIFS(M6_Puntos_Control!$A$9:A35,M6_Puntos_Control!A35,M6_Puntos_Control!$D$9:D35,M6_Puntos_Control!D35,M6_Puntos_Control!$G$9:G35,M6_Puntos_Control!G35,M6_Puntos_Control!$H$9:H35,M6_Puntos_Control!H35,M6_Puntos_Control!$K$9:K35,"Sí")=1,IF(M6_Puntos_Control!M35="","",M6_Puntos_Control!M35),""),""))</f>
        <v/>
      </c>
      <c r="AD1031" s="17" t="str">
        <f>IF(M6_Puntos_Control!A35="","","RD")</f>
        <v/>
      </c>
      <c r="AE1031" s="17" t="str">
        <f>IF(M6_Puntos_Control!A35="","",IF(M6_Puntos_Control!O35="","",M6_Puntos_Control!O35))</f>
        <v/>
      </c>
      <c r="AF1031" s="17" t="str">
        <f>IF(M6_Puntos_Control!A35="","",IF(M6_Puntos_Control!P35="","",M6_Puntos_Control!P35))</f>
        <v/>
      </c>
      <c r="AG1031" s="17" t="str">
        <f>IF(M6_Puntos_Control!A35="","",IF(M6_Puntos_Control!Q35="","",M6_Puntos_Control!Q35))</f>
        <v/>
      </c>
      <c r="AH1031" s="17" t="str">
        <f>IF(M6_Puntos_Control!A35="","",IF(M6_Puntos_Control!I35="","",M6_Puntos_Control!I35))</f>
        <v/>
      </c>
      <c r="AI1031" s="17" t="str">
        <f>IF(M6_Puntos_Control!A35="","","M6_Puntos_Control!35")</f>
        <v/>
      </c>
      <c r="AJ1031" s="17" t="str">
        <f>IF(M6_Puntos_Control!A35="","",IF(M6_Puntos_Control!K35&lt;&gt;"Sí","Punto de comparación",IF(COUNTIFS(M6_Puntos_Control!$A$9:A35,M6_Puntos_Control!A35,M6_Puntos_Control!$D$9:D35,M6_Puntos_Control!D35,M6_Puntos_Control!$G$9:G35,M6_Puntos_Control!G35,M6_Puntos_Control!$H$9:H35,M6_Puntos_Control!H35,M6_Puntos_Control!$K$9:K35,"Sí")=1,IF(M6_Puntos_Control!M35="","Pendiente de resultado","Punto oficial"),"Revisar: varios puntos oficiales")))</f>
        <v/>
      </c>
    </row>
    <row r="1032" spans="1:36" ht="55.5" customHeight="1">
      <c r="A1032" s="6" t="str">
        <f t="array" ref="A1032">IF(1028&gt;$S$1204,"",INDEX($T$5:$AJ$1204,MATCH(1028,$S$5:$S$1204,0),1))</f>
        <v/>
      </c>
      <c r="B1032" s="8" t="str">
        <f t="array" ref="B1032">IF(1028&gt;$S$1204,"",INDEX($T$5:$AJ$1204,MATCH(1028,$S$5:$S$1204,0),2))</f>
        <v/>
      </c>
      <c r="C1032" s="10" t="str">
        <f t="array" ref="C1032">IF(1028&gt;$S$1204,"",INDEX($T$5:$AJ$1204,MATCH(1028,$S$5:$S$1204,0),3))</f>
        <v/>
      </c>
      <c r="D1032" s="8" t="str">
        <f t="array" ref="D1032">IF(1028&gt;$S$1204,"",INDEX($T$5:$AJ$1204,MATCH(1028,$S$5:$S$1204,0),4))</f>
        <v/>
      </c>
      <c r="E1032" s="8" t="str">
        <f t="array" ref="E1032">IF(1028&gt;$S$1204,"",INDEX($T$5:$AJ$1204,MATCH(1028,$S$5:$S$1204,0),5))</f>
        <v/>
      </c>
      <c r="F1032" s="8" t="str">
        <f t="array" ref="F1032">IF(1028&gt;$S$1204,"",INDEX($T$5:$AJ$1204,MATCH(1028,$S$5:$S$1204,0),6))</f>
        <v/>
      </c>
      <c r="G1032" s="8" t="str">
        <f t="array" ref="G1032">IF(1028&gt;$S$1204,"",INDEX($T$5:$AJ$1204,MATCH(1028,$S$5:$S$1204,0),7))</f>
        <v/>
      </c>
      <c r="H1032" s="8" t="str">
        <f t="array" ref="H1032">IF(1028&gt;$S$1204,"",INDEX($T$5:$AJ$1204,MATCH(1028,$S$5:$S$1204,0),8))</f>
        <v/>
      </c>
      <c r="I1032" s="8" t="str">
        <f t="array" ref="I1032">IF(1028&gt;$S$1204,"",INDEX($T$5:$AJ$1204,MATCH(1028,$S$5:$S$1204,0),9))</f>
        <v/>
      </c>
      <c r="J1032" s="14" t="str">
        <f t="array" ref="J1032">IF(1028&gt;$S$1204,"",INDEX($T$5:$AJ$1204,MATCH(1028,$S$5:$S$1204,0),10))</f>
        <v/>
      </c>
      <c r="K1032" s="8" t="str">
        <f t="array" ref="K1032">IF(1028&gt;$S$1204,"",INDEX($T$5:$AJ$1204,MATCH(1028,$S$5:$S$1204,0),11))</f>
        <v/>
      </c>
      <c r="L1032" s="8" t="str">
        <f t="array" ref="L1032">IF(1028&gt;$S$1204,"",INDEX($T$5:$AJ$1204,MATCH(1028,$S$5:$S$1204,0),12))</f>
        <v/>
      </c>
      <c r="M1032" s="8" t="str">
        <f t="array" ref="M1032">IF(1028&gt;$S$1204,"",INDEX($T$5:$AJ$1204,MATCH(1028,$S$5:$S$1204,0),13))</f>
        <v/>
      </c>
      <c r="N1032" s="8" t="str">
        <f t="array" ref="N1032">IF(1028&gt;$S$1204,"",INDEX($T$5:$AJ$1204,MATCH(1028,$S$5:$S$1204,0),14))</f>
        <v/>
      </c>
      <c r="O1032" s="15" t="str">
        <f t="array" ref="O1032">IF(1028&gt;$S$1204,"",INDEX($T$5:$AJ$1204,MATCH(1028,$S$5:$S$1204,0),15))</f>
        <v/>
      </c>
      <c r="P1032" s="8" t="str">
        <f t="array" ref="P1032">IF(1028&gt;$S$1204,"",INDEX($T$5:$AJ$1204,MATCH(1028,$S$5:$S$1204,0),16))</f>
        <v/>
      </c>
      <c r="Q1032" s="8" t="str">
        <f t="array" ref="Q1032">IF(1028&gt;$S$1204,"",INDEX($T$5:$AJ$1204,MATCH(1028,$S$5:$S$1204,0),17))</f>
        <v/>
      </c>
      <c r="R1032" s="17"/>
      <c r="S1032" s="17">
        <f>S1031+IF(M6_Puntos_Control!A36="",0,1)</f>
        <v>0</v>
      </c>
      <c r="T1032" s="17" t="str">
        <f>IF(M6_Puntos_Control!A36="","",IF(M6_Puntos_Control!A36="","",M6_Puntos_Control!A36))</f>
        <v/>
      </c>
      <c r="U1032" s="17" t="str">
        <f>IF(M6_Puntos_Control!A36="","",IF(M6_Puntos_Control!R36="","",M6_Puntos_Control!R36))</f>
        <v/>
      </c>
      <c r="V1032" s="17" t="str">
        <f>IF(M6_Puntos_Control!A36="","",IF(M6_Puntos_Control!D36="","",M6_Puntos_Control!D36))</f>
        <v/>
      </c>
      <c r="W1032" s="17" t="str">
        <f>IF(M6_Puntos_Control!A36="","",IF(M6_Puntos_Control!B36="","",M6_Puntos_Control!B36))</f>
        <v/>
      </c>
      <c r="X1032" s="17" t="str">
        <f>IF(M6_Puntos_Control!A36="","",IF(M6_Puntos_Control!C36="","",M6_Puntos_Control!C36))</f>
        <v/>
      </c>
      <c r="Y1032" s="17" t="str">
        <f>IF(M6_Puntos_Control!A36="","",IF(M6_Puntos_Control!E36="","",M6_Puntos_Control!E36))</f>
        <v/>
      </c>
      <c r="Z1032" s="17" t="str">
        <f>IF(M6_Puntos_Control!A36="","",IF(M6_Puntos_Control!F36="","",M6_Puntos_Control!F36))</f>
        <v/>
      </c>
      <c r="AA1032" s="17" t="str">
        <f>IF(M6_Puntos_Control!A36="","","M6 Puntos de control")</f>
        <v/>
      </c>
      <c r="AB1032" s="17" t="str">
        <f>IF(M6_Puntos_Control!A36="","",IF(M6_Puntos_Control!G36="","",M6_Puntos_Control!G36))</f>
        <v/>
      </c>
      <c r="AC1032" s="17" t="str">
        <f>IF(M6_Puntos_Control!A36="","",IF(M6_Puntos_Control!K36="Sí",IF(COUNTIFS(M6_Puntos_Control!$A$9:A36,M6_Puntos_Control!A36,M6_Puntos_Control!$D$9:D36,M6_Puntos_Control!D36,M6_Puntos_Control!$G$9:G36,M6_Puntos_Control!G36,M6_Puntos_Control!$H$9:H36,M6_Puntos_Control!H36,M6_Puntos_Control!$K$9:K36,"Sí")=1,IF(M6_Puntos_Control!M36="","",M6_Puntos_Control!M36),""),""))</f>
        <v/>
      </c>
      <c r="AD1032" s="17" t="str">
        <f>IF(M6_Puntos_Control!A36="","","RD")</f>
        <v/>
      </c>
      <c r="AE1032" s="17" t="str">
        <f>IF(M6_Puntos_Control!A36="","",IF(M6_Puntos_Control!O36="","",M6_Puntos_Control!O36))</f>
        <v/>
      </c>
      <c r="AF1032" s="17" t="str">
        <f>IF(M6_Puntos_Control!A36="","",IF(M6_Puntos_Control!P36="","",M6_Puntos_Control!P36))</f>
        <v/>
      </c>
      <c r="AG1032" s="17" t="str">
        <f>IF(M6_Puntos_Control!A36="","",IF(M6_Puntos_Control!Q36="","",M6_Puntos_Control!Q36))</f>
        <v/>
      </c>
      <c r="AH1032" s="17" t="str">
        <f>IF(M6_Puntos_Control!A36="","",IF(M6_Puntos_Control!I36="","",M6_Puntos_Control!I36))</f>
        <v/>
      </c>
      <c r="AI1032" s="17" t="str">
        <f>IF(M6_Puntos_Control!A36="","","M6_Puntos_Control!36")</f>
        <v/>
      </c>
      <c r="AJ1032" s="17" t="str">
        <f>IF(M6_Puntos_Control!A36="","",IF(M6_Puntos_Control!K36&lt;&gt;"Sí","Punto de comparación",IF(COUNTIFS(M6_Puntos_Control!$A$9:A36,M6_Puntos_Control!A36,M6_Puntos_Control!$D$9:D36,M6_Puntos_Control!D36,M6_Puntos_Control!$G$9:G36,M6_Puntos_Control!G36,M6_Puntos_Control!$H$9:H36,M6_Puntos_Control!H36,M6_Puntos_Control!$K$9:K36,"Sí")=1,IF(M6_Puntos_Control!M36="","Pendiente de resultado","Punto oficial"),"Revisar: varios puntos oficiales")))</f>
        <v/>
      </c>
    </row>
    <row r="1033" spans="1:36" ht="55.5" customHeight="1">
      <c r="A1033" s="6" t="str">
        <f t="array" ref="A1033">IF(1029&gt;$S$1204,"",INDEX($T$5:$AJ$1204,MATCH(1029,$S$5:$S$1204,0),1))</f>
        <v/>
      </c>
      <c r="B1033" s="8" t="str">
        <f t="array" ref="B1033">IF(1029&gt;$S$1204,"",INDEX($T$5:$AJ$1204,MATCH(1029,$S$5:$S$1204,0),2))</f>
        <v/>
      </c>
      <c r="C1033" s="10" t="str">
        <f t="array" ref="C1033">IF(1029&gt;$S$1204,"",INDEX($T$5:$AJ$1204,MATCH(1029,$S$5:$S$1204,0),3))</f>
        <v/>
      </c>
      <c r="D1033" s="8" t="str">
        <f t="array" ref="D1033">IF(1029&gt;$S$1204,"",INDEX($T$5:$AJ$1204,MATCH(1029,$S$5:$S$1204,0),4))</f>
        <v/>
      </c>
      <c r="E1033" s="8" t="str">
        <f t="array" ref="E1033">IF(1029&gt;$S$1204,"",INDEX($T$5:$AJ$1204,MATCH(1029,$S$5:$S$1204,0),5))</f>
        <v/>
      </c>
      <c r="F1033" s="8" t="str">
        <f t="array" ref="F1033">IF(1029&gt;$S$1204,"",INDEX($T$5:$AJ$1204,MATCH(1029,$S$5:$S$1204,0),6))</f>
        <v/>
      </c>
      <c r="G1033" s="8" t="str">
        <f t="array" ref="G1033">IF(1029&gt;$S$1204,"",INDEX($T$5:$AJ$1204,MATCH(1029,$S$5:$S$1204,0),7))</f>
        <v/>
      </c>
      <c r="H1033" s="8" t="str">
        <f t="array" ref="H1033">IF(1029&gt;$S$1204,"",INDEX($T$5:$AJ$1204,MATCH(1029,$S$5:$S$1204,0),8))</f>
        <v/>
      </c>
      <c r="I1033" s="8" t="str">
        <f t="array" ref="I1033">IF(1029&gt;$S$1204,"",INDEX($T$5:$AJ$1204,MATCH(1029,$S$5:$S$1204,0),9))</f>
        <v/>
      </c>
      <c r="J1033" s="14" t="str">
        <f t="array" ref="J1033">IF(1029&gt;$S$1204,"",INDEX($T$5:$AJ$1204,MATCH(1029,$S$5:$S$1204,0),10))</f>
        <v/>
      </c>
      <c r="K1033" s="8" t="str">
        <f t="array" ref="K1033">IF(1029&gt;$S$1204,"",INDEX($T$5:$AJ$1204,MATCH(1029,$S$5:$S$1204,0),11))</f>
        <v/>
      </c>
      <c r="L1033" s="8" t="str">
        <f t="array" ref="L1033">IF(1029&gt;$S$1204,"",INDEX($T$5:$AJ$1204,MATCH(1029,$S$5:$S$1204,0),12))</f>
        <v/>
      </c>
      <c r="M1033" s="8" t="str">
        <f t="array" ref="M1033">IF(1029&gt;$S$1204,"",INDEX($T$5:$AJ$1204,MATCH(1029,$S$5:$S$1204,0),13))</f>
        <v/>
      </c>
      <c r="N1033" s="8" t="str">
        <f t="array" ref="N1033">IF(1029&gt;$S$1204,"",INDEX($T$5:$AJ$1204,MATCH(1029,$S$5:$S$1204,0),14))</f>
        <v/>
      </c>
      <c r="O1033" s="15" t="str">
        <f t="array" ref="O1033">IF(1029&gt;$S$1204,"",INDEX($T$5:$AJ$1204,MATCH(1029,$S$5:$S$1204,0),15))</f>
        <v/>
      </c>
      <c r="P1033" s="8" t="str">
        <f t="array" ref="P1033">IF(1029&gt;$S$1204,"",INDEX($T$5:$AJ$1204,MATCH(1029,$S$5:$S$1204,0),16))</f>
        <v/>
      </c>
      <c r="Q1033" s="8" t="str">
        <f t="array" ref="Q1033">IF(1029&gt;$S$1204,"",INDEX($T$5:$AJ$1204,MATCH(1029,$S$5:$S$1204,0),17))</f>
        <v/>
      </c>
      <c r="R1033" s="17"/>
      <c r="S1033" s="17">
        <f>S1032+IF(M6_Puntos_Control!A37="",0,1)</f>
        <v>0</v>
      </c>
      <c r="T1033" s="17" t="str">
        <f>IF(M6_Puntos_Control!A37="","",IF(M6_Puntos_Control!A37="","",M6_Puntos_Control!A37))</f>
        <v/>
      </c>
      <c r="U1033" s="17" t="str">
        <f>IF(M6_Puntos_Control!A37="","",IF(M6_Puntos_Control!R37="","",M6_Puntos_Control!R37))</f>
        <v/>
      </c>
      <c r="V1033" s="17" t="str">
        <f>IF(M6_Puntos_Control!A37="","",IF(M6_Puntos_Control!D37="","",M6_Puntos_Control!D37))</f>
        <v/>
      </c>
      <c r="W1033" s="17" t="str">
        <f>IF(M6_Puntos_Control!A37="","",IF(M6_Puntos_Control!B37="","",M6_Puntos_Control!B37))</f>
        <v/>
      </c>
      <c r="X1033" s="17" t="str">
        <f>IF(M6_Puntos_Control!A37="","",IF(M6_Puntos_Control!C37="","",M6_Puntos_Control!C37))</f>
        <v/>
      </c>
      <c r="Y1033" s="17" t="str">
        <f>IF(M6_Puntos_Control!A37="","",IF(M6_Puntos_Control!E37="","",M6_Puntos_Control!E37))</f>
        <v/>
      </c>
      <c r="Z1033" s="17" t="str">
        <f>IF(M6_Puntos_Control!A37="","",IF(M6_Puntos_Control!F37="","",M6_Puntos_Control!F37))</f>
        <v/>
      </c>
      <c r="AA1033" s="17" t="str">
        <f>IF(M6_Puntos_Control!A37="","","M6 Puntos de control")</f>
        <v/>
      </c>
      <c r="AB1033" s="17" t="str">
        <f>IF(M6_Puntos_Control!A37="","",IF(M6_Puntos_Control!G37="","",M6_Puntos_Control!G37))</f>
        <v/>
      </c>
      <c r="AC1033" s="17" t="str">
        <f>IF(M6_Puntos_Control!A37="","",IF(M6_Puntos_Control!K37="Sí",IF(COUNTIFS(M6_Puntos_Control!$A$9:A37,M6_Puntos_Control!A37,M6_Puntos_Control!$D$9:D37,M6_Puntos_Control!D37,M6_Puntos_Control!$G$9:G37,M6_Puntos_Control!G37,M6_Puntos_Control!$H$9:H37,M6_Puntos_Control!H37,M6_Puntos_Control!$K$9:K37,"Sí")=1,IF(M6_Puntos_Control!M37="","",M6_Puntos_Control!M37),""),""))</f>
        <v/>
      </c>
      <c r="AD1033" s="17" t="str">
        <f>IF(M6_Puntos_Control!A37="","","RD")</f>
        <v/>
      </c>
      <c r="AE1033" s="17" t="str">
        <f>IF(M6_Puntos_Control!A37="","",IF(M6_Puntos_Control!O37="","",M6_Puntos_Control!O37))</f>
        <v/>
      </c>
      <c r="AF1033" s="17" t="str">
        <f>IF(M6_Puntos_Control!A37="","",IF(M6_Puntos_Control!P37="","",M6_Puntos_Control!P37))</f>
        <v/>
      </c>
      <c r="AG1033" s="17" t="str">
        <f>IF(M6_Puntos_Control!A37="","",IF(M6_Puntos_Control!Q37="","",M6_Puntos_Control!Q37))</f>
        <v/>
      </c>
      <c r="AH1033" s="17" t="str">
        <f>IF(M6_Puntos_Control!A37="","",IF(M6_Puntos_Control!I37="","",M6_Puntos_Control!I37))</f>
        <v/>
      </c>
      <c r="AI1033" s="17" t="str">
        <f>IF(M6_Puntos_Control!A37="","","M6_Puntos_Control!37")</f>
        <v/>
      </c>
      <c r="AJ1033" s="17" t="str">
        <f>IF(M6_Puntos_Control!A37="","",IF(M6_Puntos_Control!K37&lt;&gt;"Sí","Punto de comparación",IF(COUNTIFS(M6_Puntos_Control!$A$9:A37,M6_Puntos_Control!A37,M6_Puntos_Control!$D$9:D37,M6_Puntos_Control!D37,M6_Puntos_Control!$G$9:G37,M6_Puntos_Control!G37,M6_Puntos_Control!$H$9:H37,M6_Puntos_Control!H37,M6_Puntos_Control!$K$9:K37,"Sí")=1,IF(M6_Puntos_Control!M37="","Pendiente de resultado","Punto oficial"),"Revisar: varios puntos oficiales")))</f>
        <v/>
      </c>
    </row>
    <row r="1034" spans="1:36" ht="55.5" customHeight="1">
      <c r="A1034" s="6" t="str">
        <f t="array" ref="A1034">IF(1030&gt;$S$1204,"",INDEX($T$5:$AJ$1204,MATCH(1030,$S$5:$S$1204,0),1))</f>
        <v/>
      </c>
      <c r="B1034" s="8" t="str">
        <f t="array" ref="B1034">IF(1030&gt;$S$1204,"",INDEX($T$5:$AJ$1204,MATCH(1030,$S$5:$S$1204,0),2))</f>
        <v/>
      </c>
      <c r="C1034" s="10" t="str">
        <f t="array" ref="C1034">IF(1030&gt;$S$1204,"",INDEX($T$5:$AJ$1204,MATCH(1030,$S$5:$S$1204,0),3))</f>
        <v/>
      </c>
      <c r="D1034" s="8" t="str">
        <f t="array" ref="D1034">IF(1030&gt;$S$1204,"",INDEX($T$5:$AJ$1204,MATCH(1030,$S$5:$S$1204,0),4))</f>
        <v/>
      </c>
      <c r="E1034" s="8" t="str">
        <f t="array" ref="E1034">IF(1030&gt;$S$1204,"",INDEX($T$5:$AJ$1204,MATCH(1030,$S$5:$S$1204,0),5))</f>
        <v/>
      </c>
      <c r="F1034" s="8" t="str">
        <f t="array" ref="F1034">IF(1030&gt;$S$1204,"",INDEX($T$5:$AJ$1204,MATCH(1030,$S$5:$S$1204,0),6))</f>
        <v/>
      </c>
      <c r="G1034" s="8" t="str">
        <f t="array" ref="G1034">IF(1030&gt;$S$1204,"",INDEX($T$5:$AJ$1204,MATCH(1030,$S$5:$S$1204,0),7))</f>
        <v/>
      </c>
      <c r="H1034" s="8" t="str">
        <f t="array" ref="H1034">IF(1030&gt;$S$1204,"",INDEX($T$5:$AJ$1204,MATCH(1030,$S$5:$S$1204,0),8))</f>
        <v/>
      </c>
      <c r="I1034" s="8" t="str">
        <f t="array" ref="I1034">IF(1030&gt;$S$1204,"",INDEX($T$5:$AJ$1204,MATCH(1030,$S$5:$S$1204,0),9))</f>
        <v/>
      </c>
      <c r="J1034" s="14" t="str">
        <f t="array" ref="J1034">IF(1030&gt;$S$1204,"",INDEX($T$5:$AJ$1204,MATCH(1030,$S$5:$S$1204,0),10))</f>
        <v/>
      </c>
      <c r="K1034" s="8" t="str">
        <f t="array" ref="K1034">IF(1030&gt;$S$1204,"",INDEX($T$5:$AJ$1204,MATCH(1030,$S$5:$S$1204,0),11))</f>
        <v/>
      </c>
      <c r="L1034" s="8" t="str">
        <f t="array" ref="L1034">IF(1030&gt;$S$1204,"",INDEX($T$5:$AJ$1204,MATCH(1030,$S$5:$S$1204,0),12))</f>
        <v/>
      </c>
      <c r="M1034" s="8" t="str">
        <f t="array" ref="M1034">IF(1030&gt;$S$1204,"",INDEX($T$5:$AJ$1204,MATCH(1030,$S$5:$S$1204,0),13))</f>
        <v/>
      </c>
      <c r="N1034" s="8" t="str">
        <f t="array" ref="N1034">IF(1030&gt;$S$1204,"",INDEX($T$5:$AJ$1204,MATCH(1030,$S$5:$S$1204,0),14))</f>
        <v/>
      </c>
      <c r="O1034" s="15" t="str">
        <f t="array" ref="O1034">IF(1030&gt;$S$1204,"",INDEX($T$5:$AJ$1204,MATCH(1030,$S$5:$S$1204,0),15))</f>
        <v/>
      </c>
      <c r="P1034" s="8" t="str">
        <f t="array" ref="P1034">IF(1030&gt;$S$1204,"",INDEX($T$5:$AJ$1204,MATCH(1030,$S$5:$S$1204,0),16))</f>
        <v/>
      </c>
      <c r="Q1034" s="8" t="str">
        <f t="array" ref="Q1034">IF(1030&gt;$S$1204,"",INDEX($T$5:$AJ$1204,MATCH(1030,$S$5:$S$1204,0),17))</f>
        <v/>
      </c>
      <c r="R1034" s="17"/>
      <c r="S1034" s="17">
        <f>S1033+IF(M6_Puntos_Control!A38="",0,1)</f>
        <v>0</v>
      </c>
      <c r="T1034" s="17" t="str">
        <f>IF(M6_Puntos_Control!A38="","",IF(M6_Puntos_Control!A38="","",M6_Puntos_Control!A38))</f>
        <v/>
      </c>
      <c r="U1034" s="17" t="str">
        <f>IF(M6_Puntos_Control!A38="","",IF(M6_Puntos_Control!R38="","",M6_Puntos_Control!R38))</f>
        <v/>
      </c>
      <c r="V1034" s="17" t="str">
        <f>IF(M6_Puntos_Control!A38="","",IF(M6_Puntos_Control!D38="","",M6_Puntos_Control!D38))</f>
        <v/>
      </c>
      <c r="W1034" s="17" t="str">
        <f>IF(M6_Puntos_Control!A38="","",IF(M6_Puntos_Control!B38="","",M6_Puntos_Control!B38))</f>
        <v/>
      </c>
      <c r="X1034" s="17" t="str">
        <f>IF(M6_Puntos_Control!A38="","",IF(M6_Puntos_Control!C38="","",M6_Puntos_Control!C38))</f>
        <v/>
      </c>
      <c r="Y1034" s="17" t="str">
        <f>IF(M6_Puntos_Control!A38="","",IF(M6_Puntos_Control!E38="","",M6_Puntos_Control!E38))</f>
        <v/>
      </c>
      <c r="Z1034" s="17" t="str">
        <f>IF(M6_Puntos_Control!A38="","",IF(M6_Puntos_Control!F38="","",M6_Puntos_Control!F38))</f>
        <v/>
      </c>
      <c r="AA1034" s="17" t="str">
        <f>IF(M6_Puntos_Control!A38="","","M6 Puntos de control")</f>
        <v/>
      </c>
      <c r="AB1034" s="17" t="str">
        <f>IF(M6_Puntos_Control!A38="","",IF(M6_Puntos_Control!G38="","",M6_Puntos_Control!G38))</f>
        <v/>
      </c>
      <c r="AC1034" s="17" t="str">
        <f>IF(M6_Puntos_Control!A38="","",IF(M6_Puntos_Control!K38="Sí",IF(COUNTIFS(M6_Puntos_Control!$A$9:A38,M6_Puntos_Control!A38,M6_Puntos_Control!$D$9:D38,M6_Puntos_Control!D38,M6_Puntos_Control!$G$9:G38,M6_Puntos_Control!G38,M6_Puntos_Control!$H$9:H38,M6_Puntos_Control!H38,M6_Puntos_Control!$K$9:K38,"Sí")=1,IF(M6_Puntos_Control!M38="","",M6_Puntos_Control!M38),""),""))</f>
        <v/>
      </c>
      <c r="AD1034" s="17" t="str">
        <f>IF(M6_Puntos_Control!A38="","","RD")</f>
        <v/>
      </c>
      <c r="AE1034" s="17" t="str">
        <f>IF(M6_Puntos_Control!A38="","",IF(M6_Puntos_Control!O38="","",M6_Puntos_Control!O38))</f>
        <v/>
      </c>
      <c r="AF1034" s="17" t="str">
        <f>IF(M6_Puntos_Control!A38="","",IF(M6_Puntos_Control!P38="","",M6_Puntos_Control!P38))</f>
        <v/>
      </c>
      <c r="AG1034" s="17" t="str">
        <f>IF(M6_Puntos_Control!A38="","",IF(M6_Puntos_Control!Q38="","",M6_Puntos_Control!Q38))</f>
        <v/>
      </c>
      <c r="AH1034" s="17" t="str">
        <f>IF(M6_Puntos_Control!A38="","",IF(M6_Puntos_Control!I38="","",M6_Puntos_Control!I38))</f>
        <v/>
      </c>
      <c r="AI1034" s="17" t="str">
        <f>IF(M6_Puntos_Control!A38="","","M6_Puntos_Control!38")</f>
        <v/>
      </c>
      <c r="AJ1034" s="17" t="str">
        <f>IF(M6_Puntos_Control!A38="","",IF(M6_Puntos_Control!K38&lt;&gt;"Sí","Punto de comparación",IF(COUNTIFS(M6_Puntos_Control!$A$9:A38,M6_Puntos_Control!A38,M6_Puntos_Control!$D$9:D38,M6_Puntos_Control!D38,M6_Puntos_Control!$G$9:G38,M6_Puntos_Control!G38,M6_Puntos_Control!$H$9:H38,M6_Puntos_Control!H38,M6_Puntos_Control!$K$9:K38,"Sí")=1,IF(M6_Puntos_Control!M38="","Pendiente de resultado","Punto oficial"),"Revisar: varios puntos oficiales")))</f>
        <v/>
      </c>
    </row>
    <row r="1035" spans="1:36" ht="55.5" customHeight="1">
      <c r="A1035" s="6" t="str">
        <f t="array" ref="A1035">IF(1031&gt;$S$1204,"",INDEX($T$5:$AJ$1204,MATCH(1031,$S$5:$S$1204,0),1))</f>
        <v/>
      </c>
      <c r="B1035" s="8" t="str">
        <f t="array" ref="B1035">IF(1031&gt;$S$1204,"",INDEX($T$5:$AJ$1204,MATCH(1031,$S$5:$S$1204,0),2))</f>
        <v/>
      </c>
      <c r="C1035" s="10" t="str">
        <f t="array" ref="C1035">IF(1031&gt;$S$1204,"",INDEX($T$5:$AJ$1204,MATCH(1031,$S$5:$S$1204,0),3))</f>
        <v/>
      </c>
      <c r="D1035" s="8" t="str">
        <f t="array" ref="D1035">IF(1031&gt;$S$1204,"",INDEX($T$5:$AJ$1204,MATCH(1031,$S$5:$S$1204,0),4))</f>
        <v/>
      </c>
      <c r="E1035" s="8" t="str">
        <f t="array" ref="E1035">IF(1031&gt;$S$1204,"",INDEX($T$5:$AJ$1204,MATCH(1031,$S$5:$S$1204,0),5))</f>
        <v/>
      </c>
      <c r="F1035" s="8" t="str">
        <f t="array" ref="F1035">IF(1031&gt;$S$1204,"",INDEX($T$5:$AJ$1204,MATCH(1031,$S$5:$S$1204,0),6))</f>
        <v/>
      </c>
      <c r="G1035" s="8" t="str">
        <f t="array" ref="G1035">IF(1031&gt;$S$1204,"",INDEX($T$5:$AJ$1204,MATCH(1031,$S$5:$S$1204,0),7))</f>
        <v/>
      </c>
      <c r="H1035" s="8" t="str">
        <f t="array" ref="H1035">IF(1031&gt;$S$1204,"",INDEX($T$5:$AJ$1204,MATCH(1031,$S$5:$S$1204,0),8))</f>
        <v/>
      </c>
      <c r="I1035" s="8" t="str">
        <f t="array" ref="I1035">IF(1031&gt;$S$1204,"",INDEX($T$5:$AJ$1204,MATCH(1031,$S$5:$S$1204,0),9))</f>
        <v/>
      </c>
      <c r="J1035" s="14" t="str">
        <f t="array" ref="J1035">IF(1031&gt;$S$1204,"",INDEX($T$5:$AJ$1204,MATCH(1031,$S$5:$S$1204,0),10))</f>
        <v/>
      </c>
      <c r="K1035" s="8" t="str">
        <f t="array" ref="K1035">IF(1031&gt;$S$1204,"",INDEX($T$5:$AJ$1204,MATCH(1031,$S$5:$S$1204,0),11))</f>
        <v/>
      </c>
      <c r="L1035" s="8" t="str">
        <f t="array" ref="L1035">IF(1031&gt;$S$1204,"",INDEX($T$5:$AJ$1204,MATCH(1031,$S$5:$S$1204,0),12))</f>
        <v/>
      </c>
      <c r="M1035" s="8" t="str">
        <f t="array" ref="M1035">IF(1031&gt;$S$1204,"",INDEX($T$5:$AJ$1204,MATCH(1031,$S$5:$S$1204,0),13))</f>
        <v/>
      </c>
      <c r="N1035" s="8" t="str">
        <f t="array" ref="N1035">IF(1031&gt;$S$1204,"",INDEX($T$5:$AJ$1204,MATCH(1031,$S$5:$S$1204,0),14))</f>
        <v/>
      </c>
      <c r="O1035" s="15" t="str">
        <f t="array" ref="O1035">IF(1031&gt;$S$1204,"",INDEX($T$5:$AJ$1204,MATCH(1031,$S$5:$S$1204,0),15))</f>
        <v/>
      </c>
      <c r="P1035" s="8" t="str">
        <f t="array" ref="P1035">IF(1031&gt;$S$1204,"",INDEX($T$5:$AJ$1204,MATCH(1031,$S$5:$S$1204,0),16))</f>
        <v/>
      </c>
      <c r="Q1035" s="8" t="str">
        <f t="array" ref="Q1035">IF(1031&gt;$S$1204,"",INDEX($T$5:$AJ$1204,MATCH(1031,$S$5:$S$1204,0),17))</f>
        <v/>
      </c>
      <c r="R1035" s="17"/>
      <c r="S1035" s="17">
        <f>S1034+IF(M6_Puntos_Control!A39="",0,1)</f>
        <v>0</v>
      </c>
      <c r="T1035" s="17" t="str">
        <f>IF(M6_Puntos_Control!A39="","",IF(M6_Puntos_Control!A39="","",M6_Puntos_Control!A39))</f>
        <v/>
      </c>
      <c r="U1035" s="17" t="str">
        <f>IF(M6_Puntos_Control!A39="","",IF(M6_Puntos_Control!R39="","",M6_Puntos_Control!R39))</f>
        <v/>
      </c>
      <c r="V1035" s="17" t="str">
        <f>IF(M6_Puntos_Control!A39="","",IF(M6_Puntos_Control!D39="","",M6_Puntos_Control!D39))</f>
        <v/>
      </c>
      <c r="W1035" s="17" t="str">
        <f>IF(M6_Puntos_Control!A39="","",IF(M6_Puntos_Control!B39="","",M6_Puntos_Control!B39))</f>
        <v/>
      </c>
      <c r="X1035" s="17" t="str">
        <f>IF(M6_Puntos_Control!A39="","",IF(M6_Puntos_Control!C39="","",M6_Puntos_Control!C39))</f>
        <v/>
      </c>
      <c r="Y1035" s="17" t="str">
        <f>IF(M6_Puntos_Control!A39="","",IF(M6_Puntos_Control!E39="","",M6_Puntos_Control!E39))</f>
        <v/>
      </c>
      <c r="Z1035" s="17" t="str">
        <f>IF(M6_Puntos_Control!A39="","",IF(M6_Puntos_Control!F39="","",M6_Puntos_Control!F39))</f>
        <v/>
      </c>
      <c r="AA1035" s="17" t="str">
        <f>IF(M6_Puntos_Control!A39="","","M6 Puntos de control")</f>
        <v/>
      </c>
      <c r="AB1035" s="17" t="str">
        <f>IF(M6_Puntos_Control!A39="","",IF(M6_Puntos_Control!G39="","",M6_Puntos_Control!G39))</f>
        <v/>
      </c>
      <c r="AC1035" s="17" t="str">
        <f>IF(M6_Puntos_Control!A39="","",IF(M6_Puntos_Control!K39="Sí",IF(COUNTIFS(M6_Puntos_Control!$A$9:A39,M6_Puntos_Control!A39,M6_Puntos_Control!$D$9:D39,M6_Puntos_Control!D39,M6_Puntos_Control!$G$9:G39,M6_Puntos_Control!G39,M6_Puntos_Control!$H$9:H39,M6_Puntos_Control!H39,M6_Puntos_Control!$K$9:K39,"Sí")=1,IF(M6_Puntos_Control!M39="","",M6_Puntos_Control!M39),""),""))</f>
        <v/>
      </c>
      <c r="AD1035" s="17" t="str">
        <f>IF(M6_Puntos_Control!A39="","","RD")</f>
        <v/>
      </c>
      <c r="AE1035" s="17" t="str">
        <f>IF(M6_Puntos_Control!A39="","",IF(M6_Puntos_Control!O39="","",M6_Puntos_Control!O39))</f>
        <v/>
      </c>
      <c r="AF1035" s="17" t="str">
        <f>IF(M6_Puntos_Control!A39="","",IF(M6_Puntos_Control!P39="","",M6_Puntos_Control!P39))</f>
        <v/>
      </c>
      <c r="AG1035" s="17" t="str">
        <f>IF(M6_Puntos_Control!A39="","",IF(M6_Puntos_Control!Q39="","",M6_Puntos_Control!Q39))</f>
        <v/>
      </c>
      <c r="AH1035" s="17" t="str">
        <f>IF(M6_Puntos_Control!A39="","",IF(M6_Puntos_Control!I39="","",M6_Puntos_Control!I39))</f>
        <v/>
      </c>
      <c r="AI1035" s="17" t="str">
        <f>IF(M6_Puntos_Control!A39="","","M6_Puntos_Control!39")</f>
        <v/>
      </c>
      <c r="AJ1035" s="17" t="str">
        <f>IF(M6_Puntos_Control!A39="","",IF(M6_Puntos_Control!K39&lt;&gt;"Sí","Punto de comparación",IF(COUNTIFS(M6_Puntos_Control!$A$9:A39,M6_Puntos_Control!A39,M6_Puntos_Control!$D$9:D39,M6_Puntos_Control!D39,M6_Puntos_Control!$G$9:G39,M6_Puntos_Control!G39,M6_Puntos_Control!$H$9:H39,M6_Puntos_Control!H39,M6_Puntos_Control!$K$9:K39,"Sí")=1,IF(M6_Puntos_Control!M39="","Pendiente de resultado","Punto oficial"),"Revisar: varios puntos oficiales")))</f>
        <v/>
      </c>
    </row>
    <row r="1036" spans="1:36" ht="55.5" customHeight="1">
      <c r="A1036" s="6" t="str">
        <f t="array" ref="A1036">IF(1032&gt;$S$1204,"",INDEX($T$5:$AJ$1204,MATCH(1032,$S$5:$S$1204,0),1))</f>
        <v/>
      </c>
      <c r="B1036" s="8" t="str">
        <f t="array" ref="B1036">IF(1032&gt;$S$1204,"",INDEX($T$5:$AJ$1204,MATCH(1032,$S$5:$S$1204,0),2))</f>
        <v/>
      </c>
      <c r="C1036" s="10" t="str">
        <f t="array" ref="C1036">IF(1032&gt;$S$1204,"",INDEX($T$5:$AJ$1204,MATCH(1032,$S$5:$S$1204,0),3))</f>
        <v/>
      </c>
      <c r="D1036" s="8" t="str">
        <f t="array" ref="D1036">IF(1032&gt;$S$1204,"",INDEX($T$5:$AJ$1204,MATCH(1032,$S$5:$S$1204,0),4))</f>
        <v/>
      </c>
      <c r="E1036" s="8" t="str">
        <f t="array" ref="E1036">IF(1032&gt;$S$1204,"",INDEX($T$5:$AJ$1204,MATCH(1032,$S$5:$S$1204,0),5))</f>
        <v/>
      </c>
      <c r="F1036" s="8" t="str">
        <f t="array" ref="F1036">IF(1032&gt;$S$1204,"",INDEX($T$5:$AJ$1204,MATCH(1032,$S$5:$S$1204,0),6))</f>
        <v/>
      </c>
      <c r="G1036" s="8" t="str">
        <f t="array" ref="G1036">IF(1032&gt;$S$1204,"",INDEX($T$5:$AJ$1204,MATCH(1032,$S$5:$S$1204,0),7))</f>
        <v/>
      </c>
      <c r="H1036" s="8" t="str">
        <f t="array" ref="H1036">IF(1032&gt;$S$1204,"",INDEX($T$5:$AJ$1204,MATCH(1032,$S$5:$S$1204,0),8))</f>
        <v/>
      </c>
      <c r="I1036" s="8" t="str">
        <f t="array" ref="I1036">IF(1032&gt;$S$1204,"",INDEX($T$5:$AJ$1204,MATCH(1032,$S$5:$S$1204,0),9))</f>
        <v/>
      </c>
      <c r="J1036" s="14" t="str">
        <f t="array" ref="J1036">IF(1032&gt;$S$1204,"",INDEX($T$5:$AJ$1204,MATCH(1032,$S$5:$S$1204,0),10))</f>
        <v/>
      </c>
      <c r="K1036" s="8" t="str">
        <f t="array" ref="K1036">IF(1032&gt;$S$1204,"",INDEX($T$5:$AJ$1204,MATCH(1032,$S$5:$S$1204,0),11))</f>
        <v/>
      </c>
      <c r="L1036" s="8" t="str">
        <f t="array" ref="L1036">IF(1032&gt;$S$1204,"",INDEX($T$5:$AJ$1204,MATCH(1032,$S$5:$S$1204,0),12))</f>
        <v/>
      </c>
      <c r="M1036" s="8" t="str">
        <f t="array" ref="M1036">IF(1032&gt;$S$1204,"",INDEX($T$5:$AJ$1204,MATCH(1032,$S$5:$S$1204,0),13))</f>
        <v/>
      </c>
      <c r="N1036" s="8" t="str">
        <f t="array" ref="N1036">IF(1032&gt;$S$1204,"",INDEX($T$5:$AJ$1204,MATCH(1032,$S$5:$S$1204,0),14))</f>
        <v/>
      </c>
      <c r="O1036" s="15" t="str">
        <f t="array" ref="O1036">IF(1032&gt;$S$1204,"",INDEX($T$5:$AJ$1204,MATCH(1032,$S$5:$S$1204,0),15))</f>
        <v/>
      </c>
      <c r="P1036" s="8" t="str">
        <f t="array" ref="P1036">IF(1032&gt;$S$1204,"",INDEX($T$5:$AJ$1204,MATCH(1032,$S$5:$S$1204,0),16))</f>
        <v/>
      </c>
      <c r="Q1036" s="8" t="str">
        <f t="array" ref="Q1036">IF(1032&gt;$S$1204,"",INDEX($T$5:$AJ$1204,MATCH(1032,$S$5:$S$1204,0),17))</f>
        <v/>
      </c>
      <c r="R1036" s="17"/>
      <c r="S1036" s="17">
        <f>S1035+IF(M6_Puntos_Control!A40="",0,1)</f>
        <v>0</v>
      </c>
      <c r="T1036" s="17" t="str">
        <f>IF(M6_Puntos_Control!A40="","",IF(M6_Puntos_Control!A40="","",M6_Puntos_Control!A40))</f>
        <v/>
      </c>
      <c r="U1036" s="17" t="str">
        <f>IF(M6_Puntos_Control!A40="","",IF(M6_Puntos_Control!R40="","",M6_Puntos_Control!R40))</f>
        <v/>
      </c>
      <c r="V1036" s="17" t="str">
        <f>IF(M6_Puntos_Control!A40="","",IF(M6_Puntos_Control!D40="","",M6_Puntos_Control!D40))</f>
        <v/>
      </c>
      <c r="W1036" s="17" t="str">
        <f>IF(M6_Puntos_Control!A40="","",IF(M6_Puntos_Control!B40="","",M6_Puntos_Control!B40))</f>
        <v/>
      </c>
      <c r="X1036" s="17" t="str">
        <f>IF(M6_Puntos_Control!A40="","",IF(M6_Puntos_Control!C40="","",M6_Puntos_Control!C40))</f>
        <v/>
      </c>
      <c r="Y1036" s="17" t="str">
        <f>IF(M6_Puntos_Control!A40="","",IF(M6_Puntos_Control!E40="","",M6_Puntos_Control!E40))</f>
        <v/>
      </c>
      <c r="Z1036" s="17" t="str">
        <f>IF(M6_Puntos_Control!A40="","",IF(M6_Puntos_Control!F40="","",M6_Puntos_Control!F40))</f>
        <v/>
      </c>
      <c r="AA1036" s="17" t="str">
        <f>IF(M6_Puntos_Control!A40="","","M6 Puntos de control")</f>
        <v/>
      </c>
      <c r="AB1036" s="17" t="str">
        <f>IF(M6_Puntos_Control!A40="","",IF(M6_Puntos_Control!G40="","",M6_Puntos_Control!G40))</f>
        <v/>
      </c>
      <c r="AC1036" s="17" t="str">
        <f>IF(M6_Puntos_Control!A40="","",IF(M6_Puntos_Control!K40="Sí",IF(COUNTIFS(M6_Puntos_Control!$A$9:A40,M6_Puntos_Control!A40,M6_Puntos_Control!$D$9:D40,M6_Puntos_Control!D40,M6_Puntos_Control!$G$9:G40,M6_Puntos_Control!G40,M6_Puntos_Control!$H$9:H40,M6_Puntos_Control!H40,M6_Puntos_Control!$K$9:K40,"Sí")=1,IF(M6_Puntos_Control!M40="","",M6_Puntos_Control!M40),""),""))</f>
        <v/>
      </c>
      <c r="AD1036" s="17" t="str">
        <f>IF(M6_Puntos_Control!A40="","","RD")</f>
        <v/>
      </c>
      <c r="AE1036" s="17" t="str">
        <f>IF(M6_Puntos_Control!A40="","",IF(M6_Puntos_Control!O40="","",M6_Puntos_Control!O40))</f>
        <v/>
      </c>
      <c r="AF1036" s="17" t="str">
        <f>IF(M6_Puntos_Control!A40="","",IF(M6_Puntos_Control!P40="","",M6_Puntos_Control!P40))</f>
        <v/>
      </c>
      <c r="AG1036" s="17" t="str">
        <f>IF(M6_Puntos_Control!A40="","",IF(M6_Puntos_Control!Q40="","",M6_Puntos_Control!Q40))</f>
        <v/>
      </c>
      <c r="AH1036" s="17" t="str">
        <f>IF(M6_Puntos_Control!A40="","",IF(M6_Puntos_Control!I40="","",M6_Puntos_Control!I40))</f>
        <v/>
      </c>
      <c r="AI1036" s="17" t="str">
        <f>IF(M6_Puntos_Control!A40="","","M6_Puntos_Control!40")</f>
        <v/>
      </c>
      <c r="AJ1036" s="17" t="str">
        <f>IF(M6_Puntos_Control!A40="","",IF(M6_Puntos_Control!K40&lt;&gt;"Sí","Punto de comparación",IF(COUNTIFS(M6_Puntos_Control!$A$9:A40,M6_Puntos_Control!A40,M6_Puntos_Control!$D$9:D40,M6_Puntos_Control!D40,M6_Puntos_Control!$G$9:G40,M6_Puntos_Control!G40,M6_Puntos_Control!$H$9:H40,M6_Puntos_Control!H40,M6_Puntos_Control!$K$9:K40,"Sí")=1,IF(M6_Puntos_Control!M40="","Pendiente de resultado","Punto oficial"),"Revisar: varios puntos oficiales")))</f>
        <v/>
      </c>
    </row>
    <row r="1037" spans="1:36" ht="55.5" customHeight="1">
      <c r="A1037" s="6" t="str">
        <f t="array" ref="A1037">IF(1033&gt;$S$1204,"",INDEX($T$5:$AJ$1204,MATCH(1033,$S$5:$S$1204,0),1))</f>
        <v/>
      </c>
      <c r="B1037" s="8" t="str">
        <f t="array" ref="B1037">IF(1033&gt;$S$1204,"",INDEX($T$5:$AJ$1204,MATCH(1033,$S$5:$S$1204,0),2))</f>
        <v/>
      </c>
      <c r="C1037" s="10" t="str">
        <f t="array" ref="C1037">IF(1033&gt;$S$1204,"",INDEX($T$5:$AJ$1204,MATCH(1033,$S$5:$S$1204,0),3))</f>
        <v/>
      </c>
      <c r="D1037" s="8" t="str">
        <f t="array" ref="D1037">IF(1033&gt;$S$1204,"",INDEX($T$5:$AJ$1204,MATCH(1033,$S$5:$S$1204,0),4))</f>
        <v/>
      </c>
      <c r="E1037" s="8" t="str">
        <f t="array" ref="E1037">IF(1033&gt;$S$1204,"",INDEX($T$5:$AJ$1204,MATCH(1033,$S$5:$S$1204,0),5))</f>
        <v/>
      </c>
      <c r="F1037" s="8" t="str">
        <f t="array" ref="F1037">IF(1033&gt;$S$1204,"",INDEX($T$5:$AJ$1204,MATCH(1033,$S$5:$S$1204,0),6))</f>
        <v/>
      </c>
      <c r="G1037" s="8" t="str">
        <f t="array" ref="G1037">IF(1033&gt;$S$1204,"",INDEX($T$5:$AJ$1204,MATCH(1033,$S$5:$S$1204,0),7))</f>
        <v/>
      </c>
      <c r="H1037" s="8" t="str">
        <f t="array" ref="H1037">IF(1033&gt;$S$1204,"",INDEX($T$5:$AJ$1204,MATCH(1033,$S$5:$S$1204,0),8))</f>
        <v/>
      </c>
      <c r="I1037" s="8" t="str">
        <f t="array" ref="I1037">IF(1033&gt;$S$1204,"",INDEX($T$5:$AJ$1204,MATCH(1033,$S$5:$S$1204,0),9))</f>
        <v/>
      </c>
      <c r="J1037" s="14" t="str">
        <f t="array" ref="J1037">IF(1033&gt;$S$1204,"",INDEX($T$5:$AJ$1204,MATCH(1033,$S$5:$S$1204,0),10))</f>
        <v/>
      </c>
      <c r="K1037" s="8" t="str">
        <f t="array" ref="K1037">IF(1033&gt;$S$1204,"",INDEX($T$5:$AJ$1204,MATCH(1033,$S$5:$S$1204,0),11))</f>
        <v/>
      </c>
      <c r="L1037" s="8" t="str">
        <f t="array" ref="L1037">IF(1033&gt;$S$1204,"",INDEX($T$5:$AJ$1204,MATCH(1033,$S$5:$S$1204,0),12))</f>
        <v/>
      </c>
      <c r="M1037" s="8" t="str">
        <f t="array" ref="M1037">IF(1033&gt;$S$1204,"",INDEX($T$5:$AJ$1204,MATCH(1033,$S$5:$S$1204,0),13))</f>
        <v/>
      </c>
      <c r="N1037" s="8" t="str">
        <f t="array" ref="N1037">IF(1033&gt;$S$1204,"",INDEX($T$5:$AJ$1204,MATCH(1033,$S$5:$S$1204,0),14))</f>
        <v/>
      </c>
      <c r="O1037" s="15" t="str">
        <f t="array" ref="O1037">IF(1033&gt;$S$1204,"",INDEX($T$5:$AJ$1204,MATCH(1033,$S$5:$S$1204,0),15))</f>
        <v/>
      </c>
      <c r="P1037" s="8" t="str">
        <f t="array" ref="P1037">IF(1033&gt;$S$1204,"",INDEX($T$5:$AJ$1204,MATCH(1033,$S$5:$S$1204,0),16))</f>
        <v/>
      </c>
      <c r="Q1037" s="8" t="str">
        <f t="array" ref="Q1037">IF(1033&gt;$S$1204,"",INDEX($T$5:$AJ$1204,MATCH(1033,$S$5:$S$1204,0),17))</f>
        <v/>
      </c>
      <c r="R1037" s="17"/>
      <c r="S1037" s="17">
        <f>S1036+IF(M6_Puntos_Control!A41="",0,1)</f>
        <v>0</v>
      </c>
      <c r="T1037" s="17" t="str">
        <f>IF(M6_Puntos_Control!A41="","",IF(M6_Puntos_Control!A41="","",M6_Puntos_Control!A41))</f>
        <v/>
      </c>
      <c r="U1037" s="17" t="str">
        <f>IF(M6_Puntos_Control!A41="","",IF(M6_Puntos_Control!R41="","",M6_Puntos_Control!R41))</f>
        <v/>
      </c>
      <c r="V1037" s="17" t="str">
        <f>IF(M6_Puntos_Control!A41="","",IF(M6_Puntos_Control!D41="","",M6_Puntos_Control!D41))</f>
        <v/>
      </c>
      <c r="W1037" s="17" t="str">
        <f>IF(M6_Puntos_Control!A41="","",IF(M6_Puntos_Control!B41="","",M6_Puntos_Control!B41))</f>
        <v/>
      </c>
      <c r="X1037" s="17" t="str">
        <f>IF(M6_Puntos_Control!A41="","",IF(M6_Puntos_Control!C41="","",M6_Puntos_Control!C41))</f>
        <v/>
      </c>
      <c r="Y1037" s="17" t="str">
        <f>IF(M6_Puntos_Control!A41="","",IF(M6_Puntos_Control!E41="","",M6_Puntos_Control!E41))</f>
        <v/>
      </c>
      <c r="Z1037" s="17" t="str">
        <f>IF(M6_Puntos_Control!A41="","",IF(M6_Puntos_Control!F41="","",M6_Puntos_Control!F41))</f>
        <v/>
      </c>
      <c r="AA1037" s="17" t="str">
        <f>IF(M6_Puntos_Control!A41="","","M6 Puntos de control")</f>
        <v/>
      </c>
      <c r="AB1037" s="17" t="str">
        <f>IF(M6_Puntos_Control!A41="","",IF(M6_Puntos_Control!G41="","",M6_Puntos_Control!G41))</f>
        <v/>
      </c>
      <c r="AC1037" s="17" t="str">
        <f>IF(M6_Puntos_Control!A41="","",IF(M6_Puntos_Control!K41="Sí",IF(COUNTIFS(M6_Puntos_Control!$A$9:A41,M6_Puntos_Control!A41,M6_Puntos_Control!$D$9:D41,M6_Puntos_Control!D41,M6_Puntos_Control!$G$9:G41,M6_Puntos_Control!G41,M6_Puntos_Control!$H$9:H41,M6_Puntos_Control!H41,M6_Puntos_Control!$K$9:K41,"Sí")=1,IF(M6_Puntos_Control!M41="","",M6_Puntos_Control!M41),""),""))</f>
        <v/>
      </c>
      <c r="AD1037" s="17" t="str">
        <f>IF(M6_Puntos_Control!A41="","","RD")</f>
        <v/>
      </c>
      <c r="AE1037" s="17" t="str">
        <f>IF(M6_Puntos_Control!A41="","",IF(M6_Puntos_Control!O41="","",M6_Puntos_Control!O41))</f>
        <v/>
      </c>
      <c r="AF1037" s="17" t="str">
        <f>IF(M6_Puntos_Control!A41="","",IF(M6_Puntos_Control!P41="","",M6_Puntos_Control!P41))</f>
        <v/>
      </c>
      <c r="AG1037" s="17" t="str">
        <f>IF(M6_Puntos_Control!A41="","",IF(M6_Puntos_Control!Q41="","",M6_Puntos_Control!Q41))</f>
        <v/>
      </c>
      <c r="AH1037" s="17" t="str">
        <f>IF(M6_Puntos_Control!A41="","",IF(M6_Puntos_Control!I41="","",M6_Puntos_Control!I41))</f>
        <v/>
      </c>
      <c r="AI1037" s="17" t="str">
        <f>IF(M6_Puntos_Control!A41="","","M6_Puntos_Control!41")</f>
        <v/>
      </c>
      <c r="AJ1037" s="17" t="str">
        <f>IF(M6_Puntos_Control!A41="","",IF(M6_Puntos_Control!K41&lt;&gt;"Sí","Punto de comparación",IF(COUNTIFS(M6_Puntos_Control!$A$9:A41,M6_Puntos_Control!A41,M6_Puntos_Control!$D$9:D41,M6_Puntos_Control!D41,M6_Puntos_Control!$G$9:G41,M6_Puntos_Control!G41,M6_Puntos_Control!$H$9:H41,M6_Puntos_Control!H41,M6_Puntos_Control!$K$9:K41,"Sí")=1,IF(M6_Puntos_Control!M41="","Pendiente de resultado","Punto oficial"),"Revisar: varios puntos oficiales")))</f>
        <v/>
      </c>
    </row>
    <row r="1038" spans="1:36" ht="55.5" customHeight="1">
      <c r="A1038" s="6" t="str">
        <f t="array" ref="A1038">IF(1034&gt;$S$1204,"",INDEX($T$5:$AJ$1204,MATCH(1034,$S$5:$S$1204,0),1))</f>
        <v/>
      </c>
      <c r="B1038" s="8" t="str">
        <f t="array" ref="B1038">IF(1034&gt;$S$1204,"",INDEX($T$5:$AJ$1204,MATCH(1034,$S$5:$S$1204,0),2))</f>
        <v/>
      </c>
      <c r="C1038" s="10" t="str">
        <f t="array" ref="C1038">IF(1034&gt;$S$1204,"",INDEX($T$5:$AJ$1204,MATCH(1034,$S$5:$S$1204,0),3))</f>
        <v/>
      </c>
      <c r="D1038" s="8" t="str">
        <f t="array" ref="D1038">IF(1034&gt;$S$1204,"",INDEX($T$5:$AJ$1204,MATCH(1034,$S$5:$S$1204,0),4))</f>
        <v/>
      </c>
      <c r="E1038" s="8" t="str">
        <f t="array" ref="E1038">IF(1034&gt;$S$1204,"",INDEX($T$5:$AJ$1204,MATCH(1034,$S$5:$S$1204,0),5))</f>
        <v/>
      </c>
      <c r="F1038" s="8" t="str">
        <f t="array" ref="F1038">IF(1034&gt;$S$1204,"",INDEX($T$5:$AJ$1204,MATCH(1034,$S$5:$S$1204,0),6))</f>
        <v/>
      </c>
      <c r="G1038" s="8" t="str">
        <f t="array" ref="G1038">IF(1034&gt;$S$1204,"",INDEX($T$5:$AJ$1204,MATCH(1034,$S$5:$S$1204,0),7))</f>
        <v/>
      </c>
      <c r="H1038" s="8" t="str">
        <f t="array" ref="H1038">IF(1034&gt;$S$1204,"",INDEX($T$5:$AJ$1204,MATCH(1034,$S$5:$S$1204,0),8))</f>
        <v/>
      </c>
      <c r="I1038" s="8" t="str">
        <f t="array" ref="I1038">IF(1034&gt;$S$1204,"",INDEX($T$5:$AJ$1204,MATCH(1034,$S$5:$S$1204,0),9))</f>
        <v/>
      </c>
      <c r="J1038" s="14" t="str">
        <f t="array" ref="J1038">IF(1034&gt;$S$1204,"",INDEX($T$5:$AJ$1204,MATCH(1034,$S$5:$S$1204,0),10))</f>
        <v/>
      </c>
      <c r="K1038" s="8" t="str">
        <f t="array" ref="K1038">IF(1034&gt;$S$1204,"",INDEX($T$5:$AJ$1204,MATCH(1034,$S$5:$S$1204,0),11))</f>
        <v/>
      </c>
      <c r="L1038" s="8" t="str">
        <f t="array" ref="L1038">IF(1034&gt;$S$1204,"",INDEX($T$5:$AJ$1204,MATCH(1034,$S$5:$S$1204,0),12))</f>
        <v/>
      </c>
      <c r="M1038" s="8" t="str">
        <f t="array" ref="M1038">IF(1034&gt;$S$1204,"",INDEX($T$5:$AJ$1204,MATCH(1034,$S$5:$S$1204,0),13))</f>
        <v/>
      </c>
      <c r="N1038" s="8" t="str">
        <f t="array" ref="N1038">IF(1034&gt;$S$1204,"",INDEX($T$5:$AJ$1204,MATCH(1034,$S$5:$S$1204,0),14))</f>
        <v/>
      </c>
      <c r="O1038" s="15" t="str">
        <f t="array" ref="O1038">IF(1034&gt;$S$1204,"",INDEX($T$5:$AJ$1204,MATCH(1034,$S$5:$S$1204,0),15))</f>
        <v/>
      </c>
      <c r="P1038" s="8" t="str">
        <f t="array" ref="P1038">IF(1034&gt;$S$1204,"",INDEX($T$5:$AJ$1204,MATCH(1034,$S$5:$S$1204,0),16))</f>
        <v/>
      </c>
      <c r="Q1038" s="8" t="str">
        <f t="array" ref="Q1038">IF(1034&gt;$S$1204,"",INDEX($T$5:$AJ$1204,MATCH(1034,$S$5:$S$1204,0),17))</f>
        <v/>
      </c>
      <c r="R1038" s="17"/>
      <c r="S1038" s="17">
        <f>S1037+IF(M6_Puntos_Control!A42="",0,1)</f>
        <v>0</v>
      </c>
      <c r="T1038" s="17" t="str">
        <f>IF(M6_Puntos_Control!A42="","",IF(M6_Puntos_Control!A42="","",M6_Puntos_Control!A42))</f>
        <v/>
      </c>
      <c r="U1038" s="17" t="str">
        <f>IF(M6_Puntos_Control!A42="","",IF(M6_Puntos_Control!R42="","",M6_Puntos_Control!R42))</f>
        <v/>
      </c>
      <c r="V1038" s="17" t="str">
        <f>IF(M6_Puntos_Control!A42="","",IF(M6_Puntos_Control!D42="","",M6_Puntos_Control!D42))</f>
        <v/>
      </c>
      <c r="W1038" s="17" t="str">
        <f>IF(M6_Puntos_Control!A42="","",IF(M6_Puntos_Control!B42="","",M6_Puntos_Control!B42))</f>
        <v/>
      </c>
      <c r="X1038" s="17" t="str">
        <f>IF(M6_Puntos_Control!A42="","",IF(M6_Puntos_Control!C42="","",M6_Puntos_Control!C42))</f>
        <v/>
      </c>
      <c r="Y1038" s="17" t="str">
        <f>IF(M6_Puntos_Control!A42="","",IF(M6_Puntos_Control!E42="","",M6_Puntos_Control!E42))</f>
        <v/>
      </c>
      <c r="Z1038" s="17" t="str">
        <f>IF(M6_Puntos_Control!A42="","",IF(M6_Puntos_Control!F42="","",M6_Puntos_Control!F42))</f>
        <v/>
      </c>
      <c r="AA1038" s="17" t="str">
        <f>IF(M6_Puntos_Control!A42="","","M6 Puntos de control")</f>
        <v/>
      </c>
      <c r="AB1038" s="17" t="str">
        <f>IF(M6_Puntos_Control!A42="","",IF(M6_Puntos_Control!G42="","",M6_Puntos_Control!G42))</f>
        <v/>
      </c>
      <c r="AC1038" s="17" t="str">
        <f>IF(M6_Puntos_Control!A42="","",IF(M6_Puntos_Control!K42="Sí",IF(COUNTIFS(M6_Puntos_Control!$A$9:A42,M6_Puntos_Control!A42,M6_Puntos_Control!$D$9:D42,M6_Puntos_Control!D42,M6_Puntos_Control!$G$9:G42,M6_Puntos_Control!G42,M6_Puntos_Control!$H$9:H42,M6_Puntos_Control!H42,M6_Puntos_Control!$K$9:K42,"Sí")=1,IF(M6_Puntos_Control!M42="","",M6_Puntos_Control!M42),""),""))</f>
        <v/>
      </c>
      <c r="AD1038" s="17" t="str">
        <f>IF(M6_Puntos_Control!A42="","","RD")</f>
        <v/>
      </c>
      <c r="AE1038" s="17" t="str">
        <f>IF(M6_Puntos_Control!A42="","",IF(M6_Puntos_Control!O42="","",M6_Puntos_Control!O42))</f>
        <v/>
      </c>
      <c r="AF1038" s="17" t="str">
        <f>IF(M6_Puntos_Control!A42="","",IF(M6_Puntos_Control!P42="","",M6_Puntos_Control!P42))</f>
        <v/>
      </c>
      <c r="AG1038" s="17" t="str">
        <f>IF(M6_Puntos_Control!A42="","",IF(M6_Puntos_Control!Q42="","",M6_Puntos_Control!Q42))</f>
        <v/>
      </c>
      <c r="AH1038" s="17" t="str">
        <f>IF(M6_Puntos_Control!A42="","",IF(M6_Puntos_Control!I42="","",M6_Puntos_Control!I42))</f>
        <v/>
      </c>
      <c r="AI1038" s="17" t="str">
        <f>IF(M6_Puntos_Control!A42="","","M6_Puntos_Control!42")</f>
        <v/>
      </c>
      <c r="AJ1038" s="17" t="str">
        <f>IF(M6_Puntos_Control!A42="","",IF(M6_Puntos_Control!K42&lt;&gt;"Sí","Punto de comparación",IF(COUNTIFS(M6_Puntos_Control!$A$9:A42,M6_Puntos_Control!A42,M6_Puntos_Control!$D$9:D42,M6_Puntos_Control!D42,M6_Puntos_Control!$G$9:G42,M6_Puntos_Control!G42,M6_Puntos_Control!$H$9:H42,M6_Puntos_Control!H42,M6_Puntos_Control!$K$9:K42,"Sí")=1,IF(M6_Puntos_Control!M42="","Pendiente de resultado","Punto oficial"),"Revisar: varios puntos oficiales")))</f>
        <v/>
      </c>
    </row>
    <row r="1039" spans="1:36" ht="55.5" customHeight="1">
      <c r="A1039" s="6" t="str">
        <f t="array" ref="A1039">IF(1035&gt;$S$1204,"",INDEX($T$5:$AJ$1204,MATCH(1035,$S$5:$S$1204,0),1))</f>
        <v/>
      </c>
      <c r="B1039" s="8" t="str">
        <f t="array" ref="B1039">IF(1035&gt;$S$1204,"",INDEX($T$5:$AJ$1204,MATCH(1035,$S$5:$S$1204,0),2))</f>
        <v/>
      </c>
      <c r="C1039" s="10" t="str">
        <f t="array" ref="C1039">IF(1035&gt;$S$1204,"",INDEX($T$5:$AJ$1204,MATCH(1035,$S$5:$S$1204,0),3))</f>
        <v/>
      </c>
      <c r="D1039" s="8" t="str">
        <f t="array" ref="D1039">IF(1035&gt;$S$1204,"",INDEX($T$5:$AJ$1204,MATCH(1035,$S$5:$S$1204,0),4))</f>
        <v/>
      </c>
      <c r="E1039" s="8" t="str">
        <f t="array" ref="E1039">IF(1035&gt;$S$1204,"",INDEX($T$5:$AJ$1204,MATCH(1035,$S$5:$S$1204,0),5))</f>
        <v/>
      </c>
      <c r="F1039" s="8" t="str">
        <f t="array" ref="F1039">IF(1035&gt;$S$1204,"",INDEX($T$5:$AJ$1204,MATCH(1035,$S$5:$S$1204,0),6))</f>
        <v/>
      </c>
      <c r="G1039" s="8" t="str">
        <f t="array" ref="G1039">IF(1035&gt;$S$1204,"",INDEX($T$5:$AJ$1204,MATCH(1035,$S$5:$S$1204,0),7))</f>
        <v/>
      </c>
      <c r="H1039" s="8" t="str">
        <f t="array" ref="H1039">IF(1035&gt;$S$1204,"",INDEX($T$5:$AJ$1204,MATCH(1035,$S$5:$S$1204,0),8))</f>
        <v/>
      </c>
      <c r="I1039" s="8" t="str">
        <f t="array" ref="I1039">IF(1035&gt;$S$1204,"",INDEX($T$5:$AJ$1204,MATCH(1035,$S$5:$S$1204,0),9))</f>
        <v/>
      </c>
      <c r="J1039" s="14" t="str">
        <f t="array" ref="J1039">IF(1035&gt;$S$1204,"",INDEX($T$5:$AJ$1204,MATCH(1035,$S$5:$S$1204,0),10))</f>
        <v/>
      </c>
      <c r="K1039" s="8" t="str">
        <f t="array" ref="K1039">IF(1035&gt;$S$1204,"",INDEX($T$5:$AJ$1204,MATCH(1035,$S$5:$S$1204,0),11))</f>
        <v/>
      </c>
      <c r="L1039" s="8" t="str">
        <f t="array" ref="L1039">IF(1035&gt;$S$1204,"",INDEX($T$5:$AJ$1204,MATCH(1035,$S$5:$S$1204,0),12))</f>
        <v/>
      </c>
      <c r="M1039" s="8" t="str">
        <f t="array" ref="M1039">IF(1035&gt;$S$1204,"",INDEX($T$5:$AJ$1204,MATCH(1035,$S$5:$S$1204,0),13))</f>
        <v/>
      </c>
      <c r="N1039" s="8" t="str">
        <f t="array" ref="N1039">IF(1035&gt;$S$1204,"",INDEX($T$5:$AJ$1204,MATCH(1035,$S$5:$S$1204,0),14))</f>
        <v/>
      </c>
      <c r="O1039" s="15" t="str">
        <f t="array" ref="O1039">IF(1035&gt;$S$1204,"",INDEX($T$5:$AJ$1204,MATCH(1035,$S$5:$S$1204,0),15))</f>
        <v/>
      </c>
      <c r="P1039" s="8" t="str">
        <f t="array" ref="P1039">IF(1035&gt;$S$1204,"",INDEX($T$5:$AJ$1204,MATCH(1035,$S$5:$S$1204,0),16))</f>
        <v/>
      </c>
      <c r="Q1039" s="8" t="str">
        <f t="array" ref="Q1039">IF(1035&gt;$S$1204,"",INDEX($T$5:$AJ$1204,MATCH(1035,$S$5:$S$1204,0),17))</f>
        <v/>
      </c>
      <c r="R1039" s="17"/>
      <c r="S1039" s="17">
        <f>S1038+IF(M6_Puntos_Control!A43="",0,1)</f>
        <v>0</v>
      </c>
      <c r="T1039" s="17" t="str">
        <f>IF(M6_Puntos_Control!A43="","",IF(M6_Puntos_Control!A43="","",M6_Puntos_Control!A43))</f>
        <v/>
      </c>
      <c r="U1039" s="17" t="str">
        <f>IF(M6_Puntos_Control!A43="","",IF(M6_Puntos_Control!R43="","",M6_Puntos_Control!R43))</f>
        <v/>
      </c>
      <c r="V1039" s="17" t="str">
        <f>IF(M6_Puntos_Control!A43="","",IF(M6_Puntos_Control!D43="","",M6_Puntos_Control!D43))</f>
        <v/>
      </c>
      <c r="W1039" s="17" t="str">
        <f>IF(M6_Puntos_Control!A43="","",IF(M6_Puntos_Control!B43="","",M6_Puntos_Control!B43))</f>
        <v/>
      </c>
      <c r="X1039" s="17" t="str">
        <f>IF(M6_Puntos_Control!A43="","",IF(M6_Puntos_Control!C43="","",M6_Puntos_Control!C43))</f>
        <v/>
      </c>
      <c r="Y1039" s="17" t="str">
        <f>IF(M6_Puntos_Control!A43="","",IF(M6_Puntos_Control!E43="","",M6_Puntos_Control!E43))</f>
        <v/>
      </c>
      <c r="Z1039" s="17" t="str">
        <f>IF(M6_Puntos_Control!A43="","",IF(M6_Puntos_Control!F43="","",M6_Puntos_Control!F43))</f>
        <v/>
      </c>
      <c r="AA1039" s="17" t="str">
        <f>IF(M6_Puntos_Control!A43="","","M6 Puntos de control")</f>
        <v/>
      </c>
      <c r="AB1039" s="17" t="str">
        <f>IF(M6_Puntos_Control!A43="","",IF(M6_Puntos_Control!G43="","",M6_Puntos_Control!G43))</f>
        <v/>
      </c>
      <c r="AC1039" s="17" t="str">
        <f>IF(M6_Puntos_Control!A43="","",IF(M6_Puntos_Control!K43="Sí",IF(COUNTIFS(M6_Puntos_Control!$A$9:A43,M6_Puntos_Control!A43,M6_Puntos_Control!$D$9:D43,M6_Puntos_Control!D43,M6_Puntos_Control!$G$9:G43,M6_Puntos_Control!G43,M6_Puntos_Control!$H$9:H43,M6_Puntos_Control!H43,M6_Puntos_Control!$K$9:K43,"Sí")=1,IF(M6_Puntos_Control!M43="","",M6_Puntos_Control!M43),""),""))</f>
        <v/>
      </c>
      <c r="AD1039" s="17" t="str">
        <f>IF(M6_Puntos_Control!A43="","","RD")</f>
        <v/>
      </c>
      <c r="AE1039" s="17" t="str">
        <f>IF(M6_Puntos_Control!A43="","",IF(M6_Puntos_Control!O43="","",M6_Puntos_Control!O43))</f>
        <v/>
      </c>
      <c r="AF1039" s="17" t="str">
        <f>IF(M6_Puntos_Control!A43="","",IF(M6_Puntos_Control!P43="","",M6_Puntos_Control!P43))</f>
        <v/>
      </c>
      <c r="AG1039" s="17" t="str">
        <f>IF(M6_Puntos_Control!A43="","",IF(M6_Puntos_Control!Q43="","",M6_Puntos_Control!Q43))</f>
        <v/>
      </c>
      <c r="AH1039" s="17" t="str">
        <f>IF(M6_Puntos_Control!A43="","",IF(M6_Puntos_Control!I43="","",M6_Puntos_Control!I43))</f>
        <v/>
      </c>
      <c r="AI1039" s="17" t="str">
        <f>IF(M6_Puntos_Control!A43="","","M6_Puntos_Control!43")</f>
        <v/>
      </c>
      <c r="AJ1039" s="17" t="str">
        <f>IF(M6_Puntos_Control!A43="","",IF(M6_Puntos_Control!K43&lt;&gt;"Sí","Punto de comparación",IF(COUNTIFS(M6_Puntos_Control!$A$9:A43,M6_Puntos_Control!A43,M6_Puntos_Control!$D$9:D43,M6_Puntos_Control!D43,M6_Puntos_Control!$G$9:G43,M6_Puntos_Control!G43,M6_Puntos_Control!$H$9:H43,M6_Puntos_Control!H43,M6_Puntos_Control!$K$9:K43,"Sí")=1,IF(M6_Puntos_Control!M43="","Pendiente de resultado","Punto oficial"),"Revisar: varios puntos oficiales")))</f>
        <v/>
      </c>
    </row>
    <row r="1040" spans="1:36" ht="55.5" customHeight="1">
      <c r="A1040" s="6" t="str">
        <f t="array" ref="A1040">IF(1036&gt;$S$1204,"",INDEX($T$5:$AJ$1204,MATCH(1036,$S$5:$S$1204,0),1))</f>
        <v/>
      </c>
      <c r="B1040" s="8" t="str">
        <f t="array" ref="B1040">IF(1036&gt;$S$1204,"",INDEX($T$5:$AJ$1204,MATCH(1036,$S$5:$S$1204,0),2))</f>
        <v/>
      </c>
      <c r="C1040" s="10" t="str">
        <f t="array" ref="C1040">IF(1036&gt;$S$1204,"",INDEX($T$5:$AJ$1204,MATCH(1036,$S$5:$S$1204,0),3))</f>
        <v/>
      </c>
      <c r="D1040" s="8" t="str">
        <f t="array" ref="D1040">IF(1036&gt;$S$1204,"",INDEX($T$5:$AJ$1204,MATCH(1036,$S$5:$S$1204,0),4))</f>
        <v/>
      </c>
      <c r="E1040" s="8" t="str">
        <f t="array" ref="E1040">IF(1036&gt;$S$1204,"",INDEX($T$5:$AJ$1204,MATCH(1036,$S$5:$S$1204,0),5))</f>
        <v/>
      </c>
      <c r="F1040" s="8" t="str">
        <f t="array" ref="F1040">IF(1036&gt;$S$1204,"",INDEX($T$5:$AJ$1204,MATCH(1036,$S$5:$S$1204,0),6))</f>
        <v/>
      </c>
      <c r="G1040" s="8" t="str">
        <f t="array" ref="G1040">IF(1036&gt;$S$1204,"",INDEX($T$5:$AJ$1204,MATCH(1036,$S$5:$S$1204,0),7))</f>
        <v/>
      </c>
      <c r="H1040" s="8" t="str">
        <f t="array" ref="H1040">IF(1036&gt;$S$1204,"",INDEX($T$5:$AJ$1204,MATCH(1036,$S$5:$S$1204,0),8))</f>
        <v/>
      </c>
      <c r="I1040" s="8" t="str">
        <f t="array" ref="I1040">IF(1036&gt;$S$1204,"",INDEX($T$5:$AJ$1204,MATCH(1036,$S$5:$S$1204,0),9))</f>
        <v/>
      </c>
      <c r="J1040" s="14" t="str">
        <f t="array" ref="J1040">IF(1036&gt;$S$1204,"",INDEX($T$5:$AJ$1204,MATCH(1036,$S$5:$S$1204,0),10))</f>
        <v/>
      </c>
      <c r="K1040" s="8" t="str">
        <f t="array" ref="K1040">IF(1036&gt;$S$1204,"",INDEX($T$5:$AJ$1204,MATCH(1036,$S$5:$S$1204,0),11))</f>
        <v/>
      </c>
      <c r="L1040" s="8" t="str">
        <f t="array" ref="L1040">IF(1036&gt;$S$1204,"",INDEX($T$5:$AJ$1204,MATCH(1036,$S$5:$S$1204,0),12))</f>
        <v/>
      </c>
      <c r="M1040" s="8" t="str">
        <f t="array" ref="M1040">IF(1036&gt;$S$1204,"",INDEX($T$5:$AJ$1204,MATCH(1036,$S$5:$S$1204,0),13))</f>
        <v/>
      </c>
      <c r="N1040" s="8" t="str">
        <f t="array" ref="N1040">IF(1036&gt;$S$1204,"",INDEX($T$5:$AJ$1204,MATCH(1036,$S$5:$S$1204,0),14))</f>
        <v/>
      </c>
      <c r="O1040" s="15" t="str">
        <f t="array" ref="O1040">IF(1036&gt;$S$1204,"",INDEX($T$5:$AJ$1204,MATCH(1036,$S$5:$S$1204,0),15))</f>
        <v/>
      </c>
      <c r="P1040" s="8" t="str">
        <f t="array" ref="P1040">IF(1036&gt;$S$1204,"",INDEX($T$5:$AJ$1204,MATCH(1036,$S$5:$S$1204,0),16))</f>
        <v/>
      </c>
      <c r="Q1040" s="8" t="str">
        <f t="array" ref="Q1040">IF(1036&gt;$S$1204,"",INDEX($T$5:$AJ$1204,MATCH(1036,$S$5:$S$1204,0),17))</f>
        <v/>
      </c>
      <c r="R1040" s="17"/>
      <c r="S1040" s="17">
        <f>S1039+IF(M6_Puntos_Control!A44="",0,1)</f>
        <v>0</v>
      </c>
      <c r="T1040" s="17" t="str">
        <f>IF(M6_Puntos_Control!A44="","",IF(M6_Puntos_Control!A44="","",M6_Puntos_Control!A44))</f>
        <v/>
      </c>
      <c r="U1040" s="17" t="str">
        <f>IF(M6_Puntos_Control!A44="","",IF(M6_Puntos_Control!R44="","",M6_Puntos_Control!R44))</f>
        <v/>
      </c>
      <c r="V1040" s="17" t="str">
        <f>IF(M6_Puntos_Control!A44="","",IF(M6_Puntos_Control!D44="","",M6_Puntos_Control!D44))</f>
        <v/>
      </c>
      <c r="W1040" s="17" t="str">
        <f>IF(M6_Puntos_Control!A44="","",IF(M6_Puntos_Control!B44="","",M6_Puntos_Control!B44))</f>
        <v/>
      </c>
      <c r="X1040" s="17" t="str">
        <f>IF(M6_Puntos_Control!A44="","",IF(M6_Puntos_Control!C44="","",M6_Puntos_Control!C44))</f>
        <v/>
      </c>
      <c r="Y1040" s="17" t="str">
        <f>IF(M6_Puntos_Control!A44="","",IF(M6_Puntos_Control!E44="","",M6_Puntos_Control!E44))</f>
        <v/>
      </c>
      <c r="Z1040" s="17" t="str">
        <f>IF(M6_Puntos_Control!A44="","",IF(M6_Puntos_Control!F44="","",M6_Puntos_Control!F44))</f>
        <v/>
      </c>
      <c r="AA1040" s="17" t="str">
        <f>IF(M6_Puntos_Control!A44="","","M6 Puntos de control")</f>
        <v/>
      </c>
      <c r="AB1040" s="17" t="str">
        <f>IF(M6_Puntos_Control!A44="","",IF(M6_Puntos_Control!G44="","",M6_Puntos_Control!G44))</f>
        <v/>
      </c>
      <c r="AC1040" s="17" t="str">
        <f>IF(M6_Puntos_Control!A44="","",IF(M6_Puntos_Control!K44="Sí",IF(COUNTIFS(M6_Puntos_Control!$A$9:A44,M6_Puntos_Control!A44,M6_Puntos_Control!$D$9:D44,M6_Puntos_Control!D44,M6_Puntos_Control!$G$9:G44,M6_Puntos_Control!G44,M6_Puntos_Control!$H$9:H44,M6_Puntos_Control!H44,M6_Puntos_Control!$K$9:K44,"Sí")=1,IF(M6_Puntos_Control!M44="","",M6_Puntos_Control!M44),""),""))</f>
        <v/>
      </c>
      <c r="AD1040" s="17" t="str">
        <f>IF(M6_Puntos_Control!A44="","","RD")</f>
        <v/>
      </c>
      <c r="AE1040" s="17" t="str">
        <f>IF(M6_Puntos_Control!A44="","",IF(M6_Puntos_Control!O44="","",M6_Puntos_Control!O44))</f>
        <v/>
      </c>
      <c r="AF1040" s="17" t="str">
        <f>IF(M6_Puntos_Control!A44="","",IF(M6_Puntos_Control!P44="","",M6_Puntos_Control!P44))</f>
        <v/>
      </c>
      <c r="AG1040" s="17" t="str">
        <f>IF(M6_Puntos_Control!A44="","",IF(M6_Puntos_Control!Q44="","",M6_Puntos_Control!Q44))</f>
        <v/>
      </c>
      <c r="AH1040" s="17" t="str">
        <f>IF(M6_Puntos_Control!A44="","",IF(M6_Puntos_Control!I44="","",M6_Puntos_Control!I44))</f>
        <v/>
      </c>
      <c r="AI1040" s="17" t="str">
        <f>IF(M6_Puntos_Control!A44="","","M6_Puntos_Control!44")</f>
        <v/>
      </c>
      <c r="AJ1040" s="17" t="str">
        <f>IF(M6_Puntos_Control!A44="","",IF(M6_Puntos_Control!K44&lt;&gt;"Sí","Punto de comparación",IF(COUNTIFS(M6_Puntos_Control!$A$9:A44,M6_Puntos_Control!A44,M6_Puntos_Control!$D$9:D44,M6_Puntos_Control!D44,M6_Puntos_Control!$G$9:G44,M6_Puntos_Control!G44,M6_Puntos_Control!$H$9:H44,M6_Puntos_Control!H44,M6_Puntos_Control!$K$9:K44,"Sí")=1,IF(M6_Puntos_Control!M44="","Pendiente de resultado","Punto oficial"),"Revisar: varios puntos oficiales")))</f>
        <v/>
      </c>
    </row>
    <row r="1041" spans="1:36" ht="55.5" customHeight="1">
      <c r="A1041" s="6" t="str">
        <f t="array" ref="A1041">IF(1037&gt;$S$1204,"",INDEX($T$5:$AJ$1204,MATCH(1037,$S$5:$S$1204,0),1))</f>
        <v/>
      </c>
      <c r="B1041" s="8" t="str">
        <f t="array" ref="B1041">IF(1037&gt;$S$1204,"",INDEX($T$5:$AJ$1204,MATCH(1037,$S$5:$S$1204,0),2))</f>
        <v/>
      </c>
      <c r="C1041" s="10" t="str">
        <f t="array" ref="C1041">IF(1037&gt;$S$1204,"",INDEX($T$5:$AJ$1204,MATCH(1037,$S$5:$S$1204,0),3))</f>
        <v/>
      </c>
      <c r="D1041" s="8" t="str">
        <f t="array" ref="D1041">IF(1037&gt;$S$1204,"",INDEX($T$5:$AJ$1204,MATCH(1037,$S$5:$S$1204,0),4))</f>
        <v/>
      </c>
      <c r="E1041" s="8" t="str">
        <f t="array" ref="E1041">IF(1037&gt;$S$1204,"",INDEX($T$5:$AJ$1204,MATCH(1037,$S$5:$S$1204,0),5))</f>
        <v/>
      </c>
      <c r="F1041" s="8" t="str">
        <f t="array" ref="F1041">IF(1037&gt;$S$1204,"",INDEX($T$5:$AJ$1204,MATCH(1037,$S$5:$S$1204,0),6))</f>
        <v/>
      </c>
      <c r="G1041" s="8" t="str">
        <f t="array" ref="G1041">IF(1037&gt;$S$1204,"",INDEX($T$5:$AJ$1204,MATCH(1037,$S$5:$S$1204,0),7))</f>
        <v/>
      </c>
      <c r="H1041" s="8" t="str">
        <f t="array" ref="H1041">IF(1037&gt;$S$1204,"",INDEX($T$5:$AJ$1204,MATCH(1037,$S$5:$S$1204,0),8))</f>
        <v/>
      </c>
      <c r="I1041" s="8" t="str">
        <f t="array" ref="I1041">IF(1037&gt;$S$1204,"",INDEX($T$5:$AJ$1204,MATCH(1037,$S$5:$S$1204,0),9))</f>
        <v/>
      </c>
      <c r="J1041" s="14" t="str">
        <f t="array" ref="J1041">IF(1037&gt;$S$1204,"",INDEX($T$5:$AJ$1204,MATCH(1037,$S$5:$S$1204,0),10))</f>
        <v/>
      </c>
      <c r="K1041" s="8" t="str">
        <f t="array" ref="K1041">IF(1037&gt;$S$1204,"",INDEX($T$5:$AJ$1204,MATCH(1037,$S$5:$S$1204,0),11))</f>
        <v/>
      </c>
      <c r="L1041" s="8" t="str">
        <f t="array" ref="L1041">IF(1037&gt;$S$1204,"",INDEX($T$5:$AJ$1204,MATCH(1037,$S$5:$S$1204,0),12))</f>
        <v/>
      </c>
      <c r="M1041" s="8" t="str">
        <f t="array" ref="M1041">IF(1037&gt;$S$1204,"",INDEX($T$5:$AJ$1204,MATCH(1037,$S$5:$S$1204,0),13))</f>
        <v/>
      </c>
      <c r="N1041" s="8" t="str">
        <f t="array" ref="N1041">IF(1037&gt;$S$1204,"",INDEX($T$5:$AJ$1204,MATCH(1037,$S$5:$S$1204,0),14))</f>
        <v/>
      </c>
      <c r="O1041" s="15" t="str">
        <f t="array" ref="O1041">IF(1037&gt;$S$1204,"",INDEX($T$5:$AJ$1204,MATCH(1037,$S$5:$S$1204,0),15))</f>
        <v/>
      </c>
      <c r="P1041" s="8" t="str">
        <f t="array" ref="P1041">IF(1037&gt;$S$1204,"",INDEX($T$5:$AJ$1204,MATCH(1037,$S$5:$S$1204,0),16))</f>
        <v/>
      </c>
      <c r="Q1041" s="8" t="str">
        <f t="array" ref="Q1041">IF(1037&gt;$S$1204,"",INDEX($T$5:$AJ$1204,MATCH(1037,$S$5:$S$1204,0),17))</f>
        <v/>
      </c>
      <c r="R1041" s="17"/>
      <c r="S1041" s="17">
        <f>S1040+IF(M6_Puntos_Control!A45="",0,1)</f>
        <v>0</v>
      </c>
      <c r="T1041" s="17" t="str">
        <f>IF(M6_Puntos_Control!A45="","",IF(M6_Puntos_Control!A45="","",M6_Puntos_Control!A45))</f>
        <v/>
      </c>
      <c r="U1041" s="17" t="str">
        <f>IF(M6_Puntos_Control!A45="","",IF(M6_Puntos_Control!R45="","",M6_Puntos_Control!R45))</f>
        <v/>
      </c>
      <c r="V1041" s="17" t="str">
        <f>IF(M6_Puntos_Control!A45="","",IF(M6_Puntos_Control!D45="","",M6_Puntos_Control!D45))</f>
        <v/>
      </c>
      <c r="W1041" s="17" t="str">
        <f>IF(M6_Puntos_Control!A45="","",IF(M6_Puntos_Control!B45="","",M6_Puntos_Control!B45))</f>
        <v/>
      </c>
      <c r="X1041" s="17" t="str">
        <f>IF(M6_Puntos_Control!A45="","",IF(M6_Puntos_Control!C45="","",M6_Puntos_Control!C45))</f>
        <v/>
      </c>
      <c r="Y1041" s="17" t="str">
        <f>IF(M6_Puntos_Control!A45="","",IF(M6_Puntos_Control!E45="","",M6_Puntos_Control!E45))</f>
        <v/>
      </c>
      <c r="Z1041" s="17" t="str">
        <f>IF(M6_Puntos_Control!A45="","",IF(M6_Puntos_Control!F45="","",M6_Puntos_Control!F45))</f>
        <v/>
      </c>
      <c r="AA1041" s="17" t="str">
        <f>IF(M6_Puntos_Control!A45="","","M6 Puntos de control")</f>
        <v/>
      </c>
      <c r="AB1041" s="17" t="str">
        <f>IF(M6_Puntos_Control!A45="","",IF(M6_Puntos_Control!G45="","",M6_Puntos_Control!G45))</f>
        <v/>
      </c>
      <c r="AC1041" s="17" t="str">
        <f>IF(M6_Puntos_Control!A45="","",IF(M6_Puntos_Control!K45="Sí",IF(COUNTIFS(M6_Puntos_Control!$A$9:A45,M6_Puntos_Control!A45,M6_Puntos_Control!$D$9:D45,M6_Puntos_Control!D45,M6_Puntos_Control!$G$9:G45,M6_Puntos_Control!G45,M6_Puntos_Control!$H$9:H45,M6_Puntos_Control!H45,M6_Puntos_Control!$K$9:K45,"Sí")=1,IF(M6_Puntos_Control!M45="","",M6_Puntos_Control!M45),""),""))</f>
        <v/>
      </c>
      <c r="AD1041" s="17" t="str">
        <f>IF(M6_Puntos_Control!A45="","","RD")</f>
        <v/>
      </c>
      <c r="AE1041" s="17" t="str">
        <f>IF(M6_Puntos_Control!A45="","",IF(M6_Puntos_Control!O45="","",M6_Puntos_Control!O45))</f>
        <v/>
      </c>
      <c r="AF1041" s="17" t="str">
        <f>IF(M6_Puntos_Control!A45="","",IF(M6_Puntos_Control!P45="","",M6_Puntos_Control!P45))</f>
        <v/>
      </c>
      <c r="AG1041" s="17" t="str">
        <f>IF(M6_Puntos_Control!A45="","",IF(M6_Puntos_Control!Q45="","",M6_Puntos_Control!Q45))</f>
        <v/>
      </c>
      <c r="AH1041" s="17" t="str">
        <f>IF(M6_Puntos_Control!A45="","",IF(M6_Puntos_Control!I45="","",M6_Puntos_Control!I45))</f>
        <v/>
      </c>
      <c r="AI1041" s="17" t="str">
        <f>IF(M6_Puntos_Control!A45="","","M6_Puntos_Control!45")</f>
        <v/>
      </c>
      <c r="AJ1041" s="17" t="str">
        <f>IF(M6_Puntos_Control!A45="","",IF(M6_Puntos_Control!K45&lt;&gt;"Sí","Punto de comparación",IF(COUNTIFS(M6_Puntos_Control!$A$9:A45,M6_Puntos_Control!A45,M6_Puntos_Control!$D$9:D45,M6_Puntos_Control!D45,M6_Puntos_Control!$G$9:G45,M6_Puntos_Control!G45,M6_Puntos_Control!$H$9:H45,M6_Puntos_Control!H45,M6_Puntos_Control!$K$9:K45,"Sí")=1,IF(M6_Puntos_Control!M45="","Pendiente de resultado","Punto oficial"),"Revisar: varios puntos oficiales")))</f>
        <v/>
      </c>
    </row>
    <row r="1042" spans="1:36" ht="55.5" customHeight="1">
      <c r="A1042" s="6" t="str">
        <f t="array" ref="A1042">IF(1038&gt;$S$1204,"",INDEX($T$5:$AJ$1204,MATCH(1038,$S$5:$S$1204,0),1))</f>
        <v/>
      </c>
      <c r="B1042" s="8" t="str">
        <f t="array" ref="B1042">IF(1038&gt;$S$1204,"",INDEX($T$5:$AJ$1204,MATCH(1038,$S$5:$S$1204,0),2))</f>
        <v/>
      </c>
      <c r="C1042" s="10" t="str">
        <f t="array" ref="C1042">IF(1038&gt;$S$1204,"",INDEX($T$5:$AJ$1204,MATCH(1038,$S$5:$S$1204,0),3))</f>
        <v/>
      </c>
      <c r="D1042" s="8" t="str">
        <f t="array" ref="D1042">IF(1038&gt;$S$1204,"",INDEX($T$5:$AJ$1204,MATCH(1038,$S$5:$S$1204,0),4))</f>
        <v/>
      </c>
      <c r="E1042" s="8" t="str">
        <f t="array" ref="E1042">IF(1038&gt;$S$1204,"",INDEX($T$5:$AJ$1204,MATCH(1038,$S$5:$S$1204,0),5))</f>
        <v/>
      </c>
      <c r="F1042" s="8" t="str">
        <f t="array" ref="F1042">IF(1038&gt;$S$1204,"",INDEX($T$5:$AJ$1204,MATCH(1038,$S$5:$S$1204,0),6))</f>
        <v/>
      </c>
      <c r="G1042" s="8" t="str">
        <f t="array" ref="G1042">IF(1038&gt;$S$1204,"",INDEX($T$5:$AJ$1204,MATCH(1038,$S$5:$S$1204,0),7))</f>
        <v/>
      </c>
      <c r="H1042" s="8" t="str">
        <f t="array" ref="H1042">IF(1038&gt;$S$1204,"",INDEX($T$5:$AJ$1204,MATCH(1038,$S$5:$S$1204,0),8))</f>
        <v/>
      </c>
      <c r="I1042" s="8" t="str">
        <f t="array" ref="I1042">IF(1038&gt;$S$1204,"",INDEX($T$5:$AJ$1204,MATCH(1038,$S$5:$S$1204,0),9))</f>
        <v/>
      </c>
      <c r="J1042" s="14" t="str">
        <f t="array" ref="J1042">IF(1038&gt;$S$1204,"",INDEX($T$5:$AJ$1204,MATCH(1038,$S$5:$S$1204,0),10))</f>
        <v/>
      </c>
      <c r="K1042" s="8" t="str">
        <f t="array" ref="K1042">IF(1038&gt;$S$1204,"",INDEX($T$5:$AJ$1204,MATCH(1038,$S$5:$S$1204,0),11))</f>
        <v/>
      </c>
      <c r="L1042" s="8" t="str">
        <f t="array" ref="L1042">IF(1038&gt;$S$1204,"",INDEX($T$5:$AJ$1204,MATCH(1038,$S$5:$S$1204,0),12))</f>
        <v/>
      </c>
      <c r="M1042" s="8" t="str">
        <f t="array" ref="M1042">IF(1038&gt;$S$1204,"",INDEX($T$5:$AJ$1204,MATCH(1038,$S$5:$S$1204,0),13))</f>
        <v/>
      </c>
      <c r="N1042" s="8" t="str">
        <f t="array" ref="N1042">IF(1038&gt;$S$1204,"",INDEX($T$5:$AJ$1204,MATCH(1038,$S$5:$S$1204,0),14))</f>
        <v/>
      </c>
      <c r="O1042" s="15" t="str">
        <f t="array" ref="O1042">IF(1038&gt;$S$1204,"",INDEX($T$5:$AJ$1204,MATCH(1038,$S$5:$S$1204,0),15))</f>
        <v/>
      </c>
      <c r="P1042" s="8" t="str">
        <f t="array" ref="P1042">IF(1038&gt;$S$1204,"",INDEX($T$5:$AJ$1204,MATCH(1038,$S$5:$S$1204,0),16))</f>
        <v/>
      </c>
      <c r="Q1042" s="8" t="str">
        <f t="array" ref="Q1042">IF(1038&gt;$S$1204,"",INDEX($T$5:$AJ$1204,MATCH(1038,$S$5:$S$1204,0),17))</f>
        <v/>
      </c>
      <c r="R1042" s="17"/>
      <c r="S1042" s="17">
        <f>S1041+IF(M6_Puntos_Control!A46="",0,1)</f>
        <v>0</v>
      </c>
      <c r="T1042" s="17" t="str">
        <f>IF(M6_Puntos_Control!A46="","",IF(M6_Puntos_Control!A46="","",M6_Puntos_Control!A46))</f>
        <v/>
      </c>
      <c r="U1042" s="17" t="str">
        <f>IF(M6_Puntos_Control!A46="","",IF(M6_Puntos_Control!R46="","",M6_Puntos_Control!R46))</f>
        <v/>
      </c>
      <c r="V1042" s="17" t="str">
        <f>IF(M6_Puntos_Control!A46="","",IF(M6_Puntos_Control!D46="","",M6_Puntos_Control!D46))</f>
        <v/>
      </c>
      <c r="W1042" s="17" t="str">
        <f>IF(M6_Puntos_Control!A46="","",IF(M6_Puntos_Control!B46="","",M6_Puntos_Control!B46))</f>
        <v/>
      </c>
      <c r="X1042" s="17" t="str">
        <f>IF(M6_Puntos_Control!A46="","",IF(M6_Puntos_Control!C46="","",M6_Puntos_Control!C46))</f>
        <v/>
      </c>
      <c r="Y1042" s="17" t="str">
        <f>IF(M6_Puntos_Control!A46="","",IF(M6_Puntos_Control!E46="","",M6_Puntos_Control!E46))</f>
        <v/>
      </c>
      <c r="Z1042" s="17" t="str">
        <f>IF(M6_Puntos_Control!A46="","",IF(M6_Puntos_Control!F46="","",M6_Puntos_Control!F46))</f>
        <v/>
      </c>
      <c r="AA1042" s="17" t="str">
        <f>IF(M6_Puntos_Control!A46="","","M6 Puntos de control")</f>
        <v/>
      </c>
      <c r="AB1042" s="17" t="str">
        <f>IF(M6_Puntos_Control!A46="","",IF(M6_Puntos_Control!G46="","",M6_Puntos_Control!G46))</f>
        <v/>
      </c>
      <c r="AC1042" s="17" t="str">
        <f>IF(M6_Puntos_Control!A46="","",IF(M6_Puntos_Control!K46="Sí",IF(COUNTIFS(M6_Puntos_Control!$A$9:A46,M6_Puntos_Control!A46,M6_Puntos_Control!$D$9:D46,M6_Puntos_Control!D46,M6_Puntos_Control!$G$9:G46,M6_Puntos_Control!G46,M6_Puntos_Control!$H$9:H46,M6_Puntos_Control!H46,M6_Puntos_Control!$K$9:K46,"Sí")=1,IF(M6_Puntos_Control!M46="","",M6_Puntos_Control!M46),""),""))</f>
        <v/>
      </c>
      <c r="AD1042" s="17" t="str">
        <f>IF(M6_Puntos_Control!A46="","","RD")</f>
        <v/>
      </c>
      <c r="AE1042" s="17" t="str">
        <f>IF(M6_Puntos_Control!A46="","",IF(M6_Puntos_Control!O46="","",M6_Puntos_Control!O46))</f>
        <v/>
      </c>
      <c r="AF1042" s="17" t="str">
        <f>IF(M6_Puntos_Control!A46="","",IF(M6_Puntos_Control!P46="","",M6_Puntos_Control!P46))</f>
        <v/>
      </c>
      <c r="AG1042" s="17" t="str">
        <f>IF(M6_Puntos_Control!A46="","",IF(M6_Puntos_Control!Q46="","",M6_Puntos_Control!Q46))</f>
        <v/>
      </c>
      <c r="AH1042" s="17" t="str">
        <f>IF(M6_Puntos_Control!A46="","",IF(M6_Puntos_Control!I46="","",M6_Puntos_Control!I46))</f>
        <v/>
      </c>
      <c r="AI1042" s="17" t="str">
        <f>IF(M6_Puntos_Control!A46="","","M6_Puntos_Control!46")</f>
        <v/>
      </c>
      <c r="AJ1042" s="17" t="str">
        <f>IF(M6_Puntos_Control!A46="","",IF(M6_Puntos_Control!K46&lt;&gt;"Sí","Punto de comparación",IF(COUNTIFS(M6_Puntos_Control!$A$9:A46,M6_Puntos_Control!A46,M6_Puntos_Control!$D$9:D46,M6_Puntos_Control!D46,M6_Puntos_Control!$G$9:G46,M6_Puntos_Control!G46,M6_Puntos_Control!$H$9:H46,M6_Puntos_Control!H46,M6_Puntos_Control!$K$9:K46,"Sí")=1,IF(M6_Puntos_Control!M46="","Pendiente de resultado","Punto oficial"),"Revisar: varios puntos oficiales")))</f>
        <v/>
      </c>
    </row>
    <row r="1043" spans="1:36" ht="55.5" customHeight="1">
      <c r="A1043" s="6" t="str">
        <f t="array" ref="A1043">IF(1039&gt;$S$1204,"",INDEX($T$5:$AJ$1204,MATCH(1039,$S$5:$S$1204,0),1))</f>
        <v/>
      </c>
      <c r="B1043" s="8" t="str">
        <f t="array" ref="B1043">IF(1039&gt;$S$1204,"",INDEX($T$5:$AJ$1204,MATCH(1039,$S$5:$S$1204,0),2))</f>
        <v/>
      </c>
      <c r="C1043" s="10" t="str">
        <f t="array" ref="C1043">IF(1039&gt;$S$1204,"",INDEX($T$5:$AJ$1204,MATCH(1039,$S$5:$S$1204,0),3))</f>
        <v/>
      </c>
      <c r="D1043" s="8" t="str">
        <f t="array" ref="D1043">IF(1039&gt;$S$1204,"",INDEX($T$5:$AJ$1204,MATCH(1039,$S$5:$S$1204,0),4))</f>
        <v/>
      </c>
      <c r="E1043" s="8" t="str">
        <f t="array" ref="E1043">IF(1039&gt;$S$1204,"",INDEX($T$5:$AJ$1204,MATCH(1039,$S$5:$S$1204,0),5))</f>
        <v/>
      </c>
      <c r="F1043" s="8" t="str">
        <f t="array" ref="F1043">IF(1039&gt;$S$1204,"",INDEX($T$5:$AJ$1204,MATCH(1039,$S$5:$S$1204,0),6))</f>
        <v/>
      </c>
      <c r="G1043" s="8" t="str">
        <f t="array" ref="G1043">IF(1039&gt;$S$1204,"",INDEX($T$5:$AJ$1204,MATCH(1039,$S$5:$S$1204,0),7))</f>
        <v/>
      </c>
      <c r="H1043" s="8" t="str">
        <f t="array" ref="H1043">IF(1039&gt;$S$1204,"",INDEX($T$5:$AJ$1204,MATCH(1039,$S$5:$S$1204,0),8))</f>
        <v/>
      </c>
      <c r="I1043" s="8" t="str">
        <f t="array" ref="I1043">IF(1039&gt;$S$1204,"",INDEX($T$5:$AJ$1204,MATCH(1039,$S$5:$S$1204,0),9))</f>
        <v/>
      </c>
      <c r="J1043" s="14" t="str">
        <f t="array" ref="J1043">IF(1039&gt;$S$1204,"",INDEX($T$5:$AJ$1204,MATCH(1039,$S$5:$S$1204,0),10))</f>
        <v/>
      </c>
      <c r="K1043" s="8" t="str">
        <f t="array" ref="K1043">IF(1039&gt;$S$1204,"",INDEX($T$5:$AJ$1204,MATCH(1039,$S$5:$S$1204,0),11))</f>
        <v/>
      </c>
      <c r="L1043" s="8" t="str">
        <f t="array" ref="L1043">IF(1039&gt;$S$1204,"",INDEX($T$5:$AJ$1204,MATCH(1039,$S$5:$S$1204,0),12))</f>
        <v/>
      </c>
      <c r="M1043" s="8" t="str">
        <f t="array" ref="M1043">IF(1039&gt;$S$1204,"",INDEX($T$5:$AJ$1204,MATCH(1039,$S$5:$S$1204,0),13))</f>
        <v/>
      </c>
      <c r="N1043" s="8" t="str">
        <f t="array" ref="N1043">IF(1039&gt;$S$1204,"",INDEX($T$5:$AJ$1204,MATCH(1039,$S$5:$S$1204,0),14))</f>
        <v/>
      </c>
      <c r="O1043" s="15" t="str">
        <f t="array" ref="O1043">IF(1039&gt;$S$1204,"",INDEX($T$5:$AJ$1204,MATCH(1039,$S$5:$S$1204,0),15))</f>
        <v/>
      </c>
      <c r="P1043" s="8" t="str">
        <f t="array" ref="P1043">IF(1039&gt;$S$1204,"",INDEX($T$5:$AJ$1204,MATCH(1039,$S$5:$S$1204,0),16))</f>
        <v/>
      </c>
      <c r="Q1043" s="8" t="str">
        <f t="array" ref="Q1043">IF(1039&gt;$S$1204,"",INDEX($T$5:$AJ$1204,MATCH(1039,$S$5:$S$1204,0),17))</f>
        <v/>
      </c>
      <c r="R1043" s="17"/>
      <c r="S1043" s="17">
        <f>S1042+IF(M6_Puntos_Control!A47="",0,1)</f>
        <v>0</v>
      </c>
      <c r="T1043" s="17" t="str">
        <f>IF(M6_Puntos_Control!A47="","",IF(M6_Puntos_Control!A47="","",M6_Puntos_Control!A47))</f>
        <v/>
      </c>
      <c r="U1043" s="17" t="str">
        <f>IF(M6_Puntos_Control!A47="","",IF(M6_Puntos_Control!R47="","",M6_Puntos_Control!R47))</f>
        <v/>
      </c>
      <c r="V1043" s="17" t="str">
        <f>IF(M6_Puntos_Control!A47="","",IF(M6_Puntos_Control!D47="","",M6_Puntos_Control!D47))</f>
        <v/>
      </c>
      <c r="W1043" s="17" t="str">
        <f>IF(M6_Puntos_Control!A47="","",IF(M6_Puntos_Control!B47="","",M6_Puntos_Control!B47))</f>
        <v/>
      </c>
      <c r="X1043" s="17" t="str">
        <f>IF(M6_Puntos_Control!A47="","",IF(M6_Puntos_Control!C47="","",M6_Puntos_Control!C47))</f>
        <v/>
      </c>
      <c r="Y1043" s="17" t="str">
        <f>IF(M6_Puntos_Control!A47="","",IF(M6_Puntos_Control!E47="","",M6_Puntos_Control!E47))</f>
        <v/>
      </c>
      <c r="Z1043" s="17" t="str">
        <f>IF(M6_Puntos_Control!A47="","",IF(M6_Puntos_Control!F47="","",M6_Puntos_Control!F47))</f>
        <v/>
      </c>
      <c r="AA1043" s="17" t="str">
        <f>IF(M6_Puntos_Control!A47="","","M6 Puntos de control")</f>
        <v/>
      </c>
      <c r="AB1043" s="17" t="str">
        <f>IF(M6_Puntos_Control!A47="","",IF(M6_Puntos_Control!G47="","",M6_Puntos_Control!G47))</f>
        <v/>
      </c>
      <c r="AC1043" s="17" t="str">
        <f>IF(M6_Puntos_Control!A47="","",IF(M6_Puntos_Control!K47="Sí",IF(COUNTIFS(M6_Puntos_Control!$A$9:A47,M6_Puntos_Control!A47,M6_Puntos_Control!$D$9:D47,M6_Puntos_Control!D47,M6_Puntos_Control!$G$9:G47,M6_Puntos_Control!G47,M6_Puntos_Control!$H$9:H47,M6_Puntos_Control!H47,M6_Puntos_Control!$K$9:K47,"Sí")=1,IF(M6_Puntos_Control!M47="","",M6_Puntos_Control!M47),""),""))</f>
        <v/>
      </c>
      <c r="AD1043" s="17" t="str">
        <f>IF(M6_Puntos_Control!A47="","","RD")</f>
        <v/>
      </c>
      <c r="AE1043" s="17" t="str">
        <f>IF(M6_Puntos_Control!A47="","",IF(M6_Puntos_Control!O47="","",M6_Puntos_Control!O47))</f>
        <v/>
      </c>
      <c r="AF1043" s="17" t="str">
        <f>IF(M6_Puntos_Control!A47="","",IF(M6_Puntos_Control!P47="","",M6_Puntos_Control!P47))</f>
        <v/>
      </c>
      <c r="AG1043" s="17" t="str">
        <f>IF(M6_Puntos_Control!A47="","",IF(M6_Puntos_Control!Q47="","",M6_Puntos_Control!Q47))</f>
        <v/>
      </c>
      <c r="AH1043" s="17" t="str">
        <f>IF(M6_Puntos_Control!A47="","",IF(M6_Puntos_Control!I47="","",M6_Puntos_Control!I47))</f>
        <v/>
      </c>
      <c r="AI1043" s="17" t="str">
        <f>IF(M6_Puntos_Control!A47="","","M6_Puntos_Control!47")</f>
        <v/>
      </c>
      <c r="AJ1043" s="17" t="str">
        <f>IF(M6_Puntos_Control!A47="","",IF(M6_Puntos_Control!K47&lt;&gt;"Sí","Punto de comparación",IF(COUNTIFS(M6_Puntos_Control!$A$9:A47,M6_Puntos_Control!A47,M6_Puntos_Control!$D$9:D47,M6_Puntos_Control!D47,M6_Puntos_Control!$G$9:G47,M6_Puntos_Control!G47,M6_Puntos_Control!$H$9:H47,M6_Puntos_Control!H47,M6_Puntos_Control!$K$9:K47,"Sí")=1,IF(M6_Puntos_Control!M47="","Pendiente de resultado","Punto oficial"),"Revisar: varios puntos oficiales")))</f>
        <v/>
      </c>
    </row>
    <row r="1044" spans="1:36" ht="55.5" customHeight="1">
      <c r="A1044" s="6" t="str">
        <f t="array" ref="A1044">IF(1040&gt;$S$1204,"",INDEX($T$5:$AJ$1204,MATCH(1040,$S$5:$S$1204,0),1))</f>
        <v/>
      </c>
      <c r="B1044" s="8" t="str">
        <f t="array" ref="B1044">IF(1040&gt;$S$1204,"",INDEX($T$5:$AJ$1204,MATCH(1040,$S$5:$S$1204,0),2))</f>
        <v/>
      </c>
      <c r="C1044" s="10" t="str">
        <f t="array" ref="C1044">IF(1040&gt;$S$1204,"",INDEX($T$5:$AJ$1204,MATCH(1040,$S$5:$S$1204,0),3))</f>
        <v/>
      </c>
      <c r="D1044" s="8" t="str">
        <f t="array" ref="D1044">IF(1040&gt;$S$1204,"",INDEX($T$5:$AJ$1204,MATCH(1040,$S$5:$S$1204,0),4))</f>
        <v/>
      </c>
      <c r="E1044" s="8" t="str">
        <f t="array" ref="E1044">IF(1040&gt;$S$1204,"",INDEX($T$5:$AJ$1204,MATCH(1040,$S$5:$S$1204,0),5))</f>
        <v/>
      </c>
      <c r="F1044" s="8" t="str">
        <f t="array" ref="F1044">IF(1040&gt;$S$1204,"",INDEX($T$5:$AJ$1204,MATCH(1040,$S$5:$S$1204,0),6))</f>
        <v/>
      </c>
      <c r="G1044" s="8" t="str">
        <f t="array" ref="G1044">IF(1040&gt;$S$1204,"",INDEX($T$5:$AJ$1204,MATCH(1040,$S$5:$S$1204,0),7))</f>
        <v/>
      </c>
      <c r="H1044" s="8" t="str">
        <f t="array" ref="H1044">IF(1040&gt;$S$1204,"",INDEX($T$5:$AJ$1204,MATCH(1040,$S$5:$S$1204,0),8))</f>
        <v/>
      </c>
      <c r="I1044" s="8" t="str">
        <f t="array" ref="I1044">IF(1040&gt;$S$1204,"",INDEX($T$5:$AJ$1204,MATCH(1040,$S$5:$S$1204,0),9))</f>
        <v/>
      </c>
      <c r="J1044" s="14" t="str">
        <f t="array" ref="J1044">IF(1040&gt;$S$1204,"",INDEX($T$5:$AJ$1204,MATCH(1040,$S$5:$S$1204,0),10))</f>
        <v/>
      </c>
      <c r="K1044" s="8" t="str">
        <f t="array" ref="K1044">IF(1040&gt;$S$1204,"",INDEX($T$5:$AJ$1204,MATCH(1040,$S$5:$S$1204,0),11))</f>
        <v/>
      </c>
      <c r="L1044" s="8" t="str">
        <f t="array" ref="L1044">IF(1040&gt;$S$1204,"",INDEX($T$5:$AJ$1204,MATCH(1040,$S$5:$S$1204,0),12))</f>
        <v/>
      </c>
      <c r="M1044" s="8" t="str">
        <f t="array" ref="M1044">IF(1040&gt;$S$1204,"",INDEX($T$5:$AJ$1204,MATCH(1040,$S$5:$S$1204,0),13))</f>
        <v/>
      </c>
      <c r="N1044" s="8" t="str">
        <f t="array" ref="N1044">IF(1040&gt;$S$1204,"",INDEX($T$5:$AJ$1204,MATCH(1040,$S$5:$S$1204,0),14))</f>
        <v/>
      </c>
      <c r="O1044" s="15" t="str">
        <f t="array" ref="O1044">IF(1040&gt;$S$1204,"",INDEX($T$5:$AJ$1204,MATCH(1040,$S$5:$S$1204,0),15))</f>
        <v/>
      </c>
      <c r="P1044" s="8" t="str">
        <f t="array" ref="P1044">IF(1040&gt;$S$1204,"",INDEX($T$5:$AJ$1204,MATCH(1040,$S$5:$S$1204,0),16))</f>
        <v/>
      </c>
      <c r="Q1044" s="8" t="str">
        <f t="array" ref="Q1044">IF(1040&gt;$S$1204,"",INDEX($T$5:$AJ$1204,MATCH(1040,$S$5:$S$1204,0),17))</f>
        <v/>
      </c>
      <c r="R1044" s="17"/>
      <c r="S1044" s="17">
        <f>S1043+IF(M6_Puntos_Control!A48="",0,1)</f>
        <v>0</v>
      </c>
      <c r="T1044" s="17" t="str">
        <f>IF(M6_Puntos_Control!A48="","",IF(M6_Puntos_Control!A48="","",M6_Puntos_Control!A48))</f>
        <v/>
      </c>
      <c r="U1044" s="17" t="str">
        <f>IF(M6_Puntos_Control!A48="","",IF(M6_Puntos_Control!R48="","",M6_Puntos_Control!R48))</f>
        <v/>
      </c>
      <c r="V1044" s="17" t="str">
        <f>IF(M6_Puntos_Control!A48="","",IF(M6_Puntos_Control!D48="","",M6_Puntos_Control!D48))</f>
        <v/>
      </c>
      <c r="W1044" s="17" t="str">
        <f>IF(M6_Puntos_Control!A48="","",IF(M6_Puntos_Control!B48="","",M6_Puntos_Control!B48))</f>
        <v/>
      </c>
      <c r="X1044" s="17" t="str">
        <f>IF(M6_Puntos_Control!A48="","",IF(M6_Puntos_Control!C48="","",M6_Puntos_Control!C48))</f>
        <v/>
      </c>
      <c r="Y1044" s="17" t="str">
        <f>IF(M6_Puntos_Control!A48="","",IF(M6_Puntos_Control!E48="","",M6_Puntos_Control!E48))</f>
        <v/>
      </c>
      <c r="Z1044" s="17" t="str">
        <f>IF(M6_Puntos_Control!A48="","",IF(M6_Puntos_Control!F48="","",M6_Puntos_Control!F48))</f>
        <v/>
      </c>
      <c r="AA1044" s="17" t="str">
        <f>IF(M6_Puntos_Control!A48="","","M6 Puntos de control")</f>
        <v/>
      </c>
      <c r="AB1044" s="17" t="str">
        <f>IF(M6_Puntos_Control!A48="","",IF(M6_Puntos_Control!G48="","",M6_Puntos_Control!G48))</f>
        <v/>
      </c>
      <c r="AC1044" s="17" t="str">
        <f>IF(M6_Puntos_Control!A48="","",IF(M6_Puntos_Control!K48="Sí",IF(COUNTIFS(M6_Puntos_Control!$A$9:A48,M6_Puntos_Control!A48,M6_Puntos_Control!$D$9:D48,M6_Puntos_Control!D48,M6_Puntos_Control!$G$9:G48,M6_Puntos_Control!G48,M6_Puntos_Control!$H$9:H48,M6_Puntos_Control!H48,M6_Puntos_Control!$K$9:K48,"Sí")=1,IF(M6_Puntos_Control!M48="","",M6_Puntos_Control!M48),""),""))</f>
        <v/>
      </c>
      <c r="AD1044" s="17" t="str">
        <f>IF(M6_Puntos_Control!A48="","","RD")</f>
        <v/>
      </c>
      <c r="AE1044" s="17" t="str">
        <f>IF(M6_Puntos_Control!A48="","",IF(M6_Puntos_Control!O48="","",M6_Puntos_Control!O48))</f>
        <v/>
      </c>
      <c r="AF1044" s="17" t="str">
        <f>IF(M6_Puntos_Control!A48="","",IF(M6_Puntos_Control!P48="","",M6_Puntos_Control!P48))</f>
        <v/>
      </c>
      <c r="AG1044" s="17" t="str">
        <f>IF(M6_Puntos_Control!A48="","",IF(M6_Puntos_Control!Q48="","",M6_Puntos_Control!Q48))</f>
        <v/>
      </c>
      <c r="AH1044" s="17" t="str">
        <f>IF(M6_Puntos_Control!A48="","",IF(M6_Puntos_Control!I48="","",M6_Puntos_Control!I48))</f>
        <v/>
      </c>
      <c r="AI1044" s="17" t="str">
        <f>IF(M6_Puntos_Control!A48="","","M6_Puntos_Control!48")</f>
        <v/>
      </c>
      <c r="AJ1044" s="17" t="str">
        <f>IF(M6_Puntos_Control!A48="","",IF(M6_Puntos_Control!K48&lt;&gt;"Sí","Punto de comparación",IF(COUNTIFS(M6_Puntos_Control!$A$9:A48,M6_Puntos_Control!A48,M6_Puntos_Control!$D$9:D48,M6_Puntos_Control!D48,M6_Puntos_Control!$G$9:G48,M6_Puntos_Control!G48,M6_Puntos_Control!$H$9:H48,M6_Puntos_Control!H48,M6_Puntos_Control!$K$9:K48,"Sí")=1,IF(M6_Puntos_Control!M48="","Pendiente de resultado","Punto oficial"),"Revisar: varios puntos oficiales")))</f>
        <v/>
      </c>
    </row>
    <row r="1045" spans="1:36" ht="55.5" customHeight="1">
      <c r="A1045" s="6" t="str">
        <f t="array" ref="A1045">IF(1041&gt;$S$1204,"",INDEX($T$5:$AJ$1204,MATCH(1041,$S$5:$S$1204,0),1))</f>
        <v/>
      </c>
      <c r="B1045" s="8" t="str">
        <f t="array" ref="B1045">IF(1041&gt;$S$1204,"",INDEX($T$5:$AJ$1204,MATCH(1041,$S$5:$S$1204,0),2))</f>
        <v/>
      </c>
      <c r="C1045" s="10" t="str">
        <f t="array" ref="C1045">IF(1041&gt;$S$1204,"",INDEX($T$5:$AJ$1204,MATCH(1041,$S$5:$S$1204,0),3))</f>
        <v/>
      </c>
      <c r="D1045" s="8" t="str">
        <f t="array" ref="D1045">IF(1041&gt;$S$1204,"",INDEX($T$5:$AJ$1204,MATCH(1041,$S$5:$S$1204,0),4))</f>
        <v/>
      </c>
      <c r="E1045" s="8" t="str">
        <f t="array" ref="E1045">IF(1041&gt;$S$1204,"",INDEX($T$5:$AJ$1204,MATCH(1041,$S$5:$S$1204,0),5))</f>
        <v/>
      </c>
      <c r="F1045" s="8" t="str">
        <f t="array" ref="F1045">IF(1041&gt;$S$1204,"",INDEX($T$5:$AJ$1204,MATCH(1041,$S$5:$S$1204,0),6))</f>
        <v/>
      </c>
      <c r="G1045" s="8" t="str">
        <f t="array" ref="G1045">IF(1041&gt;$S$1204,"",INDEX($T$5:$AJ$1204,MATCH(1041,$S$5:$S$1204,0),7))</f>
        <v/>
      </c>
      <c r="H1045" s="8" t="str">
        <f t="array" ref="H1045">IF(1041&gt;$S$1204,"",INDEX($T$5:$AJ$1204,MATCH(1041,$S$5:$S$1204,0),8))</f>
        <v/>
      </c>
      <c r="I1045" s="8" t="str">
        <f t="array" ref="I1045">IF(1041&gt;$S$1204,"",INDEX($T$5:$AJ$1204,MATCH(1041,$S$5:$S$1204,0),9))</f>
        <v/>
      </c>
      <c r="J1045" s="14" t="str">
        <f t="array" ref="J1045">IF(1041&gt;$S$1204,"",INDEX($T$5:$AJ$1204,MATCH(1041,$S$5:$S$1204,0),10))</f>
        <v/>
      </c>
      <c r="K1045" s="8" t="str">
        <f t="array" ref="K1045">IF(1041&gt;$S$1204,"",INDEX($T$5:$AJ$1204,MATCH(1041,$S$5:$S$1204,0),11))</f>
        <v/>
      </c>
      <c r="L1045" s="8" t="str">
        <f t="array" ref="L1045">IF(1041&gt;$S$1204,"",INDEX($T$5:$AJ$1204,MATCH(1041,$S$5:$S$1204,0),12))</f>
        <v/>
      </c>
      <c r="M1045" s="8" t="str">
        <f t="array" ref="M1045">IF(1041&gt;$S$1204,"",INDEX($T$5:$AJ$1204,MATCH(1041,$S$5:$S$1204,0),13))</f>
        <v/>
      </c>
      <c r="N1045" s="8" t="str">
        <f t="array" ref="N1045">IF(1041&gt;$S$1204,"",INDEX($T$5:$AJ$1204,MATCH(1041,$S$5:$S$1204,0),14))</f>
        <v/>
      </c>
      <c r="O1045" s="15" t="str">
        <f t="array" ref="O1045">IF(1041&gt;$S$1204,"",INDEX($T$5:$AJ$1204,MATCH(1041,$S$5:$S$1204,0),15))</f>
        <v/>
      </c>
      <c r="P1045" s="8" t="str">
        <f t="array" ref="P1045">IF(1041&gt;$S$1204,"",INDEX($T$5:$AJ$1204,MATCH(1041,$S$5:$S$1204,0),16))</f>
        <v/>
      </c>
      <c r="Q1045" s="8" t="str">
        <f t="array" ref="Q1045">IF(1041&gt;$S$1204,"",INDEX($T$5:$AJ$1204,MATCH(1041,$S$5:$S$1204,0),17))</f>
        <v/>
      </c>
      <c r="R1045" s="17"/>
      <c r="S1045" s="17">
        <f>S1044+IF(M6_Puntos_Control!A49="",0,1)</f>
        <v>0</v>
      </c>
      <c r="T1045" s="17" t="str">
        <f>IF(M6_Puntos_Control!A49="","",IF(M6_Puntos_Control!A49="","",M6_Puntos_Control!A49))</f>
        <v/>
      </c>
      <c r="U1045" s="17" t="str">
        <f>IF(M6_Puntos_Control!A49="","",IF(M6_Puntos_Control!R49="","",M6_Puntos_Control!R49))</f>
        <v/>
      </c>
      <c r="V1045" s="17" t="str">
        <f>IF(M6_Puntos_Control!A49="","",IF(M6_Puntos_Control!D49="","",M6_Puntos_Control!D49))</f>
        <v/>
      </c>
      <c r="W1045" s="17" t="str">
        <f>IF(M6_Puntos_Control!A49="","",IF(M6_Puntos_Control!B49="","",M6_Puntos_Control!B49))</f>
        <v/>
      </c>
      <c r="X1045" s="17" t="str">
        <f>IF(M6_Puntos_Control!A49="","",IF(M6_Puntos_Control!C49="","",M6_Puntos_Control!C49))</f>
        <v/>
      </c>
      <c r="Y1045" s="17" t="str">
        <f>IF(M6_Puntos_Control!A49="","",IF(M6_Puntos_Control!E49="","",M6_Puntos_Control!E49))</f>
        <v/>
      </c>
      <c r="Z1045" s="17" t="str">
        <f>IF(M6_Puntos_Control!A49="","",IF(M6_Puntos_Control!F49="","",M6_Puntos_Control!F49))</f>
        <v/>
      </c>
      <c r="AA1045" s="17" t="str">
        <f>IF(M6_Puntos_Control!A49="","","M6 Puntos de control")</f>
        <v/>
      </c>
      <c r="AB1045" s="17" t="str">
        <f>IF(M6_Puntos_Control!A49="","",IF(M6_Puntos_Control!G49="","",M6_Puntos_Control!G49))</f>
        <v/>
      </c>
      <c r="AC1045" s="17" t="str">
        <f>IF(M6_Puntos_Control!A49="","",IF(M6_Puntos_Control!K49="Sí",IF(COUNTIFS(M6_Puntos_Control!$A$9:A49,M6_Puntos_Control!A49,M6_Puntos_Control!$D$9:D49,M6_Puntos_Control!D49,M6_Puntos_Control!$G$9:G49,M6_Puntos_Control!G49,M6_Puntos_Control!$H$9:H49,M6_Puntos_Control!H49,M6_Puntos_Control!$K$9:K49,"Sí")=1,IF(M6_Puntos_Control!M49="","",M6_Puntos_Control!M49),""),""))</f>
        <v/>
      </c>
      <c r="AD1045" s="17" t="str">
        <f>IF(M6_Puntos_Control!A49="","","RD")</f>
        <v/>
      </c>
      <c r="AE1045" s="17" t="str">
        <f>IF(M6_Puntos_Control!A49="","",IF(M6_Puntos_Control!O49="","",M6_Puntos_Control!O49))</f>
        <v/>
      </c>
      <c r="AF1045" s="17" t="str">
        <f>IF(M6_Puntos_Control!A49="","",IF(M6_Puntos_Control!P49="","",M6_Puntos_Control!P49))</f>
        <v/>
      </c>
      <c r="AG1045" s="17" t="str">
        <f>IF(M6_Puntos_Control!A49="","",IF(M6_Puntos_Control!Q49="","",M6_Puntos_Control!Q49))</f>
        <v/>
      </c>
      <c r="AH1045" s="17" t="str">
        <f>IF(M6_Puntos_Control!A49="","",IF(M6_Puntos_Control!I49="","",M6_Puntos_Control!I49))</f>
        <v/>
      </c>
      <c r="AI1045" s="17" t="str">
        <f>IF(M6_Puntos_Control!A49="","","M6_Puntos_Control!49")</f>
        <v/>
      </c>
      <c r="AJ1045" s="17" t="str">
        <f>IF(M6_Puntos_Control!A49="","",IF(M6_Puntos_Control!K49&lt;&gt;"Sí","Punto de comparación",IF(COUNTIFS(M6_Puntos_Control!$A$9:A49,M6_Puntos_Control!A49,M6_Puntos_Control!$D$9:D49,M6_Puntos_Control!D49,M6_Puntos_Control!$G$9:G49,M6_Puntos_Control!G49,M6_Puntos_Control!$H$9:H49,M6_Puntos_Control!H49,M6_Puntos_Control!$K$9:K49,"Sí")=1,IF(M6_Puntos_Control!M49="","Pendiente de resultado","Punto oficial"),"Revisar: varios puntos oficiales")))</f>
        <v/>
      </c>
    </row>
    <row r="1046" spans="1:36" ht="55.5" customHeight="1">
      <c r="A1046" s="6" t="str">
        <f t="array" ref="A1046">IF(1042&gt;$S$1204,"",INDEX($T$5:$AJ$1204,MATCH(1042,$S$5:$S$1204,0),1))</f>
        <v/>
      </c>
      <c r="B1046" s="8" t="str">
        <f t="array" ref="B1046">IF(1042&gt;$S$1204,"",INDEX($T$5:$AJ$1204,MATCH(1042,$S$5:$S$1204,0),2))</f>
        <v/>
      </c>
      <c r="C1046" s="10" t="str">
        <f t="array" ref="C1046">IF(1042&gt;$S$1204,"",INDEX($T$5:$AJ$1204,MATCH(1042,$S$5:$S$1204,0),3))</f>
        <v/>
      </c>
      <c r="D1046" s="8" t="str">
        <f t="array" ref="D1046">IF(1042&gt;$S$1204,"",INDEX($T$5:$AJ$1204,MATCH(1042,$S$5:$S$1204,0),4))</f>
        <v/>
      </c>
      <c r="E1046" s="8" t="str">
        <f t="array" ref="E1046">IF(1042&gt;$S$1204,"",INDEX($T$5:$AJ$1204,MATCH(1042,$S$5:$S$1204,0),5))</f>
        <v/>
      </c>
      <c r="F1046" s="8" t="str">
        <f t="array" ref="F1046">IF(1042&gt;$S$1204,"",INDEX($T$5:$AJ$1204,MATCH(1042,$S$5:$S$1204,0),6))</f>
        <v/>
      </c>
      <c r="G1046" s="8" t="str">
        <f t="array" ref="G1046">IF(1042&gt;$S$1204,"",INDEX($T$5:$AJ$1204,MATCH(1042,$S$5:$S$1204,0),7))</f>
        <v/>
      </c>
      <c r="H1046" s="8" t="str">
        <f t="array" ref="H1046">IF(1042&gt;$S$1204,"",INDEX($T$5:$AJ$1204,MATCH(1042,$S$5:$S$1204,0),8))</f>
        <v/>
      </c>
      <c r="I1046" s="8" t="str">
        <f t="array" ref="I1046">IF(1042&gt;$S$1204,"",INDEX($T$5:$AJ$1204,MATCH(1042,$S$5:$S$1204,0),9))</f>
        <v/>
      </c>
      <c r="J1046" s="14" t="str">
        <f t="array" ref="J1046">IF(1042&gt;$S$1204,"",INDEX($T$5:$AJ$1204,MATCH(1042,$S$5:$S$1204,0),10))</f>
        <v/>
      </c>
      <c r="K1046" s="8" t="str">
        <f t="array" ref="K1046">IF(1042&gt;$S$1204,"",INDEX($T$5:$AJ$1204,MATCH(1042,$S$5:$S$1204,0),11))</f>
        <v/>
      </c>
      <c r="L1046" s="8" t="str">
        <f t="array" ref="L1046">IF(1042&gt;$S$1204,"",INDEX($T$5:$AJ$1204,MATCH(1042,$S$5:$S$1204,0),12))</f>
        <v/>
      </c>
      <c r="M1046" s="8" t="str">
        <f t="array" ref="M1046">IF(1042&gt;$S$1204,"",INDEX($T$5:$AJ$1204,MATCH(1042,$S$5:$S$1204,0),13))</f>
        <v/>
      </c>
      <c r="N1046" s="8" t="str">
        <f t="array" ref="N1046">IF(1042&gt;$S$1204,"",INDEX($T$5:$AJ$1204,MATCH(1042,$S$5:$S$1204,0),14))</f>
        <v/>
      </c>
      <c r="O1046" s="15" t="str">
        <f t="array" ref="O1046">IF(1042&gt;$S$1204,"",INDEX($T$5:$AJ$1204,MATCH(1042,$S$5:$S$1204,0),15))</f>
        <v/>
      </c>
      <c r="P1046" s="8" t="str">
        <f t="array" ref="P1046">IF(1042&gt;$S$1204,"",INDEX($T$5:$AJ$1204,MATCH(1042,$S$5:$S$1204,0),16))</f>
        <v/>
      </c>
      <c r="Q1046" s="8" t="str">
        <f t="array" ref="Q1046">IF(1042&gt;$S$1204,"",INDEX($T$5:$AJ$1204,MATCH(1042,$S$5:$S$1204,0),17))</f>
        <v/>
      </c>
      <c r="R1046" s="17"/>
      <c r="S1046" s="17">
        <f>S1045+IF(M6_Puntos_Control!A50="",0,1)</f>
        <v>0</v>
      </c>
      <c r="T1046" s="17" t="str">
        <f>IF(M6_Puntos_Control!A50="","",IF(M6_Puntos_Control!A50="","",M6_Puntos_Control!A50))</f>
        <v/>
      </c>
      <c r="U1046" s="17" t="str">
        <f>IF(M6_Puntos_Control!A50="","",IF(M6_Puntos_Control!R50="","",M6_Puntos_Control!R50))</f>
        <v/>
      </c>
      <c r="V1046" s="17" t="str">
        <f>IF(M6_Puntos_Control!A50="","",IF(M6_Puntos_Control!D50="","",M6_Puntos_Control!D50))</f>
        <v/>
      </c>
      <c r="W1046" s="17" t="str">
        <f>IF(M6_Puntos_Control!A50="","",IF(M6_Puntos_Control!B50="","",M6_Puntos_Control!B50))</f>
        <v/>
      </c>
      <c r="X1046" s="17" t="str">
        <f>IF(M6_Puntos_Control!A50="","",IF(M6_Puntos_Control!C50="","",M6_Puntos_Control!C50))</f>
        <v/>
      </c>
      <c r="Y1046" s="17" t="str">
        <f>IF(M6_Puntos_Control!A50="","",IF(M6_Puntos_Control!E50="","",M6_Puntos_Control!E50))</f>
        <v/>
      </c>
      <c r="Z1046" s="17" t="str">
        <f>IF(M6_Puntos_Control!A50="","",IF(M6_Puntos_Control!F50="","",M6_Puntos_Control!F50))</f>
        <v/>
      </c>
      <c r="AA1046" s="17" t="str">
        <f>IF(M6_Puntos_Control!A50="","","M6 Puntos de control")</f>
        <v/>
      </c>
      <c r="AB1046" s="17" t="str">
        <f>IF(M6_Puntos_Control!A50="","",IF(M6_Puntos_Control!G50="","",M6_Puntos_Control!G50))</f>
        <v/>
      </c>
      <c r="AC1046" s="17" t="str">
        <f>IF(M6_Puntos_Control!A50="","",IF(M6_Puntos_Control!K50="Sí",IF(COUNTIFS(M6_Puntos_Control!$A$9:A50,M6_Puntos_Control!A50,M6_Puntos_Control!$D$9:D50,M6_Puntos_Control!D50,M6_Puntos_Control!$G$9:G50,M6_Puntos_Control!G50,M6_Puntos_Control!$H$9:H50,M6_Puntos_Control!H50,M6_Puntos_Control!$K$9:K50,"Sí")=1,IF(M6_Puntos_Control!M50="","",M6_Puntos_Control!M50),""),""))</f>
        <v/>
      </c>
      <c r="AD1046" s="17" t="str">
        <f>IF(M6_Puntos_Control!A50="","","RD")</f>
        <v/>
      </c>
      <c r="AE1046" s="17" t="str">
        <f>IF(M6_Puntos_Control!A50="","",IF(M6_Puntos_Control!O50="","",M6_Puntos_Control!O50))</f>
        <v/>
      </c>
      <c r="AF1046" s="17" t="str">
        <f>IF(M6_Puntos_Control!A50="","",IF(M6_Puntos_Control!P50="","",M6_Puntos_Control!P50))</f>
        <v/>
      </c>
      <c r="AG1046" s="17" t="str">
        <f>IF(M6_Puntos_Control!A50="","",IF(M6_Puntos_Control!Q50="","",M6_Puntos_Control!Q50))</f>
        <v/>
      </c>
      <c r="AH1046" s="17" t="str">
        <f>IF(M6_Puntos_Control!A50="","",IF(M6_Puntos_Control!I50="","",M6_Puntos_Control!I50))</f>
        <v/>
      </c>
      <c r="AI1046" s="17" t="str">
        <f>IF(M6_Puntos_Control!A50="","","M6_Puntos_Control!50")</f>
        <v/>
      </c>
      <c r="AJ1046" s="17" t="str">
        <f>IF(M6_Puntos_Control!A50="","",IF(M6_Puntos_Control!K50&lt;&gt;"Sí","Punto de comparación",IF(COUNTIFS(M6_Puntos_Control!$A$9:A50,M6_Puntos_Control!A50,M6_Puntos_Control!$D$9:D50,M6_Puntos_Control!D50,M6_Puntos_Control!$G$9:G50,M6_Puntos_Control!G50,M6_Puntos_Control!$H$9:H50,M6_Puntos_Control!H50,M6_Puntos_Control!$K$9:K50,"Sí")=1,IF(M6_Puntos_Control!M50="","Pendiente de resultado","Punto oficial"),"Revisar: varios puntos oficiales")))</f>
        <v/>
      </c>
    </row>
    <row r="1047" spans="1:36" ht="55.5" customHeight="1">
      <c r="A1047" s="6" t="str">
        <f t="array" ref="A1047">IF(1043&gt;$S$1204,"",INDEX($T$5:$AJ$1204,MATCH(1043,$S$5:$S$1204,0),1))</f>
        <v/>
      </c>
      <c r="B1047" s="8" t="str">
        <f t="array" ref="B1047">IF(1043&gt;$S$1204,"",INDEX($T$5:$AJ$1204,MATCH(1043,$S$5:$S$1204,0),2))</f>
        <v/>
      </c>
      <c r="C1047" s="10" t="str">
        <f t="array" ref="C1047">IF(1043&gt;$S$1204,"",INDEX($T$5:$AJ$1204,MATCH(1043,$S$5:$S$1204,0),3))</f>
        <v/>
      </c>
      <c r="D1047" s="8" t="str">
        <f t="array" ref="D1047">IF(1043&gt;$S$1204,"",INDEX($T$5:$AJ$1204,MATCH(1043,$S$5:$S$1204,0),4))</f>
        <v/>
      </c>
      <c r="E1047" s="8" t="str">
        <f t="array" ref="E1047">IF(1043&gt;$S$1204,"",INDEX($T$5:$AJ$1204,MATCH(1043,$S$5:$S$1204,0),5))</f>
        <v/>
      </c>
      <c r="F1047" s="8" t="str">
        <f t="array" ref="F1047">IF(1043&gt;$S$1204,"",INDEX($T$5:$AJ$1204,MATCH(1043,$S$5:$S$1204,0),6))</f>
        <v/>
      </c>
      <c r="G1047" s="8" t="str">
        <f t="array" ref="G1047">IF(1043&gt;$S$1204,"",INDEX($T$5:$AJ$1204,MATCH(1043,$S$5:$S$1204,0),7))</f>
        <v/>
      </c>
      <c r="H1047" s="8" t="str">
        <f t="array" ref="H1047">IF(1043&gt;$S$1204,"",INDEX($T$5:$AJ$1204,MATCH(1043,$S$5:$S$1204,0),8))</f>
        <v/>
      </c>
      <c r="I1047" s="8" t="str">
        <f t="array" ref="I1047">IF(1043&gt;$S$1204,"",INDEX($T$5:$AJ$1204,MATCH(1043,$S$5:$S$1204,0),9))</f>
        <v/>
      </c>
      <c r="J1047" s="14" t="str">
        <f t="array" ref="J1047">IF(1043&gt;$S$1204,"",INDEX($T$5:$AJ$1204,MATCH(1043,$S$5:$S$1204,0),10))</f>
        <v/>
      </c>
      <c r="K1047" s="8" t="str">
        <f t="array" ref="K1047">IF(1043&gt;$S$1204,"",INDEX($T$5:$AJ$1204,MATCH(1043,$S$5:$S$1204,0),11))</f>
        <v/>
      </c>
      <c r="L1047" s="8" t="str">
        <f t="array" ref="L1047">IF(1043&gt;$S$1204,"",INDEX($T$5:$AJ$1204,MATCH(1043,$S$5:$S$1204,0),12))</f>
        <v/>
      </c>
      <c r="M1047" s="8" t="str">
        <f t="array" ref="M1047">IF(1043&gt;$S$1204,"",INDEX($T$5:$AJ$1204,MATCH(1043,$S$5:$S$1204,0),13))</f>
        <v/>
      </c>
      <c r="N1047" s="8" t="str">
        <f t="array" ref="N1047">IF(1043&gt;$S$1204,"",INDEX($T$5:$AJ$1204,MATCH(1043,$S$5:$S$1204,0),14))</f>
        <v/>
      </c>
      <c r="O1047" s="15" t="str">
        <f t="array" ref="O1047">IF(1043&gt;$S$1204,"",INDEX($T$5:$AJ$1204,MATCH(1043,$S$5:$S$1204,0),15))</f>
        <v/>
      </c>
      <c r="P1047" s="8" t="str">
        <f t="array" ref="P1047">IF(1043&gt;$S$1204,"",INDEX($T$5:$AJ$1204,MATCH(1043,$S$5:$S$1204,0),16))</f>
        <v/>
      </c>
      <c r="Q1047" s="8" t="str">
        <f t="array" ref="Q1047">IF(1043&gt;$S$1204,"",INDEX($T$5:$AJ$1204,MATCH(1043,$S$5:$S$1204,0),17))</f>
        <v/>
      </c>
      <c r="R1047" s="17"/>
      <c r="S1047" s="17">
        <f>S1046+IF(M6_Puntos_Control!A51="",0,1)</f>
        <v>0</v>
      </c>
      <c r="T1047" s="17" t="str">
        <f>IF(M6_Puntos_Control!A51="","",IF(M6_Puntos_Control!A51="","",M6_Puntos_Control!A51))</f>
        <v/>
      </c>
      <c r="U1047" s="17" t="str">
        <f>IF(M6_Puntos_Control!A51="","",IF(M6_Puntos_Control!R51="","",M6_Puntos_Control!R51))</f>
        <v/>
      </c>
      <c r="V1047" s="17" t="str">
        <f>IF(M6_Puntos_Control!A51="","",IF(M6_Puntos_Control!D51="","",M6_Puntos_Control!D51))</f>
        <v/>
      </c>
      <c r="W1047" s="17" t="str">
        <f>IF(M6_Puntos_Control!A51="","",IF(M6_Puntos_Control!B51="","",M6_Puntos_Control!B51))</f>
        <v/>
      </c>
      <c r="X1047" s="17" t="str">
        <f>IF(M6_Puntos_Control!A51="","",IF(M6_Puntos_Control!C51="","",M6_Puntos_Control!C51))</f>
        <v/>
      </c>
      <c r="Y1047" s="17" t="str">
        <f>IF(M6_Puntos_Control!A51="","",IF(M6_Puntos_Control!E51="","",M6_Puntos_Control!E51))</f>
        <v/>
      </c>
      <c r="Z1047" s="17" t="str">
        <f>IF(M6_Puntos_Control!A51="","",IF(M6_Puntos_Control!F51="","",M6_Puntos_Control!F51))</f>
        <v/>
      </c>
      <c r="AA1047" s="17" t="str">
        <f>IF(M6_Puntos_Control!A51="","","M6 Puntos de control")</f>
        <v/>
      </c>
      <c r="AB1047" s="17" t="str">
        <f>IF(M6_Puntos_Control!A51="","",IF(M6_Puntos_Control!G51="","",M6_Puntos_Control!G51))</f>
        <v/>
      </c>
      <c r="AC1047" s="17" t="str">
        <f>IF(M6_Puntos_Control!A51="","",IF(M6_Puntos_Control!K51="Sí",IF(COUNTIFS(M6_Puntos_Control!$A$9:A51,M6_Puntos_Control!A51,M6_Puntos_Control!$D$9:D51,M6_Puntos_Control!D51,M6_Puntos_Control!$G$9:G51,M6_Puntos_Control!G51,M6_Puntos_Control!$H$9:H51,M6_Puntos_Control!H51,M6_Puntos_Control!$K$9:K51,"Sí")=1,IF(M6_Puntos_Control!M51="","",M6_Puntos_Control!M51),""),""))</f>
        <v/>
      </c>
      <c r="AD1047" s="17" t="str">
        <f>IF(M6_Puntos_Control!A51="","","RD")</f>
        <v/>
      </c>
      <c r="AE1047" s="17" t="str">
        <f>IF(M6_Puntos_Control!A51="","",IF(M6_Puntos_Control!O51="","",M6_Puntos_Control!O51))</f>
        <v/>
      </c>
      <c r="AF1047" s="17" t="str">
        <f>IF(M6_Puntos_Control!A51="","",IF(M6_Puntos_Control!P51="","",M6_Puntos_Control!P51))</f>
        <v/>
      </c>
      <c r="AG1047" s="17" t="str">
        <f>IF(M6_Puntos_Control!A51="","",IF(M6_Puntos_Control!Q51="","",M6_Puntos_Control!Q51))</f>
        <v/>
      </c>
      <c r="AH1047" s="17" t="str">
        <f>IF(M6_Puntos_Control!A51="","",IF(M6_Puntos_Control!I51="","",M6_Puntos_Control!I51))</f>
        <v/>
      </c>
      <c r="AI1047" s="17" t="str">
        <f>IF(M6_Puntos_Control!A51="","","M6_Puntos_Control!51")</f>
        <v/>
      </c>
      <c r="AJ1047" s="17" t="str">
        <f>IF(M6_Puntos_Control!A51="","",IF(M6_Puntos_Control!K51&lt;&gt;"Sí","Punto de comparación",IF(COUNTIFS(M6_Puntos_Control!$A$9:A51,M6_Puntos_Control!A51,M6_Puntos_Control!$D$9:D51,M6_Puntos_Control!D51,M6_Puntos_Control!$G$9:G51,M6_Puntos_Control!G51,M6_Puntos_Control!$H$9:H51,M6_Puntos_Control!H51,M6_Puntos_Control!$K$9:K51,"Sí")=1,IF(M6_Puntos_Control!M51="","Pendiente de resultado","Punto oficial"),"Revisar: varios puntos oficiales")))</f>
        <v/>
      </c>
    </row>
    <row r="1048" spans="1:36" ht="55.5" customHeight="1">
      <c r="A1048" s="6" t="str">
        <f t="array" ref="A1048">IF(1044&gt;$S$1204,"",INDEX($T$5:$AJ$1204,MATCH(1044,$S$5:$S$1204,0),1))</f>
        <v/>
      </c>
      <c r="B1048" s="8" t="str">
        <f t="array" ref="B1048">IF(1044&gt;$S$1204,"",INDEX($T$5:$AJ$1204,MATCH(1044,$S$5:$S$1204,0),2))</f>
        <v/>
      </c>
      <c r="C1048" s="10" t="str">
        <f t="array" ref="C1048">IF(1044&gt;$S$1204,"",INDEX($T$5:$AJ$1204,MATCH(1044,$S$5:$S$1204,0),3))</f>
        <v/>
      </c>
      <c r="D1048" s="8" t="str">
        <f t="array" ref="D1048">IF(1044&gt;$S$1204,"",INDEX($T$5:$AJ$1204,MATCH(1044,$S$5:$S$1204,0),4))</f>
        <v/>
      </c>
      <c r="E1048" s="8" t="str">
        <f t="array" ref="E1048">IF(1044&gt;$S$1204,"",INDEX($T$5:$AJ$1204,MATCH(1044,$S$5:$S$1204,0),5))</f>
        <v/>
      </c>
      <c r="F1048" s="8" t="str">
        <f t="array" ref="F1048">IF(1044&gt;$S$1204,"",INDEX($T$5:$AJ$1204,MATCH(1044,$S$5:$S$1204,0),6))</f>
        <v/>
      </c>
      <c r="G1048" s="8" t="str">
        <f t="array" ref="G1048">IF(1044&gt;$S$1204,"",INDEX($T$5:$AJ$1204,MATCH(1044,$S$5:$S$1204,0),7))</f>
        <v/>
      </c>
      <c r="H1048" s="8" t="str">
        <f t="array" ref="H1048">IF(1044&gt;$S$1204,"",INDEX($T$5:$AJ$1204,MATCH(1044,$S$5:$S$1204,0),8))</f>
        <v/>
      </c>
      <c r="I1048" s="8" t="str">
        <f t="array" ref="I1048">IF(1044&gt;$S$1204,"",INDEX($T$5:$AJ$1204,MATCH(1044,$S$5:$S$1204,0),9))</f>
        <v/>
      </c>
      <c r="J1048" s="14" t="str">
        <f t="array" ref="J1048">IF(1044&gt;$S$1204,"",INDEX($T$5:$AJ$1204,MATCH(1044,$S$5:$S$1204,0),10))</f>
        <v/>
      </c>
      <c r="K1048" s="8" t="str">
        <f t="array" ref="K1048">IF(1044&gt;$S$1204,"",INDEX($T$5:$AJ$1204,MATCH(1044,$S$5:$S$1204,0),11))</f>
        <v/>
      </c>
      <c r="L1048" s="8" t="str">
        <f t="array" ref="L1048">IF(1044&gt;$S$1204,"",INDEX($T$5:$AJ$1204,MATCH(1044,$S$5:$S$1204,0),12))</f>
        <v/>
      </c>
      <c r="M1048" s="8" t="str">
        <f t="array" ref="M1048">IF(1044&gt;$S$1204,"",INDEX($T$5:$AJ$1204,MATCH(1044,$S$5:$S$1204,0),13))</f>
        <v/>
      </c>
      <c r="N1048" s="8" t="str">
        <f t="array" ref="N1048">IF(1044&gt;$S$1204,"",INDEX($T$5:$AJ$1204,MATCH(1044,$S$5:$S$1204,0),14))</f>
        <v/>
      </c>
      <c r="O1048" s="15" t="str">
        <f t="array" ref="O1048">IF(1044&gt;$S$1204,"",INDEX($T$5:$AJ$1204,MATCH(1044,$S$5:$S$1204,0),15))</f>
        <v/>
      </c>
      <c r="P1048" s="8" t="str">
        <f t="array" ref="P1048">IF(1044&gt;$S$1204,"",INDEX($T$5:$AJ$1204,MATCH(1044,$S$5:$S$1204,0),16))</f>
        <v/>
      </c>
      <c r="Q1048" s="8" t="str">
        <f t="array" ref="Q1048">IF(1044&gt;$S$1204,"",INDEX($T$5:$AJ$1204,MATCH(1044,$S$5:$S$1204,0),17))</f>
        <v/>
      </c>
      <c r="R1048" s="17"/>
      <c r="S1048" s="17">
        <f>S1047+IF(M6_Puntos_Control!A52="",0,1)</f>
        <v>0</v>
      </c>
      <c r="T1048" s="17" t="str">
        <f>IF(M6_Puntos_Control!A52="","",IF(M6_Puntos_Control!A52="","",M6_Puntos_Control!A52))</f>
        <v/>
      </c>
      <c r="U1048" s="17" t="str">
        <f>IF(M6_Puntos_Control!A52="","",IF(M6_Puntos_Control!R52="","",M6_Puntos_Control!R52))</f>
        <v/>
      </c>
      <c r="V1048" s="17" t="str">
        <f>IF(M6_Puntos_Control!A52="","",IF(M6_Puntos_Control!D52="","",M6_Puntos_Control!D52))</f>
        <v/>
      </c>
      <c r="W1048" s="17" t="str">
        <f>IF(M6_Puntos_Control!A52="","",IF(M6_Puntos_Control!B52="","",M6_Puntos_Control!B52))</f>
        <v/>
      </c>
      <c r="X1048" s="17" t="str">
        <f>IF(M6_Puntos_Control!A52="","",IF(M6_Puntos_Control!C52="","",M6_Puntos_Control!C52))</f>
        <v/>
      </c>
      <c r="Y1048" s="17" t="str">
        <f>IF(M6_Puntos_Control!A52="","",IF(M6_Puntos_Control!E52="","",M6_Puntos_Control!E52))</f>
        <v/>
      </c>
      <c r="Z1048" s="17" t="str">
        <f>IF(M6_Puntos_Control!A52="","",IF(M6_Puntos_Control!F52="","",M6_Puntos_Control!F52))</f>
        <v/>
      </c>
      <c r="AA1048" s="17" t="str">
        <f>IF(M6_Puntos_Control!A52="","","M6 Puntos de control")</f>
        <v/>
      </c>
      <c r="AB1048" s="17" t="str">
        <f>IF(M6_Puntos_Control!A52="","",IF(M6_Puntos_Control!G52="","",M6_Puntos_Control!G52))</f>
        <v/>
      </c>
      <c r="AC1048" s="17" t="str">
        <f>IF(M6_Puntos_Control!A52="","",IF(M6_Puntos_Control!K52="Sí",IF(COUNTIFS(M6_Puntos_Control!$A$9:A52,M6_Puntos_Control!A52,M6_Puntos_Control!$D$9:D52,M6_Puntos_Control!D52,M6_Puntos_Control!$G$9:G52,M6_Puntos_Control!G52,M6_Puntos_Control!$H$9:H52,M6_Puntos_Control!H52,M6_Puntos_Control!$K$9:K52,"Sí")=1,IF(M6_Puntos_Control!M52="","",M6_Puntos_Control!M52),""),""))</f>
        <v/>
      </c>
      <c r="AD1048" s="17" t="str">
        <f>IF(M6_Puntos_Control!A52="","","RD")</f>
        <v/>
      </c>
      <c r="AE1048" s="17" t="str">
        <f>IF(M6_Puntos_Control!A52="","",IF(M6_Puntos_Control!O52="","",M6_Puntos_Control!O52))</f>
        <v/>
      </c>
      <c r="AF1048" s="17" t="str">
        <f>IF(M6_Puntos_Control!A52="","",IF(M6_Puntos_Control!P52="","",M6_Puntos_Control!P52))</f>
        <v/>
      </c>
      <c r="AG1048" s="17" t="str">
        <f>IF(M6_Puntos_Control!A52="","",IF(M6_Puntos_Control!Q52="","",M6_Puntos_Control!Q52))</f>
        <v/>
      </c>
      <c r="AH1048" s="17" t="str">
        <f>IF(M6_Puntos_Control!A52="","",IF(M6_Puntos_Control!I52="","",M6_Puntos_Control!I52))</f>
        <v/>
      </c>
      <c r="AI1048" s="17" t="str">
        <f>IF(M6_Puntos_Control!A52="","","M6_Puntos_Control!52")</f>
        <v/>
      </c>
      <c r="AJ1048" s="17" t="str">
        <f>IF(M6_Puntos_Control!A52="","",IF(M6_Puntos_Control!K52&lt;&gt;"Sí","Punto de comparación",IF(COUNTIFS(M6_Puntos_Control!$A$9:A52,M6_Puntos_Control!A52,M6_Puntos_Control!$D$9:D52,M6_Puntos_Control!D52,M6_Puntos_Control!$G$9:G52,M6_Puntos_Control!G52,M6_Puntos_Control!$H$9:H52,M6_Puntos_Control!H52,M6_Puntos_Control!$K$9:K52,"Sí")=1,IF(M6_Puntos_Control!M52="","Pendiente de resultado","Punto oficial"),"Revisar: varios puntos oficiales")))</f>
        <v/>
      </c>
    </row>
    <row r="1049" spans="1:36" ht="55.5" customHeight="1">
      <c r="A1049" s="6" t="str">
        <f t="array" ref="A1049">IF(1045&gt;$S$1204,"",INDEX($T$5:$AJ$1204,MATCH(1045,$S$5:$S$1204,0),1))</f>
        <v/>
      </c>
      <c r="B1049" s="8" t="str">
        <f t="array" ref="B1049">IF(1045&gt;$S$1204,"",INDEX($T$5:$AJ$1204,MATCH(1045,$S$5:$S$1204,0),2))</f>
        <v/>
      </c>
      <c r="C1049" s="10" t="str">
        <f t="array" ref="C1049">IF(1045&gt;$S$1204,"",INDEX($T$5:$AJ$1204,MATCH(1045,$S$5:$S$1204,0),3))</f>
        <v/>
      </c>
      <c r="D1049" s="8" t="str">
        <f t="array" ref="D1049">IF(1045&gt;$S$1204,"",INDEX($T$5:$AJ$1204,MATCH(1045,$S$5:$S$1204,0),4))</f>
        <v/>
      </c>
      <c r="E1049" s="8" t="str">
        <f t="array" ref="E1049">IF(1045&gt;$S$1204,"",INDEX($T$5:$AJ$1204,MATCH(1045,$S$5:$S$1204,0),5))</f>
        <v/>
      </c>
      <c r="F1049" s="8" t="str">
        <f t="array" ref="F1049">IF(1045&gt;$S$1204,"",INDEX($T$5:$AJ$1204,MATCH(1045,$S$5:$S$1204,0),6))</f>
        <v/>
      </c>
      <c r="G1049" s="8" t="str">
        <f t="array" ref="G1049">IF(1045&gt;$S$1204,"",INDEX($T$5:$AJ$1204,MATCH(1045,$S$5:$S$1204,0),7))</f>
        <v/>
      </c>
      <c r="H1049" s="8" t="str">
        <f t="array" ref="H1049">IF(1045&gt;$S$1204,"",INDEX($T$5:$AJ$1204,MATCH(1045,$S$5:$S$1204,0),8))</f>
        <v/>
      </c>
      <c r="I1049" s="8" t="str">
        <f t="array" ref="I1049">IF(1045&gt;$S$1204,"",INDEX($T$5:$AJ$1204,MATCH(1045,$S$5:$S$1204,0),9))</f>
        <v/>
      </c>
      <c r="J1049" s="14" t="str">
        <f t="array" ref="J1049">IF(1045&gt;$S$1204,"",INDEX($T$5:$AJ$1204,MATCH(1045,$S$5:$S$1204,0),10))</f>
        <v/>
      </c>
      <c r="K1049" s="8" t="str">
        <f t="array" ref="K1049">IF(1045&gt;$S$1204,"",INDEX($T$5:$AJ$1204,MATCH(1045,$S$5:$S$1204,0),11))</f>
        <v/>
      </c>
      <c r="L1049" s="8" t="str">
        <f t="array" ref="L1049">IF(1045&gt;$S$1204,"",INDEX($T$5:$AJ$1204,MATCH(1045,$S$5:$S$1204,0),12))</f>
        <v/>
      </c>
      <c r="M1049" s="8" t="str">
        <f t="array" ref="M1049">IF(1045&gt;$S$1204,"",INDEX($T$5:$AJ$1204,MATCH(1045,$S$5:$S$1204,0),13))</f>
        <v/>
      </c>
      <c r="N1049" s="8" t="str">
        <f t="array" ref="N1049">IF(1045&gt;$S$1204,"",INDEX($T$5:$AJ$1204,MATCH(1045,$S$5:$S$1204,0),14))</f>
        <v/>
      </c>
      <c r="O1049" s="15" t="str">
        <f t="array" ref="O1049">IF(1045&gt;$S$1204,"",INDEX($T$5:$AJ$1204,MATCH(1045,$S$5:$S$1204,0),15))</f>
        <v/>
      </c>
      <c r="P1049" s="8" t="str">
        <f t="array" ref="P1049">IF(1045&gt;$S$1204,"",INDEX($T$5:$AJ$1204,MATCH(1045,$S$5:$S$1204,0),16))</f>
        <v/>
      </c>
      <c r="Q1049" s="8" t="str">
        <f t="array" ref="Q1049">IF(1045&gt;$S$1204,"",INDEX($T$5:$AJ$1204,MATCH(1045,$S$5:$S$1204,0),17))</f>
        <v/>
      </c>
      <c r="R1049" s="17"/>
      <c r="S1049" s="17">
        <f>S1048+IF(M6_Puntos_Control!A53="",0,1)</f>
        <v>0</v>
      </c>
      <c r="T1049" s="17" t="str">
        <f>IF(M6_Puntos_Control!A53="","",IF(M6_Puntos_Control!A53="","",M6_Puntos_Control!A53))</f>
        <v/>
      </c>
      <c r="U1049" s="17" t="str">
        <f>IF(M6_Puntos_Control!A53="","",IF(M6_Puntos_Control!R53="","",M6_Puntos_Control!R53))</f>
        <v/>
      </c>
      <c r="V1049" s="17" t="str">
        <f>IF(M6_Puntos_Control!A53="","",IF(M6_Puntos_Control!D53="","",M6_Puntos_Control!D53))</f>
        <v/>
      </c>
      <c r="W1049" s="17" t="str">
        <f>IF(M6_Puntos_Control!A53="","",IF(M6_Puntos_Control!B53="","",M6_Puntos_Control!B53))</f>
        <v/>
      </c>
      <c r="X1049" s="17" t="str">
        <f>IF(M6_Puntos_Control!A53="","",IF(M6_Puntos_Control!C53="","",M6_Puntos_Control!C53))</f>
        <v/>
      </c>
      <c r="Y1049" s="17" t="str">
        <f>IF(M6_Puntos_Control!A53="","",IF(M6_Puntos_Control!E53="","",M6_Puntos_Control!E53))</f>
        <v/>
      </c>
      <c r="Z1049" s="17" t="str">
        <f>IF(M6_Puntos_Control!A53="","",IF(M6_Puntos_Control!F53="","",M6_Puntos_Control!F53))</f>
        <v/>
      </c>
      <c r="AA1049" s="17" t="str">
        <f>IF(M6_Puntos_Control!A53="","","M6 Puntos de control")</f>
        <v/>
      </c>
      <c r="AB1049" s="17" t="str">
        <f>IF(M6_Puntos_Control!A53="","",IF(M6_Puntos_Control!G53="","",M6_Puntos_Control!G53))</f>
        <v/>
      </c>
      <c r="AC1049" s="17" t="str">
        <f>IF(M6_Puntos_Control!A53="","",IF(M6_Puntos_Control!K53="Sí",IF(COUNTIFS(M6_Puntos_Control!$A$9:A53,M6_Puntos_Control!A53,M6_Puntos_Control!$D$9:D53,M6_Puntos_Control!D53,M6_Puntos_Control!$G$9:G53,M6_Puntos_Control!G53,M6_Puntos_Control!$H$9:H53,M6_Puntos_Control!H53,M6_Puntos_Control!$K$9:K53,"Sí")=1,IF(M6_Puntos_Control!M53="","",M6_Puntos_Control!M53),""),""))</f>
        <v/>
      </c>
      <c r="AD1049" s="17" t="str">
        <f>IF(M6_Puntos_Control!A53="","","RD")</f>
        <v/>
      </c>
      <c r="AE1049" s="17" t="str">
        <f>IF(M6_Puntos_Control!A53="","",IF(M6_Puntos_Control!O53="","",M6_Puntos_Control!O53))</f>
        <v/>
      </c>
      <c r="AF1049" s="17" t="str">
        <f>IF(M6_Puntos_Control!A53="","",IF(M6_Puntos_Control!P53="","",M6_Puntos_Control!P53))</f>
        <v/>
      </c>
      <c r="AG1049" s="17" t="str">
        <f>IF(M6_Puntos_Control!A53="","",IF(M6_Puntos_Control!Q53="","",M6_Puntos_Control!Q53))</f>
        <v/>
      </c>
      <c r="AH1049" s="17" t="str">
        <f>IF(M6_Puntos_Control!A53="","",IF(M6_Puntos_Control!I53="","",M6_Puntos_Control!I53))</f>
        <v/>
      </c>
      <c r="AI1049" s="17" t="str">
        <f>IF(M6_Puntos_Control!A53="","","M6_Puntos_Control!53")</f>
        <v/>
      </c>
      <c r="AJ1049" s="17" t="str">
        <f>IF(M6_Puntos_Control!A53="","",IF(M6_Puntos_Control!K53&lt;&gt;"Sí","Punto de comparación",IF(COUNTIFS(M6_Puntos_Control!$A$9:A53,M6_Puntos_Control!A53,M6_Puntos_Control!$D$9:D53,M6_Puntos_Control!D53,M6_Puntos_Control!$G$9:G53,M6_Puntos_Control!G53,M6_Puntos_Control!$H$9:H53,M6_Puntos_Control!H53,M6_Puntos_Control!$K$9:K53,"Sí")=1,IF(M6_Puntos_Control!M53="","Pendiente de resultado","Punto oficial"),"Revisar: varios puntos oficiales")))</f>
        <v/>
      </c>
    </row>
    <row r="1050" spans="1:36" ht="55.5" customHeight="1">
      <c r="A1050" s="6" t="str">
        <f t="array" ref="A1050">IF(1046&gt;$S$1204,"",INDEX($T$5:$AJ$1204,MATCH(1046,$S$5:$S$1204,0),1))</f>
        <v/>
      </c>
      <c r="B1050" s="8" t="str">
        <f t="array" ref="B1050">IF(1046&gt;$S$1204,"",INDEX($T$5:$AJ$1204,MATCH(1046,$S$5:$S$1204,0),2))</f>
        <v/>
      </c>
      <c r="C1050" s="10" t="str">
        <f t="array" ref="C1050">IF(1046&gt;$S$1204,"",INDEX($T$5:$AJ$1204,MATCH(1046,$S$5:$S$1204,0),3))</f>
        <v/>
      </c>
      <c r="D1050" s="8" t="str">
        <f t="array" ref="D1050">IF(1046&gt;$S$1204,"",INDEX($T$5:$AJ$1204,MATCH(1046,$S$5:$S$1204,0),4))</f>
        <v/>
      </c>
      <c r="E1050" s="8" t="str">
        <f t="array" ref="E1050">IF(1046&gt;$S$1204,"",INDEX($T$5:$AJ$1204,MATCH(1046,$S$5:$S$1204,0),5))</f>
        <v/>
      </c>
      <c r="F1050" s="8" t="str">
        <f t="array" ref="F1050">IF(1046&gt;$S$1204,"",INDEX($T$5:$AJ$1204,MATCH(1046,$S$5:$S$1204,0),6))</f>
        <v/>
      </c>
      <c r="G1050" s="8" t="str">
        <f t="array" ref="G1050">IF(1046&gt;$S$1204,"",INDEX($T$5:$AJ$1204,MATCH(1046,$S$5:$S$1204,0),7))</f>
        <v/>
      </c>
      <c r="H1050" s="8" t="str">
        <f t="array" ref="H1050">IF(1046&gt;$S$1204,"",INDEX($T$5:$AJ$1204,MATCH(1046,$S$5:$S$1204,0),8))</f>
        <v/>
      </c>
      <c r="I1050" s="8" t="str">
        <f t="array" ref="I1050">IF(1046&gt;$S$1204,"",INDEX($T$5:$AJ$1204,MATCH(1046,$S$5:$S$1204,0),9))</f>
        <v/>
      </c>
      <c r="J1050" s="14" t="str">
        <f t="array" ref="J1050">IF(1046&gt;$S$1204,"",INDEX($T$5:$AJ$1204,MATCH(1046,$S$5:$S$1204,0),10))</f>
        <v/>
      </c>
      <c r="K1050" s="8" t="str">
        <f t="array" ref="K1050">IF(1046&gt;$S$1204,"",INDEX($T$5:$AJ$1204,MATCH(1046,$S$5:$S$1204,0),11))</f>
        <v/>
      </c>
      <c r="L1050" s="8" t="str">
        <f t="array" ref="L1050">IF(1046&gt;$S$1204,"",INDEX($T$5:$AJ$1204,MATCH(1046,$S$5:$S$1204,0),12))</f>
        <v/>
      </c>
      <c r="M1050" s="8" t="str">
        <f t="array" ref="M1050">IF(1046&gt;$S$1204,"",INDEX($T$5:$AJ$1204,MATCH(1046,$S$5:$S$1204,0),13))</f>
        <v/>
      </c>
      <c r="N1050" s="8" t="str">
        <f t="array" ref="N1050">IF(1046&gt;$S$1204,"",INDEX($T$5:$AJ$1204,MATCH(1046,$S$5:$S$1204,0),14))</f>
        <v/>
      </c>
      <c r="O1050" s="15" t="str">
        <f t="array" ref="O1050">IF(1046&gt;$S$1204,"",INDEX($T$5:$AJ$1204,MATCH(1046,$S$5:$S$1204,0),15))</f>
        <v/>
      </c>
      <c r="P1050" s="8" t="str">
        <f t="array" ref="P1050">IF(1046&gt;$S$1204,"",INDEX($T$5:$AJ$1204,MATCH(1046,$S$5:$S$1204,0),16))</f>
        <v/>
      </c>
      <c r="Q1050" s="8" t="str">
        <f t="array" ref="Q1050">IF(1046&gt;$S$1204,"",INDEX($T$5:$AJ$1204,MATCH(1046,$S$5:$S$1204,0),17))</f>
        <v/>
      </c>
      <c r="R1050" s="17"/>
      <c r="S1050" s="17">
        <f>S1049+IF(M6_Puntos_Control!A54="",0,1)</f>
        <v>0</v>
      </c>
      <c r="T1050" s="17" t="str">
        <f>IF(M6_Puntos_Control!A54="","",IF(M6_Puntos_Control!A54="","",M6_Puntos_Control!A54))</f>
        <v/>
      </c>
      <c r="U1050" s="17" t="str">
        <f>IF(M6_Puntos_Control!A54="","",IF(M6_Puntos_Control!R54="","",M6_Puntos_Control!R54))</f>
        <v/>
      </c>
      <c r="V1050" s="17" t="str">
        <f>IF(M6_Puntos_Control!A54="","",IF(M6_Puntos_Control!D54="","",M6_Puntos_Control!D54))</f>
        <v/>
      </c>
      <c r="W1050" s="17" t="str">
        <f>IF(M6_Puntos_Control!A54="","",IF(M6_Puntos_Control!B54="","",M6_Puntos_Control!B54))</f>
        <v/>
      </c>
      <c r="X1050" s="17" t="str">
        <f>IF(M6_Puntos_Control!A54="","",IF(M6_Puntos_Control!C54="","",M6_Puntos_Control!C54))</f>
        <v/>
      </c>
      <c r="Y1050" s="17" t="str">
        <f>IF(M6_Puntos_Control!A54="","",IF(M6_Puntos_Control!E54="","",M6_Puntos_Control!E54))</f>
        <v/>
      </c>
      <c r="Z1050" s="17" t="str">
        <f>IF(M6_Puntos_Control!A54="","",IF(M6_Puntos_Control!F54="","",M6_Puntos_Control!F54))</f>
        <v/>
      </c>
      <c r="AA1050" s="17" t="str">
        <f>IF(M6_Puntos_Control!A54="","","M6 Puntos de control")</f>
        <v/>
      </c>
      <c r="AB1050" s="17" t="str">
        <f>IF(M6_Puntos_Control!A54="","",IF(M6_Puntos_Control!G54="","",M6_Puntos_Control!G54))</f>
        <v/>
      </c>
      <c r="AC1050" s="17" t="str">
        <f>IF(M6_Puntos_Control!A54="","",IF(M6_Puntos_Control!K54="Sí",IF(COUNTIFS(M6_Puntos_Control!$A$9:A54,M6_Puntos_Control!A54,M6_Puntos_Control!$D$9:D54,M6_Puntos_Control!D54,M6_Puntos_Control!$G$9:G54,M6_Puntos_Control!G54,M6_Puntos_Control!$H$9:H54,M6_Puntos_Control!H54,M6_Puntos_Control!$K$9:K54,"Sí")=1,IF(M6_Puntos_Control!M54="","",M6_Puntos_Control!M54),""),""))</f>
        <v/>
      </c>
      <c r="AD1050" s="17" t="str">
        <f>IF(M6_Puntos_Control!A54="","","RD")</f>
        <v/>
      </c>
      <c r="AE1050" s="17" t="str">
        <f>IF(M6_Puntos_Control!A54="","",IF(M6_Puntos_Control!O54="","",M6_Puntos_Control!O54))</f>
        <v/>
      </c>
      <c r="AF1050" s="17" t="str">
        <f>IF(M6_Puntos_Control!A54="","",IF(M6_Puntos_Control!P54="","",M6_Puntos_Control!P54))</f>
        <v/>
      </c>
      <c r="AG1050" s="17" t="str">
        <f>IF(M6_Puntos_Control!A54="","",IF(M6_Puntos_Control!Q54="","",M6_Puntos_Control!Q54))</f>
        <v/>
      </c>
      <c r="AH1050" s="17" t="str">
        <f>IF(M6_Puntos_Control!A54="","",IF(M6_Puntos_Control!I54="","",M6_Puntos_Control!I54))</f>
        <v/>
      </c>
      <c r="AI1050" s="17" t="str">
        <f>IF(M6_Puntos_Control!A54="","","M6_Puntos_Control!54")</f>
        <v/>
      </c>
      <c r="AJ1050" s="17" t="str">
        <f>IF(M6_Puntos_Control!A54="","",IF(M6_Puntos_Control!K54&lt;&gt;"Sí","Punto de comparación",IF(COUNTIFS(M6_Puntos_Control!$A$9:A54,M6_Puntos_Control!A54,M6_Puntos_Control!$D$9:D54,M6_Puntos_Control!D54,M6_Puntos_Control!$G$9:G54,M6_Puntos_Control!G54,M6_Puntos_Control!$H$9:H54,M6_Puntos_Control!H54,M6_Puntos_Control!$K$9:K54,"Sí")=1,IF(M6_Puntos_Control!M54="","Pendiente de resultado","Punto oficial"),"Revisar: varios puntos oficiales")))</f>
        <v/>
      </c>
    </row>
    <row r="1051" spans="1:36" ht="55.5" customHeight="1">
      <c r="A1051" s="6" t="str">
        <f t="array" ref="A1051">IF(1047&gt;$S$1204,"",INDEX($T$5:$AJ$1204,MATCH(1047,$S$5:$S$1204,0),1))</f>
        <v/>
      </c>
      <c r="B1051" s="8" t="str">
        <f t="array" ref="B1051">IF(1047&gt;$S$1204,"",INDEX($T$5:$AJ$1204,MATCH(1047,$S$5:$S$1204,0),2))</f>
        <v/>
      </c>
      <c r="C1051" s="10" t="str">
        <f t="array" ref="C1051">IF(1047&gt;$S$1204,"",INDEX($T$5:$AJ$1204,MATCH(1047,$S$5:$S$1204,0),3))</f>
        <v/>
      </c>
      <c r="D1051" s="8" t="str">
        <f t="array" ref="D1051">IF(1047&gt;$S$1204,"",INDEX($T$5:$AJ$1204,MATCH(1047,$S$5:$S$1204,0),4))</f>
        <v/>
      </c>
      <c r="E1051" s="8" t="str">
        <f t="array" ref="E1051">IF(1047&gt;$S$1204,"",INDEX($T$5:$AJ$1204,MATCH(1047,$S$5:$S$1204,0),5))</f>
        <v/>
      </c>
      <c r="F1051" s="8" t="str">
        <f t="array" ref="F1051">IF(1047&gt;$S$1204,"",INDEX($T$5:$AJ$1204,MATCH(1047,$S$5:$S$1204,0),6))</f>
        <v/>
      </c>
      <c r="G1051" s="8" t="str">
        <f t="array" ref="G1051">IF(1047&gt;$S$1204,"",INDEX($T$5:$AJ$1204,MATCH(1047,$S$5:$S$1204,0),7))</f>
        <v/>
      </c>
      <c r="H1051" s="8" t="str">
        <f t="array" ref="H1051">IF(1047&gt;$S$1204,"",INDEX($T$5:$AJ$1204,MATCH(1047,$S$5:$S$1204,0),8))</f>
        <v/>
      </c>
      <c r="I1051" s="8" t="str">
        <f t="array" ref="I1051">IF(1047&gt;$S$1204,"",INDEX($T$5:$AJ$1204,MATCH(1047,$S$5:$S$1204,0),9))</f>
        <v/>
      </c>
      <c r="J1051" s="14" t="str">
        <f t="array" ref="J1051">IF(1047&gt;$S$1204,"",INDEX($T$5:$AJ$1204,MATCH(1047,$S$5:$S$1204,0),10))</f>
        <v/>
      </c>
      <c r="K1051" s="8" t="str">
        <f t="array" ref="K1051">IF(1047&gt;$S$1204,"",INDEX($T$5:$AJ$1204,MATCH(1047,$S$5:$S$1204,0),11))</f>
        <v/>
      </c>
      <c r="L1051" s="8" t="str">
        <f t="array" ref="L1051">IF(1047&gt;$S$1204,"",INDEX($T$5:$AJ$1204,MATCH(1047,$S$5:$S$1204,0),12))</f>
        <v/>
      </c>
      <c r="M1051" s="8" t="str">
        <f t="array" ref="M1051">IF(1047&gt;$S$1204,"",INDEX($T$5:$AJ$1204,MATCH(1047,$S$5:$S$1204,0),13))</f>
        <v/>
      </c>
      <c r="N1051" s="8" t="str">
        <f t="array" ref="N1051">IF(1047&gt;$S$1204,"",INDEX($T$5:$AJ$1204,MATCH(1047,$S$5:$S$1204,0),14))</f>
        <v/>
      </c>
      <c r="O1051" s="15" t="str">
        <f t="array" ref="O1051">IF(1047&gt;$S$1204,"",INDEX($T$5:$AJ$1204,MATCH(1047,$S$5:$S$1204,0),15))</f>
        <v/>
      </c>
      <c r="P1051" s="8" t="str">
        <f t="array" ref="P1051">IF(1047&gt;$S$1204,"",INDEX($T$5:$AJ$1204,MATCH(1047,$S$5:$S$1204,0),16))</f>
        <v/>
      </c>
      <c r="Q1051" s="8" t="str">
        <f t="array" ref="Q1051">IF(1047&gt;$S$1204,"",INDEX($T$5:$AJ$1204,MATCH(1047,$S$5:$S$1204,0),17))</f>
        <v/>
      </c>
      <c r="R1051" s="17"/>
      <c r="S1051" s="17">
        <f>S1050+IF(M6_Puntos_Control!A55="",0,1)</f>
        <v>0</v>
      </c>
      <c r="T1051" s="17" t="str">
        <f>IF(M6_Puntos_Control!A55="","",IF(M6_Puntos_Control!A55="","",M6_Puntos_Control!A55))</f>
        <v/>
      </c>
      <c r="U1051" s="17" t="str">
        <f>IF(M6_Puntos_Control!A55="","",IF(M6_Puntos_Control!R55="","",M6_Puntos_Control!R55))</f>
        <v/>
      </c>
      <c r="V1051" s="17" t="str">
        <f>IF(M6_Puntos_Control!A55="","",IF(M6_Puntos_Control!D55="","",M6_Puntos_Control!D55))</f>
        <v/>
      </c>
      <c r="W1051" s="17" t="str">
        <f>IF(M6_Puntos_Control!A55="","",IF(M6_Puntos_Control!B55="","",M6_Puntos_Control!B55))</f>
        <v/>
      </c>
      <c r="X1051" s="17" t="str">
        <f>IF(M6_Puntos_Control!A55="","",IF(M6_Puntos_Control!C55="","",M6_Puntos_Control!C55))</f>
        <v/>
      </c>
      <c r="Y1051" s="17" t="str">
        <f>IF(M6_Puntos_Control!A55="","",IF(M6_Puntos_Control!E55="","",M6_Puntos_Control!E55))</f>
        <v/>
      </c>
      <c r="Z1051" s="17" t="str">
        <f>IF(M6_Puntos_Control!A55="","",IF(M6_Puntos_Control!F55="","",M6_Puntos_Control!F55))</f>
        <v/>
      </c>
      <c r="AA1051" s="17" t="str">
        <f>IF(M6_Puntos_Control!A55="","","M6 Puntos de control")</f>
        <v/>
      </c>
      <c r="AB1051" s="17" t="str">
        <f>IF(M6_Puntos_Control!A55="","",IF(M6_Puntos_Control!G55="","",M6_Puntos_Control!G55))</f>
        <v/>
      </c>
      <c r="AC1051" s="17" t="str">
        <f>IF(M6_Puntos_Control!A55="","",IF(M6_Puntos_Control!K55="Sí",IF(COUNTIFS(M6_Puntos_Control!$A$9:A55,M6_Puntos_Control!A55,M6_Puntos_Control!$D$9:D55,M6_Puntos_Control!D55,M6_Puntos_Control!$G$9:G55,M6_Puntos_Control!G55,M6_Puntos_Control!$H$9:H55,M6_Puntos_Control!H55,M6_Puntos_Control!$K$9:K55,"Sí")=1,IF(M6_Puntos_Control!M55="","",M6_Puntos_Control!M55),""),""))</f>
        <v/>
      </c>
      <c r="AD1051" s="17" t="str">
        <f>IF(M6_Puntos_Control!A55="","","RD")</f>
        <v/>
      </c>
      <c r="AE1051" s="17" t="str">
        <f>IF(M6_Puntos_Control!A55="","",IF(M6_Puntos_Control!O55="","",M6_Puntos_Control!O55))</f>
        <v/>
      </c>
      <c r="AF1051" s="17" t="str">
        <f>IF(M6_Puntos_Control!A55="","",IF(M6_Puntos_Control!P55="","",M6_Puntos_Control!P55))</f>
        <v/>
      </c>
      <c r="AG1051" s="17" t="str">
        <f>IF(M6_Puntos_Control!A55="","",IF(M6_Puntos_Control!Q55="","",M6_Puntos_Control!Q55))</f>
        <v/>
      </c>
      <c r="AH1051" s="17" t="str">
        <f>IF(M6_Puntos_Control!A55="","",IF(M6_Puntos_Control!I55="","",M6_Puntos_Control!I55))</f>
        <v/>
      </c>
      <c r="AI1051" s="17" t="str">
        <f>IF(M6_Puntos_Control!A55="","","M6_Puntos_Control!55")</f>
        <v/>
      </c>
      <c r="AJ1051" s="17" t="str">
        <f>IF(M6_Puntos_Control!A55="","",IF(M6_Puntos_Control!K55&lt;&gt;"Sí","Punto de comparación",IF(COUNTIFS(M6_Puntos_Control!$A$9:A55,M6_Puntos_Control!A55,M6_Puntos_Control!$D$9:D55,M6_Puntos_Control!D55,M6_Puntos_Control!$G$9:G55,M6_Puntos_Control!G55,M6_Puntos_Control!$H$9:H55,M6_Puntos_Control!H55,M6_Puntos_Control!$K$9:K55,"Sí")=1,IF(M6_Puntos_Control!M55="","Pendiente de resultado","Punto oficial"),"Revisar: varios puntos oficiales")))</f>
        <v/>
      </c>
    </row>
    <row r="1052" spans="1:36" ht="55.5" customHeight="1">
      <c r="A1052" s="6" t="str">
        <f t="array" ref="A1052">IF(1048&gt;$S$1204,"",INDEX($T$5:$AJ$1204,MATCH(1048,$S$5:$S$1204,0),1))</f>
        <v/>
      </c>
      <c r="B1052" s="8" t="str">
        <f t="array" ref="B1052">IF(1048&gt;$S$1204,"",INDEX($T$5:$AJ$1204,MATCH(1048,$S$5:$S$1204,0),2))</f>
        <v/>
      </c>
      <c r="C1052" s="10" t="str">
        <f t="array" ref="C1052">IF(1048&gt;$S$1204,"",INDEX($T$5:$AJ$1204,MATCH(1048,$S$5:$S$1204,0),3))</f>
        <v/>
      </c>
      <c r="D1052" s="8" t="str">
        <f t="array" ref="D1052">IF(1048&gt;$S$1204,"",INDEX($T$5:$AJ$1204,MATCH(1048,$S$5:$S$1204,0),4))</f>
        <v/>
      </c>
      <c r="E1052" s="8" t="str">
        <f t="array" ref="E1052">IF(1048&gt;$S$1204,"",INDEX($T$5:$AJ$1204,MATCH(1048,$S$5:$S$1204,0),5))</f>
        <v/>
      </c>
      <c r="F1052" s="8" t="str">
        <f t="array" ref="F1052">IF(1048&gt;$S$1204,"",INDEX($T$5:$AJ$1204,MATCH(1048,$S$5:$S$1204,0),6))</f>
        <v/>
      </c>
      <c r="G1052" s="8" t="str">
        <f t="array" ref="G1052">IF(1048&gt;$S$1204,"",INDEX($T$5:$AJ$1204,MATCH(1048,$S$5:$S$1204,0),7))</f>
        <v/>
      </c>
      <c r="H1052" s="8" t="str">
        <f t="array" ref="H1052">IF(1048&gt;$S$1204,"",INDEX($T$5:$AJ$1204,MATCH(1048,$S$5:$S$1204,0),8))</f>
        <v/>
      </c>
      <c r="I1052" s="8" t="str">
        <f t="array" ref="I1052">IF(1048&gt;$S$1204,"",INDEX($T$5:$AJ$1204,MATCH(1048,$S$5:$S$1204,0),9))</f>
        <v/>
      </c>
      <c r="J1052" s="14" t="str">
        <f t="array" ref="J1052">IF(1048&gt;$S$1204,"",INDEX($T$5:$AJ$1204,MATCH(1048,$S$5:$S$1204,0),10))</f>
        <v/>
      </c>
      <c r="K1052" s="8" t="str">
        <f t="array" ref="K1052">IF(1048&gt;$S$1204,"",INDEX($T$5:$AJ$1204,MATCH(1048,$S$5:$S$1204,0),11))</f>
        <v/>
      </c>
      <c r="L1052" s="8" t="str">
        <f t="array" ref="L1052">IF(1048&gt;$S$1204,"",INDEX($T$5:$AJ$1204,MATCH(1048,$S$5:$S$1204,0),12))</f>
        <v/>
      </c>
      <c r="M1052" s="8" t="str">
        <f t="array" ref="M1052">IF(1048&gt;$S$1204,"",INDEX($T$5:$AJ$1204,MATCH(1048,$S$5:$S$1204,0),13))</f>
        <v/>
      </c>
      <c r="N1052" s="8" t="str">
        <f t="array" ref="N1052">IF(1048&gt;$S$1204,"",INDEX($T$5:$AJ$1204,MATCH(1048,$S$5:$S$1204,0),14))</f>
        <v/>
      </c>
      <c r="O1052" s="15" t="str">
        <f t="array" ref="O1052">IF(1048&gt;$S$1204,"",INDEX($T$5:$AJ$1204,MATCH(1048,$S$5:$S$1204,0),15))</f>
        <v/>
      </c>
      <c r="P1052" s="8" t="str">
        <f t="array" ref="P1052">IF(1048&gt;$S$1204,"",INDEX($T$5:$AJ$1204,MATCH(1048,$S$5:$S$1204,0),16))</f>
        <v/>
      </c>
      <c r="Q1052" s="8" t="str">
        <f t="array" ref="Q1052">IF(1048&gt;$S$1204,"",INDEX($T$5:$AJ$1204,MATCH(1048,$S$5:$S$1204,0),17))</f>
        <v/>
      </c>
      <c r="R1052" s="17"/>
      <c r="S1052" s="17">
        <f>S1051+IF(M6_Puntos_Control!A56="",0,1)</f>
        <v>0</v>
      </c>
      <c r="T1052" s="17" t="str">
        <f>IF(M6_Puntos_Control!A56="","",IF(M6_Puntos_Control!A56="","",M6_Puntos_Control!A56))</f>
        <v/>
      </c>
      <c r="U1052" s="17" t="str">
        <f>IF(M6_Puntos_Control!A56="","",IF(M6_Puntos_Control!R56="","",M6_Puntos_Control!R56))</f>
        <v/>
      </c>
      <c r="V1052" s="17" t="str">
        <f>IF(M6_Puntos_Control!A56="","",IF(M6_Puntos_Control!D56="","",M6_Puntos_Control!D56))</f>
        <v/>
      </c>
      <c r="W1052" s="17" t="str">
        <f>IF(M6_Puntos_Control!A56="","",IF(M6_Puntos_Control!B56="","",M6_Puntos_Control!B56))</f>
        <v/>
      </c>
      <c r="X1052" s="17" t="str">
        <f>IF(M6_Puntos_Control!A56="","",IF(M6_Puntos_Control!C56="","",M6_Puntos_Control!C56))</f>
        <v/>
      </c>
      <c r="Y1052" s="17" t="str">
        <f>IF(M6_Puntos_Control!A56="","",IF(M6_Puntos_Control!E56="","",M6_Puntos_Control!E56))</f>
        <v/>
      </c>
      <c r="Z1052" s="17" t="str">
        <f>IF(M6_Puntos_Control!A56="","",IF(M6_Puntos_Control!F56="","",M6_Puntos_Control!F56))</f>
        <v/>
      </c>
      <c r="AA1052" s="17" t="str">
        <f>IF(M6_Puntos_Control!A56="","","M6 Puntos de control")</f>
        <v/>
      </c>
      <c r="AB1052" s="17" t="str">
        <f>IF(M6_Puntos_Control!A56="","",IF(M6_Puntos_Control!G56="","",M6_Puntos_Control!G56))</f>
        <v/>
      </c>
      <c r="AC1052" s="17" t="str">
        <f>IF(M6_Puntos_Control!A56="","",IF(M6_Puntos_Control!K56="Sí",IF(COUNTIFS(M6_Puntos_Control!$A$9:A56,M6_Puntos_Control!A56,M6_Puntos_Control!$D$9:D56,M6_Puntos_Control!D56,M6_Puntos_Control!$G$9:G56,M6_Puntos_Control!G56,M6_Puntos_Control!$H$9:H56,M6_Puntos_Control!H56,M6_Puntos_Control!$K$9:K56,"Sí")=1,IF(M6_Puntos_Control!M56="","",M6_Puntos_Control!M56),""),""))</f>
        <v/>
      </c>
      <c r="AD1052" s="17" t="str">
        <f>IF(M6_Puntos_Control!A56="","","RD")</f>
        <v/>
      </c>
      <c r="AE1052" s="17" t="str">
        <f>IF(M6_Puntos_Control!A56="","",IF(M6_Puntos_Control!O56="","",M6_Puntos_Control!O56))</f>
        <v/>
      </c>
      <c r="AF1052" s="17" t="str">
        <f>IF(M6_Puntos_Control!A56="","",IF(M6_Puntos_Control!P56="","",M6_Puntos_Control!P56))</f>
        <v/>
      </c>
      <c r="AG1052" s="17" t="str">
        <f>IF(M6_Puntos_Control!A56="","",IF(M6_Puntos_Control!Q56="","",M6_Puntos_Control!Q56))</f>
        <v/>
      </c>
      <c r="AH1052" s="17" t="str">
        <f>IF(M6_Puntos_Control!A56="","",IF(M6_Puntos_Control!I56="","",M6_Puntos_Control!I56))</f>
        <v/>
      </c>
      <c r="AI1052" s="17" t="str">
        <f>IF(M6_Puntos_Control!A56="","","M6_Puntos_Control!56")</f>
        <v/>
      </c>
      <c r="AJ1052" s="17" t="str">
        <f>IF(M6_Puntos_Control!A56="","",IF(M6_Puntos_Control!K56&lt;&gt;"Sí","Punto de comparación",IF(COUNTIFS(M6_Puntos_Control!$A$9:A56,M6_Puntos_Control!A56,M6_Puntos_Control!$D$9:D56,M6_Puntos_Control!D56,M6_Puntos_Control!$G$9:G56,M6_Puntos_Control!G56,M6_Puntos_Control!$H$9:H56,M6_Puntos_Control!H56,M6_Puntos_Control!$K$9:K56,"Sí")=1,IF(M6_Puntos_Control!M56="","Pendiente de resultado","Punto oficial"),"Revisar: varios puntos oficiales")))</f>
        <v/>
      </c>
    </row>
    <row r="1053" spans="1:36" ht="55.5" customHeight="1">
      <c r="A1053" s="6" t="str">
        <f t="array" ref="A1053">IF(1049&gt;$S$1204,"",INDEX($T$5:$AJ$1204,MATCH(1049,$S$5:$S$1204,0),1))</f>
        <v/>
      </c>
      <c r="B1053" s="8" t="str">
        <f t="array" ref="B1053">IF(1049&gt;$S$1204,"",INDEX($T$5:$AJ$1204,MATCH(1049,$S$5:$S$1204,0),2))</f>
        <v/>
      </c>
      <c r="C1053" s="10" t="str">
        <f t="array" ref="C1053">IF(1049&gt;$S$1204,"",INDEX($T$5:$AJ$1204,MATCH(1049,$S$5:$S$1204,0),3))</f>
        <v/>
      </c>
      <c r="D1053" s="8" t="str">
        <f t="array" ref="D1053">IF(1049&gt;$S$1204,"",INDEX($T$5:$AJ$1204,MATCH(1049,$S$5:$S$1204,0),4))</f>
        <v/>
      </c>
      <c r="E1053" s="8" t="str">
        <f t="array" ref="E1053">IF(1049&gt;$S$1204,"",INDEX($T$5:$AJ$1204,MATCH(1049,$S$5:$S$1204,0),5))</f>
        <v/>
      </c>
      <c r="F1053" s="8" t="str">
        <f t="array" ref="F1053">IF(1049&gt;$S$1204,"",INDEX($T$5:$AJ$1204,MATCH(1049,$S$5:$S$1204,0),6))</f>
        <v/>
      </c>
      <c r="G1053" s="8" t="str">
        <f t="array" ref="G1053">IF(1049&gt;$S$1204,"",INDEX($T$5:$AJ$1204,MATCH(1049,$S$5:$S$1204,0),7))</f>
        <v/>
      </c>
      <c r="H1053" s="8" t="str">
        <f t="array" ref="H1053">IF(1049&gt;$S$1204,"",INDEX($T$5:$AJ$1204,MATCH(1049,$S$5:$S$1204,0),8))</f>
        <v/>
      </c>
      <c r="I1053" s="8" t="str">
        <f t="array" ref="I1053">IF(1049&gt;$S$1204,"",INDEX($T$5:$AJ$1204,MATCH(1049,$S$5:$S$1204,0),9))</f>
        <v/>
      </c>
      <c r="J1053" s="14" t="str">
        <f t="array" ref="J1053">IF(1049&gt;$S$1204,"",INDEX($T$5:$AJ$1204,MATCH(1049,$S$5:$S$1204,0),10))</f>
        <v/>
      </c>
      <c r="K1053" s="8" t="str">
        <f t="array" ref="K1053">IF(1049&gt;$S$1204,"",INDEX($T$5:$AJ$1204,MATCH(1049,$S$5:$S$1204,0),11))</f>
        <v/>
      </c>
      <c r="L1053" s="8" t="str">
        <f t="array" ref="L1053">IF(1049&gt;$S$1204,"",INDEX($T$5:$AJ$1204,MATCH(1049,$S$5:$S$1204,0),12))</f>
        <v/>
      </c>
      <c r="M1053" s="8" t="str">
        <f t="array" ref="M1053">IF(1049&gt;$S$1204,"",INDEX($T$5:$AJ$1204,MATCH(1049,$S$5:$S$1204,0),13))</f>
        <v/>
      </c>
      <c r="N1053" s="8" t="str">
        <f t="array" ref="N1053">IF(1049&gt;$S$1204,"",INDEX($T$5:$AJ$1204,MATCH(1049,$S$5:$S$1204,0),14))</f>
        <v/>
      </c>
      <c r="O1053" s="15" t="str">
        <f t="array" ref="O1053">IF(1049&gt;$S$1204,"",INDEX($T$5:$AJ$1204,MATCH(1049,$S$5:$S$1204,0),15))</f>
        <v/>
      </c>
      <c r="P1053" s="8" t="str">
        <f t="array" ref="P1053">IF(1049&gt;$S$1204,"",INDEX($T$5:$AJ$1204,MATCH(1049,$S$5:$S$1204,0),16))</f>
        <v/>
      </c>
      <c r="Q1053" s="8" t="str">
        <f t="array" ref="Q1053">IF(1049&gt;$S$1204,"",INDEX($T$5:$AJ$1204,MATCH(1049,$S$5:$S$1204,0),17))</f>
        <v/>
      </c>
      <c r="R1053" s="17"/>
      <c r="S1053" s="17">
        <f>S1052+IF(M6_Puntos_Control!A57="",0,1)</f>
        <v>0</v>
      </c>
      <c r="T1053" s="17" t="str">
        <f>IF(M6_Puntos_Control!A57="","",IF(M6_Puntos_Control!A57="","",M6_Puntos_Control!A57))</f>
        <v/>
      </c>
      <c r="U1053" s="17" t="str">
        <f>IF(M6_Puntos_Control!A57="","",IF(M6_Puntos_Control!R57="","",M6_Puntos_Control!R57))</f>
        <v/>
      </c>
      <c r="V1053" s="17" t="str">
        <f>IF(M6_Puntos_Control!A57="","",IF(M6_Puntos_Control!D57="","",M6_Puntos_Control!D57))</f>
        <v/>
      </c>
      <c r="W1053" s="17" t="str">
        <f>IF(M6_Puntos_Control!A57="","",IF(M6_Puntos_Control!B57="","",M6_Puntos_Control!B57))</f>
        <v/>
      </c>
      <c r="X1053" s="17" t="str">
        <f>IF(M6_Puntos_Control!A57="","",IF(M6_Puntos_Control!C57="","",M6_Puntos_Control!C57))</f>
        <v/>
      </c>
      <c r="Y1053" s="17" t="str">
        <f>IF(M6_Puntos_Control!A57="","",IF(M6_Puntos_Control!E57="","",M6_Puntos_Control!E57))</f>
        <v/>
      </c>
      <c r="Z1053" s="17" t="str">
        <f>IF(M6_Puntos_Control!A57="","",IF(M6_Puntos_Control!F57="","",M6_Puntos_Control!F57))</f>
        <v/>
      </c>
      <c r="AA1053" s="17" t="str">
        <f>IF(M6_Puntos_Control!A57="","","M6 Puntos de control")</f>
        <v/>
      </c>
      <c r="AB1053" s="17" t="str">
        <f>IF(M6_Puntos_Control!A57="","",IF(M6_Puntos_Control!G57="","",M6_Puntos_Control!G57))</f>
        <v/>
      </c>
      <c r="AC1053" s="17" t="str">
        <f>IF(M6_Puntos_Control!A57="","",IF(M6_Puntos_Control!K57="Sí",IF(COUNTIFS(M6_Puntos_Control!$A$9:A57,M6_Puntos_Control!A57,M6_Puntos_Control!$D$9:D57,M6_Puntos_Control!D57,M6_Puntos_Control!$G$9:G57,M6_Puntos_Control!G57,M6_Puntos_Control!$H$9:H57,M6_Puntos_Control!H57,M6_Puntos_Control!$K$9:K57,"Sí")=1,IF(M6_Puntos_Control!M57="","",M6_Puntos_Control!M57),""),""))</f>
        <v/>
      </c>
      <c r="AD1053" s="17" t="str">
        <f>IF(M6_Puntos_Control!A57="","","RD")</f>
        <v/>
      </c>
      <c r="AE1053" s="17" t="str">
        <f>IF(M6_Puntos_Control!A57="","",IF(M6_Puntos_Control!O57="","",M6_Puntos_Control!O57))</f>
        <v/>
      </c>
      <c r="AF1053" s="17" t="str">
        <f>IF(M6_Puntos_Control!A57="","",IF(M6_Puntos_Control!P57="","",M6_Puntos_Control!P57))</f>
        <v/>
      </c>
      <c r="AG1053" s="17" t="str">
        <f>IF(M6_Puntos_Control!A57="","",IF(M6_Puntos_Control!Q57="","",M6_Puntos_Control!Q57))</f>
        <v/>
      </c>
      <c r="AH1053" s="17" t="str">
        <f>IF(M6_Puntos_Control!A57="","",IF(M6_Puntos_Control!I57="","",M6_Puntos_Control!I57))</f>
        <v/>
      </c>
      <c r="AI1053" s="17" t="str">
        <f>IF(M6_Puntos_Control!A57="","","M6_Puntos_Control!57")</f>
        <v/>
      </c>
      <c r="AJ1053" s="17" t="str">
        <f>IF(M6_Puntos_Control!A57="","",IF(M6_Puntos_Control!K57&lt;&gt;"Sí","Punto de comparación",IF(COUNTIFS(M6_Puntos_Control!$A$9:A57,M6_Puntos_Control!A57,M6_Puntos_Control!$D$9:D57,M6_Puntos_Control!D57,M6_Puntos_Control!$G$9:G57,M6_Puntos_Control!G57,M6_Puntos_Control!$H$9:H57,M6_Puntos_Control!H57,M6_Puntos_Control!$K$9:K57,"Sí")=1,IF(M6_Puntos_Control!M57="","Pendiente de resultado","Punto oficial"),"Revisar: varios puntos oficiales")))</f>
        <v/>
      </c>
    </row>
    <row r="1054" spans="1:36" ht="55.5" customHeight="1">
      <c r="A1054" s="6" t="str">
        <f t="array" ref="A1054">IF(1050&gt;$S$1204,"",INDEX($T$5:$AJ$1204,MATCH(1050,$S$5:$S$1204,0),1))</f>
        <v/>
      </c>
      <c r="B1054" s="8" t="str">
        <f t="array" ref="B1054">IF(1050&gt;$S$1204,"",INDEX($T$5:$AJ$1204,MATCH(1050,$S$5:$S$1204,0),2))</f>
        <v/>
      </c>
      <c r="C1054" s="10" t="str">
        <f t="array" ref="C1054">IF(1050&gt;$S$1204,"",INDEX($T$5:$AJ$1204,MATCH(1050,$S$5:$S$1204,0),3))</f>
        <v/>
      </c>
      <c r="D1054" s="8" t="str">
        <f t="array" ref="D1054">IF(1050&gt;$S$1204,"",INDEX($T$5:$AJ$1204,MATCH(1050,$S$5:$S$1204,0),4))</f>
        <v/>
      </c>
      <c r="E1054" s="8" t="str">
        <f t="array" ref="E1054">IF(1050&gt;$S$1204,"",INDEX($T$5:$AJ$1204,MATCH(1050,$S$5:$S$1204,0),5))</f>
        <v/>
      </c>
      <c r="F1054" s="8" t="str">
        <f t="array" ref="F1054">IF(1050&gt;$S$1204,"",INDEX($T$5:$AJ$1204,MATCH(1050,$S$5:$S$1204,0),6))</f>
        <v/>
      </c>
      <c r="G1054" s="8" t="str">
        <f t="array" ref="G1054">IF(1050&gt;$S$1204,"",INDEX($T$5:$AJ$1204,MATCH(1050,$S$5:$S$1204,0),7))</f>
        <v/>
      </c>
      <c r="H1054" s="8" t="str">
        <f t="array" ref="H1054">IF(1050&gt;$S$1204,"",INDEX($T$5:$AJ$1204,MATCH(1050,$S$5:$S$1204,0),8))</f>
        <v/>
      </c>
      <c r="I1054" s="8" t="str">
        <f t="array" ref="I1054">IF(1050&gt;$S$1204,"",INDEX($T$5:$AJ$1204,MATCH(1050,$S$5:$S$1204,0),9))</f>
        <v/>
      </c>
      <c r="J1054" s="14" t="str">
        <f t="array" ref="J1054">IF(1050&gt;$S$1204,"",INDEX($T$5:$AJ$1204,MATCH(1050,$S$5:$S$1204,0),10))</f>
        <v/>
      </c>
      <c r="K1054" s="8" t="str">
        <f t="array" ref="K1054">IF(1050&gt;$S$1204,"",INDEX($T$5:$AJ$1204,MATCH(1050,$S$5:$S$1204,0),11))</f>
        <v/>
      </c>
      <c r="L1054" s="8" t="str">
        <f t="array" ref="L1054">IF(1050&gt;$S$1204,"",INDEX($T$5:$AJ$1204,MATCH(1050,$S$5:$S$1204,0),12))</f>
        <v/>
      </c>
      <c r="M1054" s="8" t="str">
        <f t="array" ref="M1054">IF(1050&gt;$S$1204,"",INDEX($T$5:$AJ$1204,MATCH(1050,$S$5:$S$1204,0),13))</f>
        <v/>
      </c>
      <c r="N1054" s="8" t="str">
        <f t="array" ref="N1054">IF(1050&gt;$S$1204,"",INDEX($T$5:$AJ$1204,MATCH(1050,$S$5:$S$1204,0),14))</f>
        <v/>
      </c>
      <c r="O1054" s="15" t="str">
        <f t="array" ref="O1054">IF(1050&gt;$S$1204,"",INDEX($T$5:$AJ$1204,MATCH(1050,$S$5:$S$1204,0),15))</f>
        <v/>
      </c>
      <c r="P1054" s="8" t="str">
        <f t="array" ref="P1054">IF(1050&gt;$S$1204,"",INDEX($T$5:$AJ$1204,MATCH(1050,$S$5:$S$1204,0),16))</f>
        <v/>
      </c>
      <c r="Q1054" s="8" t="str">
        <f t="array" ref="Q1054">IF(1050&gt;$S$1204,"",INDEX($T$5:$AJ$1204,MATCH(1050,$S$5:$S$1204,0),17))</f>
        <v/>
      </c>
      <c r="R1054" s="17"/>
      <c r="S1054" s="17">
        <f>S1053+IF(M6_Puntos_Control!A58="",0,1)</f>
        <v>0</v>
      </c>
      <c r="T1054" s="17" t="str">
        <f>IF(M6_Puntos_Control!A58="","",IF(M6_Puntos_Control!A58="","",M6_Puntos_Control!A58))</f>
        <v/>
      </c>
      <c r="U1054" s="17" t="str">
        <f>IF(M6_Puntos_Control!A58="","",IF(M6_Puntos_Control!R58="","",M6_Puntos_Control!R58))</f>
        <v/>
      </c>
      <c r="V1054" s="17" t="str">
        <f>IF(M6_Puntos_Control!A58="","",IF(M6_Puntos_Control!D58="","",M6_Puntos_Control!D58))</f>
        <v/>
      </c>
      <c r="W1054" s="17" t="str">
        <f>IF(M6_Puntos_Control!A58="","",IF(M6_Puntos_Control!B58="","",M6_Puntos_Control!B58))</f>
        <v/>
      </c>
      <c r="X1054" s="17" t="str">
        <f>IF(M6_Puntos_Control!A58="","",IF(M6_Puntos_Control!C58="","",M6_Puntos_Control!C58))</f>
        <v/>
      </c>
      <c r="Y1054" s="17" t="str">
        <f>IF(M6_Puntos_Control!A58="","",IF(M6_Puntos_Control!E58="","",M6_Puntos_Control!E58))</f>
        <v/>
      </c>
      <c r="Z1054" s="17" t="str">
        <f>IF(M6_Puntos_Control!A58="","",IF(M6_Puntos_Control!F58="","",M6_Puntos_Control!F58))</f>
        <v/>
      </c>
      <c r="AA1054" s="17" t="str">
        <f>IF(M6_Puntos_Control!A58="","","M6 Puntos de control")</f>
        <v/>
      </c>
      <c r="AB1054" s="17" t="str">
        <f>IF(M6_Puntos_Control!A58="","",IF(M6_Puntos_Control!G58="","",M6_Puntos_Control!G58))</f>
        <v/>
      </c>
      <c r="AC1054" s="17" t="str">
        <f>IF(M6_Puntos_Control!A58="","",IF(M6_Puntos_Control!K58="Sí",IF(COUNTIFS(M6_Puntos_Control!$A$9:A58,M6_Puntos_Control!A58,M6_Puntos_Control!$D$9:D58,M6_Puntos_Control!D58,M6_Puntos_Control!$G$9:G58,M6_Puntos_Control!G58,M6_Puntos_Control!$H$9:H58,M6_Puntos_Control!H58,M6_Puntos_Control!$K$9:K58,"Sí")=1,IF(M6_Puntos_Control!M58="","",M6_Puntos_Control!M58),""),""))</f>
        <v/>
      </c>
      <c r="AD1054" s="17" t="str">
        <f>IF(M6_Puntos_Control!A58="","","RD")</f>
        <v/>
      </c>
      <c r="AE1054" s="17" t="str">
        <f>IF(M6_Puntos_Control!A58="","",IF(M6_Puntos_Control!O58="","",M6_Puntos_Control!O58))</f>
        <v/>
      </c>
      <c r="AF1054" s="17" t="str">
        <f>IF(M6_Puntos_Control!A58="","",IF(M6_Puntos_Control!P58="","",M6_Puntos_Control!P58))</f>
        <v/>
      </c>
      <c r="AG1054" s="17" t="str">
        <f>IF(M6_Puntos_Control!A58="","",IF(M6_Puntos_Control!Q58="","",M6_Puntos_Control!Q58))</f>
        <v/>
      </c>
      <c r="AH1054" s="17" t="str">
        <f>IF(M6_Puntos_Control!A58="","",IF(M6_Puntos_Control!I58="","",M6_Puntos_Control!I58))</f>
        <v/>
      </c>
      <c r="AI1054" s="17" t="str">
        <f>IF(M6_Puntos_Control!A58="","","M6_Puntos_Control!58")</f>
        <v/>
      </c>
      <c r="AJ1054" s="17" t="str">
        <f>IF(M6_Puntos_Control!A58="","",IF(M6_Puntos_Control!K58&lt;&gt;"Sí","Punto de comparación",IF(COUNTIFS(M6_Puntos_Control!$A$9:A58,M6_Puntos_Control!A58,M6_Puntos_Control!$D$9:D58,M6_Puntos_Control!D58,M6_Puntos_Control!$G$9:G58,M6_Puntos_Control!G58,M6_Puntos_Control!$H$9:H58,M6_Puntos_Control!H58,M6_Puntos_Control!$K$9:K58,"Sí")=1,IF(M6_Puntos_Control!M58="","Pendiente de resultado","Punto oficial"),"Revisar: varios puntos oficiales")))</f>
        <v/>
      </c>
    </row>
    <row r="1055" spans="1:36" ht="55.5" customHeight="1">
      <c r="A1055" s="6" t="str">
        <f t="array" ref="A1055">IF(1051&gt;$S$1204,"",INDEX($T$5:$AJ$1204,MATCH(1051,$S$5:$S$1204,0),1))</f>
        <v/>
      </c>
      <c r="B1055" s="8" t="str">
        <f t="array" ref="B1055">IF(1051&gt;$S$1204,"",INDEX($T$5:$AJ$1204,MATCH(1051,$S$5:$S$1204,0),2))</f>
        <v/>
      </c>
      <c r="C1055" s="10" t="str">
        <f t="array" ref="C1055">IF(1051&gt;$S$1204,"",INDEX($T$5:$AJ$1204,MATCH(1051,$S$5:$S$1204,0),3))</f>
        <v/>
      </c>
      <c r="D1055" s="8" t="str">
        <f t="array" ref="D1055">IF(1051&gt;$S$1204,"",INDEX($T$5:$AJ$1204,MATCH(1051,$S$5:$S$1204,0),4))</f>
        <v/>
      </c>
      <c r="E1055" s="8" t="str">
        <f t="array" ref="E1055">IF(1051&gt;$S$1204,"",INDEX($T$5:$AJ$1204,MATCH(1051,$S$5:$S$1204,0),5))</f>
        <v/>
      </c>
      <c r="F1055" s="8" t="str">
        <f t="array" ref="F1055">IF(1051&gt;$S$1204,"",INDEX($T$5:$AJ$1204,MATCH(1051,$S$5:$S$1204,0),6))</f>
        <v/>
      </c>
      <c r="G1055" s="8" t="str">
        <f t="array" ref="G1055">IF(1051&gt;$S$1204,"",INDEX($T$5:$AJ$1204,MATCH(1051,$S$5:$S$1204,0),7))</f>
        <v/>
      </c>
      <c r="H1055" s="8" t="str">
        <f t="array" ref="H1055">IF(1051&gt;$S$1204,"",INDEX($T$5:$AJ$1204,MATCH(1051,$S$5:$S$1204,0),8))</f>
        <v/>
      </c>
      <c r="I1055" s="8" t="str">
        <f t="array" ref="I1055">IF(1051&gt;$S$1204,"",INDEX($T$5:$AJ$1204,MATCH(1051,$S$5:$S$1204,0),9))</f>
        <v/>
      </c>
      <c r="J1055" s="14" t="str">
        <f t="array" ref="J1055">IF(1051&gt;$S$1204,"",INDEX($T$5:$AJ$1204,MATCH(1051,$S$5:$S$1204,0),10))</f>
        <v/>
      </c>
      <c r="K1055" s="8" t="str">
        <f t="array" ref="K1055">IF(1051&gt;$S$1204,"",INDEX($T$5:$AJ$1204,MATCH(1051,$S$5:$S$1204,0),11))</f>
        <v/>
      </c>
      <c r="L1055" s="8" t="str">
        <f t="array" ref="L1055">IF(1051&gt;$S$1204,"",INDEX($T$5:$AJ$1204,MATCH(1051,$S$5:$S$1204,0),12))</f>
        <v/>
      </c>
      <c r="M1055" s="8" t="str">
        <f t="array" ref="M1055">IF(1051&gt;$S$1204,"",INDEX($T$5:$AJ$1204,MATCH(1051,$S$5:$S$1204,0),13))</f>
        <v/>
      </c>
      <c r="N1055" s="8" t="str">
        <f t="array" ref="N1055">IF(1051&gt;$S$1204,"",INDEX($T$5:$AJ$1204,MATCH(1051,$S$5:$S$1204,0),14))</f>
        <v/>
      </c>
      <c r="O1055" s="15" t="str">
        <f t="array" ref="O1055">IF(1051&gt;$S$1204,"",INDEX($T$5:$AJ$1204,MATCH(1051,$S$5:$S$1204,0),15))</f>
        <v/>
      </c>
      <c r="P1055" s="8" t="str">
        <f t="array" ref="P1055">IF(1051&gt;$S$1204,"",INDEX($T$5:$AJ$1204,MATCH(1051,$S$5:$S$1204,0),16))</f>
        <v/>
      </c>
      <c r="Q1055" s="8" t="str">
        <f t="array" ref="Q1055">IF(1051&gt;$S$1204,"",INDEX($T$5:$AJ$1204,MATCH(1051,$S$5:$S$1204,0),17))</f>
        <v/>
      </c>
      <c r="R1055" s="17"/>
      <c r="S1055" s="17">
        <f>S1054+IF(M6_Puntos_Control!A59="",0,1)</f>
        <v>0</v>
      </c>
      <c r="T1055" s="17" t="str">
        <f>IF(M6_Puntos_Control!A59="","",IF(M6_Puntos_Control!A59="","",M6_Puntos_Control!A59))</f>
        <v/>
      </c>
      <c r="U1055" s="17" t="str">
        <f>IF(M6_Puntos_Control!A59="","",IF(M6_Puntos_Control!R59="","",M6_Puntos_Control!R59))</f>
        <v/>
      </c>
      <c r="V1055" s="17" t="str">
        <f>IF(M6_Puntos_Control!A59="","",IF(M6_Puntos_Control!D59="","",M6_Puntos_Control!D59))</f>
        <v/>
      </c>
      <c r="W1055" s="17" t="str">
        <f>IF(M6_Puntos_Control!A59="","",IF(M6_Puntos_Control!B59="","",M6_Puntos_Control!B59))</f>
        <v/>
      </c>
      <c r="X1055" s="17" t="str">
        <f>IF(M6_Puntos_Control!A59="","",IF(M6_Puntos_Control!C59="","",M6_Puntos_Control!C59))</f>
        <v/>
      </c>
      <c r="Y1055" s="17" t="str">
        <f>IF(M6_Puntos_Control!A59="","",IF(M6_Puntos_Control!E59="","",M6_Puntos_Control!E59))</f>
        <v/>
      </c>
      <c r="Z1055" s="17" t="str">
        <f>IF(M6_Puntos_Control!A59="","",IF(M6_Puntos_Control!F59="","",M6_Puntos_Control!F59))</f>
        <v/>
      </c>
      <c r="AA1055" s="17" t="str">
        <f>IF(M6_Puntos_Control!A59="","","M6 Puntos de control")</f>
        <v/>
      </c>
      <c r="AB1055" s="17" t="str">
        <f>IF(M6_Puntos_Control!A59="","",IF(M6_Puntos_Control!G59="","",M6_Puntos_Control!G59))</f>
        <v/>
      </c>
      <c r="AC1055" s="17" t="str">
        <f>IF(M6_Puntos_Control!A59="","",IF(M6_Puntos_Control!K59="Sí",IF(COUNTIFS(M6_Puntos_Control!$A$9:A59,M6_Puntos_Control!A59,M6_Puntos_Control!$D$9:D59,M6_Puntos_Control!D59,M6_Puntos_Control!$G$9:G59,M6_Puntos_Control!G59,M6_Puntos_Control!$H$9:H59,M6_Puntos_Control!H59,M6_Puntos_Control!$K$9:K59,"Sí")=1,IF(M6_Puntos_Control!M59="","",M6_Puntos_Control!M59),""),""))</f>
        <v/>
      </c>
      <c r="AD1055" s="17" t="str">
        <f>IF(M6_Puntos_Control!A59="","","RD")</f>
        <v/>
      </c>
      <c r="AE1055" s="17" t="str">
        <f>IF(M6_Puntos_Control!A59="","",IF(M6_Puntos_Control!O59="","",M6_Puntos_Control!O59))</f>
        <v/>
      </c>
      <c r="AF1055" s="17" t="str">
        <f>IF(M6_Puntos_Control!A59="","",IF(M6_Puntos_Control!P59="","",M6_Puntos_Control!P59))</f>
        <v/>
      </c>
      <c r="AG1055" s="17" t="str">
        <f>IF(M6_Puntos_Control!A59="","",IF(M6_Puntos_Control!Q59="","",M6_Puntos_Control!Q59))</f>
        <v/>
      </c>
      <c r="AH1055" s="17" t="str">
        <f>IF(M6_Puntos_Control!A59="","",IF(M6_Puntos_Control!I59="","",M6_Puntos_Control!I59))</f>
        <v/>
      </c>
      <c r="AI1055" s="17" t="str">
        <f>IF(M6_Puntos_Control!A59="","","M6_Puntos_Control!59")</f>
        <v/>
      </c>
      <c r="AJ1055" s="17" t="str">
        <f>IF(M6_Puntos_Control!A59="","",IF(M6_Puntos_Control!K59&lt;&gt;"Sí","Punto de comparación",IF(COUNTIFS(M6_Puntos_Control!$A$9:A59,M6_Puntos_Control!A59,M6_Puntos_Control!$D$9:D59,M6_Puntos_Control!D59,M6_Puntos_Control!$G$9:G59,M6_Puntos_Control!G59,M6_Puntos_Control!$H$9:H59,M6_Puntos_Control!H59,M6_Puntos_Control!$K$9:K59,"Sí")=1,IF(M6_Puntos_Control!M59="","Pendiente de resultado","Punto oficial"),"Revisar: varios puntos oficiales")))</f>
        <v/>
      </c>
    </row>
    <row r="1056" spans="1:36" ht="55.5" customHeight="1">
      <c r="A1056" s="6" t="str">
        <f t="array" ref="A1056">IF(1052&gt;$S$1204,"",INDEX($T$5:$AJ$1204,MATCH(1052,$S$5:$S$1204,0),1))</f>
        <v/>
      </c>
      <c r="B1056" s="8" t="str">
        <f t="array" ref="B1056">IF(1052&gt;$S$1204,"",INDEX($T$5:$AJ$1204,MATCH(1052,$S$5:$S$1204,0),2))</f>
        <v/>
      </c>
      <c r="C1056" s="10" t="str">
        <f t="array" ref="C1056">IF(1052&gt;$S$1204,"",INDEX($T$5:$AJ$1204,MATCH(1052,$S$5:$S$1204,0),3))</f>
        <v/>
      </c>
      <c r="D1056" s="8" t="str">
        <f t="array" ref="D1056">IF(1052&gt;$S$1204,"",INDEX($T$5:$AJ$1204,MATCH(1052,$S$5:$S$1204,0),4))</f>
        <v/>
      </c>
      <c r="E1056" s="8" t="str">
        <f t="array" ref="E1056">IF(1052&gt;$S$1204,"",INDEX($T$5:$AJ$1204,MATCH(1052,$S$5:$S$1204,0),5))</f>
        <v/>
      </c>
      <c r="F1056" s="8" t="str">
        <f t="array" ref="F1056">IF(1052&gt;$S$1204,"",INDEX($T$5:$AJ$1204,MATCH(1052,$S$5:$S$1204,0),6))</f>
        <v/>
      </c>
      <c r="G1056" s="8" t="str">
        <f t="array" ref="G1056">IF(1052&gt;$S$1204,"",INDEX($T$5:$AJ$1204,MATCH(1052,$S$5:$S$1204,0),7))</f>
        <v/>
      </c>
      <c r="H1056" s="8" t="str">
        <f t="array" ref="H1056">IF(1052&gt;$S$1204,"",INDEX($T$5:$AJ$1204,MATCH(1052,$S$5:$S$1204,0),8))</f>
        <v/>
      </c>
      <c r="I1056" s="8" t="str">
        <f t="array" ref="I1056">IF(1052&gt;$S$1204,"",INDEX($T$5:$AJ$1204,MATCH(1052,$S$5:$S$1204,0),9))</f>
        <v/>
      </c>
      <c r="J1056" s="14" t="str">
        <f t="array" ref="J1056">IF(1052&gt;$S$1204,"",INDEX($T$5:$AJ$1204,MATCH(1052,$S$5:$S$1204,0),10))</f>
        <v/>
      </c>
      <c r="K1056" s="8" t="str">
        <f t="array" ref="K1056">IF(1052&gt;$S$1204,"",INDEX($T$5:$AJ$1204,MATCH(1052,$S$5:$S$1204,0),11))</f>
        <v/>
      </c>
      <c r="L1056" s="8" t="str">
        <f t="array" ref="L1056">IF(1052&gt;$S$1204,"",INDEX($T$5:$AJ$1204,MATCH(1052,$S$5:$S$1204,0),12))</f>
        <v/>
      </c>
      <c r="M1056" s="8" t="str">
        <f t="array" ref="M1056">IF(1052&gt;$S$1204,"",INDEX($T$5:$AJ$1204,MATCH(1052,$S$5:$S$1204,0),13))</f>
        <v/>
      </c>
      <c r="N1056" s="8" t="str">
        <f t="array" ref="N1056">IF(1052&gt;$S$1204,"",INDEX($T$5:$AJ$1204,MATCH(1052,$S$5:$S$1204,0),14))</f>
        <v/>
      </c>
      <c r="O1056" s="15" t="str">
        <f t="array" ref="O1056">IF(1052&gt;$S$1204,"",INDEX($T$5:$AJ$1204,MATCH(1052,$S$5:$S$1204,0),15))</f>
        <v/>
      </c>
      <c r="P1056" s="8" t="str">
        <f t="array" ref="P1056">IF(1052&gt;$S$1204,"",INDEX($T$5:$AJ$1204,MATCH(1052,$S$5:$S$1204,0),16))</f>
        <v/>
      </c>
      <c r="Q1056" s="8" t="str">
        <f t="array" ref="Q1056">IF(1052&gt;$S$1204,"",INDEX($T$5:$AJ$1204,MATCH(1052,$S$5:$S$1204,0),17))</f>
        <v/>
      </c>
      <c r="R1056" s="17"/>
      <c r="S1056" s="17">
        <f>S1055+IF(M6_Puntos_Control!A60="",0,1)</f>
        <v>0</v>
      </c>
      <c r="T1056" s="17" t="str">
        <f>IF(M6_Puntos_Control!A60="","",IF(M6_Puntos_Control!A60="","",M6_Puntos_Control!A60))</f>
        <v/>
      </c>
      <c r="U1056" s="17" t="str">
        <f>IF(M6_Puntos_Control!A60="","",IF(M6_Puntos_Control!R60="","",M6_Puntos_Control!R60))</f>
        <v/>
      </c>
      <c r="V1056" s="17" t="str">
        <f>IF(M6_Puntos_Control!A60="","",IF(M6_Puntos_Control!D60="","",M6_Puntos_Control!D60))</f>
        <v/>
      </c>
      <c r="W1056" s="17" t="str">
        <f>IF(M6_Puntos_Control!A60="","",IF(M6_Puntos_Control!B60="","",M6_Puntos_Control!B60))</f>
        <v/>
      </c>
      <c r="X1056" s="17" t="str">
        <f>IF(M6_Puntos_Control!A60="","",IF(M6_Puntos_Control!C60="","",M6_Puntos_Control!C60))</f>
        <v/>
      </c>
      <c r="Y1056" s="17" t="str">
        <f>IF(M6_Puntos_Control!A60="","",IF(M6_Puntos_Control!E60="","",M6_Puntos_Control!E60))</f>
        <v/>
      </c>
      <c r="Z1056" s="17" t="str">
        <f>IF(M6_Puntos_Control!A60="","",IF(M6_Puntos_Control!F60="","",M6_Puntos_Control!F60))</f>
        <v/>
      </c>
      <c r="AA1056" s="17" t="str">
        <f>IF(M6_Puntos_Control!A60="","","M6 Puntos de control")</f>
        <v/>
      </c>
      <c r="AB1056" s="17" t="str">
        <f>IF(M6_Puntos_Control!A60="","",IF(M6_Puntos_Control!G60="","",M6_Puntos_Control!G60))</f>
        <v/>
      </c>
      <c r="AC1056" s="17" t="str">
        <f>IF(M6_Puntos_Control!A60="","",IF(M6_Puntos_Control!K60="Sí",IF(COUNTIFS(M6_Puntos_Control!$A$9:A60,M6_Puntos_Control!A60,M6_Puntos_Control!$D$9:D60,M6_Puntos_Control!D60,M6_Puntos_Control!$G$9:G60,M6_Puntos_Control!G60,M6_Puntos_Control!$H$9:H60,M6_Puntos_Control!H60,M6_Puntos_Control!$K$9:K60,"Sí")=1,IF(M6_Puntos_Control!M60="","",M6_Puntos_Control!M60),""),""))</f>
        <v/>
      </c>
      <c r="AD1056" s="17" t="str">
        <f>IF(M6_Puntos_Control!A60="","","RD")</f>
        <v/>
      </c>
      <c r="AE1056" s="17" t="str">
        <f>IF(M6_Puntos_Control!A60="","",IF(M6_Puntos_Control!O60="","",M6_Puntos_Control!O60))</f>
        <v/>
      </c>
      <c r="AF1056" s="17" t="str">
        <f>IF(M6_Puntos_Control!A60="","",IF(M6_Puntos_Control!P60="","",M6_Puntos_Control!P60))</f>
        <v/>
      </c>
      <c r="AG1056" s="17" t="str">
        <f>IF(M6_Puntos_Control!A60="","",IF(M6_Puntos_Control!Q60="","",M6_Puntos_Control!Q60))</f>
        <v/>
      </c>
      <c r="AH1056" s="17" t="str">
        <f>IF(M6_Puntos_Control!A60="","",IF(M6_Puntos_Control!I60="","",M6_Puntos_Control!I60))</f>
        <v/>
      </c>
      <c r="AI1056" s="17" t="str">
        <f>IF(M6_Puntos_Control!A60="","","M6_Puntos_Control!60")</f>
        <v/>
      </c>
      <c r="AJ1056" s="17" t="str">
        <f>IF(M6_Puntos_Control!A60="","",IF(M6_Puntos_Control!K60&lt;&gt;"Sí","Punto de comparación",IF(COUNTIFS(M6_Puntos_Control!$A$9:A60,M6_Puntos_Control!A60,M6_Puntos_Control!$D$9:D60,M6_Puntos_Control!D60,M6_Puntos_Control!$G$9:G60,M6_Puntos_Control!G60,M6_Puntos_Control!$H$9:H60,M6_Puntos_Control!H60,M6_Puntos_Control!$K$9:K60,"Sí")=1,IF(M6_Puntos_Control!M60="","Pendiente de resultado","Punto oficial"),"Revisar: varios puntos oficiales")))</f>
        <v/>
      </c>
    </row>
    <row r="1057" spans="1:36" ht="55.5" customHeight="1">
      <c r="A1057" s="6" t="str">
        <f t="array" ref="A1057">IF(1053&gt;$S$1204,"",INDEX($T$5:$AJ$1204,MATCH(1053,$S$5:$S$1204,0),1))</f>
        <v/>
      </c>
      <c r="B1057" s="8" t="str">
        <f t="array" ref="B1057">IF(1053&gt;$S$1204,"",INDEX($T$5:$AJ$1204,MATCH(1053,$S$5:$S$1204,0),2))</f>
        <v/>
      </c>
      <c r="C1057" s="10" t="str">
        <f t="array" ref="C1057">IF(1053&gt;$S$1204,"",INDEX($T$5:$AJ$1204,MATCH(1053,$S$5:$S$1204,0),3))</f>
        <v/>
      </c>
      <c r="D1057" s="8" t="str">
        <f t="array" ref="D1057">IF(1053&gt;$S$1204,"",INDEX($T$5:$AJ$1204,MATCH(1053,$S$5:$S$1204,0),4))</f>
        <v/>
      </c>
      <c r="E1057" s="8" t="str">
        <f t="array" ref="E1057">IF(1053&gt;$S$1204,"",INDEX($T$5:$AJ$1204,MATCH(1053,$S$5:$S$1204,0),5))</f>
        <v/>
      </c>
      <c r="F1057" s="8" t="str">
        <f t="array" ref="F1057">IF(1053&gt;$S$1204,"",INDEX($T$5:$AJ$1204,MATCH(1053,$S$5:$S$1204,0),6))</f>
        <v/>
      </c>
      <c r="G1057" s="8" t="str">
        <f t="array" ref="G1057">IF(1053&gt;$S$1204,"",INDEX($T$5:$AJ$1204,MATCH(1053,$S$5:$S$1204,0),7))</f>
        <v/>
      </c>
      <c r="H1057" s="8" t="str">
        <f t="array" ref="H1057">IF(1053&gt;$S$1204,"",INDEX($T$5:$AJ$1204,MATCH(1053,$S$5:$S$1204,0),8))</f>
        <v/>
      </c>
      <c r="I1057" s="8" t="str">
        <f t="array" ref="I1057">IF(1053&gt;$S$1204,"",INDEX($T$5:$AJ$1204,MATCH(1053,$S$5:$S$1204,0),9))</f>
        <v/>
      </c>
      <c r="J1057" s="14" t="str">
        <f t="array" ref="J1057">IF(1053&gt;$S$1204,"",INDEX($T$5:$AJ$1204,MATCH(1053,$S$5:$S$1204,0),10))</f>
        <v/>
      </c>
      <c r="K1057" s="8" t="str">
        <f t="array" ref="K1057">IF(1053&gt;$S$1204,"",INDEX($T$5:$AJ$1204,MATCH(1053,$S$5:$S$1204,0),11))</f>
        <v/>
      </c>
      <c r="L1057" s="8" t="str">
        <f t="array" ref="L1057">IF(1053&gt;$S$1204,"",INDEX($T$5:$AJ$1204,MATCH(1053,$S$5:$S$1204,0),12))</f>
        <v/>
      </c>
      <c r="M1057" s="8" t="str">
        <f t="array" ref="M1057">IF(1053&gt;$S$1204,"",INDEX($T$5:$AJ$1204,MATCH(1053,$S$5:$S$1204,0),13))</f>
        <v/>
      </c>
      <c r="N1057" s="8" t="str">
        <f t="array" ref="N1057">IF(1053&gt;$S$1204,"",INDEX($T$5:$AJ$1204,MATCH(1053,$S$5:$S$1204,0),14))</f>
        <v/>
      </c>
      <c r="O1057" s="15" t="str">
        <f t="array" ref="O1057">IF(1053&gt;$S$1204,"",INDEX($T$5:$AJ$1204,MATCH(1053,$S$5:$S$1204,0),15))</f>
        <v/>
      </c>
      <c r="P1057" s="8" t="str">
        <f t="array" ref="P1057">IF(1053&gt;$S$1204,"",INDEX($T$5:$AJ$1204,MATCH(1053,$S$5:$S$1204,0),16))</f>
        <v/>
      </c>
      <c r="Q1057" s="8" t="str">
        <f t="array" ref="Q1057">IF(1053&gt;$S$1204,"",INDEX($T$5:$AJ$1204,MATCH(1053,$S$5:$S$1204,0),17))</f>
        <v/>
      </c>
      <c r="R1057" s="17"/>
      <c r="S1057" s="17">
        <f>S1056+IF(M6_Puntos_Control!A61="",0,1)</f>
        <v>0</v>
      </c>
      <c r="T1057" s="17" t="str">
        <f>IF(M6_Puntos_Control!A61="","",IF(M6_Puntos_Control!A61="","",M6_Puntos_Control!A61))</f>
        <v/>
      </c>
      <c r="U1057" s="17" t="str">
        <f>IF(M6_Puntos_Control!A61="","",IF(M6_Puntos_Control!R61="","",M6_Puntos_Control!R61))</f>
        <v/>
      </c>
      <c r="V1057" s="17" t="str">
        <f>IF(M6_Puntos_Control!A61="","",IF(M6_Puntos_Control!D61="","",M6_Puntos_Control!D61))</f>
        <v/>
      </c>
      <c r="W1057" s="17" t="str">
        <f>IF(M6_Puntos_Control!A61="","",IF(M6_Puntos_Control!B61="","",M6_Puntos_Control!B61))</f>
        <v/>
      </c>
      <c r="X1057" s="17" t="str">
        <f>IF(M6_Puntos_Control!A61="","",IF(M6_Puntos_Control!C61="","",M6_Puntos_Control!C61))</f>
        <v/>
      </c>
      <c r="Y1057" s="17" t="str">
        <f>IF(M6_Puntos_Control!A61="","",IF(M6_Puntos_Control!E61="","",M6_Puntos_Control!E61))</f>
        <v/>
      </c>
      <c r="Z1057" s="17" t="str">
        <f>IF(M6_Puntos_Control!A61="","",IF(M6_Puntos_Control!F61="","",M6_Puntos_Control!F61))</f>
        <v/>
      </c>
      <c r="AA1057" s="17" t="str">
        <f>IF(M6_Puntos_Control!A61="","","M6 Puntos de control")</f>
        <v/>
      </c>
      <c r="AB1057" s="17" t="str">
        <f>IF(M6_Puntos_Control!A61="","",IF(M6_Puntos_Control!G61="","",M6_Puntos_Control!G61))</f>
        <v/>
      </c>
      <c r="AC1057" s="17" t="str">
        <f>IF(M6_Puntos_Control!A61="","",IF(M6_Puntos_Control!K61="Sí",IF(COUNTIFS(M6_Puntos_Control!$A$9:A61,M6_Puntos_Control!A61,M6_Puntos_Control!$D$9:D61,M6_Puntos_Control!D61,M6_Puntos_Control!$G$9:G61,M6_Puntos_Control!G61,M6_Puntos_Control!$H$9:H61,M6_Puntos_Control!H61,M6_Puntos_Control!$K$9:K61,"Sí")=1,IF(M6_Puntos_Control!M61="","",M6_Puntos_Control!M61),""),""))</f>
        <v/>
      </c>
      <c r="AD1057" s="17" t="str">
        <f>IF(M6_Puntos_Control!A61="","","RD")</f>
        <v/>
      </c>
      <c r="AE1057" s="17" t="str">
        <f>IF(M6_Puntos_Control!A61="","",IF(M6_Puntos_Control!O61="","",M6_Puntos_Control!O61))</f>
        <v/>
      </c>
      <c r="AF1057" s="17" t="str">
        <f>IF(M6_Puntos_Control!A61="","",IF(M6_Puntos_Control!P61="","",M6_Puntos_Control!P61))</f>
        <v/>
      </c>
      <c r="AG1057" s="17" t="str">
        <f>IF(M6_Puntos_Control!A61="","",IF(M6_Puntos_Control!Q61="","",M6_Puntos_Control!Q61))</f>
        <v/>
      </c>
      <c r="AH1057" s="17" t="str">
        <f>IF(M6_Puntos_Control!A61="","",IF(M6_Puntos_Control!I61="","",M6_Puntos_Control!I61))</f>
        <v/>
      </c>
      <c r="AI1057" s="17" t="str">
        <f>IF(M6_Puntos_Control!A61="","","M6_Puntos_Control!61")</f>
        <v/>
      </c>
      <c r="AJ1057" s="17" t="str">
        <f>IF(M6_Puntos_Control!A61="","",IF(M6_Puntos_Control!K61&lt;&gt;"Sí","Punto de comparación",IF(COUNTIFS(M6_Puntos_Control!$A$9:A61,M6_Puntos_Control!A61,M6_Puntos_Control!$D$9:D61,M6_Puntos_Control!D61,M6_Puntos_Control!$G$9:G61,M6_Puntos_Control!G61,M6_Puntos_Control!$H$9:H61,M6_Puntos_Control!H61,M6_Puntos_Control!$K$9:K61,"Sí")=1,IF(M6_Puntos_Control!M61="","Pendiente de resultado","Punto oficial"),"Revisar: varios puntos oficiales")))</f>
        <v/>
      </c>
    </row>
    <row r="1058" spans="1:36" ht="55.5" customHeight="1">
      <c r="A1058" s="6" t="str">
        <f t="array" ref="A1058">IF(1054&gt;$S$1204,"",INDEX($T$5:$AJ$1204,MATCH(1054,$S$5:$S$1204,0),1))</f>
        <v/>
      </c>
      <c r="B1058" s="8" t="str">
        <f t="array" ref="B1058">IF(1054&gt;$S$1204,"",INDEX($T$5:$AJ$1204,MATCH(1054,$S$5:$S$1204,0),2))</f>
        <v/>
      </c>
      <c r="C1058" s="10" t="str">
        <f t="array" ref="C1058">IF(1054&gt;$S$1204,"",INDEX($T$5:$AJ$1204,MATCH(1054,$S$5:$S$1204,0),3))</f>
        <v/>
      </c>
      <c r="D1058" s="8" t="str">
        <f t="array" ref="D1058">IF(1054&gt;$S$1204,"",INDEX($T$5:$AJ$1204,MATCH(1054,$S$5:$S$1204,0),4))</f>
        <v/>
      </c>
      <c r="E1058" s="8" t="str">
        <f t="array" ref="E1058">IF(1054&gt;$S$1204,"",INDEX($T$5:$AJ$1204,MATCH(1054,$S$5:$S$1204,0),5))</f>
        <v/>
      </c>
      <c r="F1058" s="8" t="str">
        <f t="array" ref="F1058">IF(1054&gt;$S$1204,"",INDEX($T$5:$AJ$1204,MATCH(1054,$S$5:$S$1204,0),6))</f>
        <v/>
      </c>
      <c r="G1058" s="8" t="str">
        <f t="array" ref="G1058">IF(1054&gt;$S$1204,"",INDEX($T$5:$AJ$1204,MATCH(1054,$S$5:$S$1204,0),7))</f>
        <v/>
      </c>
      <c r="H1058" s="8" t="str">
        <f t="array" ref="H1058">IF(1054&gt;$S$1204,"",INDEX($T$5:$AJ$1204,MATCH(1054,$S$5:$S$1204,0),8))</f>
        <v/>
      </c>
      <c r="I1058" s="8" t="str">
        <f t="array" ref="I1058">IF(1054&gt;$S$1204,"",INDEX($T$5:$AJ$1204,MATCH(1054,$S$5:$S$1204,0),9))</f>
        <v/>
      </c>
      <c r="J1058" s="14" t="str">
        <f t="array" ref="J1058">IF(1054&gt;$S$1204,"",INDEX($T$5:$AJ$1204,MATCH(1054,$S$5:$S$1204,0),10))</f>
        <v/>
      </c>
      <c r="K1058" s="8" t="str">
        <f t="array" ref="K1058">IF(1054&gt;$S$1204,"",INDEX($T$5:$AJ$1204,MATCH(1054,$S$5:$S$1204,0),11))</f>
        <v/>
      </c>
      <c r="L1058" s="8" t="str">
        <f t="array" ref="L1058">IF(1054&gt;$S$1204,"",INDEX($T$5:$AJ$1204,MATCH(1054,$S$5:$S$1204,0),12))</f>
        <v/>
      </c>
      <c r="M1058" s="8" t="str">
        <f t="array" ref="M1058">IF(1054&gt;$S$1204,"",INDEX($T$5:$AJ$1204,MATCH(1054,$S$5:$S$1204,0),13))</f>
        <v/>
      </c>
      <c r="N1058" s="8" t="str">
        <f t="array" ref="N1058">IF(1054&gt;$S$1204,"",INDEX($T$5:$AJ$1204,MATCH(1054,$S$5:$S$1204,0),14))</f>
        <v/>
      </c>
      <c r="O1058" s="15" t="str">
        <f t="array" ref="O1058">IF(1054&gt;$S$1204,"",INDEX($T$5:$AJ$1204,MATCH(1054,$S$5:$S$1204,0),15))</f>
        <v/>
      </c>
      <c r="P1058" s="8" t="str">
        <f t="array" ref="P1058">IF(1054&gt;$S$1204,"",INDEX($T$5:$AJ$1204,MATCH(1054,$S$5:$S$1204,0),16))</f>
        <v/>
      </c>
      <c r="Q1058" s="8" t="str">
        <f t="array" ref="Q1058">IF(1054&gt;$S$1204,"",INDEX($T$5:$AJ$1204,MATCH(1054,$S$5:$S$1204,0),17))</f>
        <v/>
      </c>
      <c r="R1058" s="17"/>
      <c r="S1058" s="17">
        <f>S1057+IF(M6_Puntos_Control!A62="",0,1)</f>
        <v>0</v>
      </c>
      <c r="T1058" s="17" t="str">
        <f>IF(M6_Puntos_Control!A62="","",IF(M6_Puntos_Control!A62="","",M6_Puntos_Control!A62))</f>
        <v/>
      </c>
      <c r="U1058" s="17" t="str">
        <f>IF(M6_Puntos_Control!A62="","",IF(M6_Puntos_Control!R62="","",M6_Puntos_Control!R62))</f>
        <v/>
      </c>
      <c r="V1058" s="17" t="str">
        <f>IF(M6_Puntos_Control!A62="","",IF(M6_Puntos_Control!D62="","",M6_Puntos_Control!D62))</f>
        <v/>
      </c>
      <c r="W1058" s="17" t="str">
        <f>IF(M6_Puntos_Control!A62="","",IF(M6_Puntos_Control!B62="","",M6_Puntos_Control!B62))</f>
        <v/>
      </c>
      <c r="X1058" s="17" t="str">
        <f>IF(M6_Puntos_Control!A62="","",IF(M6_Puntos_Control!C62="","",M6_Puntos_Control!C62))</f>
        <v/>
      </c>
      <c r="Y1058" s="17" t="str">
        <f>IF(M6_Puntos_Control!A62="","",IF(M6_Puntos_Control!E62="","",M6_Puntos_Control!E62))</f>
        <v/>
      </c>
      <c r="Z1058" s="17" t="str">
        <f>IF(M6_Puntos_Control!A62="","",IF(M6_Puntos_Control!F62="","",M6_Puntos_Control!F62))</f>
        <v/>
      </c>
      <c r="AA1058" s="17" t="str">
        <f>IF(M6_Puntos_Control!A62="","","M6 Puntos de control")</f>
        <v/>
      </c>
      <c r="AB1058" s="17" t="str">
        <f>IF(M6_Puntos_Control!A62="","",IF(M6_Puntos_Control!G62="","",M6_Puntos_Control!G62))</f>
        <v/>
      </c>
      <c r="AC1058" s="17" t="str">
        <f>IF(M6_Puntos_Control!A62="","",IF(M6_Puntos_Control!K62="Sí",IF(COUNTIFS(M6_Puntos_Control!$A$9:A62,M6_Puntos_Control!A62,M6_Puntos_Control!$D$9:D62,M6_Puntos_Control!D62,M6_Puntos_Control!$G$9:G62,M6_Puntos_Control!G62,M6_Puntos_Control!$H$9:H62,M6_Puntos_Control!H62,M6_Puntos_Control!$K$9:K62,"Sí")=1,IF(M6_Puntos_Control!M62="","",M6_Puntos_Control!M62),""),""))</f>
        <v/>
      </c>
      <c r="AD1058" s="17" t="str">
        <f>IF(M6_Puntos_Control!A62="","","RD")</f>
        <v/>
      </c>
      <c r="AE1058" s="17" t="str">
        <f>IF(M6_Puntos_Control!A62="","",IF(M6_Puntos_Control!O62="","",M6_Puntos_Control!O62))</f>
        <v/>
      </c>
      <c r="AF1058" s="17" t="str">
        <f>IF(M6_Puntos_Control!A62="","",IF(M6_Puntos_Control!P62="","",M6_Puntos_Control!P62))</f>
        <v/>
      </c>
      <c r="AG1058" s="17" t="str">
        <f>IF(M6_Puntos_Control!A62="","",IF(M6_Puntos_Control!Q62="","",M6_Puntos_Control!Q62))</f>
        <v/>
      </c>
      <c r="AH1058" s="17" t="str">
        <f>IF(M6_Puntos_Control!A62="","",IF(M6_Puntos_Control!I62="","",M6_Puntos_Control!I62))</f>
        <v/>
      </c>
      <c r="AI1058" s="17" t="str">
        <f>IF(M6_Puntos_Control!A62="","","M6_Puntos_Control!62")</f>
        <v/>
      </c>
      <c r="AJ1058" s="17" t="str">
        <f>IF(M6_Puntos_Control!A62="","",IF(M6_Puntos_Control!K62&lt;&gt;"Sí","Punto de comparación",IF(COUNTIFS(M6_Puntos_Control!$A$9:A62,M6_Puntos_Control!A62,M6_Puntos_Control!$D$9:D62,M6_Puntos_Control!D62,M6_Puntos_Control!$G$9:G62,M6_Puntos_Control!G62,M6_Puntos_Control!$H$9:H62,M6_Puntos_Control!H62,M6_Puntos_Control!$K$9:K62,"Sí")=1,IF(M6_Puntos_Control!M62="","Pendiente de resultado","Punto oficial"),"Revisar: varios puntos oficiales")))</f>
        <v/>
      </c>
    </row>
    <row r="1059" spans="1:36" ht="55.5" customHeight="1">
      <c r="A1059" s="6" t="str">
        <f t="array" ref="A1059">IF(1055&gt;$S$1204,"",INDEX($T$5:$AJ$1204,MATCH(1055,$S$5:$S$1204,0),1))</f>
        <v/>
      </c>
      <c r="B1059" s="8" t="str">
        <f t="array" ref="B1059">IF(1055&gt;$S$1204,"",INDEX($T$5:$AJ$1204,MATCH(1055,$S$5:$S$1204,0),2))</f>
        <v/>
      </c>
      <c r="C1059" s="10" t="str">
        <f t="array" ref="C1059">IF(1055&gt;$S$1204,"",INDEX($T$5:$AJ$1204,MATCH(1055,$S$5:$S$1204,0),3))</f>
        <v/>
      </c>
      <c r="D1059" s="8" t="str">
        <f t="array" ref="D1059">IF(1055&gt;$S$1204,"",INDEX($T$5:$AJ$1204,MATCH(1055,$S$5:$S$1204,0),4))</f>
        <v/>
      </c>
      <c r="E1059" s="8" t="str">
        <f t="array" ref="E1059">IF(1055&gt;$S$1204,"",INDEX($T$5:$AJ$1204,MATCH(1055,$S$5:$S$1204,0),5))</f>
        <v/>
      </c>
      <c r="F1059" s="8" t="str">
        <f t="array" ref="F1059">IF(1055&gt;$S$1204,"",INDEX($T$5:$AJ$1204,MATCH(1055,$S$5:$S$1204,0),6))</f>
        <v/>
      </c>
      <c r="G1059" s="8" t="str">
        <f t="array" ref="G1059">IF(1055&gt;$S$1204,"",INDEX($T$5:$AJ$1204,MATCH(1055,$S$5:$S$1204,0),7))</f>
        <v/>
      </c>
      <c r="H1059" s="8" t="str">
        <f t="array" ref="H1059">IF(1055&gt;$S$1204,"",INDEX($T$5:$AJ$1204,MATCH(1055,$S$5:$S$1204,0),8))</f>
        <v/>
      </c>
      <c r="I1059" s="8" t="str">
        <f t="array" ref="I1059">IF(1055&gt;$S$1204,"",INDEX($T$5:$AJ$1204,MATCH(1055,$S$5:$S$1204,0),9))</f>
        <v/>
      </c>
      <c r="J1059" s="14" t="str">
        <f t="array" ref="J1059">IF(1055&gt;$S$1204,"",INDEX($T$5:$AJ$1204,MATCH(1055,$S$5:$S$1204,0),10))</f>
        <v/>
      </c>
      <c r="K1059" s="8" t="str">
        <f t="array" ref="K1059">IF(1055&gt;$S$1204,"",INDEX($T$5:$AJ$1204,MATCH(1055,$S$5:$S$1204,0),11))</f>
        <v/>
      </c>
      <c r="L1059" s="8" t="str">
        <f t="array" ref="L1059">IF(1055&gt;$S$1204,"",INDEX($T$5:$AJ$1204,MATCH(1055,$S$5:$S$1204,0),12))</f>
        <v/>
      </c>
      <c r="M1059" s="8" t="str">
        <f t="array" ref="M1059">IF(1055&gt;$S$1204,"",INDEX($T$5:$AJ$1204,MATCH(1055,$S$5:$S$1204,0),13))</f>
        <v/>
      </c>
      <c r="N1059" s="8" t="str">
        <f t="array" ref="N1059">IF(1055&gt;$S$1204,"",INDEX($T$5:$AJ$1204,MATCH(1055,$S$5:$S$1204,0),14))</f>
        <v/>
      </c>
      <c r="O1059" s="15" t="str">
        <f t="array" ref="O1059">IF(1055&gt;$S$1204,"",INDEX($T$5:$AJ$1204,MATCH(1055,$S$5:$S$1204,0),15))</f>
        <v/>
      </c>
      <c r="P1059" s="8" t="str">
        <f t="array" ref="P1059">IF(1055&gt;$S$1204,"",INDEX($T$5:$AJ$1204,MATCH(1055,$S$5:$S$1204,0),16))</f>
        <v/>
      </c>
      <c r="Q1059" s="8" t="str">
        <f t="array" ref="Q1059">IF(1055&gt;$S$1204,"",INDEX($T$5:$AJ$1204,MATCH(1055,$S$5:$S$1204,0),17))</f>
        <v/>
      </c>
      <c r="R1059" s="17"/>
      <c r="S1059" s="17">
        <f>S1058+IF(M6_Puntos_Control!A63="",0,1)</f>
        <v>0</v>
      </c>
      <c r="T1059" s="17" t="str">
        <f>IF(M6_Puntos_Control!A63="","",IF(M6_Puntos_Control!A63="","",M6_Puntos_Control!A63))</f>
        <v/>
      </c>
      <c r="U1059" s="17" t="str">
        <f>IF(M6_Puntos_Control!A63="","",IF(M6_Puntos_Control!R63="","",M6_Puntos_Control!R63))</f>
        <v/>
      </c>
      <c r="V1059" s="17" t="str">
        <f>IF(M6_Puntos_Control!A63="","",IF(M6_Puntos_Control!D63="","",M6_Puntos_Control!D63))</f>
        <v/>
      </c>
      <c r="W1059" s="17" t="str">
        <f>IF(M6_Puntos_Control!A63="","",IF(M6_Puntos_Control!B63="","",M6_Puntos_Control!B63))</f>
        <v/>
      </c>
      <c r="X1059" s="17" t="str">
        <f>IF(M6_Puntos_Control!A63="","",IF(M6_Puntos_Control!C63="","",M6_Puntos_Control!C63))</f>
        <v/>
      </c>
      <c r="Y1059" s="17" t="str">
        <f>IF(M6_Puntos_Control!A63="","",IF(M6_Puntos_Control!E63="","",M6_Puntos_Control!E63))</f>
        <v/>
      </c>
      <c r="Z1059" s="17" t="str">
        <f>IF(M6_Puntos_Control!A63="","",IF(M6_Puntos_Control!F63="","",M6_Puntos_Control!F63))</f>
        <v/>
      </c>
      <c r="AA1059" s="17" t="str">
        <f>IF(M6_Puntos_Control!A63="","","M6 Puntos de control")</f>
        <v/>
      </c>
      <c r="AB1059" s="17" t="str">
        <f>IF(M6_Puntos_Control!A63="","",IF(M6_Puntos_Control!G63="","",M6_Puntos_Control!G63))</f>
        <v/>
      </c>
      <c r="AC1059" s="17" t="str">
        <f>IF(M6_Puntos_Control!A63="","",IF(M6_Puntos_Control!K63="Sí",IF(COUNTIFS(M6_Puntos_Control!$A$9:A63,M6_Puntos_Control!A63,M6_Puntos_Control!$D$9:D63,M6_Puntos_Control!D63,M6_Puntos_Control!$G$9:G63,M6_Puntos_Control!G63,M6_Puntos_Control!$H$9:H63,M6_Puntos_Control!H63,M6_Puntos_Control!$K$9:K63,"Sí")=1,IF(M6_Puntos_Control!M63="","",M6_Puntos_Control!M63),""),""))</f>
        <v/>
      </c>
      <c r="AD1059" s="17" t="str">
        <f>IF(M6_Puntos_Control!A63="","","RD")</f>
        <v/>
      </c>
      <c r="AE1059" s="17" t="str">
        <f>IF(M6_Puntos_Control!A63="","",IF(M6_Puntos_Control!O63="","",M6_Puntos_Control!O63))</f>
        <v/>
      </c>
      <c r="AF1059" s="17" t="str">
        <f>IF(M6_Puntos_Control!A63="","",IF(M6_Puntos_Control!P63="","",M6_Puntos_Control!P63))</f>
        <v/>
      </c>
      <c r="AG1059" s="17" t="str">
        <f>IF(M6_Puntos_Control!A63="","",IF(M6_Puntos_Control!Q63="","",M6_Puntos_Control!Q63))</f>
        <v/>
      </c>
      <c r="AH1059" s="17" t="str">
        <f>IF(M6_Puntos_Control!A63="","",IF(M6_Puntos_Control!I63="","",M6_Puntos_Control!I63))</f>
        <v/>
      </c>
      <c r="AI1059" s="17" t="str">
        <f>IF(M6_Puntos_Control!A63="","","M6_Puntos_Control!63")</f>
        <v/>
      </c>
      <c r="AJ1059" s="17" t="str">
        <f>IF(M6_Puntos_Control!A63="","",IF(M6_Puntos_Control!K63&lt;&gt;"Sí","Punto de comparación",IF(COUNTIFS(M6_Puntos_Control!$A$9:A63,M6_Puntos_Control!A63,M6_Puntos_Control!$D$9:D63,M6_Puntos_Control!D63,M6_Puntos_Control!$G$9:G63,M6_Puntos_Control!G63,M6_Puntos_Control!$H$9:H63,M6_Puntos_Control!H63,M6_Puntos_Control!$K$9:K63,"Sí")=1,IF(M6_Puntos_Control!M63="","Pendiente de resultado","Punto oficial"),"Revisar: varios puntos oficiales")))</f>
        <v/>
      </c>
    </row>
    <row r="1060" spans="1:36" ht="55.5" customHeight="1">
      <c r="A1060" s="6" t="str">
        <f t="array" ref="A1060">IF(1056&gt;$S$1204,"",INDEX($T$5:$AJ$1204,MATCH(1056,$S$5:$S$1204,0),1))</f>
        <v/>
      </c>
      <c r="B1060" s="8" t="str">
        <f t="array" ref="B1060">IF(1056&gt;$S$1204,"",INDEX($T$5:$AJ$1204,MATCH(1056,$S$5:$S$1204,0),2))</f>
        <v/>
      </c>
      <c r="C1060" s="10" t="str">
        <f t="array" ref="C1060">IF(1056&gt;$S$1204,"",INDEX($T$5:$AJ$1204,MATCH(1056,$S$5:$S$1204,0),3))</f>
        <v/>
      </c>
      <c r="D1060" s="8" t="str">
        <f t="array" ref="D1060">IF(1056&gt;$S$1204,"",INDEX($T$5:$AJ$1204,MATCH(1056,$S$5:$S$1204,0),4))</f>
        <v/>
      </c>
      <c r="E1060" s="8" t="str">
        <f t="array" ref="E1060">IF(1056&gt;$S$1204,"",INDEX($T$5:$AJ$1204,MATCH(1056,$S$5:$S$1204,0),5))</f>
        <v/>
      </c>
      <c r="F1060" s="8" t="str">
        <f t="array" ref="F1060">IF(1056&gt;$S$1204,"",INDEX($T$5:$AJ$1204,MATCH(1056,$S$5:$S$1204,0),6))</f>
        <v/>
      </c>
      <c r="G1060" s="8" t="str">
        <f t="array" ref="G1060">IF(1056&gt;$S$1204,"",INDEX($T$5:$AJ$1204,MATCH(1056,$S$5:$S$1204,0),7))</f>
        <v/>
      </c>
      <c r="H1060" s="8" t="str">
        <f t="array" ref="H1060">IF(1056&gt;$S$1204,"",INDEX($T$5:$AJ$1204,MATCH(1056,$S$5:$S$1204,0),8))</f>
        <v/>
      </c>
      <c r="I1060" s="8" t="str">
        <f t="array" ref="I1060">IF(1056&gt;$S$1204,"",INDEX($T$5:$AJ$1204,MATCH(1056,$S$5:$S$1204,0),9))</f>
        <v/>
      </c>
      <c r="J1060" s="14" t="str">
        <f t="array" ref="J1060">IF(1056&gt;$S$1204,"",INDEX($T$5:$AJ$1204,MATCH(1056,$S$5:$S$1204,0),10))</f>
        <v/>
      </c>
      <c r="K1060" s="8" t="str">
        <f t="array" ref="K1060">IF(1056&gt;$S$1204,"",INDEX($T$5:$AJ$1204,MATCH(1056,$S$5:$S$1204,0),11))</f>
        <v/>
      </c>
      <c r="L1060" s="8" t="str">
        <f t="array" ref="L1060">IF(1056&gt;$S$1204,"",INDEX($T$5:$AJ$1204,MATCH(1056,$S$5:$S$1204,0),12))</f>
        <v/>
      </c>
      <c r="M1060" s="8" t="str">
        <f t="array" ref="M1060">IF(1056&gt;$S$1204,"",INDEX($T$5:$AJ$1204,MATCH(1056,$S$5:$S$1204,0),13))</f>
        <v/>
      </c>
      <c r="N1060" s="8" t="str">
        <f t="array" ref="N1060">IF(1056&gt;$S$1204,"",INDEX($T$5:$AJ$1204,MATCH(1056,$S$5:$S$1204,0),14))</f>
        <v/>
      </c>
      <c r="O1060" s="15" t="str">
        <f t="array" ref="O1060">IF(1056&gt;$S$1204,"",INDEX($T$5:$AJ$1204,MATCH(1056,$S$5:$S$1204,0),15))</f>
        <v/>
      </c>
      <c r="P1060" s="8" t="str">
        <f t="array" ref="P1060">IF(1056&gt;$S$1204,"",INDEX($T$5:$AJ$1204,MATCH(1056,$S$5:$S$1204,0),16))</f>
        <v/>
      </c>
      <c r="Q1060" s="8" t="str">
        <f t="array" ref="Q1060">IF(1056&gt;$S$1204,"",INDEX($T$5:$AJ$1204,MATCH(1056,$S$5:$S$1204,0),17))</f>
        <v/>
      </c>
      <c r="R1060" s="17"/>
      <c r="S1060" s="17">
        <f>S1059+IF(M6_Puntos_Control!A64="",0,1)</f>
        <v>0</v>
      </c>
      <c r="T1060" s="17" t="str">
        <f>IF(M6_Puntos_Control!A64="","",IF(M6_Puntos_Control!A64="","",M6_Puntos_Control!A64))</f>
        <v/>
      </c>
      <c r="U1060" s="17" t="str">
        <f>IF(M6_Puntos_Control!A64="","",IF(M6_Puntos_Control!R64="","",M6_Puntos_Control!R64))</f>
        <v/>
      </c>
      <c r="V1060" s="17" t="str">
        <f>IF(M6_Puntos_Control!A64="","",IF(M6_Puntos_Control!D64="","",M6_Puntos_Control!D64))</f>
        <v/>
      </c>
      <c r="W1060" s="17" t="str">
        <f>IF(M6_Puntos_Control!A64="","",IF(M6_Puntos_Control!B64="","",M6_Puntos_Control!B64))</f>
        <v/>
      </c>
      <c r="X1060" s="17" t="str">
        <f>IF(M6_Puntos_Control!A64="","",IF(M6_Puntos_Control!C64="","",M6_Puntos_Control!C64))</f>
        <v/>
      </c>
      <c r="Y1060" s="17" t="str">
        <f>IF(M6_Puntos_Control!A64="","",IF(M6_Puntos_Control!E64="","",M6_Puntos_Control!E64))</f>
        <v/>
      </c>
      <c r="Z1060" s="17" t="str">
        <f>IF(M6_Puntos_Control!A64="","",IF(M6_Puntos_Control!F64="","",M6_Puntos_Control!F64))</f>
        <v/>
      </c>
      <c r="AA1060" s="17" t="str">
        <f>IF(M6_Puntos_Control!A64="","","M6 Puntos de control")</f>
        <v/>
      </c>
      <c r="AB1060" s="17" t="str">
        <f>IF(M6_Puntos_Control!A64="","",IF(M6_Puntos_Control!G64="","",M6_Puntos_Control!G64))</f>
        <v/>
      </c>
      <c r="AC1060" s="17" t="str">
        <f>IF(M6_Puntos_Control!A64="","",IF(M6_Puntos_Control!K64="Sí",IF(COUNTIFS(M6_Puntos_Control!$A$9:A64,M6_Puntos_Control!A64,M6_Puntos_Control!$D$9:D64,M6_Puntos_Control!D64,M6_Puntos_Control!$G$9:G64,M6_Puntos_Control!G64,M6_Puntos_Control!$H$9:H64,M6_Puntos_Control!H64,M6_Puntos_Control!$K$9:K64,"Sí")=1,IF(M6_Puntos_Control!M64="","",M6_Puntos_Control!M64),""),""))</f>
        <v/>
      </c>
      <c r="AD1060" s="17" t="str">
        <f>IF(M6_Puntos_Control!A64="","","RD")</f>
        <v/>
      </c>
      <c r="AE1060" s="17" t="str">
        <f>IF(M6_Puntos_Control!A64="","",IF(M6_Puntos_Control!O64="","",M6_Puntos_Control!O64))</f>
        <v/>
      </c>
      <c r="AF1060" s="17" t="str">
        <f>IF(M6_Puntos_Control!A64="","",IF(M6_Puntos_Control!P64="","",M6_Puntos_Control!P64))</f>
        <v/>
      </c>
      <c r="AG1060" s="17" t="str">
        <f>IF(M6_Puntos_Control!A64="","",IF(M6_Puntos_Control!Q64="","",M6_Puntos_Control!Q64))</f>
        <v/>
      </c>
      <c r="AH1060" s="17" t="str">
        <f>IF(M6_Puntos_Control!A64="","",IF(M6_Puntos_Control!I64="","",M6_Puntos_Control!I64))</f>
        <v/>
      </c>
      <c r="AI1060" s="17" t="str">
        <f>IF(M6_Puntos_Control!A64="","","M6_Puntos_Control!64")</f>
        <v/>
      </c>
      <c r="AJ1060" s="17" t="str">
        <f>IF(M6_Puntos_Control!A64="","",IF(M6_Puntos_Control!K64&lt;&gt;"Sí","Punto de comparación",IF(COUNTIFS(M6_Puntos_Control!$A$9:A64,M6_Puntos_Control!A64,M6_Puntos_Control!$D$9:D64,M6_Puntos_Control!D64,M6_Puntos_Control!$G$9:G64,M6_Puntos_Control!G64,M6_Puntos_Control!$H$9:H64,M6_Puntos_Control!H64,M6_Puntos_Control!$K$9:K64,"Sí")=1,IF(M6_Puntos_Control!M64="","Pendiente de resultado","Punto oficial"),"Revisar: varios puntos oficiales")))</f>
        <v/>
      </c>
    </row>
    <row r="1061" spans="1:36" ht="55.5" customHeight="1">
      <c r="A1061" s="6" t="str">
        <f t="array" ref="A1061">IF(1057&gt;$S$1204,"",INDEX($T$5:$AJ$1204,MATCH(1057,$S$5:$S$1204,0),1))</f>
        <v/>
      </c>
      <c r="B1061" s="8" t="str">
        <f t="array" ref="B1061">IF(1057&gt;$S$1204,"",INDEX($T$5:$AJ$1204,MATCH(1057,$S$5:$S$1204,0),2))</f>
        <v/>
      </c>
      <c r="C1061" s="10" t="str">
        <f t="array" ref="C1061">IF(1057&gt;$S$1204,"",INDEX($T$5:$AJ$1204,MATCH(1057,$S$5:$S$1204,0),3))</f>
        <v/>
      </c>
      <c r="D1061" s="8" t="str">
        <f t="array" ref="D1061">IF(1057&gt;$S$1204,"",INDEX($T$5:$AJ$1204,MATCH(1057,$S$5:$S$1204,0),4))</f>
        <v/>
      </c>
      <c r="E1061" s="8" t="str">
        <f t="array" ref="E1061">IF(1057&gt;$S$1204,"",INDEX($T$5:$AJ$1204,MATCH(1057,$S$5:$S$1204,0),5))</f>
        <v/>
      </c>
      <c r="F1061" s="8" t="str">
        <f t="array" ref="F1061">IF(1057&gt;$S$1204,"",INDEX($T$5:$AJ$1204,MATCH(1057,$S$5:$S$1204,0),6))</f>
        <v/>
      </c>
      <c r="G1061" s="8" t="str">
        <f t="array" ref="G1061">IF(1057&gt;$S$1204,"",INDEX($T$5:$AJ$1204,MATCH(1057,$S$5:$S$1204,0),7))</f>
        <v/>
      </c>
      <c r="H1061" s="8" t="str">
        <f t="array" ref="H1061">IF(1057&gt;$S$1204,"",INDEX($T$5:$AJ$1204,MATCH(1057,$S$5:$S$1204,0),8))</f>
        <v/>
      </c>
      <c r="I1061" s="8" t="str">
        <f t="array" ref="I1061">IF(1057&gt;$S$1204,"",INDEX($T$5:$AJ$1204,MATCH(1057,$S$5:$S$1204,0),9))</f>
        <v/>
      </c>
      <c r="J1061" s="14" t="str">
        <f t="array" ref="J1061">IF(1057&gt;$S$1204,"",INDEX($T$5:$AJ$1204,MATCH(1057,$S$5:$S$1204,0),10))</f>
        <v/>
      </c>
      <c r="K1061" s="8" t="str">
        <f t="array" ref="K1061">IF(1057&gt;$S$1204,"",INDEX($T$5:$AJ$1204,MATCH(1057,$S$5:$S$1204,0),11))</f>
        <v/>
      </c>
      <c r="L1061" s="8" t="str">
        <f t="array" ref="L1061">IF(1057&gt;$S$1204,"",INDEX($T$5:$AJ$1204,MATCH(1057,$S$5:$S$1204,0),12))</f>
        <v/>
      </c>
      <c r="M1061" s="8" t="str">
        <f t="array" ref="M1061">IF(1057&gt;$S$1204,"",INDEX($T$5:$AJ$1204,MATCH(1057,$S$5:$S$1204,0),13))</f>
        <v/>
      </c>
      <c r="N1061" s="8" t="str">
        <f t="array" ref="N1061">IF(1057&gt;$S$1204,"",INDEX($T$5:$AJ$1204,MATCH(1057,$S$5:$S$1204,0),14))</f>
        <v/>
      </c>
      <c r="O1061" s="15" t="str">
        <f t="array" ref="O1061">IF(1057&gt;$S$1204,"",INDEX($T$5:$AJ$1204,MATCH(1057,$S$5:$S$1204,0),15))</f>
        <v/>
      </c>
      <c r="P1061" s="8" t="str">
        <f t="array" ref="P1061">IF(1057&gt;$S$1204,"",INDEX($T$5:$AJ$1204,MATCH(1057,$S$5:$S$1204,0),16))</f>
        <v/>
      </c>
      <c r="Q1061" s="8" t="str">
        <f t="array" ref="Q1061">IF(1057&gt;$S$1204,"",INDEX($T$5:$AJ$1204,MATCH(1057,$S$5:$S$1204,0),17))</f>
        <v/>
      </c>
      <c r="R1061" s="17"/>
      <c r="S1061" s="17">
        <f>S1060+IF(M6_Puntos_Control!A65="",0,1)</f>
        <v>0</v>
      </c>
      <c r="T1061" s="17" t="str">
        <f>IF(M6_Puntos_Control!A65="","",IF(M6_Puntos_Control!A65="","",M6_Puntos_Control!A65))</f>
        <v/>
      </c>
      <c r="U1061" s="17" t="str">
        <f>IF(M6_Puntos_Control!A65="","",IF(M6_Puntos_Control!R65="","",M6_Puntos_Control!R65))</f>
        <v/>
      </c>
      <c r="V1061" s="17" t="str">
        <f>IF(M6_Puntos_Control!A65="","",IF(M6_Puntos_Control!D65="","",M6_Puntos_Control!D65))</f>
        <v/>
      </c>
      <c r="W1061" s="17" t="str">
        <f>IF(M6_Puntos_Control!A65="","",IF(M6_Puntos_Control!B65="","",M6_Puntos_Control!B65))</f>
        <v/>
      </c>
      <c r="X1061" s="17" t="str">
        <f>IF(M6_Puntos_Control!A65="","",IF(M6_Puntos_Control!C65="","",M6_Puntos_Control!C65))</f>
        <v/>
      </c>
      <c r="Y1061" s="17" t="str">
        <f>IF(M6_Puntos_Control!A65="","",IF(M6_Puntos_Control!E65="","",M6_Puntos_Control!E65))</f>
        <v/>
      </c>
      <c r="Z1061" s="17" t="str">
        <f>IF(M6_Puntos_Control!A65="","",IF(M6_Puntos_Control!F65="","",M6_Puntos_Control!F65))</f>
        <v/>
      </c>
      <c r="AA1061" s="17" t="str">
        <f>IF(M6_Puntos_Control!A65="","","M6 Puntos de control")</f>
        <v/>
      </c>
      <c r="AB1061" s="17" t="str">
        <f>IF(M6_Puntos_Control!A65="","",IF(M6_Puntos_Control!G65="","",M6_Puntos_Control!G65))</f>
        <v/>
      </c>
      <c r="AC1061" s="17" t="str">
        <f>IF(M6_Puntos_Control!A65="","",IF(M6_Puntos_Control!K65="Sí",IF(COUNTIFS(M6_Puntos_Control!$A$9:A65,M6_Puntos_Control!A65,M6_Puntos_Control!$D$9:D65,M6_Puntos_Control!D65,M6_Puntos_Control!$G$9:G65,M6_Puntos_Control!G65,M6_Puntos_Control!$H$9:H65,M6_Puntos_Control!H65,M6_Puntos_Control!$K$9:K65,"Sí")=1,IF(M6_Puntos_Control!M65="","",M6_Puntos_Control!M65),""),""))</f>
        <v/>
      </c>
      <c r="AD1061" s="17" t="str">
        <f>IF(M6_Puntos_Control!A65="","","RD")</f>
        <v/>
      </c>
      <c r="AE1061" s="17" t="str">
        <f>IF(M6_Puntos_Control!A65="","",IF(M6_Puntos_Control!O65="","",M6_Puntos_Control!O65))</f>
        <v/>
      </c>
      <c r="AF1061" s="17" t="str">
        <f>IF(M6_Puntos_Control!A65="","",IF(M6_Puntos_Control!P65="","",M6_Puntos_Control!P65))</f>
        <v/>
      </c>
      <c r="AG1061" s="17" t="str">
        <f>IF(M6_Puntos_Control!A65="","",IF(M6_Puntos_Control!Q65="","",M6_Puntos_Control!Q65))</f>
        <v/>
      </c>
      <c r="AH1061" s="17" t="str">
        <f>IF(M6_Puntos_Control!A65="","",IF(M6_Puntos_Control!I65="","",M6_Puntos_Control!I65))</f>
        <v/>
      </c>
      <c r="AI1061" s="17" t="str">
        <f>IF(M6_Puntos_Control!A65="","","M6_Puntos_Control!65")</f>
        <v/>
      </c>
      <c r="AJ1061" s="17" t="str">
        <f>IF(M6_Puntos_Control!A65="","",IF(M6_Puntos_Control!K65&lt;&gt;"Sí","Punto de comparación",IF(COUNTIFS(M6_Puntos_Control!$A$9:A65,M6_Puntos_Control!A65,M6_Puntos_Control!$D$9:D65,M6_Puntos_Control!D65,M6_Puntos_Control!$G$9:G65,M6_Puntos_Control!G65,M6_Puntos_Control!$H$9:H65,M6_Puntos_Control!H65,M6_Puntos_Control!$K$9:K65,"Sí")=1,IF(M6_Puntos_Control!M65="","Pendiente de resultado","Punto oficial"),"Revisar: varios puntos oficiales")))</f>
        <v/>
      </c>
    </row>
    <row r="1062" spans="1:36" ht="55.5" customHeight="1">
      <c r="A1062" s="6" t="str">
        <f t="array" ref="A1062">IF(1058&gt;$S$1204,"",INDEX($T$5:$AJ$1204,MATCH(1058,$S$5:$S$1204,0),1))</f>
        <v/>
      </c>
      <c r="B1062" s="8" t="str">
        <f t="array" ref="B1062">IF(1058&gt;$S$1204,"",INDEX($T$5:$AJ$1204,MATCH(1058,$S$5:$S$1204,0),2))</f>
        <v/>
      </c>
      <c r="C1062" s="10" t="str">
        <f t="array" ref="C1062">IF(1058&gt;$S$1204,"",INDEX($T$5:$AJ$1204,MATCH(1058,$S$5:$S$1204,0),3))</f>
        <v/>
      </c>
      <c r="D1062" s="8" t="str">
        <f t="array" ref="D1062">IF(1058&gt;$S$1204,"",INDEX($T$5:$AJ$1204,MATCH(1058,$S$5:$S$1204,0),4))</f>
        <v/>
      </c>
      <c r="E1062" s="8" t="str">
        <f t="array" ref="E1062">IF(1058&gt;$S$1204,"",INDEX($T$5:$AJ$1204,MATCH(1058,$S$5:$S$1204,0),5))</f>
        <v/>
      </c>
      <c r="F1062" s="8" t="str">
        <f t="array" ref="F1062">IF(1058&gt;$S$1204,"",INDEX($T$5:$AJ$1204,MATCH(1058,$S$5:$S$1204,0),6))</f>
        <v/>
      </c>
      <c r="G1062" s="8" t="str">
        <f t="array" ref="G1062">IF(1058&gt;$S$1204,"",INDEX($T$5:$AJ$1204,MATCH(1058,$S$5:$S$1204,0),7))</f>
        <v/>
      </c>
      <c r="H1062" s="8" t="str">
        <f t="array" ref="H1062">IF(1058&gt;$S$1204,"",INDEX($T$5:$AJ$1204,MATCH(1058,$S$5:$S$1204,0),8))</f>
        <v/>
      </c>
      <c r="I1062" s="8" t="str">
        <f t="array" ref="I1062">IF(1058&gt;$S$1204,"",INDEX($T$5:$AJ$1204,MATCH(1058,$S$5:$S$1204,0),9))</f>
        <v/>
      </c>
      <c r="J1062" s="14" t="str">
        <f t="array" ref="J1062">IF(1058&gt;$S$1204,"",INDEX($T$5:$AJ$1204,MATCH(1058,$S$5:$S$1204,0),10))</f>
        <v/>
      </c>
      <c r="K1062" s="8" t="str">
        <f t="array" ref="K1062">IF(1058&gt;$S$1204,"",INDEX($T$5:$AJ$1204,MATCH(1058,$S$5:$S$1204,0),11))</f>
        <v/>
      </c>
      <c r="L1062" s="8" t="str">
        <f t="array" ref="L1062">IF(1058&gt;$S$1204,"",INDEX($T$5:$AJ$1204,MATCH(1058,$S$5:$S$1204,0),12))</f>
        <v/>
      </c>
      <c r="M1062" s="8" t="str">
        <f t="array" ref="M1062">IF(1058&gt;$S$1204,"",INDEX($T$5:$AJ$1204,MATCH(1058,$S$5:$S$1204,0),13))</f>
        <v/>
      </c>
      <c r="N1062" s="8" t="str">
        <f t="array" ref="N1062">IF(1058&gt;$S$1204,"",INDEX($T$5:$AJ$1204,MATCH(1058,$S$5:$S$1204,0),14))</f>
        <v/>
      </c>
      <c r="O1062" s="15" t="str">
        <f t="array" ref="O1062">IF(1058&gt;$S$1204,"",INDEX($T$5:$AJ$1204,MATCH(1058,$S$5:$S$1204,0),15))</f>
        <v/>
      </c>
      <c r="P1062" s="8" t="str">
        <f t="array" ref="P1062">IF(1058&gt;$S$1204,"",INDEX($T$5:$AJ$1204,MATCH(1058,$S$5:$S$1204,0),16))</f>
        <v/>
      </c>
      <c r="Q1062" s="8" t="str">
        <f t="array" ref="Q1062">IF(1058&gt;$S$1204,"",INDEX($T$5:$AJ$1204,MATCH(1058,$S$5:$S$1204,0),17))</f>
        <v/>
      </c>
      <c r="R1062" s="17"/>
      <c r="S1062" s="17">
        <f>S1061+IF(M6_Puntos_Control!A66="",0,1)</f>
        <v>0</v>
      </c>
      <c r="T1062" s="17" t="str">
        <f>IF(M6_Puntos_Control!A66="","",IF(M6_Puntos_Control!A66="","",M6_Puntos_Control!A66))</f>
        <v/>
      </c>
      <c r="U1062" s="17" t="str">
        <f>IF(M6_Puntos_Control!A66="","",IF(M6_Puntos_Control!R66="","",M6_Puntos_Control!R66))</f>
        <v/>
      </c>
      <c r="V1062" s="17" t="str">
        <f>IF(M6_Puntos_Control!A66="","",IF(M6_Puntos_Control!D66="","",M6_Puntos_Control!D66))</f>
        <v/>
      </c>
      <c r="W1062" s="17" t="str">
        <f>IF(M6_Puntos_Control!A66="","",IF(M6_Puntos_Control!B66="","",M6_Puntos_Control!B66))</f>
        <v/>
      </c>
      <c r="X1062" s="17" t="str">
        <f>IF(M6_Puntos_Control!A66="","",IF(M6_Puntos_Control!C66="","",M6_Puntos_Control!C66))</f>
        <v/>
      </c>
      <c r="Y1062" s="17" t="str">
        <f>IF(M6_Puntos_Control!A66="","",IF(M6_Puntos_Control!E66="","",M6_Puntos_Control!E66))</f>
        <v/>
      </c>
      <c r="Z1062" s="17" t="str">
        <f>IF(M6_Puntos_Control!A66="","",IF(M6_Puntos_Control!F66="","",M6_Puntos_Control!F66))</f>
        <v/>
      </c>
      <c r="AA1062" s="17" t="str">
        <f>IF(M6_Puntos_Control!A66="","","M6 Puntos de control")</f>
        <v/>
      </c>
      <c r="AB1062" s="17" t="str">
        <f>IF(M6_Puntos_Control!A66="","",IF(M6_Puntos_Control!G66="","",M6_Puntos_Control!G66))</f>
        <v/>
      </c>
      <c r="AC1062" s="17" t="str">
        <f>IF(M6_Puntos_Control!A66="","",IF(M6_Puntos_Control!K66="Sí",IF(COUNTIFS(M6_Puntos_Control!$A$9:A66,M6_Puntos_Control!A66,M6_Puntos_Control!$D$9:D66,M6_Puntos_Control!D66,M6_Puntos_Control!$G$9:G66,M6_Puntos_Control!G66,M6_Puntos_Control!$H$9:H66,M6_Puntos_Control!H66,M6_Puntos_Control!$K$9:K66,"Sí")=1,IF(M6_Puntos_Control!M66="","",M6_Puntos_Control!M66),""),""))</f>
        <v/>
      </c>
      <c r="AD1062" s="17" t="str">
        <f>IF(M6_Puntos_Control!A66="","","RD")</f>
        <v/>
      </c>
      <c r="AE1062" s="17" t="str">
        <f>IF(M6_Puntos_Control!A66="","",IF(M6_Puntos_Control!O66="","",M6_Puntos_Control!O66))</f>
        <v/>
      </c>
      <c r="AF1062" s="17" t="str">
        <f>IF(M6_Puntos_Control!A66="","",IF(M6_Puntos_Control!P66="","",M6_Puntos_Control!P66))</f>
        <v/>
      </c>
      <c r="AG1062" s="17" t="str">
        <f>IF(M6_Puntos_Control!A66="","",IF(M6_Puntos_Control!Q66="","",M6_Puntos_Control!Q66))</f>
        <v/>
      </c>
      <c r="AH1062" s="17" t="str">
        <f>IF(M6_Puntos_Control!A66="","",IF(M6_Puntos_Control!I66="","",M6_Puntos_Control!I66))</f>
        <v/>
      </c>
      <c r="AI1062" s="17" t="str">
        <f>IF(M6_Puntos_Control!A66="","","M6_Puntos_Control!66")</f>
        <v/>
      </c>
      <c r="AJ1062" s="17" t="str">
        <f>IF(M6_Puntos_Control!A66="","",IF(M6_Puntos_Control!K66&lt;&gt;"Sí","Punto de comparación",IF(COUNTIFS(M6_Puntos_Control!$A$9:A66,M6_Puntos_Control!A66,M6_Puntos_Control!$D$9:D66,M6_Puntos_Control!D66,M6_Puntos_Control!$G$9:G66,M6_Puntos_Control!G66,M6_Puntos_Control!$H$9:H66,M6_Puntos_Control!H66,M6_Puntos_Control!$K$9:K66,"Sí")=1,IF(M6_Puntos_Control!M66="","Pendiente de resultado","Punto oficial"),"Revisar: varios puntos oficiales")))</f>
        <v/>
      </c>
    </row>
    <row r="1063" spans="1:36" ht="55.5" customHeight="1">
      <c r="A1063" s="6" t="str">
        <f t="array" ref="A1063">IF(1059&gt;$S$1204,"",INDEX($T$5:$AJ$1204,MATCH(1059,$S$5:$S$1204,0),1))</f>
        <v/>
      </c>
      <c r="B1063" s="8" t="str">
        <f t="array" ref="B1063">IF(1059&gt;$S$1204,"",INDEX($T$5:$AJ$1204,MATCH(1059,$S$5:$S$1204,0),2))</f>
        <v/>
      </c>
      <c r="C1063" s="10" t="str">
        <f t="array" ref="C1063">IF(1059&gt;$S$1204,"",INDEX($T$5:$AJ$1204,MATCH(1059,$S$5:$S$1204,0),3))</f>
        <v/>
      </c>
      <c r="D1063" s="8" t="str">
        <f t="array" ref="D1063">IF(1059&gt;$S$1204,"",INDEX($T$5:$AJ$1204,MATCH(1059,$S$5:$S$1204,0),4))</f>
        <v/>
      </c>
      <c r="E1063" s="8" t="str">
        <f t="array" ref="E1063">IF(1059&gt;$S$1204,"",INDEX($T$5:$AJ$1204,MATCH(1059,$S$5:$S$1204,0),5))</f>
        <v/>
      </c>
      <c r="F1063" s="8" t="str">
        <f t="array" ref="F1063">IF(1059&gt;$S$1204,"",INDEX($T$5:$AJ$1204,MATCH(1059,$S$5:$S$1204,0),6))</f>
        <v/>
      </c>
      <c r="G1063" s="8" t="str">
        <f t="array" ref="G1063">IF(1059&gt;$S$1204,"",INDEX($T$5:$AJ$1204,MATCH(1059,$S$5:$S$1204,0),7))</f>
        <v/>
      </c>
      <c r="H1063" s="8" t="str">
        <f t="array" ref="H1063">IF(1059&gt;$S$1204,"",INDEX($T$5:$AJ$1204,MATCH(1059,$S$5:$S$1204,0),8))</f>
        <v/>
      </c>
      <c r="I1063" s="8" t="str">
        <f t="array" ref="I1063">IF(1059&gt;$S$1204,"",INDEX($T$5:$AJ$1204,MATCH(1059,$S$5:$S$1204,0),9))</f>
        <v/>
      </c>
      <c r="J1063" s="14" t="str">
        <f t="array" ref="J1063">IF(1059&gt;$S$1204,"",INDEX($T$5:$AJ$1204,MATCH(1059,$S$5:$S$1204,0),10))</f>
        <v/>
      </c>
      <c r="K1063" s="8" t="str">
        <f t="array" ref="K1063">IF(1059&gt;$S$1204,"",INDEX($T$5:$AJ$1204,MATCH(1059,$S$5:$S$1204,0),11))</f>
        <v/>
      </c>
      <c r="L1063" s="8" t="str">
        <f t="array" ref="L1063">IF(1059&gt;$S$1204,"",INDEX($T$5:$AJ$1204,MATCH(1059,$S$5:$S$1204,0),12))</f>
        <v/>
      </c>
      <c r="M1063" s="8" t="str">
        <f t="array" ref="M1063">IF(1059&gt;$S$1204,"",INDEX($T$5:$AJ$1204,MATCH(1059,$S$5:$S$1204,0),13))</f>
        <v/>
      </c>
      <c r="N1063" s="8" t="str">
        <f t="array" ref="N1063">IF(1059&gt;$S$1204,"",INDEX($T$5:$AJ$1204,MATCH(1059,$S$5:$S$1204,0),14))</f>
        <v/>
      </c>
      <c r="O1063" s="15" t="str">
        <f t="array" ref="O1063">IF(1059&gt;$S$1204,"",INDEX($T$5:$AJ$1204,MATCH(1059,$S$5:$S$1204,0),15))</f>
        <v/>
      </c>
      <c r="P1063" s="8" t="str">
        <f t="array" ref="P1063">IF(1059&gt;$S$1204,"",INDEX($T$5:$AJ$1204,MATCH(1059,$S$5:$S$1204,0),16))</f>
        <v/>
      </c>
      <c r="Q1063" s="8" t="str">
        <f t="array" ref="Q1063">IF(1059&gt;$S$1204,"",INDEX($T$5:$AJ$1204,MATCH(1059,$S$5:$S$1204,0),17))</f>
        <v/>
      </c>
      <c r="R1063" s="17"/>
      <c r="S1063" s="17">
        <f>S1062+IF(M6_Puntos_Control!A67="",0,1)</f>
        <v>0</v>
      </c>
      <c r="T1063" s="17" t="str">
        <f>IF(M6_Puntos_Control!A67="","",IF(M6_Puntos_Control!A67="","",M6_Puntos_Control!A67))</f>
        <v/>
      </c>
      <c r="U1063" s="17" t="str">
        <f>IF(M6_Puntos_Control!A67="","",IF(M6_Puntos_Control!R67="","",M6_Puntos_Control!R67))</f>
        <v/>
      </c>
      <c r="V1063" s="17" t="str">
        <f>IF(M6_Puntos_Control!A67="","",IF(M6_Puntos_Control!D67="","",M6_Puntos_Control!D67))</f>
        <v/>
      </c>
      <c r="W1063" s="17" t="str">
        <f>IF(M6_Puntos_Control!A67="","",IF(M6_Puntos_Control!B67="","",M6_Puntos_Control!B67))</f>
        <v/>
      </c>
      <c r="X1063" s="17" t="str">
        <f>IF(M6_Puntos_Control!A67="","",IF(M6_Puntos_Control!C67="","",M6_Puntos_Control!C67))</f>
        <v/>
      </c>
      <c r="Y1063" s="17" t="str">
        <f>IF(M6_Puntos_Control!A67="","",IF(M6_Puntos_Control!E67="","",M6_Puntos_Control!E67))</f>
        <v/>
      </c>
      <c r="Z1063" s="17" t="str">
        <f>IF(M6_Puntos_Control!A67="","",IF(M6_Puntos_Control!F67="","",M6_Puntos_Control!F67))</f>
        <v/>
      </c>
      <c r="AA1063" s="17" t="str">
        <f>IF(M6_Puntos_Control!A67="","","M6 Puntos de control")</f>
        <v/>
      </c>
      <c r="AB1063" s="17" t="str">
        <f>IF(M6_Puntos_Control!A67="","",IF(M6_Puntos_Control!G67="","",M6_Puntos_Control!G67))</f>
        <v/>
      </c>
      <c r="AC1063" s="17" t="str">
        <f>IF(M6_Puntos_Control!A67="","",IF(M6_Puntos_Control!K67="Sí",IF(COUNTIFS(M6_Puntos_Control!$A$9:A67,M6_Puntos_Control!A67,M6_Puntos_Control!$D$9:D67,M6_Puntos_Control!D67,M6_Puntos_Control!$G$9:G67,M6_Puntos_Control!G67,M6_Puntos_Control!$H$9:H67,M6_Puntos_Control!H67,M6_Puntos_Control!$K$9:K67,"Sí")=1,IF(M6_Puntos_Control!M67="","",M6_Puntos_Control!M67),""),""))</f>
        <v/>
      </c>
      <c r="AD1063" s="17" t="str">
        <f>IF(M6_Puntos_Control!A67="","","RD")</f>
        <v/>
      </c>
      <c r="AE1063" s="17" t="str">
        <f>IF(M6_Puntos_Control!A67="","",IF(M6_Puntos_Control!O67="","",M6_Puntos_Control!O67))</f>
        <v/>
      </c>
      <c r="AF1063" s="17" t="str">
        <f>IF(M6_Puntos_Control!A67="","",IF(M6_Puntos_Control!P67="","",M6_Puntos_Control!P67))</f>
        <v/>
      </c>
      <c r="AG1063" s="17" t="str">
        <f>IF(M6_Puntos_Control!A67="","",IF(M6_Puntos_Control!Q67="","",M6_Puntos_Control!Q67))</f>
        <v/>
      </c>
      <c r="AH1063" s="17" t="str">
        <f>IF(M6_Puntos_Control!A67="","",IF(M6_Puntos_Control!I67="","",M6_Puntos_Control!I67))</f>
        <v/>
      </c>
      <c r="AI1063" s="17" t="str">
        <f>IF(M6_Puntos_Control!A67="","","M6_Puntos_Control!67")</f>
        <v/>
      </c>
      <c r="AJ1063" s="17" t="str">
        <f>IF(M6_Puntos_Control!A67="","",IF(M6_Puntos_Control!K67&lt;&gt;"Sí","Punto de comparación",IF(COUNTIFS(M6_Puntos_Control!$A$9:A67,M6_Puntos_Control!A67,M6_Puntos_Control!$D$9:D67,M6_Puntos_Control!D67,M6_Puntos_Control!$G$9:G67,M6_Puntos_Control!G67,M6_Puntos_Control!$H$9:H67,M6_Puntos_Control!H67,M6_Puntos_Control!$K$9:K67,"Sí")=1,IF(M6_Puntos_Control!M67="","Pendiente de resultado","Punto oficial"),"Revisar: varios puntos oficiales")))</f>
        <v/>
      </c>
    </row>
    <row r="1064" spans="1:36" ht="55.5" customHeight="1">
      <c r="A1064" s="6" t="str">
        <f t="array" ref="A1064">IF(1060&gt;$S$1204,"",INDEX($T$5:$AJ$1204,MATCH(1060,$S$5:$S$1204,0),1))</f>
        <v/>
      </c>
      <c r="B1064" s="8" t="str">
        <f t="array" ref="B1064">IF(1060&gt;$S$1204,"",INDEX($T$5:$AJ$1204,MATCH(1060,$S$5:$S$1204,0),2))</f>
        <v/>
      </c>
      <c r="C1064" s="10" t="str">
        <f t="array" ref="C1064">IF(1060&gt;$S$1204,"",INDEX($T$5:$AJ$1204,MATCH(1060,$S$5:$S$1204,0),3))</f>
        <v/>
      </c>
      <c r="D1064" s="8" t="str">
        <f t="array" ref="D1064">IF(1060&gt;$S$1204,"",INDEX($T$5:$AJ$1204,MATCH(1060,$S$5:$S$1204,0),4))</f>
        <v/>
      </c>
      <c r="E1064" s="8" t="str">
        <f t="array" ref="E1064">IF(1060&gt;$S$1204,"",INDEX($T$5:$AJ$1204,MATCH(1060,$S$5:$S$1204,0),5))</f>
        <v/>
      </c>
      <c r="F1064" s="8" t="str">
        <f t="array" ref="F1064">IF(1060&gt;$S$1204,"",INDEX($T$5:$AJ$1204,MATCH(1060,$S$5:$S$1204,0),6))</f>
        <v/>
      </c>
      <c r="G1064" s="8" t="str">
        <f t="array" ref="G1064">IF(1060&gt;$S$1204,"",INDEX($T$5:$AJ$1204,MATCH(1060,$S$5:$S$1204,0),7))</f>
        <v/>
      </c>
      <c r="H1064" s="8" t="str">
        <f t="array" ref="H1064">IF(1060&gt;$S$1204,"",INDEX($T$5:$AJ$1204,MATCH(1060,$S$5:$S$1204,0),8))</f>
        <v/>
      </c>
      <c r="I1064" s="8" t="str">
        <f t="array" ref="I1064">IF(1060&gt;$S$1204,"",INDEX($T$5:$AJ$1204,MATCH(1060,$S$5:$S$1204,0),9))</f>
        <v/>
      </c>
      <c r="J1064" s="14" t="str">
        <f t="array" ref="J1064">IF(1060&gt;$S$1204,"",INDEX($T$5:$AJ$1204,MATCH(1060,$S$5:$S$1204,0),10))</f>
        <v/>
      </c>
      <c r="K1064" s="8" t="str">
        <f t="array" ref="K1064">IF(1060&gt;$S$1204,"",INDEX($T$5:$AJ$1204,MATCH(1060,$S$5:$S$1204,0),11))</f>
        <v/>
      </c>
      <c r="L1064" s="8" t="str">
        <f t="array" ref="L1064">IF(1060&gt;$S$1204,"",INDEX($T$5:$AJ$1204,MATCH(1060,$S$5:$S$1204,0),12))</f>
        <v/>
      </c>
      <c r="M1064" s="8" t="str">
        <f t="array" ref="M1064">IF(1060&gt;$S$1204,"",INDEX($T$5:$AJ$1204,MATCH(1060,$S$5:$S$1204,0),13))</f>
        <v/>
      </c>
      <c r="N1064" s="8" t="str">
        <f t="array" ref="N1064">IF(1060&gt;$S$1204,"",INDEX($T$5:$AJ$1204,MATCH(1060,$S$5:$S$1204,0),14))</f>
        <v/>
      </c>
      <c r="O1064" s="15" t="str">
        <f t="array" ref="O1064">IF(1060&gt;$S$1204,"",INDEX($T$5:$AJ$1204,MATCH(1060,$S$5:$S$1204,0),15))</f>
        <v/>
      </c>
      <c r="P1064" s="8" t="str">
        <f t="array" ref="P1064">IF(1060&gt;$S$1204,"",INDEX($T$5:$AJ$1204,MATCH(1060,$S$5:$S$1204,0),16))</f>
        <v/>
      </c>
      <c r="Q1064" s="8" t="str">
        <f t="array" ref="Q1064">IF(1060&gt;$S$1204,"",INDEX($T$5:$AJ$1204,MATCH(1060,$S$5:$S$1204,0),17))</f>
        <v/>
      </c>
      <c r="R1064" s="17"/>
      <c r="S1064" s="17">
        <f>S1063+IF(M6_Puntos_Control!A68="",0,1)</f>
        <v>0</v>
      </c>
      <c r="T1064" s="17" t="str">
        <f>IF(M6_Puntos_Control!A68="","",IF(M6_Puntos_Control!A68="","",M6_Puntos_Control!A68))</f>
        <v/>
      </c>
      <c r="U1064" s="17" t="str">
        <f>IF(M6_Puntos_Control!A68="","",IF(M6_Puntos_Control!R68="","",M6_Puntos_Control!R68))</f>
        <v/>
      </c>
      <c r="V1064" s="17" t="str">
        <f>IF(M6_Puntos_Control!A68="","",IF(M6_Puntos_Control!D68="","",M6_Puntos_Control!D68))</f>
        <v/>
      </c>
      <c r="W1064" s="17" t="str">
        <f>IF(M6_Puntos_Control!A68="","",IF(M6_Puntos_Control!B68="","",M6_Puntos_Control!B68))</f>
        <v/>
      </c>
      <c r="X1064" s="17" t="str">
        <f>IF(M6_Puntos_Control!A68="","",IF(M6_Puntos_Control!C68="","",M6_Puntos_Control!C68))</f>
        <v/>
      </c>
      <c r="Y1064" s="17" t="str">
        <f>IF(M6_Puntos_Control!A68="","",IF(M6_Puntos_Control!E68="","",M6_Puntos_Control!E68))</f>
        <v/>
      </c>
      <c r="Z1064" s="17" t="str">
        <f>IF(M6_Puntos_Control!A68="","",IF(M6_Puntos_Control!F68="","",M6_Puntos_Control!F68))</f>
        <v/>
      </c>
      <c r="AA1064" s="17" t="str">
        <f>IF(M6_Puntos_Control!A68="","","M6 Puntos de control")</f>
        <v/>
      </c>
      <c r="AB1064" s="17" t="str">
        <f>IF(M6_Puntos_Control!A68="","",IF(M6_Puntos_Control!G68="","",M6_Puntos_Control!G68))</f>
        <v/>
      </c>
      <c r="AC1064" s="17" t="str">
        <f>IF(M6_Puntos_Control!A68="","",IF(M6_Puntos_Control!K68="Sí",IF(COUNTIFS(M6_Puntos_Control!$A$9:A68,M6_Puntos_Control!A68,M6_Puntos_Control!$D$9:D68,M6_Puntos_Control!D68,M6_Puntos_Control!$G$9:G68,M6_Puntos_Control!G68,M6_Puntos_Control!$H$9:H68,M6_Puntos_Control!H68,M6_Puntos_Control!$K$9:K68,"Sí")=1,IF(M6_Puntos_Control!M68="","",M6_Puntos_Control!M68),""),""))</f>
        <v/>
      </c>
      <c r="AD1064" s="17" t="str">
        <f>IF(M6_Puntos_Control!A68="","","RD")</f>
        <v/>
      </c>
      <c r="AE1064" s="17" t="str">
        <f>IF(M6_Puntos_Control!A68="","",IF(M6_Puntos_Control!O68="","",M6_Puntos_Control!O68))</f>
        <v/>
      </c>
      <c r="AF1064" s="17" t="str">
        <f>IF(M6_Puntos_Control!A68="","",IF(M6_Puntos_Control!P68="","",M6_Puntos_Control!P68))</f>
        <v/>
      </c>
      <c r="AG1064" s="17" t="str">
        <f>IF(M6_Puntos_Control!A68="","",IF(M6_Puntos_Control!Q68="","",M6_Puntos_Control!Q68))</f>
        <v/>
      </c>
      <c r="AH1064" s="17" t="str">
        <f>IF(M6_Puntos_Control!A68="","",IF(M6_Puntos_Control!I68="","",M6_Puntos_Control!I68))</f>
        <v/>
      </c>
      <c r="AI1064" s="17" t="str">
        <f>IF(M6_Puntos_Control!A68="","","M6_Puntos_Control!68")</f>
        <v/>
      </c>
      <c r="AJ1064" s="17" t="str">
        <f>IF(M6_Puntos_Control!A68="","",IF(M6_Puntos_Control!K68&lt;&gt;"Sí","Punto de comparación",IF(COUNTIFS(M6_Puntos_Control!$A$9:A68,M6_Puntos_Control!A68,M6_Puntos_Control!$D$9:D68,M6_Puntos_Control!D68,M6_Puntos_Control!$G$9:G68,M6_Puntos_Control!G68,M6_Puntos_Control!$H$9:H68,M6_Puntos_Control!H68,M6_Puntos_Control!$K$9:K68,"Sí")=1,IF(M6_Puntos_Control!M68="","Pendiente de resultado","Punto oficial"),"Revisar: varios puntos oficiales")))</f>
        <v/>
      </c>
    </row>
    <row r="1065" spans="1:36" ht="55.5" customHeight="1">
      <c r="A1065" s="6" t="str">
        <f t="array" ref="A1065">IF(1061&gt;$S$1204,"",INDEX($T$5:$AJ$1204,MATCH(1061,$S$5:$S$1204,0),1))</f>
        <v/>
      </c>
      <c r="B1065" s="8" t="str">
        <f t="array" ref="B1065">IF(1061&gt;$S$1204,"",INDEX($T$5:$AJ$1204,MATCH(1061,$S$5:$S$1204,0),2))</f>
        <v/>
      </c>
      <c r="C1065" s="10" t="str">
        <f t="array" ref="C1065">IF(1061&gt;$S$1204,"",INDEX($T$5:$AJ$1204,MATCH(1061,$S$5:$S$1204,0),3))</f>
        <v/>
      </c>
      <c r="D1065" s="8" t="str">
        <f t="array" ref="D1065">IF(1061&gt;$S$1204,"",INDEX($T$5:$AJ$1204,MATCH(1061,$S$5:$S$1204,0),4))</f>
        <v/>
      </c>
      <c r="E1065" s="8" t="str">
        <f t="array" ref="E1065">IF(1061&gt;$S$1204,"",INDEX($T$5:$AJ$1204,MATCH(1061,$S$5:$S$1204,0),5))</f>
        <v/>
      </c>
      <c r="F1065" s="8" t="str">
        <f t="array" ref="F1065">IF(1061&gt;$S$1204,"",INDEX($T$5:$AJ$1204,MATCH(1061,$S$5:$S$1204,0),6))</f>
        <v/>
      </c>
      <c r="G1065" s="8" t="str">
        <f t="array" ref="G1065">IF(1061&gt;$S$1204,"",INDEX($T$5:$AJ$1204,MATCH(1061,$S$5:$S$1204,0),7))</f>
        <v/>
      </c>
      <c r="H1065" s="8" t="str">
        <f t="array" ref="H1065">IF(1061&gt;$S$1204,"",INDEX($T$5:$AJ$1204,MATCH(1061,$S$5:$S$1204,0),8))</f>
        <v/>
      </c>
      <c r="I1065" s="8" t="str">
        <f t="array" ref="I1065">IF(1061&gt;$S$1204,"",INDEX($T$5:$AJ$1204,MATCH(1061,$S$5:$S$1204,0),9))</f>
        <v/>
      </c>
      <c r="J1065" s="14" t="str">
        <f t="array" ref="J1065">IF(1061&gt;$S$1204,"",INDEX($T$5:$AJ$1204,MATCH(1061,$S$5:$S$1204,0),10))</f>
        <v/>
      </c>
      <c r="K1065" s="8" t="str">
        <f t="array" ref="K1065">IF(1061&gt;$S$1204,"",INDEX($T$5:$AJ$1204,MATCH(1061,$S$5:$S$1204,0),11))</f>
        <v/>
      </c>
      <c r="L1065" s="8" t="str">
        <f t="array" ref="L1065">IF(1061&gt;$S$1204,"",INDEX($T$5:$AJ$1204,MATCH(1061,$S$5:$S$1204,0),12))</f>
        <v/>
      </c>
      <c r="M1065" s="8" t="str">
        <f t="array" ref="M1065">IF(1061&gt;$S$1204,"",INDEX($T$5:$AJ$1204,MATCH(1061,$S$5:$S$1204,0),13))</f>
        <v/>
      </c>
      <c r="N1065" s="8" t="str">
        <f t="array" ref="N1065">IF(1061&gt;$S$1204,"",INDEX($T$5:$AJ$1204,MATCH(1061,$S$5:$S$1204,0),14))</f>
        <v/>
      </c>
      <c r="O1065" s="15" t="str">
        <f t="array" ref="O1065">IF(1061&gt;$S$1204,"",INDEX($T$5:$AJ$1204,MATCH(1061,$S$5:$S$1204,0),15))</f>
        <v/>
      </c>
      <c r="P1065" s="8" t="str">
        <f t="array" ref="P1065">IF(1061&gt;$S$1204,"",INDEX($T$5:$AJ$1204,MATCH(1061,$S$5:$S$1204,0),16))</f>
        <v/>
      </c>
      <c r="Q1065" s="8" t="str">
        <f t="array" ref="Q1065">IF(1061&gt;$S$1204,"",INDEX($T$5:$AJ$1204,MATCH(1061,$S$5:$S$1204,0),17))</f>
        <v/>
      </c>
      <c r="R1065" s="17"/>
      <c r="S1065" s="17">
        <f>S1064+IF(M6_Puntos_Control!A69="",0,1)</f>
        <v>0</v>
      </c>
      <c r="T1065" s="17" t="str">
        <f>IF(M6_Puntos_Control!A69="","",IF(M6_Puntos_Control!A69="","",M6_Puntos_Control!A69))</f>
        <v/>
      </c>
      <c r="U1065" s="17" t="str">
        <f>IF(M6_Puntos_Control!A69="","",IF(M6_Puntos_Control!R69="","",M6_Puntos_Control!R69))</f>
        <v/>
      </c>
      <c r="V1065" s="17" t="str">
        <f>IF(M6_Puntos_Control!A69="","",IF(M6_Puntos_Control!D69="","",M6_Puntos_Control!D69))</f>
        <v/>
      </c>
      <c r="W1065" s="17" t="str">
        <f>IF(M6_Puntos_Control!A69="","",IF(M6_Puntos_Control!B69="","",M6_Puntos_Control!B69))</f>
        <v/>
      </c>
      <c r="X1065" s="17" t="str">
        <f>IF(M6_Puntos_Control!A69="","",IF(M6_Puntos_Control!C69="","",M6_Puntos_Control!C69))</f>
        <v/>
      </c>
      <c r="Y1065" s="17" t="str">
        <f>IF(M6_Puntos_Control!A69="","",IF(M6_Puntos_Control!E69="","",M6_Puntos_Control!E69))</f>
        <v/>
      </c>
      <c r="Z1065" s="17" t="str">
        <f>IF(M6_Puntos_Control!A69="","",IF(M6_Puntos_Control!F69="","",M6_Puntos_Control!F69))</f>
        <v/>
      </c>
      <c r="AA1065" s="17" t="str">
        <f>IF(M6_Puntos_Control!A69="","","M6 Puntos de control")</f>
        <v/>
      </c>
      <c r="AB1065" s="17" t="str">
        <f>IF(M6_Puntos_Control!A69="","",IF(M6_Puntos_Control!G69="","",M6_Puntos_Control!G69))</f>
        <v/>
      </c>
      <c r="AC1065" s="17" t="str">
        <f>IF(M6_Puntos_Control!A69="","",IF(M6_Puntos_Control!K69="Sí",IF(COUNTIFS(M6_Puntos_Control!$A$9:A69,M6_Puntos_Control!A69,M6_Puntos_Control!$D$9:D69,M6_Puntos_Control!D69,M6_Puntos_Control!$G$9:G69,M6_Puntos_Control!G69,M6_Puntos_Control!$H$9:H69,M6_Puntos_Control!H69,M6_Puntos_Control!$K$9:K69,"Sí")=1,IF(M6_Puntos_Control!M69="","",M6_Puntos_Control!M69),""),""))</f>
        <v/>
      </c>
      <c r="AD1065" s="17" t="str">
        <f>IF(M6_Puntos_Control!A69="","","RD")</f>
        <v/>
      </c>
      <c r="AE1065" s="17" t="str">
        <f>IF(M6_Puntos_Control!A69="","",IF(M6_Puntos_Control!O69="","",M6_Puntos_Control!O69))</f>
        <v/>
      </c>
      <c r="AF1065" s="17" t="str">
        <f>IF(M6_Puntos_Control!A69="","",IF(M6_Puntos_Control!P69="","",M6_Puntos_Control!P69))</f>
        <v/>
      </c>
      <c r="AG1065" s="17" t="str">
        <f>IF(M6_Puntos_Control!A69="","",IF(M6_Puntos_Control!Q69="","",M6_Puntos_Control!Q69))</f>
        <v/>
      </c>
      <c r="AH1065" s="17" t="str">
        <f>IF(M6_Puntos_Control!A69="","",IF(M6_Puntos_Control!I69="","",M6_Puntos_Control!I69))</f>
        <v/>
      </c>
      <c r="AI1065" s="17" t="str">
        <f>IF(M6_Puntos_Control!A69="","","M6_Puntos_Control!69")</f>
        <v/>
      </c>
      <c r="AJ1065" s="17" t="str">
        <f>IF(M6_Puntos_Control!A69="","",IF(M6_Puntos_Control!K69&lt;&gt;"Sí","Punto de comparación",IF(COUNTIFS(M6_Puntos_Control!$A$9:A69,M6_Puntos_Control!A69,M6_Puntos_Control!$D$9:D69,M6_Puntos_Control!D69,M6_Puntos_Control!$G$9:G69,M6_Puntos_Control!G69,M6_Puntos_Control!$H$9:H69,M6_Puntos_Control!H69,M6_Puntos_Control!$K$9:K69,"Sí")=1,IF(M6_Puntos_Control!M69="","Pendiente de resultado","Punto oficial"),"Revisar: varios puntos oficiales")))</f>
        <v/>
      </c>
    </row>
    <row r="1066" spans="1:36" ht="55.5" customHeight="1">
      <c r="A1066" s="6" t="str">
        <f t="array" ref="A1066">IF(1062&gt;$S$1204,"",INDEX($T$5:$AJ$1204,MATCH(1062,$S$5:$S$1204,0),1))</f>
        <v/>
      </c>
      <c r="B1066" s="8" t="str">
        <f t="array" ref="B1066">IF(1062&gt;$S$1204,"",INDEX($T$5:$AJ$1204,MATCH(1062,$S$5:$S$1204,0),2))</f>
        <v/>
      </c>
      <c r="C1066" s="10" t="str">
        <f t="array" ref="C1066">IF(1062&gt;$S$1204,"",INDEX($T$5:$AJ$1204,MATCH(1062,$S$5:$S$1204,0),3))</f>
        <v/>
      </c>
      <c r="D1066" s="8" t="str">
        <f t="array" ref="D1066">IF(1062&gt;$S$1204,"",INDEX($T$5:$AJ$1204,MATCH(1062,$S$5:$S$1204,0),4))</f>
        <v/>
      </c>
      <c r="E1066" s="8" t="str">
        <f t="array" ref="E1066">IF(1062&gt;$S$1204,"",INDEX($T$5:$AJ$1204,MATCH(1062,$S$5:$S$1204,0),5))</f>
        <v/>
      </c>
      <c r="F1066" s="8" t="str">
        <f t="array" ref="F1066">IF(1062&gt;$S$1204,"",INDEX($T$5:$AJ$1204,MATCH(1062,$S$5:$S$1204,0),6))</f>
        <v/>
      </c>
      <c r="G1066" s="8" t="str">
        <f t="array" ref="G1066">IF(1062&gt;$S$1204,"",INDEX($T$5:$AJ$1204,MATCH(1062,$S$5:$S$1204,0),7))</f>
        <v/>
      </c>
      <c r="H1066" s="8" t="str">
        <f t="array" ref="H1066">IF(1062&gt;$S$1204,"",INDEX($T$5:$AJ$1204,MATCH(1062,$S$5:$S$1204,0),8))</f>
        <v/>
      </c>
      <c r="I1066" s="8" t="str">
        <f t="array" ref="I1066">IF(1062&gt;$S$1204,"",INDEX($T$5:$AJ$1204,MATCH(1062,$S$5:$S$1204,0),9))</f>
        <v/>
      </c>
      <c r="J1066" s="14" t="str">
        <f t="array" ref="J1066">IF(1062&gt;$S$1204,"",INDEX($T$5:$AJ$1204,MATCH(1062,$S$5:$S$1204,0),10))</f>
        <v/>
      </c>
      <c r="K1066" s="8" t="str">
        <f t="array" ref="K1066">IF(1062&gt;$S$1204,"",INDEX($T$5:$AJ$1204,MATCH(1062,$S$5:$S$1204,0),11))</f>
        <v/>
      </c>
      <c r="L1066" s="8" t="str">
        <f t="array" ref="L1066">IF(1062&gt;$S$1204,"",INDEX($T$5:$AJ$1204,MATCH(1062,$S$5:$S$1204,0),12))</f>
        <v/>
      </c>
      <c r="M1066" s="8" t="str">
        <f t="array" ref="M1066">IF(1062&gt;$S$1204,"",INDEX($T$5:$AJ$1204,MATCH(1062,$S$5:$S$1204,0),13))</f>
        <v/>
      </c>
      <c r="N1066" s="8" t="str">
        <f t="array" ref="N1066">IF(1062&gt;$S$1204,"",INDEX($T$5:$AJ$1204,MATCH(1062,$S$5:$S$1204,0),14))</f>
        <v/>
      </c>
      <c r="O1066" s="15" t="str">
        <f t="array" ref="O1066">IF(1062&gt;$S$1204,"",INDEX($T$5:$AJ$1204,MATCH(1062,$S$5:$S$1204,0),15))</f>
        <v/>
      </c>
      <c r="P1066" s="8" t="str">
        <f t="array" ref="P1066">IF(1062&gt;$S$1204,"",INDEX($T$5:$AJ$1204,MATCH(1062,$S$5:$S$1204,0),16))</f>
        <v/>
      </c>
      <c r="Q1066" s="8" t="str">
        <f t="array" ref="Q1066">IF(1062&gt;$S$1204,"",INDEX($T$5:$AJ$1204,MATCH(1062,$S$5:$S$1204,0),17))</f>
        <v/>
      </c>
      <c r="R1066" s="17"/>
      <c r="S1066" s="17">
        <f>S1065+IF(M6_Puntos_Control!A70="",0,1)</f>
        <v>0</v>
      </c>
      <c r="T1066" s="17" t="str">
        <f>IF(M6_Puntos_Control!A70="","",IF(M6_Puntos_Control!A70="","",M6_Puntos_Control!A70))</f>
        <v/>
      </c>
      <c r="U1066" s="17" t="str">
        <f>IF(M6_Puntos_Control!A70="","",IF(M6_Puntos_Control!R70="","",M6_Puntos_Control!R70))</f>
        <v/>
      </c>
      <c r="V1066" s="17" t="str">
        <f>IF(M6_Puntos_Control!A70="","",IF(M6_Puntos_Control!D70="","",M6_Puntos_Control!D70))</f>
        <v/>
      </c>
      <c r="W1066" s="17" t="str">
        <f>IF(M6_Puntos_Control!A70="","",IF(M6_Puntos_Control!B70="","",M6_Puntos_Control!B70))</f>
        <v/>
      </c>
      <c r="X1066" s="17" t="str">
        <f>IF(M6_Puntos_Control!A70="","",IF(M6_Puntos_Control!C70="","",M6_Puntos_Control!C70))</f>
        <v/>
      </c>
      <c r="Y1066" s="17" t="str">
        <f>IF(M6_Puntos_Control!A70="","",IF(M6_Puntos_Control!E70="","",M6_Puntos_Control!E70))</f>
        <v/>
      </c>
      <c r="Z1066" s="17" t="str">
        <f>IF(M6_Puntos_Control!A70="","",IF(M6_Puntos_Control!F70="","",M6_Puntos_Control!F70))</f>
        <v/>
      </c>
      <c r="AA1066" s="17" t="str">
        <f>IF(M6_Puntos_Control!A70="","","M6 Puntos de control")</f>
        <v/>
      </c>
      <c r="AB1066" s="17" t="str">
        <f>IF(M6_Puntos_Control!A70="","",IF(M6_Puntos_Control!G70="","",M6_Puntos_Control!G70))</f>
        <v/>
      </c>
      <c r="AC1066" s="17" t="str">
        <f>IF(M6_Puntos_Control!A70="","",IF(M6_Puntos_Control!K70="Sí",IF(COUNTIFS(M6_Puntos_Control!$A$9:A70,M6_Puntos_Control!A70,M6_Puntos_Control!$D$9:D70,M6_Puntos_Control!D70,M6_Puntos_Control!$G$9:G70,M6_Puntos_Control!G70,M6_Puntos_Control!$H$9:H70,M6_Puntos_Control!H70,M6_Puntos_Control!$K$9:K70,"Sí")=1,IF(M6_Puntos_Control!M70="","",M6_Puntos_Control!M70),""),""))</f>
        <v/>
      </c>
      <c r="AD1066" s="17" t="str">
        <f>IF(M6_Puntos_Control!A70="","","RD")</f>
        <v/>
      </c>
      <c r="AE1066" s="17" t="str">
        <f>IF(M6_Puntos_Control!A70="","",IF(M6_Puntos_Control!O70="","",M6_Puntos_Control!O70))</f>
        <v/>
      </c>
      <c r="AF1066" s="17" t="str">
        <f>IF(M6_Puntos_Control!A70="","",IF(M6_Puntos_Control!P70="","",M6_Puntos_Control!P70))</f>
        <v/>
      </c>
      <c r="AG1066" s="17" t="str">
        <f>IF(M6_Puntos_Control!A70="","",IF(M6_Puntos_Control!Q70="","",M6_Puntos_Control!Q70))</f>
        <v/>
      </c>
      <c r="AH1066" s="17" t="str">
        <f>IF(M6_Puntos_Control!A70="","",IF(M6_Puntos_Control!I70="","",M6_Puntos_Control!I70))</f>
        <v/>
      </c>
      <c r="AI1066" s="17" t="str">
        <f>IF(M6_Puntos_Control!A70="","","M6_Puntos_Control!70")</f>
        <v/>
      </c>
      <c r="AJ1066" s="17" t="str">
        <f>IF(M6_Puntos_Control!A70="","",IF(M6_Puntos_Control!K70&lt;&gt;"Sí","Punto de comparación",IF(COUNTIFS(M6_Puntos_Control!$A$9:A70,M6_Puntos_Control!A70,M6_Puntos_Control!$D$9:D70,M6_Puntos_Control!D70,M6_Puntos_Control!$G$9:G70,M6_Puntos_Control!G70,M6_Puntos_Control!$H$9:H70,M6_Puntos_Control!H70,M6_Puntos_Control!$K$9:K70,"Sí")=1,IF(M6_Puntos_Control!M70="","Pendiente de resultado","Punto oficial"),"Revisar: varios puntos oficiales")))</f>
        <v/>
      </c>
    </row>
    <row r="1067" spans="1:36" ht="55.5" customHeight="1">
      <c r="A1067" s="6" t="str">
        <f t="array" ref="A1067">IF(1063&gt;$S$1204,"",INDEX($T$5:$AJ$1204,MATCH(1063,$S$5:$S$1204,0),1))</f>
        <v/>
      </c>
      <c r="B1067" s="8" t="str">
        <f t="array" ref="B1067">IF(1063&gt;$S$1204,"",INDEX($T$5:$AJ$1204,MATCH(1063,$S$5:$S$1204,0),2))</f>
        <v/>
      </c>
      <c r="C1067" s="10" t="str">
        <f t="array" ref="C1067">IF(1063&gt;$S$1204,"",INDEX($T$5:$AJ$1204,MATCH(1063,$S$5:$S$1204,0),3))</f>
        <v/>
      </c>
      <c r="D1067" s="8" t="str">
        <f t="array" ref="D1067">IF(1063&gt;$S$1204,"",INDEX($T$5:$AJ$1204,MATCH(1063,$S$5:$S$1204,0),4))</f>
        <v/>
      </c>
      <c r="E1067" s="8" t="str">
        <f t="array" ref="E1067">IF(1063&gt;$S$1204,"",INDEX($T$5:$AJ$1204,MATCH(1063,$S$5:$S$1204,0),5))</f>
        <v/>
      </c>
      <c r="F1067" s="8" t="str">
        <f t="array" ref="F1067">IF(1063&gt;$S$1204,"",INDEX($T$5:$AJ$1204,MATCH(1063,$S$5:$S$1204,0),6))</f>
        <v/>
      </c>
      <c r="G1067" s="8" t="str">
        <f t="array" ref="G1067">IF(1063&gt;$S$1204,"",INDEX($T$5:$AJ$1204,MATCH(1063,$S$5:$S$1204,0),7))</f>
        <v/>
      </c>
      <c r="H1067" s="8" t="str">
        <f t="array" ref="H1067">IF(1063&gt;$S$1204,"",INDEX($T$5:$AJ$1204,MATCH(1063,$S$5:$S$1204,0),8))</f>
        <v/>
      </c>
      <c r="I1067" s="8" t="str">
        <f t="array" ref="I1067">IF(1063&gt;$S$1204,"",INDEX($T$5:$AJ$1204,MATCH(1063,$S$5:$S$1204,0),9))</f>
        <v/>
      </c>
      <c r="J1067" s="14" t="str">
        <f t="array" ref="J1067">IF(1063&gt;$S$1204,"",INDEX($T$5:$AJ$1204,MATCH(1063,$S$5:$S$1204,0),10))</f>
        <v/>
      </c>
      <c r="K1067" s="8" t="str">
        <f t="array" ref="K1067">IF(1063&gt;$S$1204,"",INDEX($T$5:$AJ$1204,MATCH(1063,$S$5:$S$1204,0),11))</f>
        <v/>
      </c>
      <c r="L1067" s="8" t="str">
        <f t="array" ref="L1067">IF(1063&gt;$S$1204,"",INDEX($T$5:$AJ$1204,MATCH(1063,$S$5:$S$1204,0),12))</f>
        <v/>
      </c>
      <c r="M1067" s="8" t="str">
        <f t="array" ref="M1067">IF(1063&gt;$S$1204,"",INDEX($T$5:$AJ$1204,MATCH(1063,$S$5:$S$1204,0),13))</f>
        <v/>
      </c>
      <c r="N1067" s="8" t="str">
        <f t="array" ref="N1067">IF(1063&gt;$S$1204,"",INDEX($T$5:$AJ$1204,MATCH(1063,$S$5:$S$1204,0),14))</f>
        <v/>
      </c>
      <c r="O1067" s="15" t="str">
        <f t="array" ref="O1067">IF(1063&gt;$S$1204,"",INDEX($T$5:$AJ$1204,MATCH(1063,$S$5:$S$1204,0),15))</f>
        <v/>
      </c>
      <c r="P1067" s="8" t="str">
        <f t="array" ref="P1067">IF(1063&gt;$S$1204,"",INDEX($T$5:$AJ$1204,MATCH(1063,$S$5:$S$1204,0),16))</f>
        <v/>
      </c>
      <c r="Q1067" s="8" t="str">
        <f t="array" ref="Q1067">IF(1063&gt;$S$1204,"",INDEX($T$5:$AJ$1204,MATCH(1063,$S$5:$S$1204,0),17))</f>
        <v/>
      </c>
      <c r="R1067" s="17"/>
      <c r="S1067" s="17">
        <f>S1066+IF(M6_Puntos_Control!A71="",0,1)</f>
        <v>0</v>
      </c>
      <c r="T1067" s="17" t="str">
        <f>IF(M6_Puntos_Control!A71="","",IF(M6_Puntos_Control!A71="","",M6_Puntos_Control!A71))</f>
        <v/>
      </c>
      <c r="U1067" s="17" t="str">
        <f>IF(M6_Puntos_Control!A71="","",IF(M6_Puntos_Control!R71="","",M6_Puntos_Control!R71))</f>
        <v/>
      </c>
      <c r="V1067" s="17" t="str">
        <f>IF(M6_Puntos_Control!A71="","",IF(M6_Puntos_Control!D71="","",M6_Puntos_Control!D71))</f>
        <v/>
      </c>
      <c r="W1067" s="17" t="str">
        <f>IF(M6_Puntos_Control!A71="","",IF(M6_Puntos_Control!B71="","",M6_Puntos_Control!B71))</f>
        <v/>
      </c>
      <c r="X1067" s="17" t="str">
        <f>IF(M6_Puntos_Control!A71="","",IF(M6_Puntos_Control!C71="","",M6_Puntos_Control!C71))</f>
        <v/>
      </c>
      <c r="Y1067" s="17" t="str">
        <f>IF(M6_Puntos_Control!A71="","",IF(M6_Puntos_Control!E71="","",M6_Puntos_Control!E71))</f>
        <v/>
      </c>
      <c r="Z1067" s="17" t="str">
        <f>IF(M6_Puntos_Control!A71="","",IF(M6_Puntos_Control!F71="","",M6_Puntos_Control!F71))</f>
        <v/>
      </c>
      <c r="AA1067" s="17" t="str">
        <f>IF(M6_Puntos_Control!A71="","","M6 Puntos de control")</f>
        <v/>
      </c>
      <c r="AB1067" s="17" t="str">
        <f>IF(M6_Puntos_Control!A71="","",IF(M6_Puntos_Control!G71="","",M6_Puntos_Control!G71))</f>
        <v/>
      </c>
      <c r="AC1067" s="17" t="str">
        <f>IF(M6_Puntos_Control!A71="","",IF(M6_Puntos_Control!K71="Sí",IF(COUNTIFS(M6_Puntos_Control!$A$9:A71,M6_Puntos_Control!A71,M6_Puntos_Control!$D$9:D71,M6_Puntos_Control!D71,M6_Puntos_Control!$G$9:G71,M6_Puntos_Control!G71,M6_Puntos_Control!$H$9:H71,M6_Puntos_Control!H71,M6_Puntos_Control!$K$9:K71,"Sí")=1,IF(M6_Puntos_Control!M71="","",M6_Puntos_Control!M71),""),""))</f>
        <v/>
      </c>
      <c r="AD1067" s="17" t="str">
        <f>IF(M6_Puntos_Control!A71="","","RD")</f>
        <v/>
      </c>
      <c r="AE1067" s="17" t="str">
        <f>IF(M6_Puntos_Control!A71="","",IF(M6_Puntos_Control!O71="","",M6_Puntos_Control!O71))</f>
        <v/>
      </c>
      <c r="AF1067" s="17" t="str">
        <f>IF(M6_Puntos_Control!A71="","",IF(M6_Puntos_Control!P71="","",M6_Puntos_Control!P71))</f>
        <v/>
      </c>
      <c r="AG1067" s="17" t="str">
        <f>IF(M6_Puntos_Control!A71="","",IF(M6_Puntos_Control!Q71="","",M6_Puntos_Control!Q71))</f>
        <v/>
      </c>
      <c r="AH1067" s="17" t="str">
        <f>IF(M6_Puntos_Control!A71="","",IF(M6_Puntos_Control!I71="","",M6_Puntos_Control!I71))</f>
        <v/>
      </c>
      <c r="AI1067" s="17" t="str">
        <f>IF(M6_Puntos_Control!A71="","","M6_Puntos_Control!71")</f>
        <v/>
      </c>
      <c r="AJ1067" s="17" t="str">
        <f>IF(M6_Puntos_Control!A71="","",IF(M6_Puntos_Control!K71&lt;&gt;"Sí","Punto de comparación",IF(COUNTIFS(M6_Puntos_Control!$A$9:A71,M6_Puntos_Control!A71,M6_Puntos_Control!$D$9:D71,M6_Puntos_Control!D71,M6_Puntos_Control!$G$9:G71,M6_Puntos_Control!G71,M6_Puntos_Control!$H$9:H71,M6_Puntos_Control!H71,M6_Puntos_Control!$K$9:K71,"Sí")=1,IF(M6_Puntos_Control!M71="","Pendiente de resultado","Punto oficial"),"Revisar: varios puntos oficiales")))</f>
        <v/>
      </c>
    </row>
    <row r="1068" spans="1:36" ht="55.5" customHeight="1">
      <c r="A1068" s="6" t="str">
        <f t="array" ref="A1068">IF(1064&gt;$S$1204,"",INDEX($T$5:$AJ$1204,MATCH(1064,$S$5:$S$1204,0),1))</f>
        <v/>
      </c>
      <c r="B1068" s="8" t="str">
        <f t="array" ref="B1068">IF(1064&gt;$S$1204,"",INDEX($T$5:$AJ$1204,MATCH(1064,$S$5:$S$1204,0),2))</f>
        <v/>
      </c>
      <c r="C1068" s="10" t="str">
        <f t="array" ref="C1068">IF(1064&gt;$S$1204,"",INDEX($T$5:$AJ$1204,MATCH(1064,$S$5:$S$1204,0),3))</f>
        <v/>
      </c>
      <c r="D1068" s="8" t="str">
        <f t="array" ref="D1068">IF(1064&gt;$S$1204,"",INDEX($T$5:$AJ$1204,MATCH(1064,$S$5:$S$1204,0),4))</f>
        <v/>
      </c>
      <c r="E1068" s="8" t="str">
        <f t="array" ref="E1068">IF(1064&gt;$S$1204,"",INDEX($T$5:$AJ$1204,MATCH(1064,$S$5:$S$1204,0),5))</f>
        <v/>
      </c>
      <c r="F1068" s="8" t="str">
        <f t="array" ref="F1068">IF(1064&gt;$S$1204,"",INDEX($T$5:$AJ$1204,MATCH(1064,$S$5:$S$1204,0),6))</f>
        <v/>
      </c>
      <c r="G1068" s="8" t="str">
        <f t="array" ref="G1068">IF(1064&gt;$S$1204,"",INDEX($T$5:$AJ$1204,MATCH(1064,$S$5:$S$1204,0),7))</f>
        <v/>
      </c>
      <c r="H1068" s="8" t="str">
        <f t="array" ref="H1068">IF(1064&gt;$S$1204,"",INDEX($T$5:$AJ$1204,MATCH(1064,$S$5:$S$1204,0),8))</f>
        <v/>
      </c>
      <c r="I1068" s="8" t="str">
        <f t="array" ref="I1068">IF(1064&gt;$S$1204,"",INDEX($T$5:$AJ$1204,MATCH(1064,$S$5:$S$1204,0),9))</f>
        <v/>
      </c>
      <c r="J1068" s="14" t="str">
        <f t="array" ref="J1068">IF(1064&gt;$S$1204,"",INDEX($T$5:$AJ$1204,MATCH(1064,$S$5:$S$1204,0),10))</f>
        <v/>
      </c>
      <c r="K1068" s="8" t="str">
        <f t="array" ref="K1068">IF(1064&gt;$S$1204,"",INDEX($T$5:$AJ$1204,MATCH(1064,$S$5:$S$1204,0),11))</f>
        <v/>
      </c>
      <c r="L1068" s="8" t="str">
        <f t="array" ref="L1068">IF(1064&gt;$S$1204,"",INDEX($T$5:$AJ$1204,MATCH(1064,$S$5:$S$1204,0),12))</f>
        <v/>
      </c>
      <c r="M1068" s="8" t="str">
        <f t="array" ref="M1068">IF(1064&gt;$S$1204,"",INDEX($T$5:$AJ$1204,MATCH(1064,$S$5:$S$1204,0),13))</f>
        <v/>
      </c>
      <c r="N1068" s="8" t="str">
        <f t="array" ref="N1068">IF(1064&gt;$S$1204,"",INDEX($T$5:$AJ$1204,MATCH(1064,$S$5:$S$1204,0),14))</f>
        <v/>
      </c>
      <c r="O1068" s="15" t="str">
        <f t="array" ref="O1068">IF(1064&gt;$S$1204,"",INDEX($T$5:$AJ$1204,MATCH(1064,$S$5:$S$1204,0),15))</f>
        <v/>
      </c>
      <c r="P1068" s="8" t="str">
        <f t="array" ref="P1068">IF(1064&gt;$S$1204,"",INDEX($T$5:$AJ$1204,MATCH(1064,$S$5:$S$1204,0),16))</f>
        <v/>
      </c>
      <c r="Q1068" s="8" t="str">
        <f t="array" ref="Q1068">IF(1064&gt;$S$1204,"",INDEX($T$5:$AJ$1204,MATCH(1064,$S$5:$S$1204,0),17))</f>
        <v/>
      </c>
      <c r="R1068" s="17"/>
      <c r="S1068" s="17">
        <f>S1067+IF(M6_Puntos_Control!A72="",0,1)</f>
        <v>0</v>
      </c>
      <c r="T1068" s="17" t="str">
        <f>IF(M6_Puntos_Control!A72="","",IF(M6_Puntos_Control!A72="","",M6_Puntos_Control!A72))</f>
        <v/>
      </c>
      <c r="U1068" s="17" t="str">
        <f>IF(M6_Puntos_Control!A72="","",IF(M6_Puntos_Control!R72="","",M6_Puntos_Control!R72))</f>
        <v/>
      </c>
      <c r="V1068" s="17" t="str">
        <f>IF(M6_Puntos_Control!A72="","",IF(M6_Puntos_Control!D72="","",M6_Puntos_Control!D72))</f>
        <v/>
      </c>
      <c r="W1068" s="17" t="str">
        <f>IF(M6_Puntos_Control!A72="","",IF(M6_Puntos_Control!B72="","",M6_Puntos_Control!B72))</f>
        <v/>
      </c>
      <c r="X1068" s="17" t="str">
        <f>IF(M6_Puntos_Control!A72="","",IF(M6_Puntos_Control!C72="","",M6_Puntos_Control!C72))</f>
        <v/>
      </c>
      <c r="Y1068" s="17" t="str">
        <f>IF(M6_Puntos_Control!A72="","",IF(M6_Puntos_Control!E72="","",M6_Puntos_Control!E72))</f>
        <v/>
      </c>
      <c r="Z1068" s="17" t="str">
        <f>IF(M6_Puntos_Control!A72="","",IF(M6_Puntos_Control!F72="","",M6_Puntos_Control!F72))</f>
        <v/>
      </c>
      <c r="AA1068" s="17" t="str">
        <f>IF(M6_Puntos_Control!A72="","","M6 Puntos de control")</f>
        <v/>
      </c>
      <c r="AB1068" s="17" t="str">
        <f>IF(M6_Puntos_Control!A72="","",IF(M6_Puntos_Control!G72="","",M6_Puntos_Control!G72))</f>
        <v/>
      </c>
      <c r="AC1068" s="17" t="str">
        <f>IF(M6_Puntos_Control!A72="","",IF(M6_Puntos_Control!K72="Sí",IF(COUNTIFS(M6_Puntos_Control!$A$9:A72,M6_Puntos_Control!A72,M6_Puntos_Control!$D$9:D72,M6_Puntos_Control!D72,M6_Puntos_Control!$G$9:G72,M6_Puntos_Control!G72,M6_Puntos_Control!$H$9:H72,M6_Puntos_Control!H72,M6_Puntos_Control!$K$9:K72,"Sí")=1,IF(M6_Puntos_Control!M72="","",M6_Puntos_Control!M72),""),""))</f>
        <v/>
      </c>
      <c r="AD1068" s="17" t="str">
        <f>IF(M6_Puntos_Control!A72="","","RD")</f>
        <v/>
      </c>
      <c r="AE1068" s="17" t="str">
        <f>IF(M6_Puntos_Control!A72="","",IF(M6_Puntos_Control!O72="","",M6_Puntos_Control!O72))</f>
        <v/>
      </c>
      <c r="AF1068" s="17" t="str">
        <f>IF(M6_Puntos_Control!A72="","",IF(M6_Puntos_Control!P72="","",M6_Puntos_Control!P72))</f>
        <v/>
      </c>
      <c r="AG1068" s="17" t="str">
        <f>IF(M6_Puntos_Control!A72="","",IF(M6_Puntos_Control!Q72="","",M6_Puntos_Control!Q72))</f>
        <v/>
      </c>
      <c r="AH1068" s="17" t="str">
        <f>IF(M6_Puntos_Control!A72="","",IF(M6_Puntos_Control!I72="","",M6_Puntos_Control!I72))</f>
        <v/>
      </c>
      <c r="AI1068" s="17" t="str">
        <f>IF(M6_Puntos_Control!A72="","","M6_Puntos_Control!72")</f>
        <v/>
      </c>
      <c r="AJ1068" s="17" t="str">
        <f>IF(M6_Puntos_Control!A72="","",IF(M6_Puntos_Control!K72&lt;&gt;"Sí","Punto de comparación",IF(COUNTIFS(M6_Puntos_Control!$A$9:A72,M6_Puntos_Control!A72,M6_Puntos_Control!$D$9:D72,M6_Puntos_Control!D72,M6_Puntos_Control!$G$9:G72,M6_Puntos_Control!G72,M6_Puntos_Control!$H$9:H72,M6_Puntos_Control!H72,M6_Puntos_Control!$K$9:K72,"Sí")=1,IF(M6_Puntos_Control!M72="","Pendiente de resultado","Punto oficial"),"Revisar: varios puntos oficiales")))</f>
        <v/>
      </c>
    </row>
    <row r="1069" spans="1:36" ht="55.5" customHeight="1">
      <c r="A1069" s="6" t="str">
        <f t="array" ref="A1069">IF(1065&gt;$S$1204,"",INDEX($T$5:$AJ$1204,MATCH(1065,$S$5:$S$1204,0),1))</f>
        <v/>
      </c>
      <c r="B1069" s="8" t="str">
        <f t="array" ref="B1069">IF(1065&gt;$S$1204,"",INDEX($T$5:$AJ$1204,MATCH(1065,$S$5:$S$1204,0),2))</f>
        <v/>
      </c>
      <c r="C1069" s="10" t="str">
        <f t="array" ref="C1069">IF(1065&gt;$S$1204,"",INDEX($T$5:$AJ$1204,MATCH(1065,$S$5:$S$1204,0),3))</f>
        <v/>
      </c>
      <c r="D1069" s="8" t="str">
        <f t="array" ref="D1069">IF(1065&gt;$S$1204,"",INDEX($T$5:$AJ$1204,MATCH(1065,$S$5:$S$1204,0),4))</f>
        <v/>
      </c>
      <c r="E1069" s="8" t="str">
        <f t="array" ref="E1069">IF(1065&gt;$S$1204,"",INDEX($T$5:$AJ$1204,MATCH(1065,$S$5:$S$1204,0),5))</f>
        <v/>
      </c>
      <c r="F1069" s="8" t="str">
        <f t="array" ref="F1069">IF(1065&gt;$S$1204,"",INDEX($T$5:$AJ$1204,MATCH(1065,$S$5:$S$1204,0),6))</f>
        <v/>
      </c>
      <c r="G1069" s="8" t="str">
        <f t="array" ref="G1069">IF(1065&gt;$S$1204,"",INDEX($T$5:$AJ$1204,MATCH(1065,$S$5:$S$1204,0),7))</f>
        <v/>
      </c>
      <c r="H1069" s="8" t="str">
        <f t="array" ref="H1069">IF(1065&gt;$S$1204,"",INDEX($T$5:$AJ$1204,MATCH(1065,$S$5:$S$1204,0),8))</f>
        <v/>
      </c>
      <c r="I1069" s="8" t="str">
        <f t="array" ref="I1069">IF(1065&gt;$S$1204,"",INDEX($T$5:$AJ$1204,MATCH(1065,$S$5:$S$1204,0),9))</f>
        <v/>
      </c>
      <c r="J1069" s="14" t="str">
        <f t="array" ref="J1069">IF(1065&gt;$S$1204,"",INDEX($T$5:$AJ$1204,MATCH(1065,$S$5:$S$1204,0),10))</f>
        <v/>
      </c>
      <c r="K1069" s="8" t="str">
        <f t="array" ref="K1069">IF(1065&gt;$S$1204,"",INDEX($T$5:$AJ$1204,MATCH(1065,$S$5:$S$1204,0),11))</f>
        <v/>
      </c>
      <c r="L1069" s="8" t="str">
        <f t="array" ref="L1069">IF(1065&gt;$S$1204,"",INDEX($T$5:$AJ$1204,MATCH(1065,$S$5:$S$1204,0),12))</f>
        <v/>
      </c>
      <c r="M1069" s="8" t="str">
        <f t="array" ref="M1069">IF(1065&gt;$S$1204,"",INDEX($T$5:$AJ$1204,MATCH(1065,$S$5:$S$1204,0),13))</f>
        <v/>
      </c>
      <c r="N1069" s="8" t="str">
        <f t="array" ref="N1069">IF(1065&gt;$S$1204,"",INDEX($T$5:$AJ$1204,MATCH(1065,$S$5:$S$1204,0),14))</f>
        <v/>
      </c>
      <c r="O1069" s="15" t="str">
        <f t="array" ref="O1069">IF(1065&gt;$S$1204,"",INDEX($T$5:$AJ$1204,MATCH(1065,$S$5:$S$1204,0),15))</f>
        <v/>
      </c>
      <c r="P1069" s="8" t="str">
        <f t="array" ref="P1069">IF(1065&gt;$S$1204,"",INDEX($T$5:$AJ$1204,MATCH(1065,$S$5:$S$1204,0),16))</f>
        <v/>
      </c>
      <c r="Q1069" s="8" t="str">
        <f t="array" ref="Q1069">IF(1065&gt;$S$1204,"",INDEX($T$5:$AJ$1204,MATCH(1065,$S$5:$S$1204,0),17))</f>
        <v/>
      </c>
      <c r="R1069" s="17"/>
      <c r="S1069" s="17">
        <f>S1068+IF(M6_Puntos_Control!A73="",0,1)</f>
        <v>0</v>
      </c>
      <c r="T1069" s="17" t="str">
        <f>IF(M6_Puntos_Control!A73="","",IF(M6_Puntos_Control!A73="","",M6_Puntos_Control!A73))</f>
        <v/>
      </c>
      <c r="U1069" s="17" t="str">
        <f>IF(M6_Puntos_Control!A73="","",IF(M6_Puntos_Control!R73="","",M6_Puntos_Control!R73))</f>
        <v/>
      </c>
      <c r="V1069" s="17" t="str">
        <f>IF(M6_Puntos_Control!A73="","",IF(M6_Puntos_Control!D73="","",M6_Puntos_Control!D73))</f>
        <v/>
      </c>
      <c r="W1069" s="17" t="str">
        <f>IF(M6_Puntos_Control!A73="","",IF(M6_Puntos_Control!B73="","",M6_Puntos_Control!B73))</f>
        <v/>
      </c>
      <c r="X1069" s="17" t="str">
        <f>IF(M6_Puntos_Control!A73="","",IF(M6_Puntos_Control!C73="","",M6_Puntos_Control!C73))</f>
        <v/>
      </c>
      <c r="Y1069" s="17" t="str">
        <f>IF(M6_Puntos_Control!A73="","",IF(M6_Puntos_Control!E73="","",M6_Puntos_Control!E73))</f>
        <v/>
      </c>
      <c r="Z1069" s="17" t="str">
        <f>IF(M6_Puntos_Control!A73="","",IF(M6_Puntos_Control!F73="","",M6_Puntos_Control!F73))</f>
        <v/>
      </c>
      <c r="AA1069" s="17" t="str">
        <f>IF(M6_Puntos_Control!A73="","","M6 Puntos de control")</f>
        <v/>
      </c>
      <c r="AB1069" s="17" t="str">
        <f>IF(M6_Puntos_Control!A73="","",IF(M6_Puntos_Control!G73="","",M6_Puntos_Control!G73))</f>
        <v/>
      </c>
      <c r="AC1069" s="17" t="str">
        <f>IF(M6_Puntos_Control!A73="","",IF(M6_Puntos_Control!K73="Sí",IF(COUNTIFS(M6_Puntos_Control!$A$9:A73,M6_Puntos_Control!A73,M6_Puntos_Control!$D$9:D73,M6_Puntos_Control!D73,M6_Puntos_Control!$G$9:G73,M6_Puntos_Control!G73,M6_Puntos_Control!$H$9:H73,M6_Puntos_Control!H73,M6_Puntos_Control!$K$9:K73,"Sí")=1,IF(M6_Puntos_Control!M73="","",M6_Puntos_Control!M73),""),""))</f>
        <v/>
      </c>
      <c r="AD1069" s="17" t="str">
        <f>IF(M6_Puntos_Control!A73="","","RD")</f>
        <v/>
      </c>
      <c r="AE1069" s="17" t="str">
        <f>IF(M6_Puntos_Control!A73="","",IF(M6_Puntos_Control!O73="","",M6_Puntos_Control!O73))</f>
        <v/>
      </c>
      <c r="AF1069" s="17" t="str">
        <f>IF(M6_Puntos_Control!A73="","",IF(M6_Puntos_Control!P73="","",M6_Puntos_Control!P73))</f>
        <v/>
      </c>
      <c r="AG1069" s="17" t="str">
        <f>IF(M6_Puntos_Control!A73="","",IF(M6_Puntos_Control!Q73="","",M6_Puntos_Control!Q73))</f>
        <v/>
      </c>
      <c r="AH1069" s="17" t="str">
        <f>IF(M6_Puntos_Control!A73="","",IF(M6_Puntos_Control!I73="","",M6_Puntos_Control!I73))</f>
        <v/>
      </c>
      <c r="AI1069" s="17" t="str">
        <f>IF(M6_Puntos_Control!A73="","","M6_Puntos_Control!73")</f>
        <v/>
      </c>
      <c r="AJ1069" s="17" t="str">
        <f>IF(M6_Puntos_Control!A73="","",IF(M6_Puntos_Control!K73&lt;&gt;"Sí","Punto de comparación",IF(COUNTIFS(M6_Puntos_Control!$A$9:A73,M6_Puntos_Control!A73,M6_Puntos_Control!$D$9:D73,M6_Puntos_Control!D73,M6_Puntos_Control!$G$9:G73,M6_Puntos_Control!G73,M6_Puntos_Control!$H$9:H73,M6_Puntos_Control!H73,M6_Puntos_Control!$K$9:K73,"Sí")=1,IF(M6_Puntos_Control!M73="","Pendiente de resultado","Punto oficial"),"Revisar: varios puntos oficiales")))</f>
        <v/>
      </c>
    </row>
    <row r="1070" spans="1:36" ht="55.5" customHeight="1">
      <c r="A1070" s="6" t="str">
        <f t="array" ref="A1070">IF(1066&gt;$S$1204,"",INDEX($T$5:$AJ$1204,MATCH(1066,$S$5:$S$1204,0),1))</f>
        <v/>
      </c>
      <c r="B1070" s="8" t="str">
        <f t="array" ref="B1070">IF(1066&gt;$S$1204,"",INDEX($T$5:$AJ$1204,MATCH(1066,$S$5:$S$1204,0),2))</f>
        <v/>
      </c>
      <c r="C1070" s="10" t="str">
        <f t="array" ref="C1070">IF(1066&gt;$S$1204,"",INDEX($T$5:$AJ$1204,MATCH(1066,$S$5:$S$1204,0),3))</f>
        <v/>
      </c>
      <c r="D1070" s="8" t="str">
        <f t="array" ref="D1070">IF(1066&gt;$S$1204,"",INDEX($T$5:$AJ$1204,MATCH(1066,$S$5:$S$1204,0),4))</f>
        <v/>
      </c>
      <c r="E1070" s="8" t="str">
        <f t="array" ref="E1070">IF(1066&gt;$S$1204,"",INDEX($T$5:$AJ$1204,MATCH(1066,$S$5:$S$1204,0),5))</f>
        <v/>
      </c>
      <c r="F1070" s="8" t="str">
        <f t="array" ref="F1070">IF(1066&gt;$S$1204,"",INDEX($T$5:$AJ$1204,MATCH(1066,$S$5:$S$1204,0),6))</f>
        <v/>
      </c>
      <c r="G1070" s="8" t="str">
        <f t="array" ref="G1070">IF(1066&gt;$S$1204,"",INDEX($T$5:$AJ$1204,MATCH(1066,$S$5:$S$1204,0),7))</f>
        <v/>
      </c>
      <c r="H1070" s="8" t="str">
        <f t="array" ref="H1070">IF(1066&gt;$S$1204,"",INDEX($T$5:$AJ$1204,MATCH(1066,$S$5:$S$1204,0),8))</f>
        <v/>
      </c>
      <c r="I1070" s="8" t="str">
        <f t="array" ref="I1070">IF(1066&gt;$S$1204,"",INDEX($T$5:$AJ$1204,MATCH(1066,$S$5:$S$1204,0),9))</f>
        <v/>
      </c>
      <c r="J1070" s="14" t="str">
        <f t="array" ref="J1070">IF(1066&gt;$S$1204,"",INDEX($T$5:$AJ$1204,MATCH(1066,$S$5:$S$1204,0),10))</f>
        <v/>
      </c>
      <c r="K1070" s="8" t="str">
        <f t="array" ref="K1070">IF(1066&gt;$S$1204,"",INDEX($T$5:$AJ$1204,MATCH(1066,$S$5:$S$1204,0),11))</f>
        <v/>
      </c>
      <c r="L1070" s="8" t="str">
        <f t="array" ref="L1070">IF(1066&gt;$S$1204,"",INDEX($T$5:$AJ$1204,MATCH(1066,$S$5:$S$1204,0),12))</f>
        <v/>
      </c>
      <c r="M1070" s="8" t="str">
        <f t="array" ref="M1070">IF(1066&gt;$S$1204,"",INDEX($T$5:$AJ$1204,MATCH(1066,$S$5:$S$1204,0),13))</f>
        <v/>
      </c>
      <c r="N1070" s="8" t="str">
        <f t="array" ref="N1070">IF(1066&gt;$S$1204,"",INDEX($T$5:$AJ$1204,MATCH(1066,$S$5:$S$1204,0),14))</f>
        <v/>
      </c>
      <c r="O1070" s="15" t="str">
        <f t="array" ref="O1070">IF(1066&gt;$S$1204,"",INDEX($T$5:$AJ$1204,MATCH(1066,$S$5:$S$1204,0),15))</f>
        <v/>
      </c>
      <c r="P1070" s="8" t="str">
        <f t="array" ref="P1070">IF(1066&gt;$S$1204,"",INDEX($T$5:$AJ$1204,MATCH(1066,$S$5:$S$1204,0),16))</f>
        <v/>
      </c>
      <c r="Q1070" s="8" t="str">
        <f t="array" ref="Q1070">IF(1066&gt;$S$1204,"",INDEX($T$5:$AJ$1204,MATCH(1066,$S$5:$S$1204,0),17))</f>
        <v/>
      </c>
      <c r="R1070" s="17"/>
      <c r="S1070" s="17">
        <f>S1069+IF(M6_Puntos_Control!A74="",0,1)</f>
        <v>0</v>
      </c>
      <c r="T1070" s="17" t="str">
        <f>IF(M6_Puntos_Control!A74="","",IF(M6_Puntos_Control!A74="","",M6_Puntos_Control!A74))</f>
        <v/>
      </c>
      <c r="U1070" s="17" t="str">
        <f>IF(M6_Puntos_Control!A74="","",IF(M6_Puntos_Control!R74="","",M6_Puntos_Control!R74))</f>
        <v/>
      </c>
      <c r="V1070" s="17" t="str">
        <f>IF(M6_Puntos_Control!A74="","",IF(M6_Puntos_Control!D74="","",M6_Puntos_Control!D74))</f>
        <v/>
      </c>
      <c r="W1070" s="17" t="str">
        <f>IF(M6_Puntos_Control!A74="","",IF(M6_Puntos_Control!B74="","",M6_Puntos_Control!B74))</f>
        <v/>
      </c>
      <c r="X1070" s="17" t="str">
        <f>IF(M6_Puntos_Control!A74="","",IF(M6_Puntos_Control!C74="","",M6_Puntos_Control!C74))</f>
        <v/>
      </c>
      <c r="Y1070" s="17" t="str">
        <f>IF(M6_Puntos_Control!A74="","",IF(M6_Puntos_Control!E74="","",M6_Puntos_Control!E74))</f>
        <v/>
      </c>
      <c r="Z1070" s="17" t="str">
        <f>IF(M6_Puntos_Control!A74="","",IF(M6_Puntos_Control!F74="","",M6_Puntos_Control!F74))</f>
        <v/>
      </c>
      <c r="AA1070" s="17" t="str">
        <f>IF(M6_Puntos_Control!A74="","","M6 Puntos de control")</f>
        <v/>
      </c>
      <c r="AB1070" s="17" t="str">
        <f>IF(M6_Puntos_Control!A74="","",IF(M6_Puntos_Control!G74="","",M6_Puntos_Control!G74))</f>
        <v/>
      </c>
      <c r="AC1070" s="17" t="str">
        <f>IF(M6_Puntos_Control!A74="","",IF(M6_Puntos_Control!K74="Sí",IF(COUNTIFS(M6_Puntos_Control!$A$9:A74,M6_Puntos_Control!A74,M6_Puntos_Control!$D$9:D74,M6_Puntos_Control!D74,M6_Puntos_Control!$G$9:G74,M6_Puntos_Control!G74,M6_Puntos_Control!$H$9:H74,M6_Puntos_Control!H74,M6_Puntos_Control!$K$9:K74,"Sí")=1,IF(M6_Puntos_Control!M74="","",M6_Puntos_Control!M74),""),""))</f>
        <v/>
      </c>
      <c r="AD1070" s="17" t="str">
        <f>IF(M6_Puntos_Control!A74="","","RD")</f>
        <v/>
      </c>
      <c r="AE1070" s="17" t="str">
        <f>IF(M6_Puntos_Control!A74="","",IF(M6_Puntos_Control!O74="","",M6_Puntos_Control!O74))</f>
        <v/>
      </c>
      <c r="AF1070" s="17" t="str">
        <f>IF(M6_Puntos_Control!A74="","",IF(M6_Puntos_Control!P74="","",M6_Puntos_Control!P74))</f>
        <v/>
      </c>
      <c r="AG1070" s="17" t="str">
        <f>IF(M6_Puntos_Control!A74="","",IF(M6_Puntos_Control!Q74="","",M6_Puntos_Control!Q74))</f>
        <v/>
      </c>
      <c r="AH1070" s="17" t="str">
        <f>IF(M6_Puntos_Control!A74="","",IF(M6_Puntos_Control!I74="","",M6_Puntos_Control!I74))</f>
        <v/>
      </c>
      <c r="AI1070" s="17" t="str">
        <f>IF(M6_Puntos_Control!A74="","","M6_Puntos_Control!74")</f>
        <v/>
      </c>
      <c r="AJ1070" s="17" t="str">
        <f>IF(M6_Puntos_Control!A74="","",IF(M6_Puntos_Control!K74&lt;&gt;"Sí","Punto de comparación",IF(COUNTIFS(M6_Puntos_Control!$A$9:A74,M6_Puntos_Control!A74,M6_Puntos_Control!$D$9:D74,M6_Puntos_Control!D74,M6_Puntos_Control!$G$9:G74,M6_Puntos_Control!G74,M6_Puntos_Control!$H$9:H74,M6_Puntos_Control!H74,M6_Puntos_Control!$K$9:K74,"Sí")=1,IF(M6_Puntos_Control!M74="","Pendiente de resultado","Punto oficial"),"Revisar: varios puntos oficiales")))</f>
        <v/>
      </c>
    </row>
    <row r="1071" spans="1:36" ht="55.5" customHeight="1">
      <c r="A1071" s="6" t="str">
        <f t="array" ref="A1071">IF(1067&gt;$S$1204,"",INDEX($T$5:$AJ$1204,MATCH(1067,$S$5:$S$1204,0),1))</f>
        <v/>
      </c>
      <c r="B1071" s="8" t="str">
        <f t="array" ref="B1071">IF(1067&gt;$S$1204,"",INDEX($T$5:$AJ$1204,MATCH(1067,$S$5:$S$1204,0),2))</f>
        <v/>
      </c>
      <c r="C1071" s="10" t="str">
        <f t="array" ref="C1071">IF(1067&gt;$S$1204,"",INDEX($T$5:$AJ$1204,MATCH(1067,$S$5:$S$1204,0),3))</f>
        <v/>
      </c>
      <c r="D1071" s="8" t="str">
        <f t="array" ref="D1071">IF(1067&gt;$S$1204,"",INDEX($T$5:$AJ$1204,MATCH(1067,$S$5:$S$1204,0),4))</f>
        <v/>
      </c>
      <c r="E1071" s="8" t="str">
        <f t="array" ref="E1071">IF(1067&gt;$S$1204,"",INDEX($T$5:$AJ$1204,MATCH(1067,$S$5:$S$1204,0),5))</f>
        <v/>
      </c>
      <c r="F1071" s="8" t="str">
        <f t="array" ref="F1071">IF(1067&gt;$S$1204,"",INDEX($T$5:$AJ$1204,MATCH(1067,$S$5:$S$1204,0),6))</f>
        <v/>
      </c>
      <c r="G1071" s="8" t="str">
        <f t="array" ref="G1071">IF(1067&gt;$S$1204,"",INDEX($T$5:$AJ$1204,MATCH(1067,$S$5:$S$1204,0),7))</f>
        <v/>
      </c>
      <c r="H1071" s="8" t="str">
        <f t="array" ref="H1071">IF(1067&gt;$S$1204,"",INDEX($T$5:$AJ$1204,MATCH(1067,$S$5:$S$1204,0),8))</f>
        <v/>
      </c>
      <c r="I1071" s="8" t="str">
        <f t="array" ref="I1071">IF(1067&gt;$S$1204,"",INDEX($T$5:$AJ$1204,MATCH(1067,$S$5:$S$1204,0),9))</f>
        <v/>
      </c>
      <c r="J1071" s="14" t="str">
        <f t="array" ref="J1071">IF(1067&gt;$S$1204,"",INDEX($T$5:$AJ$1204,MATCH(1067,$S$5:$S$1204,0),10))</f>
        <v/>
      </c>
      <c r="K1071" s="8" t="str">
        <f t="array" ref="K1071">IF(1067&gt;$S$1204,"",INDEX($T$5:$AJ$1204,MATCH(1067,$S$5:$S$1204,0),11))</f>
        <v/>
      </c>
      <c r="L1071" s="8" t="str">
        <f t="array" ref="L1071">IF(1067&gt;$S$1204,"",INDEX($T$5:$AJ$1204,MATCH(1067,$S$5:$S$1204,0),12))</f>
        <v/>
      </c>
      <c r="M1071" s="8" t="str">
        <f t="array" ref="M1071">IF(1067&gt;$S$1204,"",INDEX($T$5:$AJ$1204,MATCH(1067,$S$5:$S$1204,0),13))</f>
        <v/>
      </c>
      <c r="N1071" s="8" t="str">
        <f t="array" ref="N1071">IF(1067&gt;$S$1204,"",INDEX($T$5:$AJ$1204,MATCH(1067,$S$5:$S$1204,0),14))</f>
        <v/>
      </c>
      <c r="O1071" s="15" t="str">
        <f t="array" ref="O1071">IF(1067&gt;$S$1204,"",INDEX($T$5:$AJ$1204,MATCH(1067,$S$5:$S$1204,0),15))</f>
        <v/>
      </c>
      <c r="P1071" s="8" t="str">
        <f t="array" ref="P1071">IF(1067&gt;$S$1204,"",INDEX($T$5:$AJ$1204,MATCH(1067,$S$5:$S$1204,0),16))</f>
        <v/>
      </c>
      <c r="Q1071" s="8" t="str">
        <f t="array" ref="Q1071">IF(1067&gt;$S$1204,"",INDEX($T$5:$AJ$1204,MATCH(1067,$S$5:$S$1204,0),17))</f>
        <v/>
      </c>
      <c r="R1071" s="17"/>
      <c r="S1071" s="17">
        <f>S1070+IF(M6_Puntos_Control!A75="",0,1)</f>
        <v>0</v>
      </c>
      <c r="T1071" s="17" t="str">
        <f>IF(M6_Puntos_Control!A75="","",IF(M6_Puntos_Control!A75="","",M6_Puntos_Control!A75))</f>
        <v/>
      </c>
      <c r="U1071" s="17" t="str">
        <f>IF(M6_Puntos_Control!A75="","",IF(M6_Puntos_Control!R75="","",M6_Puntos_Control!R75))</f>
        <v/>
      </c>
      <c r="V1071" s="17" t="str">
        <f>IF(M6_Puntos_Control!A75="","",IF(M6_Puntos_Control!D75="","",M6_Puntos_Control!D75))</f>
        <v/>
      </c>
      <c r="W1071" s="17" t="str">
        <f>IF(M6_Puntos_Control!A75="","",IF(M6_Puntos_Control!B75="","",M6_Puntos_Control!B75))</f>
        <v/>
      </c>
      <c r="X1071" s="17" t="str">
        <f>IF(M6_Puntos_Control!A75="","",IF(M6_Puntos_Control!C75="","",M6_Puntos_Control!C75))</f>
        <v/>
      </c>
      <c r="Y1071" s="17" t="str">
        <f>IF(M6_Puntos_Control!A75="","",IF(M6_Puntos_Control!E75="","",M6_Puntos_Control!E75))</f>
        <v/>
      </c>
      <c r="Z1071" s="17" t="str">
        <f>IF(M6_Puntos_Control!A75="","",IF(M6_Puntos_Control!F75="","",M6_Puntos_Control!F75))</f>
        <v/>
      </c>
      <c r="AA1071" s="17" t="str">
        <f>IF(M6_Puntos_Control!A75="","","M6 Puntos de control")</f>
        <v/>
      </c>
      <c r="AB1071" s="17" t="str">
        <f>IF(M6_Puntos_Control!A75="","",IF(M6_Puntos_Control!G75="","",M6_Puntos_Control!G75))</f>
        <v/>
      </c>
      <c r="AC1071" s="17" t="str">
        <f>IF(M6_Puntos_Control!A75="","",IF(M6_Puntos_Control!K75="Sí",IF(COUNTIFS(M6_Puntos_Control!$A$9:A75,M6_Puntos_Control!A75,M6_Puntos_Control!$D$9:D75,M6_Puntos_Control!D75,M6_Puntos_Control!$G$9:G75,M6_Puntos_Control!G75,M6_Puntos_Control!$H$9:H75,M6_Puntos_Control!H75,M6_Puntos_Control!$K$9:K75,"Sí")=1,IF(M6_Puntos_Control!M75="","",M6_Puntos_Control!M75),""),""))</f>
        <v/>
      </c>
      <c r="AD1071" s="17" t="str">
        <f>IF(M6_Puntos_Control!A75="","","RD")</f>
        <v/>
      </c>
      <c r="AE1071" s="17" t="str">
        <f>IF(M6_Puntos_Control!A75="","",IF(M6_Puntos_Control!O75="","",M6_Puntos_Control!O75))</f>
        <v/>
      </c>
      <c r="AF1071" s="17" t="str">
        <f>IF(M6_Puntos_Control!A75="","",IF(M6_Puntos_Control!P75="","",M6_Puntos_Control!P75))</f>
        <v/>
      </c>
      <c r="AG1071" s="17" t="str">
        <f>IF(M6_Puntos_Control!A75="","",IF(M6_Puntos_Control!Q75="","",M6_Puntos_Control!Q75))</f>
        <v/>
      </c>
      <c r="AH1071" s="17" t="str">
        <f>IF(M6_Puntos_Control!A75="","",IF(M6_Puntos_Control!I75="","",M6_Puntos_Control!I75))</f>
        <v/>
      </c>
      <c r="AI1071" s="17" t="str">
        <f>IF(M6_Puntos_Control!A75="","","M6_Puntos_Control!75")</f>
        <v/>
      </c>
      <c r="AJ1071" s="17" t="str">
        <f>IF(M6_Puntos_Control!A75="","",IF(M6_Puntos_Control!K75&lt;&gt;"Sí","Punto de comparación",IF(COUNTIFS(M6_Puntos_Control!$A$9:A75,M6_Puntos_Control!A75,M6_Puntos_Control!$D$9:D75,M6_Puntos_Control!D75,M6_Puntos_Control!$G$9:G75,M6_Puntos_Control!G75,M6_Puntos_Control!$H$9:H75,M6_Puntos_Control!H75,M6_Puntos_Control!$K$9:K75,"Sí")=1,IF(M6_Puntos_Control!M75="","Pendiente de resultado","Punto oficial"),"Revisar: varios puntos oficiales")))</f>
        <v/>
      </c>
    </row>
    <row r="1072" spans="1:36" ht="55.5" customHeight="1">
      <c r="A1072" s="6" t="str">
        <f t="array" ref="A1072">IF(1068&gt;$S$1204,"",INDEX($T$5:$AJ$1204,MATCH(1068,$S$5:$S$1204,0),1))</f>
        <v/>
      </c>
      <c r="B1072" s="8" t="str">
        <f t="array" ref="B1072">IF(1068&gt;$S$1204,"",INDEX($T$5:$AJ$1204,MATCH(1068,$S$5:$S$1204,0),2))</f>
        <v/>
      </c>
      <c r="C1072" s="10" t="str">
        <f t="array" ref="C1072">IF(1068&gt;$S$1204,"",INDEX($T$5:$AJ$1204,MATCH(1068,$S$5:$S$1204,0),3))</f>
        <v/>
      </c>
      <c r="D1072" s="8" t="str">
        <f t="array" ref="D1072">IF(1068&gt;$S$1204,"",INDEX($T$5:$AJ$1204,MATCH(1068,$S$5:$S$1204,0),4))</f>
        <v/>
      </c>
      <c r="E1072" s="8" t="str">
        <f t="array" ref="E1072">IF(1068&gt;$S$1204,"",INDEX($T$5:$AJ$1204,MATCH(1068,$S$5:$S$1204,0),5))</f>
        <v/>
      </c>
      <c r="F1072" s="8" t="str">
        <f t="array" ref="F1072">IF(1068&gt;$S$1204,"",INDEX($T$5:$AJ$1204,MATCH(1068,$S$5:$S$1204,0),6))</f>
        <v/>
      </c>
      <c r="G1072" s="8" t="str">
        <f t="array" ref="G1072">IF(1068&gt;$S$1204,"",INDEX($T$5:$AJ$1204,MATCH(1068,$S$5:$S$1204,0),7))</f>
        <v/>
      </c>
      <c r="H1072" s="8" t="str">
        <f t="array" ref="H1072">IF(1068&gt;$S$1204,"",INDEX($T$5:$AJ$1204,MATCH(1068,$S$5:$S$1204,0),8))</f>
        <v/>
      </c>
      <c r="I1072" s="8" t="str">
        <f t="array" ref="I1072">IF(1068&gt;$S$1204,"",INDEX($T$5:$AJ$1204,MATCH(1068,$S$5:$S$1204,0),9))</f>
        <v/>
      </c>
      <c r="J1072" s="14" t="str">
        <f t="array" ref="J1072">IF(1068&gt;$S$1204,"",INDEX($T$5:$AJ$1204,MATCH(1068,$S$5:$S$1204,0),10))</f>
        <v/>
      </c>
      <c r="K1072" s="8" t="str">
        <f t="array" ref="K1072">IF(1068&gt;$S$1204,"",INDEX($T$5:$AJ$1204,MATCH(1068,$S$5:$S$1204,0),11))</f>
        <v/>
      </c>
      <c r="L1072" s="8" t="str">
        <f t="array" ref="L1072">IF(1068&gt;$S$1204,"",INDEX($T$5:$AJ$1204,MATCH(1068,$S$5:$S$1204,0),12))</f>
        <v/>
      </c>
      <c r="M1072" s="8" t="str">
        <f t="array" ref="M1072">IF(1068&gt;$S$1204,"",INDEX($T$5:$AJ$1204,MATCH(1068,$S$5:$S$1204,0),13))</f>
        <v/>
      </c>
      <c r="N1072" s="8" t="str">
        <f t="array" ref="N1072">IF(1068&gt;$S$1204,"",INDEX($T$5:$AJ$1204,MATCH(1068,$S$5:$S$1204,0),14))</f>
        <v/>
      </c>
      <c r="O1072" s="15" t="str">
        <f t="array" ref="O1072">IF(1068&gt;$S$1204,"",INDEX($T$5:$AJ$1204,MATCH(1068,$S$5:$S$1204,0),15))</f>
        <v/>
      </c>
      <c r="P1072" s="8" t="str">
        <f t="array" ref="P1072">IF(1068&gt;$S$1204,"",INDEX($T$5:$AJ$1204,MATCH(1068,$S$5:$S$1204,0),16))</f>
        <v/>
      </c>
      <c r="Q1072" s="8" t="str">
        <f t="array" ref="Q1072">IF(1068&gt;$S$1204,"",INDEX($T$5:$AJ$1204,MATCH(1068,$S$5:$S$1204,0),17))</f>
        <v/>
      </c>
      <c r="R1072" s="17"/>
      <c r="S1072" s="17">
        <f>S1071+IF(M6_Puntos_Control!A76="",0,1)</f>
        <v>0</v>
      </c>
      <c r="T1072" s="17" t="str">
        <f>IF(M6_Puntos_Control!A76="","",IF(M6_Puntos_Control!A76="","",M6_Puntos_Control!A76))</f>
        <v/>
      </c>
      <c r="U1072" s="17" t="str">
        <f>IF(M6_Puntos_Control!A76="","",IF(M6_Puntos_Control!R76="","",M6_Puntos_Control!R76))</f>
        <v/>
      </c>
      <c r="V1072" s="17" t="str">
        <f>IF(M6_Puntos_Control!A76="","",IF(M6_Puntos_Control!D76="","",M6_Puntos_Control!D76))</f>
        <v/>
      </c>
      <c r="W1072" s="17" t="str">
        <f>IF(M6_Puntos_Control!A76="","",IF(M6_Puntos_Control!B76="","",M6_Puntos_Control!B76))</f>
        <v/>
      </c>
      <c r="X1072" s="17" t="str">
        <f>IF(M6_Puntos_Control!A76="","",IF(M6_Puntos_Control!C76="","",M6_Puntos_Control!C76))</f>
        <v/>
      </c>
      <c r="Y1072" s="17" t="str">
        <f>IF(M6_Puntos_Control!A76="","",IF(M6_Puntos_Control!E76="","",M6_Puntos_Control!E76))</f>
        <v/>
      </c>
      <c r="Z1072" s="17" t="str">
        <f>IF(M6_Puntos_Control!A76="","",IF(M6_Puntos_Control!F76="","",M6_Puntos_Control!F76))</f>
        <v/>
      </c>
      <c r="AA1072" s="17" t="str">
        <f>IF(M6_Puntos_Control!A76="","","M6 Puntos de control")</f>
        <v/>
      </c>
      <c r="AB1072" s="17" t="str">
        <f>IF(M6_Puntos_Control!A76="","",IF(M6_Puntos_Control!G76="","",M6_Puntos_Control!G76))</f>
        <v/>
      </c>
      <c r="AC1072" s="17" t="str">
        <f>IF(M6_Puntos_Control!A76="","",IF(M6_Puntos_Control!K76="Sí",IF(COUNTIFS(M6_Puntos_Control!$A$9:A76,M6_Puntos_Control!A76,M6_Puntos_Control!$D$9:D76,M6_Puntos_Control!D76,M6_Puntos_Control!$G$9:G76,M6_Puntos_Control!G76,M6_Puntos_Control!$H$9:H76,M6_Puntos_Control!H76,M6_Puntos_Control!$K$9:K76,"Sí")=1,IF(M6_Puntos_Control!M76="","",M6_Puntos_Control!M76),""),""))</f>
        <v/>
      </c>
      <c r="AD1072" s="17" t="str">
        <f>IF(M6_Puntos_Control!A76="","","RD")</f>
        <v/>
      </c>
      <c r="AE1072" s="17" t="str">
        <f>IF(M6_Puntos_Control!A76="","",IF(M6_Puntos_Control!O76="","",M6_Puntos_Control!O76))</f>
        <v/>
      </c>
      <c r="AF1072" s="17" t="str">
        <f>IF(M6_Puntos_Control!A76="","",IF(M6_Puntos_Control!P76="","",M6_Puntos_Control!P76))</f>
        <v/>
      </c>
      <c r="AG1072" s="17" t="str">
        <f>IF(M6_Puntos_Control!A76="","",IF(M6_Puntos_Control!Q76="","",M6_Puntos_Control!Q76))</f>
        <v/>
      </c>
      <c r="AH1072" s="17" t="str">
        <f>IF(M6_Puntos_Control!A76="","",IF(M6_Puntos_Control!I76="","",M6_Puntos_Control!I76))</f>
        <v/>
      </c>
      <c r="AI1072" s="17" t="str">
        <f>IF(M6_Puntos_Control!A76="","","M6_Puntos_Control!76")</f>
        <v/>
      </c>
      <c r="AJ1072" s="17" t="str">
        <f>IF(M6_Puntos_Control!A76="","",IF(M6_Puntos_Control!K76&lt;&gt;"Sí","Punto de comparación",IF(COUNTIFS(M6_Puntos_Control!$A$9:A76,M6_Puntos_Control!A76,M6_Puntos_Control!$D$9:D76,M6_Puntos_Control!D76,M6_Puntos_Control!$G$9:G76,M6_Puntos_Control!G76,M6_Puntos_Control!$H$9:H76,M6_Puntos_Control!H76,M6_Puntos_Control!$K$9:K76,"Sí")=1,IF(M6_Puntos_Control!M76="","Pendiente de resultado","Punto oficial"),"Revisar: varios puntos oficiales")))</f>
        <v/>
      </c>
    </row>
    <row r="1073" spans="1:36" ht="55.5" customHeight="1">
      <c r="A1073" s="6" t="str">
        <f t="array" ref="A1073">IF(1069&gt;$S$1204,"",INDEX($T$5:$AJ$1204,MATCH(1069,$S$5:$S$1204,0),1))</f>
        <v/>
      </c>
      <c r="B1073" s="8" t="str">
        <f t="array" ref="B1073">IF(1069&gt;$S$1204,"",INDEX($T$5:$AJ$1204,MATCH(1069,$S$5:$S$1204,0),2))</f>
        <v/>
      </c>
      <c r="C1073" s="10" t="str">
        <f t="array" ref="C1073">IF(1069&gt;$S$1204,"",INDEX($T$5:$AJ$1204,MATCH(1069,$S$5:$S$1204,0),3))</f>
        <v/>
      </c>
      <c r="D1073" s="8" t="str">
        <f t="array" ref="D1073">IF(1069&gt;$S$1204,"",INDEX($T$5:$AJ$1204,MATCH(1069,$S$5:$S$1204,0),4))</f>
        <v/>
      </c>
      <c r="E1073" s="8" t="str">
        <f t="array" ref="E1073">IF(1069&gt;$S$1204,"",INDEX($T$5:$AJ$1204,MATCH(1069,$S$5:$S$1204,0),5))</f>
        <v/>
      </c>
      <c r="F1073" s="8" t="str">
        <f t="array" ref="F1073">IF(1069&gt;$S$1204,"",INDEX($T$5:$AJ$1204,MATCH(1069,$S$5:$S$1204,0),6))</f>
        <v/>
      </c>
      <c r="G1073" s="8" t="str">
        <f t="array" ref="G1073">IF(1069&gt;$S$1204,"",INDEX($T$5:$AJ$1204,MATCH(1069,$S$5:$S$1204,0),7))</f>
        <v/>
      </c>
      <c r="H1073" s="8" t="str">
        <f t="array" ref="H1073">IF(1069&gt;$S$1204,"",INDEX($T$5:$AJ$1204,MATCH(1069,$S$5:$S$1204,0),8))</f>
        <v/>
      </c>
      <c r="I1073" s="8" t="str">
        <f t="array" ref="I1073">IF(1069&gt;$S$1204,"",INDEX($T$5:$AJ$1204,MATCH(1069,$S$5:$S$1204,0),9))</f>
        <v/>
      </c>
      <c r="J1073" s="14" t="str">
        <f t="array" ref="J1073">IF(1069&gt;$S$1204,"",INDEX($T$5:$AJ$1204,MATCH(1069,$S$5:$S$1204,0),10))</f>
        <v/>
      </c>
      <c r="K1073" s="8" t="str">
        <f t="array" ref="K1073">IF(1069&gt;$S$1204,"",INDEX($T$5:$AJ$1204,MATCH(1069,$S$5:$S$1204,0),11))</f>
        <v/>
      </c>
      <c r="L1073" s="8" t="str">
        <f t="array" ref="L1073">IF(1069&gt;$S$1204,"",INDEX($T$5:$AJ$1204,MATCH(1069,$S$5:$S$1204,0),12))</f>
        <v/>
      </c>
      <c r="M1073" s="8" t="str">
        <f t="array" ref="M1073">IF(1069&gt;$S$1204,"",INDEX($T$5:$AJ$1204,MATCH(1069,$S$5:$S$1204,0),13))</f>
        <v/>
      </c>
      <c r="N1073" s="8" t="str">
        <f t="array" ref="N1073">IF(1069&gt;$S$1204,"",INDEX($T$5:$AJ$1204,MATCH(1069,$S$5:$S$1204,0),14))</f>
        <v/>
      </c>
      <c r="O1073" s="15" t="str">
        <f t="array" ref="O1073">IF(1069&gt;$S$1204,"",INDEX($T$5:$AJ$1204,MATCH(1069,$S$5:$S$1204,0),15))</f>
        <v/>
      </c>
      <c r="P1073" s="8" t="str">
        <f t="array" ref="P1073">IF(1069&gt;$S$1204,"",INDEX($T$5:$AJ$1204,MATCH(1069,$S$5:$S$1204,0),16))</f>
        <v/>
      </c>
      <c r="Q1073" s="8" t="str">
        <f t="array" ref="Q1073">IF(1069&gt;$S$1204,"",INDEX($T$5:$AJ$1204,MATCH(1069,$S$5:$S$1204,0),17))</f>
        <v/>
      </c>
      <c r="R1073" s="17"/>
      <c r="S1073" s="17">
        <f>S1072+IF(M6_Puntos_Control!A77="",0,1)</f>
        <v>0</v>
      </c>
      <c r="T1073" s="17" t="str">
        <f>IF(M6_Puntos_Control!A77="","",IF(M6_Puntos_Control!A77="","",M6_Puntos_Control!A77))</f>
        <v/>
      </c>
      <c r="U1073" s="17" t="str">
        <f>IF(M6_Puntos_Control!A77="","",IF(M6_Puntos_Control!R77="","",M6_Puntos_Control!R77))</f>
        <v/>
      </c>
      <c r="V1073" s="17" t="str">
        <f>IF(M6_Puntos_Control!A77="","",IF(M6_Puntos_Control!D77="","",M6_Puntos_Control!D77))</f>
        <v/>
      </c>
      <c r="W1073" s="17" t="str">
        <f>IF(M6_Puntos_Control!A77="","",IF(M6_Puntos_Control!B77="","",M6_Puntos_Control!B77))</f>
        <v/>
      </c>
      <c r="X1073" s="17" t="str">
        <f>IF(M6_Puntos_Control!A77="","",IF(M6_Puntos_Control!C77="","",M6_Puntos_Control!C77))</f>
        <v/>
      </c>
      <c r="Y1073" s="17" t="str">
        <f>IF(M6_Puntos_Control!A77="","",IF(M6_Puntos_Control!E77="","",M6_Puntos_Control!E77))</f>
        <v/>
      </c>
      <c r="Z1073" s="17" t="str">
        <f>IF(M6_Puntos_Control!A77="","",IF(M6_Puntos_Control!F77="","",M6_Puntos_Control!F77))</f>
        <v/>
      </c>
      <c r="AA1073" s="17" t="str">
        <f>IF(M6_Puntos_Control!A77="","","M6 Puntos de control")</f>
        <v/>
      </c>
      <c r="AB1073" s="17" t="str">
        <f>IF(M6_Puntos_Control!A77="","",IF(M6_Puntos_Control!G77="","",M6_Puntos_Control!G77))</f>
        <v/>
      </c>
      <c r="AC1073" s="17" t="str">
        <f>IF(M6_Puntos_Control!A77="","",IF(M6_Puntos_Control!K77="Sí",IF(COUNTIFS(M6_Puntos_Control!$A$9:A77,M6_Puntos_Control!A77,M6_Puntos_Control!$D$9:D77,M6_Puntos_Control!D77,M6_Puntos_Control!$G$9:G77,M6_Puntos_Control!G77,M6_Puntos_Control!$H$9:H77,M6_Puntos_Control!H77,M6_Puntos_Control!$K$9:K77,"Sí")=1,IF(M6_Puntos_Control!M77="","",M6_Puntos_Control!M77),""),""))</f>
        <v/>
      </c>
      <c r="AD1073" s="17" t="str">
        <f>IF(M6_Puntos_Control!A77="","","RD")</f>
        <v/>
      </c>
      <c r="AE1073" s="17" t="str">
        <f>IF(M6_Puntos_Control!A77="","",IF(M6_Puntos_Control!O77="","",M6_Puntos_Control!O77))</f>
        <v/>
      </c>
      <c r="AF1073" s="17" t="str">
        <f>IF(M6_Puntos_Control!A77="","",IF(M6_Puntos_Control!P77="","",M6_Puntos_Control!P77))</f>
        <v/>
      </c>
      <c r="AG1073" s="17" t="str">
        <f>IF(M6_Puntos_Control!A77="","",IF(M6_Puntos_Control!Q77="","",M6_Puntos_Control!Q77))</f>
        <v/>
      </c>
      <c r="AH1073" s="17" t="str">
        <f>IF(M6_Puntos_Control!A77="","",IF(M6_Puntos_Control!I77="","",M6_Puntos_Control!I77))</f>
        <v/>
      </c>
      <c r="AI1073" s="17" t="str">
        <f>IF(M6_Puntos_Control!A77="","","M6_Puntos_Control!77")</f>
        <v/>
      </c>
      <c r="AJ1073" s="17" t="str">
        <f>IF(M6_Puntos_Control!A77="","",IF(M6_Puntos_Control!K77&lt;&gt;"Sí","Punto de comparación",IF(COUNTIFS(M6_Puntos_Control!$A$9:A77,M6_Puntos_Control!A77,M6_Puntos_Control!$D$9:D77,M6_Puntos_Control!D77,M6_Puntos_Control!$G$9:G77,M6_Puntos_Control!G77,M6_Puntos_Control!$H$9:H77,M6_Puntos_Control!H77,M6_Puntos_Control!$K$9:K77,"Sí")=1,IF(M6_Puntos_Control!M77="","Pendiente de resultado","Punto oficial"),"Revisar: varios puntos oficiales")))</f>
        <v/>
      </c>
    </row>
    <row r="1074" spans="1:36" ht="55.5" customHeight="1">
      <c r="A1074" s="6" t="str">
        <f t="array" ref="A1074">IF(1070&gt;$S$1204,"",INDEX($T$5:$AJ$1204,MATCH(1070,$S$5:$S$1204,0),1))</f>
        <v/>
      </c>
      <c r="B1074" s="8" t="str">
        <f t="array" ref="B1074">IF(1070&gt;$S$1204,"",INDEX($T$5:$AJ$1204,MATCH(1070,$S$5:$S$1204,0),2))</f>
        <v/>
      </c>
      <c r="C1074" s="10" t="str">
        <f t="array" ref="C1074">IF(1070&gt;$S$1204,"",INDEX($T$5:$AJ$1204,MATCH(1070,$S$5:$S$1204,0),3))</f>
        <v/>
      </c>
      <c r="D1074" s="8" t="str">
        <f t="array" ref="D1074">IF(1070&gt;$S$1204,"",INDEX($T$5:$AJ$1204,MATCH(1070,$S$5:$S$1204,0),4))</f>
        <v/>
      </c>
      <c r="E1074" s="8" t="str">
        <f t="array" ref="E1074">IF(1070&gt;$S$1204,"",INDEX($T$5:$AJ$1204,MATCH(1070,$S$5:$S$1204,0),5))</f>
        <v/>
      </c>
      <c r="F1074" s="8" t="str">
        <f t="array" ref="F1074">IF(1070&gt;$S$1204,"",INDEX($T$5:$AJ$1204,MATCH(1070,$S$5:$S$1204,0),6))</f>
        <v/>
      </c>
      <c r="G1074" s="8" t="str">
        <f t="array" ref="G1074">IF(1070&gt;$S$1204,"",INDEX($T$5:$AJ$1204,MATCH(1070,$S$5:$S$1204,0),7))</f>
        <v/>
      </c>
      <c r="H1074" s="8" t="str">
        <f t="array" ref="H1074">IF(1070&gt;$S$1204,"",INDEX($T$5:$AJ$1204,MATCH(1070,$S$5:$S$1204,0),8))</f>
        <v/>
      </c>
      <c r="I1074" s="8" t="str">
        <f t="array" ref="I1074">IF(1070&gt;$S$1204,"",INDEX($T$5:$AJ$1204,MATCH(1070,$S$5:$S$1204,0),9))</f>
        <v/>
      </c>
      <c r="J1074" s="14" t="str">
        <f t="array" ref="J1074">IF(1070&gt;$S$1204,"",INDEX($T$5:$AJ$1204,MATCH(1070,$S$5:$S$1204,0),10))</f>
        <v/>
      </c>
      <c r="K1074" s="8" t="str">
        <f t="array" ref="K1074">IF(1070&gt;$S$1204,"",INDEX($T$5:$AJ$1204,MATCH(1070,$S$5:$S$1204,0),11))</f>
        <v/>
      </c>
      <c r="L1074" s="8" t="str">
        <f t="array" ref="L1074">IF(1070&gt;$S$1204,"",INDEX($T$5:$AJ$1204,MATCH(1070,$S$5:$S$1204,0),12))</f>
        <v/>
      </c>
      <c r="M1074" s="8" t="str">
        <f t="array" ref="M1074">IF(1070&gt;$S$1204,"",INDEX($T$5:$AJ$1204,MATCH(1070,$S$5:$S$1204,0),13))</f>
        <v/>
      </c>
      <c r="N1074" s="8" t="str">
        <f t="array" ref="N1074">IF(1070&gt;$S$1204,"",INDEX($T$5:$AJ$1204,MATCH(1070,$S$5:$S$1204,0),14))</f>
        <v/>
      </c>
      <c r="O1074" s="15" t="str">
        <f t="array" ref="O1074">IF(1070&gt;$S$1204,"",INDEX($T$5:$AJ$1204,MATCH(1070,$S$5:$S$1204,0),15))</f>
        <v/>
      </c>
      <c r="P1074" s="8" t="str">
        <f t="array" ref="P1074">IF(1070&gt;$S$1204,"",INDEX($T$5:$AJ$1204,MATCH(1070,$S$5:$S$1204,0),16))</f>
        <v/>
      </c>
      <c r="Q1074" s="8" t="str">
        <f t="array" ref="Q1074">IF(1070&gt;$S$1204,"",INDEX($T$5:$AJ$1204,MATCH(1070,$S$5:$S$1204,0),17))</f>
        <v/>
      </c>
      <c r="R1074" s="17"/>
      <c r="S1074" s="17">
        <f>S1073+IF(M6_Puntos_Control!A78="",0,1)</f>
        <v>0</v>
      </c>
      <c r="T1074" s="17" t="str">
        <f>IF(M6_Puntos_Control!A78="","",IF(M6_Puntos_Control!A78="","",M6_Puntos_Control!A78))</f>
        <v/>
      </c>
      <c r="U1074" s="17" t="str">
        <f>IF(M6_Puntos_Control!A78="","",IF(M6_Puntos_Control!R78="","",M6_Puntos_Control!R78))</f>
        <v/>
      </c>
      <c r="V1074" s="17" t="str">
        <f>IF(M6_Puntos_Control!A78="","",IF(M6_Puntos_Control!D78="","",M6_Puntos_Control!D78))</f>
        <v/>
      </c>
      <c r="W1074" s="17" t="str">
        <f>IF(M6_Puntos_Control!A78="","",IF(M6_Puntos_Control!B78="","",M6_Puntos_Control!B78))</f>
        <v/>
      </c>
      <c r="X1074" s="17" t="str">
        <f>IF(M6_Puntos_Control!A78="","",IF(M6_Puntos_Control!C78="","",M6_Puntos_Control!C78))</f>
        <v/>
      </c>
      <c r="Y1074" s="17" t="str">
        <f>IF(M6_Puntos_Control!A78="","",IF(M6_Puntos_Control!E78="","",M6_Puntos_Control!E78))</f>
        <v/>
      </c>
      <c r="Z1074" s="17" t="str">
        <f>IF(M6_Puntos_Control!A78="","",IF(M6_Puntos_Control!F78="","",M6_Puntos_Control!F78))</f>
        <v/>
      </c>
      <c r="AA1074" s="17" t="str">
        <f>IF(M6_Puntos_Control!A78="","","M6 Puntos de control")</f>
        <v/>
      </c>
      <c r="AB1074" s="17" t="str">
        <f>IF(M6_Puntos_Control!A78="","",IF(M6_Puntos_Control!G78="","",M6_Puntos_Control!G78))</f>
        <v/>
      </c>
      <c r="AC1074" s="17" t="str">
        <f>IF(M6_Puntos_Control!A78="","",IF(M6_Puntos_Control!K78="Sí",IF(COUNTIFS(M6_Puntos_Control!$A$9:A78,M6_Puntos_Control!A78,M6_Puntos_Control!$D$9:D78,M6_Puntos_Control!D78,M6_Puntos_Control!$G$9:G78,M6_Puntos_Control!G78,M6_Puntos_Control!$H$9:H78,M6_Puntos_Control!H78,M6_Puntos_Control!$K$9:K78,"Sí")=1,IF(M6_Puntos_Control!M78="","",M6_Puntos_Control!M78),""),""))</f>
        <v/>
      </c>
      <c r="AD1074" s="17" t="str">
        <f>IF(M6_Puntos_Control!A78="","","RD")</f>
        <v/>
      </c>
      <c r="AE1074" s="17" t="str">
        <f>IF(M6_Puntos_Control!A78="","",IF(M6_Puntos_Control!O78="","",M6_Puntos_Control!O78))</f>
        <v/>
      </c>
      <c r="AF1074" s="17" t="str">
        <f>IF(M6_Puntos_Control!A78="","",IF(M6_Puntos_Control!P78="","",M6_Puntos_Control!P78))</f>
        <v/>
      </c>
      <c r="AG1074" s="17" t="str">
        <f>IF(M6_Puntos_Control!A78="","",IF(M6_Puntos_Control!Q78="","",M6_Puntos_Control!Q78))</f>
        <v/>
      </c>
      <c r="AH1074" s="17" t="str">
        <f>IF(M6_Puntos_Control!A78="","",IF(M6_Puntos_Control!I78="","",M6_Puntos_Control!I78))</f>
        <v/>
      </c>
      <c r="AI1074" s="17" t="str">
        <f>IF(M6_Puntos_Control!A78="","","M6_Puntos_Control!78")</f>
        <v/>
      </c>
      <c r="AJ1074" s="17" t="str">
        <f>IF(M6_Puntos_Control!A78="","",IF(M6_Puntos_Control!K78&lt;&gt;"Sí","Punto de comparación",IF(COUNTIFS(M6_Puntos_Control!$A$9:A78,M6_Puntos_Control!A78,M6_Puntos_Control!$D$9:D78,M6_Puntos_Control!D78,M6_Puntos_Control!$G$9:G78,M6_Puntos_Control!G78,M6_Puntos_Control!$H$9:H78,M6_Puntos_Control!H78,M6_Puntos_Control!$K$9:K78,"Sí")=1,IF(M6_Puntos_Control!M78="","Pendiente de resultado","Punto oficial"),"Revisar: varios puntos oficiales")))</f>
        <v/>
      </c>
    </row>
    <row r="1075" spans="1:36" ht="55.5" customHeight="1">
      <c r="A1075" s="6" t="str">
        <f t="array" ref="A1075">IF(1071&gt;$S$1204,"",INDEX($T$5:$AJ$1204,MATCH(1071,$S$5:$S$1204,0),1))</f>
        <v/>
      </c>
      <c r="B1075" s="8" t="str">
        <f t="array" ref="B1075">IF(1071&gt;$S$1204,"",INDEX($T$5:$AJ$1204,MATCH(1071,$S$5:$S$1204,0),2))</f>
        <v/>
      </c>
      <c r="C1075" s="10" t="str">
        <f t="array" ref="C1075">IF(1071&gt;$S$1204,"",INDEX($T$5:$AJ$1204,MATCH(1071,$S$5:$S$1204,0),3))</f>
        <v/>
      </c>
      <c r="D1075" s="8" t="str">
        <f t="array" ref="D1075">IF(1071&gt;$S$1204,"",INDEX($T$5:$AJ$1204,MATCH(1071,$S$5:$S$1204,0),4))</f>
        <v/>
      </c>
      <c r="E1075" s="8" t="str">
        <f t="array" ref="E1075">IF(1071&gt;$S$1204,"",INDEX($T$5:$AJ$1204,MATCH(1071,$S$5:$S$1204,0),5))</f>
        <v/>
      </c>
      <c r="F1075" s="8" t="str">
        <f t="array" ref="F1075">IF(1071&gt;$S$1204,"",INDEX($T$5:$AJ$1204,MATCH(1071,$S$5:$S$1204,0),6))</f>
        <v/>
      </c>
      <c r="G1075" s="8" t="str">
        <f t="array" ref="G1075">IF(1071&gt;$S$1204,"",INDEX($T$5:$AJ$1204,MATCH(1071,$S$5:$S$1204,0),7))</f>
        <v/>
      </c>
      <c r="H1075" s="8" t="str">
        <f t="array" ref="H1075">IF(1071&gt;$S$1204,"",INDEX($T$5:$AJ$1204,MATCH(1071,$S$5:$S$1204,0),8))</f>
        <v/>
      </c>
      <c r="I1075" s="8" t="str">
        <f t="array" ref="I1075">IF(1071&gt;$S$1204,"",INDEX($T$5:$AJ$1204,MATCH(1071,$S$5:$S$1204,0),9))</f>
        <v/>
      </c>
      <c r="J1075" s="14" t="str">
        <f t="array" ref="J1075">IF(1071&gt;$S$1204,"",INDEX($T$5:$AJ$1204,MATCH(1071,$S$5:$S$1204,0),10))</f>
        <v/>
      </c>
      <c r="K1075" s="8" t="str">
        <f t="array" ref="K1075">IF(1071&gt;$S$1204,"",INDEX($T$5:$AJ$1204,MATCH(1071,$S$5:$S$1204,0),11))</f>
        <v/>
      </c>
      <c r="L1075" s="8" t="str">
        <f t="array" ref="L1075">IF(1071&gt;$S$1204,"",INDEX($T$5:$AJ$1204,MATCH(1071,$S$5:$S$1204,0),12))</f>
        <v/>
      </c>
      <c r="M1075" s="8" t="str">
        <f t="array" ref="M1075">IF(1071&gt;$S$1204,"",INDEX($T$5:$AJ$1204,MATCH(1071,$S$5:$S$1204,0),13))</f>
        <v/>
      </c>
      <c r="N1075" s="8" t="str">
        <f t="array" ref="N1075">IF(1071&gt;$S$1204,"",INDEX($T$5:$AJ$1204,MATCH(1071,$S$5:$S$1204,0),14))</f>
        <v/>
      </c>
      <c r="O1075" s="15" t="str">
        <f t="array" ref="O1075">IF(1071&gt;$S$1204,"",INDEX($T$5:$AJ$1204,MATCH(1071,$S$5:$S$1204,0),15))</f>
        <v/>
      </c>
      <c r="P1075" s="8" t="str">
        <f t="array" ref="P1075">IF(1071&gt;$S$1204,"",INDEX($T$5:$AJ$1204,MATCH(1071,$S$5:$S$1204,0),16))</f>
        <v/>
      </c>
      <c r="Q1075" s="8" t="str">
        <f t="array" ref="Q1075">IF(1071&gt;$S$1204,"",INDEX($T$5:$AJ$1204,MATCH(1071,$S$5:$S$1204,0),17))</f>
        <v/>
      </c>
      <c r="R1075" s="17"/>
      <c r="S1075" s="17">
        <f>S1074+IF(M6_Puntos_Control!A79="",0,1)</f>
        <v>0</v>
      </c>
      <c r="T1075" s="17" t="str">
        <f>IF(M6_Puntos_Control!A79="","",IF(M6_Puntos_Control!A79="","",M6_Puntos_Control!A79))</f>
        <v/>
      </c>
      <c r="U1075" s="17" t="str">
        <f>IF(M6_Puntos_Control!A79="","",IF(M6_Puntos_Control!R79="","",M6_Puntos_Control!R79))</f>
        <v/>
      </c>
      <c r="V1075" s="17" t="str">
        <f>IF(M6_Puntos_Control!A79="","",IF(M6_Puntos_Control!D79="","",M6_Puntos_Control!D79))</f>
        <v/>
      </c>
      <c r="W1075" s="17" t="str">
        <f>IF(M6_Puntos_Control!A79="","",IF(M6_Puntos_Control!B79="","",M6_Puntos_Control!B79))</f>
        <v/>
      </c>
      <c r="X1075" s="17" t="str">
        <f>IF(M6_Puntos_Control!A79="","",IF(M6_Puntos_Control!C79="","",M6_Puntos_Control!C79))</f>
        <v/>
      </c>
      <c r="Y1075" s="17" t="str">
        <f>IF(M6_Puntos_Control!A79="","",IF(M6_Puntos_Control!E79="","",M6_Puntos_Control!E79))</f>
        <v/>
      </c>
      <c r="Z1075" s="17" t="str">
        <f>IF(M6_Puntos_Control!A79="","",IF(M6_Puntos_Control!F79="","",M6_Puntos_Control!F79))</f>
        <v/>
      </c>
      <c r="AA1075" s="17" t="str">
        <f>IF(M6_Puntos_Control!A79="","","M6 Puntos de control")</f>
        <v/>
      </c>
      <c r="AB1075" s="17" t="str">
        <f>IF(M6_Puntos_Control!A79="","",IF(M6_Puntos_Control!G79="","",M6_Puntos_Control!G79))</f>
        <v/>
      </c>
      <c r="AC1075" s="17" t="str">
        <f>IF(M6_Puntos_Control!A79="","",IF(M6_Puntos_Control!K79="Sí",IF(COUNTIFS(M6_Puntos_Control!$A$9:A79,M6_Puntos_Control!A79,M6_Puntos_Control!$D$9:D79,M6_Puntos_Control!D79,M6_Puntos_Control!$G$9:G79,M6_Puntos_Control!G79,M6_Puntos_Control!$H$9:H79,M6_Puntos_Control!H79,M6_Puntos_Control!$K$9:K79,"Sí")=1,IF(M6_Puntos_Control!M79="","",M6_Puntos_Control!M79),""),""))</f>
        <v/>
      </c>
      <c r="AD1075" s="17" t="str">
        <f>IF(M6_Puntos_Control!A79="","","RD")</f>
        <v/>
      </c>
      <c r="AE1075" s="17" t="str">
        <f>IF(M6_Puntos_Control!A79="","",IF(M6_Puntos_Control!O79="","",M6_Puntos_Control!O79))</f>
        <v/>
      </c>
      <c r="AF1075" s="17" t="str">
        <f>IF(M6_Puntos_Control!A79="","",IF(M6_Puntos_Control!P79="","",M6_Puntos_Control!P79))</f>
        <v/>
      </c>
      <c r="AG1075" s="17" t="str">
        <f>IF(M6_Puntos_Control!A79="","",IF(M6_Puntos_Control!Q79="","",M6_Puntos_Control!Q79))</f>
        <v/>
      </c>
      <c r="AH1075" s="17" t="str">
        <f>IF(M6_Puntos_Control!A79="","",IF(M6_Puntos_Control!I79="","",M6_Puntos_Control!I79))</f>
        <v/>
      </c>
      <c r="AI1075" s="17" t="str">
        <f>IF(M6_Puntos_Control!A79="","","M6_Puntos_Control!79")</f>
        <v/>
      </c>
      <c r="AJ1075" s="17" t="str">
        <f>IF(M6_Puntos_Control!A79="","",IF(M6_Puntos_Control!K79&lt;&gt;"Sí","Punto de comparación",IF(COUNTIFS(M6_Puntos_Control!$A$9:A79,M6_Puntos_Control!A79,M6_Puntos_Control!$D$9:D79,M6_Puntos_Control!D79,M6_Puntos_Control!$G$9:G79,M6_Puntos_Control!G79,M6_Puntos_Control!$H$9:H79,M6_Puntos_Control!H79,M6_Puntos_Control!$K$9:K79,"Sí")=1,IF(M6_Puntos_Control!M79="","Pendiente de resultado","Punto oficial"),"Revisar: varios puntos oficiales")))</f>
        <v/>
      </c>
    </row>
    <row r="1076" spans="1:36" ht="55.5" customHeight="1">
      <c r="A1076" s="6" t="str">
        <f t="array" ref="A1076">IF(1072&gt;$S$1204,"",INDEX($T$5:$AJ$1204,MATCH(1072,$S$5:$S$1204,0),1))</f>
        <v/>
      </c>
      <c r="B1076" s="8" t="str">
        <f t="array" ref="B1076">IF(1072&gt;$S$1204,"",INDEX($T$5:$AJ$1204,MATCH(1072,$S$5:$S$1204,0),2))</f>
        <v/>
      </c>
      <c r="C1076" s="10" t="str">
        <f t="array" ref="C1076">IF(1072&gt;$S$1204,"",INDEX($T$5:$AJ$1204,MATCH(1072,$S$5:$S$1204,0),3))</f>
        <v/>
      </c>
      <c r="D1076" s="8" t="str">
        <f t="array" ref="D1076">IF(1072&gt;$S$1204,"",INDEX($T$5:$AJ$1204,MATCH(1072,$S$5:$S$1204,0),4))</f>
        <v/>
      </c>
      <c r="E1076" s="8" t="str">
        <f t="array" ref="E1076">IF(1072&gt;$S$1204,"",INDEX($T$5:$AJ$1204,MATCH(1072,$S$5:$S$1204,0),5))</f>
        <v/>
      </c>
      <c r="F1076" s="8" t="str">
        <f t="array" ref="F1076">IF(1072&gt;$S$1204,"",INDEX($T$5:$AJ$1204,MATCH(1072,$S$5:$S$1204,0),6))</f>
        <v/>
      </c>
      <c r="G1076" s="8" t="str">
        <f t="array" ref="G1076">IF(1072&gt;$S$1204,"",INDEX($T$5:$AJ$1204,MATCH(1072,$S$5:$S$1204,0),7))</f>
        <v/>
      </c>
      <c r="H1076" s="8" t="str">
        <f t="array" ref="H1076">IF(1072&gt;$S$1204,"",INDEX($T$5:$AJ$1204,MATCH(1072,$S$5:$S$1204,0),8))</f>
        <v/>
      </c>
      <c r="I1076" s="8" t="str">
        <f t="array" ref="I1076">IF(1072&gt;$S$1204,"",INDEX($T$5:$AJ$1204,MATCH(1072,$S$5:$S$1204,0),9))</f>
        <v/>
      </c>
      <c r="J1076" s="14" t="str">
        <f t="array" ref="J1076">IF(1072&gt;$S$1204,"",INDEX($T$5:$AJ$1204,MATCH(1072,$S$5:$S$1204,0),10))</f>
        <v/>
      </c>
      <c r="K1076" s="8" t="str">
        <f t="array" ref="K1076">IF(1072&gt;$S$1204,"",INDEX($T$5:$AJ$1204,MATCH(1072,$S$5:$S$1204,0),11))</f>
        <v/>
      </c>
      <c r="L1076" s="8" t="str">
        <f t="array" ref="L1076">IF(1072&gt;$S$1204,"",INDEX($T$5:$AJ$1204,MATCH(1072,$S$5:$S$1204,0),12))</f>
        <v/>
      </c>
      <c r="M1076" s="8" t="str">
        <f t="array" ref="M1076">IF(1072&gt;$S$1204,"",INDEX($T$5:$AJ$1204,MATCH(1072,$S$5:$S$1204,0),13))</f>
        <v/>
      </c>
      <c r="N1076" s="8" t="str">
        <f t="array" ref="N1076">IF(1072&gt;$S$1204,"",INDEX($T$5:$AJ$1204,MATCH(1072,$S$5:$S$1204,0),14))</f>
        <v/>
      </c>
      <c r="O1076" s="15" t="str">
        <f t="array" ref="O1076">IF(1072&gt;$S$1204,"",INDEX($T$5:$AJ$1204,MATCH(1072,$S$5:$S$1204,0),15))</f>
        <v/>
      </c>
      <c r="P1076" s="8" t="str">
        <f t="array" ref="P1076">IF(1072&gt;$S$1204,"",INDEX($T$5:$AJ$1204,MATCH(1072,$S$5:$S$1204,0),16))</f>
        <v/>
      </c>
      <c r="Q1076" s="8" t="str">
        <f t="array" ref="Q1076">IF(1072&gt;$S$1204,"",INDEX($T$5:$AJ$1204,MATCH(1072,$S$5:$S$1204,0),17))</f>
        <v/>
      </c>
      <c r="R1076" s="17"/>
      <c r="S1076" s="17">
        <f>S1075+IF(M6_Puntos_Control!A80="",0,1)</f>
        <v>0</v>
      </c>
      <c r="T1076" s="17" t="str">
        <f>IF(M6_Puntos_Control!A80="","",IF(M6_Puntos_Control!A80="","",M6_Puntos_Control!A80))</f>
        <v/>
      </c>
      <c r="U1076" s="17" t="str">
        <f>IF(M6_Puntos_Control!A80="","",IF(M6_Puntos_Control!R80="","",M6_Puntos_Control!R80))</f>
        <v/>
      </c>
      <c r="V1076" s="17" t="str">
        <f>IF(M6_Puntos_Control!A80="","",IF(M6_Puntos_Control!D80="","",M6_Puntos_Control!D80))</f>
        <v/>
      </c>
      <c r="W1076" s="17" t="str">
        <f>IF(M6_Puntos_Control!A80="","",IF(M6_Puntos_Control!B80="","",M6_Puntos_Control!B80))</f>
        <v/>
      </c>
      <c r="X1076" s="17" t="str">
        <f>IF(M6_Puntos_Control!A80="","",IF(M6_Puntos_Control!C80="","",M6_Puntos_Control!C80))</f>
        <v/>
      </c>
      <c r="Y1076" s="17" t="str">
        <f>IF(M6_Puntos_Control!A80="","",IF(M6_Puntos_Control!E80="","",M6_Puntos_Control!E80))</f>
        <v/>
      </c>
      <c r="Z1076" s="17" t="str">
        <f>IF(M6_Puntos_Control!A80="","",IF(M6_Puntos_Control!F80="","",M6_Puntos_Control!F80))</f>
        <v/>
      </c>
      <c r="AA1076" s="17" t="str">
        <f>IF(M6_Puntos_Control!A80="","","M6 Puntos de control")</f>
        <v/>
      </c>
      <c r="AB1076" s="17" t="str">
        <f>IF(M6_Puntos_Control!A80="","",IF(M6_Puntos_Control!G80="","",M6_Puntos_Control!G80))</f>
        <v/>
      </c>
      <c r="AC1076" s="17" t="str">
        <f>IF(M6_Puntos_Control!A80="","",IF(M6_Puntos_Control!K80="Sí",IF(COUNTIFS(M6_Puntos_Control!$A$9:A80,M6_Puntos_Control!A80,M6_Puntos_Control!$D$9:D80,M6_Puntos_Control!D80,M6_Puntos_Control!$G$9:G80,M6_Puntos_Control!G80,M6_Puntos_Control!$H$9:H80,M6_Puntos_Control!H80,M6_Puntos_Control!$K$9:K80,"Sí")=1,IF(M6_Puntos_Control!M80="","",M6_Puntos_Control!M80),""),""))</f>
        <v/>
      </c>
      <c r="AD1076" s="17" t="str">
        <f>IF(M6_Puntos_Control!A80="","","RD")</f>
        <v/>
      </c>
      <c r="AE1076" s="17" t="str">
        <f>IF(M6_Puntos_Control!A80="","",IF(M6_Puntos_Control!O80="","",M6_Puntos_Control!O80))</f>
        <v/>
      </c>
      <c r="AF1076" s="17" t="str">
        <f>IF(M6_Puntos_Control!A80="","",IF(M6_Puntos_Control!P80="","",M6_Puntos_Control!P80))</f>
        <v/>
      </c>
      <c r="AG1076" s="17" t="str">
        <f>IF(M6_Puntos_Control!A80="","",IF(M6_Puntos_Control!Q80="","",M6_Puntos_Control!Q80))</f>
        <v/>
      </c>
      <c r="AH1076" s="17" t="str">
        <f>IF(M6_Puntos_Control!A80="","",IF(M6_Puntos_Control!I80="","",M6_Puntos_Control!I80))</f>
        <v/>
      </c>
      <c r="AI1076" s="17" t="str">
        <f>IF(M6_Puntos_Control!A80="","","M6_Puntos_Control!80")</f>
        <v/>
      </c>
      <c r="AJ1076" s="17" t="str">
        <f>IF(M6_Puntos_Control!A80="","",IF(M6_Puntos_Control!K80&lt;&gt;"Sí","Punto de comparación",IF(COUNTIFS(M6_Puntos_Control!$A$9:A80,M6_Puntos_Control!A80,M6_Puntos_Control!$D$9:D80,M6_Puntos_Control!D80,M6_Puntos_Control!$G$9:G80,M6_Puntos_Control!G80,M6_Puntos_Control!$H$9:H80,M6_Puntos_Control!H80,M6_Puntos_Control!$K$9:K80,"Sí")=1,IF(M6_Puntos_Control!M80="","Pendiente de resultado","Punto oficial"),"Revisar: varios puntos oficiales")))</f>
        <v/>
      </c>
    </row>
    <row r="1077" spans="1:36" ht="55.5" customHeight="1">
      <c r="A1077" s="6" t="str">
        <f t="array" ref="A1077">IF(1073&gt;$S$1204,"",INDEX($T$5:$AJ$1204,MATCH(1073,$S$5:$S$1204,0),1))</f>
        <v/>
      </c>
      <c r="B1077" s="8" t="str">
        <f t="array" ref="B1077">IF(1073&gt;$S$1204,"",INDEX($T$5:$AJ$1204,MATCH(1073,$S$5:$S$1204,0),2))</f>
        <v/>
      </c>
      <c r="C1077" s="10" t="str">
        <f t="array" ref="C1077">IF(1073&gt;$S$1204,"",INDEX($T$5:$AJ$1204,MATCH(1073,$S$5:$S$1204,0),3))</f>
        <v/>
      </c>
      <c r="D1077" s="8" t="str">
        <f t="array" ref="D1077">IF(1073&gt;$S$1204,"",INDEX($T$5:$AJ$1204,MATCH(1073,$S$5:$S$1204,0),4))</f>
        <v/>
      </c>
      <c r="E1077" s="8" t="str">
        <f t="array" ref="E1077">IF(1073&gt;$S$1204,"",INDEX($T$5:$AJ$1204,MATCH(1073,$S$5:$S$1204,0),5))</f>
        <v/>
      </c>
      <c r="F1077" s="8" t="str">
        <f t="array" ref="F1077">IF(1073&gt;$S$1204,"",INDEX($T$5:$AJ$1204,MATCH(1073,$S$5:$S$1204,0),6))</f>
        <v/>
      </c>
      <c r="G1077" s="8" t="str">
        <f t="array" ref="G1077">IF(1073&gt;$S$1204,"",INDEX($T$5:$AJ$1204,MATCH(1073,$S$5:$S$1204,0),7))</f>
        <v/>
      </c>
      <c r="H1077" s="8" t="str">
        <f t="array" ref="H1077">IF(1073&gt;$S$1204,"",INDEX($T$5:$AJ$1204,MATCH(1073,$S$5:$S$1204,0),8))</f>
        <v/>
      </c>
      <c r="I1077" s="8" t="str">
        <f t="array" ref="I1077">IF(1073&gt;$S$1204,"",INDEX($T$5:$AJ$1204,MATCH(1073,$S$5:$S$1204,0),9))</f>
        <v/>
      </c>
      <c r="J1077" s="14" t="str">
        <f t="array" ref="J1077">IF(1073&gt;$S$1204,"",INDEX($T$5:$AJ$1204,MATCH(1073,$S$5:$S$1204,0),10))</f>
        <v/>
      </c>
      <c r="K1077" s="8" t="str">
        <f t="array" ref="K1077">IF(1073&gt;$S$1204,"",INDEX($T$5:$AJ$1204,MATCH(1073,$S$5:$S$1204,0),11))</f>
        <v/>
      </c>
      <c r="L1077" s="8" t="str">
        <f t="array" ref="L1077">IF(1073&gt;$S$1204,"",INDEX($T$5:$AJ$1204,MATCH(1073,$S$5:$S$1204,0),12))</f>
        <v/>
      </c>
      <c r="M1077" s="8" t="str">
        <f t="array" ref="M1077">IF(1073&gt;$S$1204,"",INDEX($T$5:$AJ$1204,MATCH(1073,$S$5:$S$1204,0),13))</f>
        <v/>
      </c>
      <c r="N1077" s="8" t="str">
        <f t="array" ref="N1077">IF(1073&gt;$S$1204,"",INDEX($T$5:$AJ$1204,MATCH(1073,$S$5:$S$1204,0),14))</f>
        <v/>
      </c>
      <c r="O1077" s="15" t="str">
        <f t="array" ref="O1077">IF(1073&gt;$S$1204,"",INDEX($T$5:$AJ$1204,MATCH(1073,$S$5:$S$1204,0),15))</f>
        <v/>
      </c>
      <c r="P1077" s="8" t="str">
        <f t="array" ref="P1077">IF(1073&gt;$S$1204,"",INDEX($T$5:$AJ$1204,MATCH(1073,$S$5:$S$1204,0),16))</f>
        <v/>
      </c>
      <c r="Q1077" s="8" t="str">
        <f t="array" ref="Q1077">IF(1073&gt;$S$1204,"",INDEX($T$5:$AJ$1204,MATCH(1073,$S$5:$S$1204,0),17))</f>
        <v/>
      </c>
      <c r="R1077" s="17"/>
      <c r="S1077" s="17">
        <f>S1076+IF(M6_Puntos_Control!A81="",0,1)</f>
        <v>0</v>
      </c>
      <c r="T1077" s="17" t="str">
        <f>IF(M6_Puntos_Control!A81="","",IF(M6_Puntos_Control!A81="","",M6_Puntos_Control!A81))</f>
        <v/>
      </c>
      <c r="U1077" s="17" t="str">
        <f>IF(M6_Puntos_Control!A81="","",IF(M6_Puntos_Control!R81="","",M6_Puntos_Control!R81))</f>
        <v/>
      </c>
      <c r="V1077" s="17" t="str">
        <f>IF(M6_Puntos_Control!A81="","",IF(M6_Puntos_Control!D81="","",M6_Puntos_Control!D81))</f>
        <v/>
      </c>
      <c r="W1077" s="17" t="str">
        <f>IF(M6_Puntos_Control!A81="","",IF(M6_Puntos_Control!B81="","",M6_Puntos_Control!B81))</f>
        <v/>
      </c>
      <c r="X1077" s="17" t="str">
        <f>IF(M6_Puntos_Control!A81="","",IF(M6_Puntos_Control!C81="","",M6_Puntos_Control!C81))</f>
        <v/>
      </c>
      <c r="Y1077" s="17" t="str">
        <f>IF(M6_Puntos_Control!A81="","",IF(M6_Puntos_Control!E81="","",M6_Puntos_Control!E81))</f>
        <v/>
      </c>
      <c r="Z1077" s="17" t="str">
        <f>IF(M6_Puntos_Control!A81="","",IF(M6_Puntos_Control!F81="","",M6_Puntos_Control!F81))</f>
        <v/>
      </c>
      <c r="AA1077" s="17" t="str">
        <f>IF(M6_Puntos_Control!A81="","","M6 Puntos de control")</f>
        <v/>
      </c>
      <c r="AB1077" s="17" t="str">
        <f>IF(M6_Puntos_Control!A81="","",IF(M6_Puntos_Control!G81="","",M6_Puntos_Control!G81))</f>
        <v/>
      </c>
      <c r="AC1077" s="17" t="str">
        <f>IF(M6_Puntos_Control!A81="","",IF(M6_Puntos_Control!K81="Sí",IF(COUNTIFS(M6_Puntos_Control!$A$9:A81,M6_Puntos_Control!A81,M6_Puntos_Control!$D$9:D81,M6_Puntos_Control!D81,M6_Puntos_Control!$G$9:G81,M6_Puntos_Control!G81,M6_Puntos_Control!$H$9:H81,M6_Puntos_Control!H81,M6_Puntos_Control!$K$9:K81,"Sí")=1,IF(M6_Puntos_Control!M81="","",M6_Puntos_Control!M81),""),""))</f>
        <v/>
      </c>
      <c r="AD1077" s="17" t="str">
        <f>IF(M6_Puntos_Control!A81="","","RD")</f>
        <v/>
      </c>
      <c r="AE1077" s="17" t="str">
        <f>IF(M6_Puntos_Control!A81="","",IF(M6_Puntos_Control!O81="","",M6_Puntos_Control!O81))</f>
        <v/>
      </c>
      <c r="AF1077" s="17" t="str">
        <f>IF(M6_Puntos_Control!A81="","",IF(M6_Puntos_Control!P81="","",M6_Puntos_Control!P81))</f>
        <v/>
      </c>
      <c r="AG1077" s="17" t="str">
        <f>IF(M6_Puntos_Control!A81="","",IF(M6_Puntos_Control!Q81="","",M6_Puntos_Control!Q81))</f>
        <v/>
      </c>
      <c r="AH1077" s="17" t="str">
        <f>IF(M6_Puntos_Control!A81="","",IF(M6_Puntos_Control!I81="","",M6_Puntos_Control!I81))</f>
        <v/>
      </c>
      <c r="AI1077" s="17" t="str">
        <f>IF(M6_Puntos_Control!A81="","","M6_Puntos_Control!81")</f>
        <v/>
      </c>
      <c r="AJ1077" s="17" t="str">
        <f>IF(M6_Puntos_Control!A81="","",IF(M6_Puntos_Control!K81&lt;&gt;"Sí","Punto de comparación",IF(COUNTIFS(M6_Puntos_Control!$A$9:A81,M6_Puntos_Control!A81,M6_Puntos_Control!$D$9:D81,M6_Puntos_Control!D81,M6_Puntos_Control!$G$9:G81,M6_Puntos_Control!G81,M6_Puntos_Control!$H$9:H81,M6_Puntos_Control!H81,M6_Puntos_Control!$K$9:K81,"Sí")=1,IF(M6_Puntos_Control!M81="","Pendiente de resultado","Punto oficial"),"Revisar: varios puntos oficiales")))</f>
        <v/>
      </c>
    </row>
    <row r="1078" spans="1:36" ht="55.5" customHeight="1">
      <c r="A1078" s="6" t="str">
        <f t="array" ref="A1078">IF(1074&gt;$S$1204,"",INDEX($T$5:$AJ$1204,MATCH(1074,$S$5:$S$1204,0),1))</f>
        <v/>
      </c>
      <c r="B1078" s="8" t="str">
        <f t="array" ref="B1078">IF(1074&gt;$S$1204,"",INDEX($T$5:$AJ$1204,MATCH(1074,$S$5:$S$1204,0),2))</f>
        <v/>
      </c>
      <c r="C1078" s="10" t="str">
        <f t="array" ref="C1078">IF(1074&gt;$S$1204,"",INDEX($T$5:$AJ$1204,MATCH(1074,$S$5:$S$1204,0),3))</f>
        <v/>
      </c>
      <c r="D1078" s="8" t="str">
        <f t="array" ref="D1078">IF(1074&gt;$S$1204,"",INDEX($T$5:$AJ$1204,MATCH(1074,$S$5:$S$1204,0),4))</f>
        <v/>
      </c>
      <c r="E1078" s="8" t="str">
        <f t="array" ref="E1078">IF(1074&gt;$S$1204,"",INDEX($T$5:$AJ$1204,MATCH(1074,$S$5:$S$1204,0),5))</f>
        <v/>
      </c>
      <c r="F1078" s="8" t="str">
        <f t="array" ref="F1078">IF(1074&gt;$S$1204,"",INDEX($T$5:$AJ$1204,MATCH(1074,$S$5:$S$1204,0),6))</f>
        <v/>
      </c>
      <c r="G1078" s="8" t="str">
        <f t="array" ref="G1078">IF(1074&gt;$S$1204,"",INDEX($T$5:$AJ$1204,MATCH(1074,$S$5:$S$1204,0),7))</f>
        <v/>
      </c>
      <c r="H1078" s="8" t="str">
        <f t="array" ref="H1078">IF(1074&gt;$S$1204,"",INDEX($T$5:$AJ$1204,MATCH(1074,$S$5:$S$1204,0),8))</f>
        <v/>
      </c>
      <c r="I1078" s="8" t="str">
        <f t="array" ref="I1078">IF(1074&gt;$S$1204,"",INDEX($T$5:$AJ$1204,MATCH(1074,$S$5:$S$1204,0),9))</f>
        <v/>
      </c>
      <c r="J1078" s="14" t="str">
        <f t="array" ref="J1078">IF(1074&gt;$S$1204,"",INDEX($T$5:$AJ$1204,MATCH(1074,$S$5:$S$1204,0),10))</f>
        <v/>
      </c>
      <c r="K1078" s="8" t="str">
        <f t="array" ref="K1078">IF(1074&gt;$S$1204,"",INDEX($T$5:$AJ$1204,MATCH(1074,$S$5:$S$1204,0),11))</f>
        <v/>
      </c>
      <c r="L1078" s="8" t="str">
        <f t="array" ref="L1078">IF(1074&gt;$S$1204,"",INDEX($T$5:$AJ$1204,MATCH(1074,$S$5:$S$1204,0),12))</f>
        <v/>
      </c>
      <c r="M1078" s="8" t="str">
        <f t="array" ref="M1078">IF(1074&gt;$S$1204,"",INDEX($T$5:$AJ$1204,MATCH(1074,$S$5:$S$1204,0),13))</f>
        <v/>
      </c>
      <c r="N1078" s="8" t="str">
        <f t="array" ref="N1078">IF(1074&gt;$S$1204,"",INDEX($T$5:$AJ$1204,MATCH(1074,$S$5:$S$1204,0),14))</f>
        <v/>
      </c>
      <c r="O1078" s="15" t="str">
        <f t="array" ref="O1078">IF(1074&gt;$S$1204,"",INDEX($T$5:$AJ$1204,MATCH(1074,$S$5:$S$1204,0),15))</f>
        <v/>
      </c>
      <c r="P1078" s="8" t="str">
        <f t="array" ref="P1078">IF(1074&gt;$S$1204,"",INDEX($T$5:$AJ$1204,MATCH(1074,$S$5:$S$1204,0),16))</f>
        <v/>
      </c>
      <c r="Q1078" s="8" t="str">
        <f t="array" ref="Q1078">IF(1074&gt;$S$1204,"",INDEX($T$5:$AJ$1204,MATCH(1074,$S$5:$S$1204,0),17))</f>
        <v/>
      </c>
      <c r="R1078" s="17"/>
      <c r="S1078" s="17">
        <f>S1077+IF(M6_Puntos_Control!A82="",0,1)</f>
        <v>0</v>
      </c>
      <c r="T1078" s="17" t="str">
        <f>IF(M6_Puntos_Control!A82="","",IF(M6_Puntos_Control!A82="","",M6_Puntos_Control!A82))</f>
        <v/>
      </c>
      <c r="U1078" s="17" t="str">
        <f>IF(M6_Puntos_Control!A82="","",IF(M6_Puntos_Control!R82="","",M6_Puntos_Control!R82))</f>
        <v/>
      </c>
      <c r="V1078" s="17" t="str">
        <f>IF(M6_Puntos_Control!A82="","",IF(M6_Puntos_Control!D82="","",M6_Puntos_Control!D82))</f>
        <v/>
      </c>
      <c r="W1078" s="17" t="str">
        <f>IF(M6_Puntos_Control!A82="","",IF(M6_Puntos_Control!B82="","",M6_Puntos_Control!B82))</f>
        <v/>
      </c>
      <c r="X1078" s="17" t="str">
        <f>IF(M6_Puntos_Control!A82="","",IF(M6_Puntos_Control!C82="","",M6_Puntos_Control!C82))</f>
        <v/>
      </c>
      <c r="Y1078" s="17" t="str">
        <f>IF(M6_Puntos_Control!A82="","",IF(M6_Puntos_Control!E82="","",M6_Puntos_Control!E82))</f>
        <v/>
      </c>
      <c r="Z1078" s="17" t="str">
        <f>IF(M6_Puntos_Control!A82="","",IF(M6_Puntos_Control!F82="","",M6_Puntos_Control!F82))</f>
        <v/>
      </c>
      <c r="AA1078" s="17" t="str">
        <f>IF(M6_Puntos_Control!A82="","","M6 Puntos de control")</f>
        <v/>
      </c>
      <c r="AB1078" s="17" t="str">
        <f>IF(M6_Puntos_Control!A82="","",IF(M6_Puntos_Control!G82="","",M6_Puntos_Control!G82))</f>
        <v/>
      </c>
      <c r="AC1078" s="17" t="str">
        <f>IF(M6_Puntos_Control!A82="","",IF(M6_Puntos_Control!K82="Sí",IF(COUNTIFS(M6_Puntos_Control!$A$9:A82,M6_Puntos_Control!A82,M6_Puntos_Control!$D$9:D82,M6_Puntos_Control!D82,M6_Puntos_Control!$G$9:G82,M6_Puntos_Control!G82,M6_Puntos_Control!$H$9:H82,M6_Puntos_Control!H82,M6_Puntos_Control!$K$9:K82,"Sí")=1,IF(M6_Puntos_Control!M82="","",M6_Puntos_Control!M82),""),""))</f>
        <v/>
      </c>
      <c r="AD1078" s="17" t="str">
        <f>IF(M6_Puntos_Control!A82="","","RD")</f>
        <v/>
      </c>
      <c r="AE1078" s="17" t="str">
        <f>IF(M6_Puntos_Control!A82="","",IF(M6_Puntos_Control!O82="","",M6_Puntos_Control!O82))</f>
        <v/>
      </c>
      <c r="AF1078" s="17" t="str">
        <f>IF(M6_Puntos_Control!A82="","",IF(M6_Puntos_Control!P82="","",M6_Puntos_Control!P82))</f>
        <v/>
      </c>
      <c r="AG1078" s="17" t="str">
        <f>IF(M6_Puntos_Control!A82="","",IF(M6_Puntos_Control!Q82="","",M6_Puntos_Control!Q82))</f>
        <v/>
      </c>
      <c r="AH1078" s="17" t="str">
        <f>IF(M6_Puntos_Control!A82="","",IF(M6_Puntos_Control!I82="","",M6_Puntos_Control!I82))</f>
        <v/>
      </c>
      <c r="AI1078" s="17" t="str">
        <f>IF(M6_Puntos_Control!A82="","","M6_Puntos_Control!82")</f>
        <v/>
      </c>
      <c r="AJ1078" s="17" t="str">
        <f>IF(M6_Puntos_Control!A82="","",IF(M6_Puntos_Control!K82&lt;&gt;"Sí","Punto de comparación",IF(COUNTIFS(M6_Puntos_Control!$A$9:A82,M6_Puntos_Control!A82,M6_Puntos_Control!$D$9:D82,M6_Puntos_Control!D82,M6_Puntos_Control!$G$9:G82,M6_Puntos_Control!G82,M6_Puntos_Control!$H$9:H82,M6_Puntos_Control!H82,M6_Puntos_Control!$K$9:K82,"Sí")=1,IF(M6_Puntos_Control!M82="","Pendiente de resultado","Punto oficial"),"Revisar: varios puntos oficiales")))</f>
        <v/>
      </c>
    </row>
    <row r="1079" spans="1:36" ht="55.5" customHeight="1">
      <c r="A1079" s="6" t="str">
        <f t="array" ref="A1079">IF(1075&gt;$S$1204,"",INDEX($T$5:$AJ$1204,MATCH(1075,$S$5:$S$1204,0),1))</f>
        <v/>
      </c>
      <c r="B1079" s="8" t="str">
        <f t="array" ref="B1079">IF(1075&gt;$S$1204,"",INDEX($T$5:$AJ$1204,MATCH(1075,$S$5:$S$1204,0),2))</f>
        <v/>
      </c>
      <c r="C1079" s="10" t="str">
        <f t="array" ref="C1079">IF(1075&gt;$S$1204,"",INDEX($T$5:$AJ$1204,MATCH(1075,$S$5:$S$1204,0),3))</f>
        <v/>
      </c>
      <c r="D1079" s="8" t="str">
        <f t="array" ref="D1079">IF(1075&gt;$S$1204,"",INDEX($T$5:$AJ$1204,MATCH(1075,$S$5:$S$1204,0),4))</f>
        <v/>
      </c>
      <c r="E1079" s="8" t="str">
        <f t="array" ref="E1079">IF(1075&gt;$S$1204,"",INDEX($T$5:$AJ$1204,MATCH(1075,$S$5:$S$1204,0),5))</f>
        <v/>
      </c>
      <c r="F1079" s="8" t="str">
        <f t="array" ref="F1079">IF(1075&gt;$S$1204,"",INDEX($T$5:$AJ$1204,MATCH(1075,$S$5:$S$1204,0),6))</f>
        <v/>
      </c>
      <c r="G1079" s="8" t="str">
        <f t="array" ref="G1079">IF(1075&gt;$S$1204,"",INDEX($T$5:$AJ$1204,MATCH(1075,$S$5:$S$1204,0),7))</f>
        <v/>
      </c>
      <c r="H1079" s="8" t="str">
        <f t="array" ref="H1079">IF(1075&gt;$S$1204,"",INDEX($T$5:$AJ$1204,MATCH(1075,$S$5:$S$1204,0),8))</f>
        <v/>
      </c>
      <c r="I1079" s="8" t="str">
        <f t="array" ref="I1079">IF(1075&gt;$S$1204,"",INDEX($T$5:$AJ$1204,MATCH(1075,$S$5:$S$1204,0),9))</f>
        <v/>
      </c>
      <c r="J1079" s="14" t="str">
        <f t="array" ref="J1079">IF(1075&gt;$S$1204,"",INDEX($T$5:$AJ$1204,MATCH(1075,$S$5:$S$1204,0),10))</f>
        <v/>
      </c>
      <c r="K1079" s="8" t="str">
        <f t="array" ref="K1079">IF(1075&gt;$S$1204,"",INDEX($T$5:$AJ$1204,MATCH(1075,$S$5:$S$1204,0),11))</f>
        <v/>
      </c>
      <c r="L1079" s="8" t="str">
        <f t="array" ref="L1079">IF(1075&gt;$S$1204,"",INDEX($T$5:$AJ$1204,MATCH(1075,$S$5:$S$1204,0),12))</f>
        <v/>
      </c>
      <c r="M1079" s="8" t="str">
        <f t="array" ref="M1079">IF(1075&gt;$S$1204,"",INDEX($T$5:$AJ$1204,MATCH(1075,$S$5:$S$1204,0),13))</f>
        <v/>
      </c>
      <c r="N1079" s="8" t="str">
        <f t="array" ref="N1079">IF(1075&gt;$S$1204,"",INDEX($T$5:$AJ$1204,MATCH(1075,$S$5:$S$1204,0),14))</f>
        <v/>
      </c>
      <c r="O1079" s="15" t="str">
        <f t="array" ref="O1079">IF(1075&gt;$S$1204,"",INDEX($T$5:$AJ$1204,MATCH(1075,$S$5:$S$1204,0),15))</f>
        <v/>
      </c>
      <c r="P1079" s="8" t="str">
        <f t="array" ref="P1079">IF(1075&gt;$S$1204,"",INDEX($T$5:$AJ$1204,MATCH(1075,$S$5:$S$1204,0),16))</f>
        <v/>
      </c>
      <c r="Q1079" s="8" t="str">
        <f t="array" ref="Q1079">IF(1075&gt;$S$1204,"",INDEX($T$5:$AJ$1204,MATCH(1075,$S$5:$S$1204,0),17))</f>
        <v/>
      </c>
      <c r="R1079" s="17"/>
      <c r="S1079" s="17">
        <f>S1078+IF(M6_Puntos_Control!A83="",0,1)</f>
        <v>0</v>
      </c>
      <c r="T1079" s="17" t="str">
        <f>IF(M6_Puntos_Control!A83="","",IF(M6_Puntos_Control!A83="","",M6_Puntos_Control!A83))</f>
        <v/>
      </c>
      <c r="U1079" s="17" t="str">
        <f>IF(M6_Puntos_Control!A83="","",IF(M6_Puntos_Control!R83="","",M6_Puntos_Control!R83))</f>
        <v/>
      </c>
      <c r="V1079" s="17" t="str">
        <f>IF(M6_Puntos_Control!A83="","",IF(M6_Puntos_Control!D83="","",M6_Puntos_Control!D83))</f>
        <v/>
      </c>
      <c r="W1079" s="17" t="str">
        <f>IF(M6_Puntos_Control!A83="","",IF(M6_Puntos_Control!B83="","",M6_Puntos_Control!B83))</f>
        <v/>
      </c>
      <c r="X1079" s="17" t="str">
        <f>IF(M6_Puntos_Control!A83="","",IF(M6_Puntos_Control!C83="","",M6_Puntos_Control!C83))</f>
        <v/>
      </c>
      <c r="Y1079" s="17" t="str">
        <f>IF(M6_Puntos_Control!A83="","",IF(M6_Puntos_Control!E83="","",M6_Puntos_Control!E83))</f>
        <v/>
      </c>
      <c r="Z1079" s="17" t="str">
        <f>IF(M6_Puntos_Control!A83="","",IF(M6_Puntos_Control!F83="","",M6_Puntos_Control!F83))</f>
        <v/>
      </c>
      <c r="AA1079" s="17" t="str">
        <f>IF(M6_Puntos_Control!A83="","","M6 Puntos de control")</f>
        <v/>
      </c>
      <c r="AB1079" s="17" t="str">
        <f>IF(M6_Puntos_Control!A83="","",IF(M6_Puntos_Control!G83="","",M6_Puntos_Control!G83))</f>
        <v/>
      </c>
      <c r="AC1079" s="17" t="str">
        <f>IF(M6_Puntos_Control!A83="","",IF(M6_Puntos_Control!K83="Sí",IF(COUNTIFS(M6_Puntos_Control!$A$9:A83,M6_Puntos_Control!A83,M6_Puntos_Control!$D$9:D83,M6_Puntos_Control!D83,M6_Puntos_Control!$G$9:G83,M6_Puntos_Control!G83,M6_Puntos_Control!$H$9:H83,M6_Puntos_Control!H83,M6_Puntos_Control!$K$9:K83,"Sí")=1,IF(M6_Puntos_Control!M83="","",M6_Puntos_Control!M83),""),""))</f>
        <v/>
      </c>
      <c r="AD1079" s="17" t="str">
        <f>IF(M6_Puntos_Control!A83="","","RD")</f>
        <v/>
      </c>
      <c r="AE1079" s="17" t="str">
        <f>IF(M6_Puntos_Control!A83="","",IF(M6_Puntos_Control!O83="","",M6_Puntos_Control!O83))</f>
        <v/>
      </c>
      <c r="AF1079" s="17" t="str">
        <f>IF(M6_Puntos_Control!A83="","",IF(M6_Puntos_Control!P83="","",M6_Puntos_Control!P83))</f>
        <v/>
      </c>
      <c r="AG1079" s="17" t="str">
        <f>IF(M6_Puntos_Control!A83="","",IF(M6_Puntos_Control!Q83="","",M6_Puntos_Control!Q83))</f>
        <v/>
      </c>
      <c r="AH1079" s="17" t="str">
        <f>IF(M6_Puntos_Control!A83="","",IF(M6_Puntos_Control!I83="","",M6_Puntos_Control!I83))</f>
        <v/>
      </c>
      <c r="AI1079" s="17" t="str">
        <f>IF(M6_Puntos_Control!A83="","","M6_Puntos_Control!83")</f>
        <v/>
      </c>
      <c r="AJ1079" s="17" t="str">
        <f>IF(M6_Puntos_Control!A83="","",IF(M6_Puntos_Control!K83&lt;&gt;"Sí","Punto de comparación",IF(COUNTIFS(M6_Puntos_Control!$A$9:A83,M6_Puntos_Control!A83,M6_Puntos_Control!$D$9:D83,M6_Puntos_Control!D83,M6_Puntos_Control!$G$9:G83,M6_Puntos_Control!G83,M6_Puntos_Control!$H$9:H83,M6_Puntos_Control!H83,M6_Puntos_Control!$K$9:K83,"Sí")=1,IF(M6_Puntos_Control!M83="","Pendiente de resultado","Punto oficial"),"Revisar: varios puntos oficiales")))</f>
        <v/>
      </c>
    </row>
    <row r="1080" spans="1:36" ht="55.5" customHeight="1">
      <c r="A1080" s="6" t="str">
        <f t="array" ref="A1080">IF(1076&gt;$S$1204,"",INDEX($T$5:$AJ$1204,MATCH(1076,$S$5:$S$1204,0),1))</f>
        <v/>
      </c>
      <c r="B1080" s="8" t="str">
        <f t="array" ref="B1080">IF(1076&gt;$S$1204,"",INDEX($T$5:$AJ$1204,MATCH(1076,$S$5:$S$1204,0),2))</f>
        <v/>
      </c>
      <c r="C1080" s="10" t="str">
        <f t="array" ref="C1080">IF(1076&gt;$S$1204,"",INDEX($T$5:$AJ$1204,MATCH(1076,$S$5:$S$1204,0),3))</f>
        <v/>
      </c>
      <c r="D1080" s="8" t="str">
        <f t="array" ref="D1080">IF(1076&gt;$S$1204,"",INDEX($T$5:$AJ$1204,MATCH(1076,$S$5:$S$1204,0),4))</f>
        <v/>
      </c>
      <c r="E1080" s="8" t="str">
        <f t="array" ref="E1080">IF(1076&gt;$S$1204,"",INDEX($T$5:$AJ$1204,MATCH(1076,$S$5:$S$1204,0),5))</f>
        <v/>
      </c>
      <c r="F1080" s="8" t="str">
        <f t="array" ref="F1080">IF(1076&gt;$S$1204,"",INDEX($T$5:$AJ$1204,MATCH(1076,$S$5:$S$1204,0),6))</f>
        <v/>
      </c>
      <c r="G1080" s="8" t="str">
        <f t="array" ref="G1080">IF(1076&gt;$S$1204,"",INDEX($T$5:$AJ$1204,MATCH(1076,$S$5:$S$1204,0),7))</f>
        <v/>
      </c>
      <c r="H1080" s="8" t="str">
        <f t="array" ref="H1080">IF(1076&gt;$S$1204,"",INDEX($T$5:$AJ$1204,MATCH(1076,$S$5:$S$1204,0),8))</f>
        <v/>
      </c>
      <c r="I1080" s="8" t="str">
        <f t="array" ref="I1080">IF(1076&gt;$S$1204,"",INDEX($T$5:$AJ$1204,MATCH(1076,$S$5:$S$1204,0),9))</f>
        <v/>
      </c>
      <c r="J1080" s="14" t="str">
        <f t="array" ref="J1080">IF(1076&gt;$S$1204,"",INDEX($T$5:$AJ$1204,MATCH(1076,$S$5:$S$1204,0),10))</f>
        <v/>
      </c>
      <c r="K1080" s="8" t="str">
        <f t="array" ref="K1080">IF(1076&gt;$S$1204,"",INDEX($T$5:$AJ$1204,MATCH(1076,$S$5:$S$1204,0),11))</f>
        <v/>
      </c>
      <c r="L1080" s="8" t="str">
        <f t="array" ref="L1080">IF(1076&gt;$S$1204,"",INDEX($T$5:$AJ$1204,MATCH(1076,$S$5:$S$1204,0),12))</f>
        <v/>
      </c>
      <c r="M1080" s="8" t="str">
        <f t="array" ref="M1080">IF(1076&gt;$S$1204,"",INDEX($T$5:$AJ$1204,MATCH(1076,$S$5:$S$1204,0),13))</f>
        <v/>
      </c>
      <c r="N1080" s="8" t="str">
        <f t="array" ref="N1080">IF(1076&gt;$S$1204,"",INDEX($T$5:$AJ$1204,MATCH(1076,$S$5:$S$1204,0),14))</f>
        <v/>
      </c>
      <c r="O1080" s="15" t="str">
        <f t="array" ref="O1080">IF(1076&gt;$S$1204,"",INDEX($T$5:$AJ$1204,MATCH(1076,$S$5:$S$1204,0),15))</f>
        <v/>
      </c>
      <c r="P1080" s="8" t="str">
        <f t="array" ref="P1080">IF(1076&gt;$S$1204,"",INDEX($T$5:$AJ$1204,MATCH(1076,$S$5:$S$1204,0),16))</f>
        <v/>
      </c>
      <c r="Q1080" s="8" t="str">
        <f t="array" ref="Q1080">IF(1076&gt;$S$1204,"",INDEX($T$5:$AJ$1204,MATCH(1076,$S$5:$S$1204,0),17))</f>
        <v/>
      </c>
      <c r="R1080" s="17"/>
      <c r="S1080" s="17">
        <f>S1079+IF(M6_Puntos_Control!A84="",0,1)</f>
        <v>0</v>
      </c>
      <c r="T1080" s="17" t="str">
        <f>IF(M6_Puntos_Control!A84="","",IF(M6_Puntos_Control!A84="","",M6_Puntos_Control!A84))</f>
        <v/>
      </c>
      <c r="U1080" s="17" t="str">
        <f>IF(M6_Puntos_Control!A84="","",IF(M6_Puntos_Control!R84="","",M6_Puntos_Control!R84))</f>
        <v/>
      </c>
      <c r="V1080" s="17" t="str">
        <f>IF(M6_Puntos_Control!A84="","",IF(M6_Puntos_Control!D84="","",M6_Puntos_Control!D84))</f>
        <v/>
      </c>
      <c r="W1080" s="17" t="str">
        <f>IF(M6_Puntos_Control!A84="","",IF(M6_Puntos_Control!B84="","",M6_Puntos_Control!B84))</f>
        <v/>
      </c>
      <c r="X1080" s="17" t="str">
        <f>IF(M6_Puntos_Control!A84="","",IF(M6_Puntos_Control!C84="","",M6_Puntos_Control!C84))</f>
        <v/>
      </c>
      <c r="Y1080" s="17" t="str">
        <f>IF(M6_Puntos_Control!A84="","",IF(M6_Puntos_Control!E84="","",M6_Puntos_Control!E84))</f>
        <v/>
      </c>
      <c r="Z1080" s="17" t="str">
        <f>IF(M6_Puntos_Control!A84="","",IF(M6_Puntos_Control!F84="","",M6_Puntos_Control!F84))</f>
        <v/>
      </c>
      <c r="AA1080" s="17" t="str">
        <f>IF(M6_Puntos_Control!A84="","","M6 Puntos de control")</f>
        <v/>
      </c>
      <c r="AB1080" s="17" t="str">
        <f>IF(M6_Puntos_Control!A84="","",IF(M6_Puntos_Control!G84="","",M6_Puntos_Control!G84))</f>
        <v/>
      </c>
      <c r="AC1080" s="17" t="str">
        <f>IF(M6_Puntos_Control!A84="","",IF(M6_Puntos_Control!K84="Sí",IF(COUNTIFS(M6_Puntos_Control!$A$9:A84,M6_Puntos_Control!A84,M6_Puntos_Control!$D$9:D84,M6_Puntos_Control!D84,M6_Puntos_Control!$G$9:G84,M6_Puntos_Control!G84,M6_Puntos_Control!$H$9:H84,M6_Puntos_Control!H84,M6_Puntos_Control!$K$9:K84,"Sí")=1,IF(M6_Puntos_Control!M84="","",M6_Puntos_Control!M84),""),""))</f>
        <v/>
      </c>
      <c r="AD1080" s="17" t="str">
        <f>IF(M6_Puntos_Control!A84="","","RD")</f>
        <v/>
      </c>
      <c r="AE1080" s="17" t="str">
        <f>IF(M6_Puntos_Control!A84="","",IF(M6_Puntos_Control!O84="","",M6_Puntos_Control!O84))</f>
        <v/>
      </c>
      <c r="AF1080" s="17" t="str">
        <f>IF(M6_Puntos_Control!A84="","",IF(M6_Puntos_Control!P84="","",M6_Puntos_Control!P84))</f>
        <v/>
      </c>
      <c r="AG1080" s="17" t="str">
        <f>IF(M6_Puntos_Control!A84="","",IF(M6_Puntos_Control!Q84="","",M6_Puntos_Control!Q84))</f>
        <v/>
      </c>
      <c r="AH1080" s="17" t="str">
        <f>IF(M6_Puntos_Control!A84="","",IF(M6_Puntos_Control!I84="","",M6_Puntos_Control!I84))</f>
        <v/>
      </c>
      <c r="AI1080" s="17" t="str">
        <f>IF(M6_Puntos_Control!A84="","","M6_Puntos_Control!84")</f>
        <v/>
      </c>
      <c r="AJ1080" s="17" t="str">
        <f>IF(M6_Puntos_Control!A84="","",IF(M6_Puntos_Control!K84&lt;&gt;"Sí","Punto de comparación",IF(COUNTIFS(M6_Puntos_Control!$A$9:A84,M6_Puntos_Control!A84,M6_Puntos_Control!$D$9:D84,M6_Puntos_Control!D84,M6_Puntos_Control!$G$9:G84,M6_Puntos_Control!G84,M6_Puntos_Control!$H$9:H84,M6_Puntos_Control!H84,M6_Puntos_Control!$K$9:K84,"Sí")=1,IF(M6_Puntos_Control!M84="","Pendiente de resultado","Punto oficial"),"Revisar: varios puntos oficiales")))</f>
        <v/>
      </c>
    </row>
    <row r="1081" spans="1:36" ht="55.5" customHeight="1">
      <c r="A1081" s="6" t="str">
        <f t="array" ref="A1081">IF(1077&gt;$S$1204,"",INDEX($T$5:$AJ$1204,MATCH(1077,$S$5:$S$1204,0),1))</f>
        <v/>
      </c>
      <c r="B1081" s="8" t="str">
        <f t="array" ref="B1081">IF(1077&gt;$S$1204,"",INDEX($T$5:$AJ$1204,MATCH(1077,$S$5:$S$1204,0),2))</f>
        <v/>
      </c>
      <c r="C1081" s="10" t="str">
        <f t="array" ref="C1081">IF(1077&gt;$S$1204,"",INDEX($T$5:$AJ$1204,MATCH(1077,$S$5:$S$1204,0),3))</f>
        <v/>
      </c>
      <c r="D1081" s="8" t="str">
        <f t="array" ref="D1081">IF(1077&gt;$S$1204,"",INDEX($T$5:$AJ$1204,MATCH(1077,$S$5:$S$1204,0),4))</f>
        <v/>
      </c>
      <c r="E1081" s="8" t="str">
        <f t="array" ref="E1081">IF(1077&gt;$S$1204,"",INDEX($T$5:$AJ$1204,MATCH(1077,$S$5:$S$1204,0),5))</f>
        <v/>
      </c>
      <c r="F1081" s="8" t="str">
        <f t="array" ref="F1081">IF(1077&gt;$S$1204,"",INDEX($T$5:$AJ$1204,MATCH(1077,$S$5:$S$1204,0),6))</f>
        <v/>
      </c>
      <c r="G1081" s="8" t="str">
        <f t="array" ref="G1081">IF(1077&gt;$S$1204,"",INDEX($T$5:$AJ$1204,MATCH(1077,$S$5:$S$1204,0),7))</f>
        <v/>
      </c>
      <c r="H1081" s="8" t="str">
        <f t="array" ref="H1081">IF(1077&gt;$S$1204,"",INDEX($T$5:$AJ$1204,MATCH(1077,$S$5:$S$1204,0),8))</f>
        <v/>
      </c>
      <c r="I1081" s="8" t="str">
        <f t="array" ref="I1081">IF(1077&gt;$S$1204,"",INDEX($T$5:$AJ$1204,MATCH(1077,$S$5:$S$1204,0),9))</f>
        <v/>
      </c>
      <c r="J1081" s="14" t="str">
        <f t="array" ref="J1081">IF(1077&gt;$S$1204,"",INDEX($T$5:$AJ$1204,MATCH(1077,$S$5:$S$1204,0),10))</f>
        <v/>
      </c>
      <c r="K1081" s="8" t="str">
        <f t="array" ref="K1081">IF(1077&gt;$S$1204,"",INDEX($T$5:$AJ$1204,MATCH(1077,$S$5:$S$1204,0),11))</f>
        <v/>
      </c>
      <c r="L1081" s="8" t="str">
        <f t="array" ref="L1081">IF(1077&gt;$S$1204,"",INDEX($T$5:$AJ$1204,MATCH(1077,$S$5:$S$1204,0),12))</f>
        <v/>
      </c>
      <c r="M1081" s="8" t="str">
        <f t="array" ref="M1081">IF(1077&gt;$S$1204,"",INDEX($T$5:$AJ$1204,MATCH(1077,$S$5:$S$1204,0),13))</f>
        <v/>
      </c>
      <c r="N1081" s="8" t="str">
        <f t="array" ref="N1081">IF(1077&gt;$S$1204,"",INDEX($T$5:$AJ$1204,MATCH(1077,$S$5:$S$1204,0),14))</f>
        <v/>
      </c>
      <c r="O1081" s="15" t="str">
        <f t="array" ref="O1081">IF(1077&gt;$S$1204,"",INDEX($T$5:$AJ$1204,MATCH(1077,$S$5:$S$1204,0),15))</f>
        <v/>
      </c>
      <c r="P1081" s="8" t="str">
        <f t="array" ref="P1081">IF(1077&gt;$S$1204,"",INDEX($T$5:$AJ$1204,MATCH(1077,$S$5:$S$1204,0),16))</f>
        <v/>
      </c>
      <c r="Q1081" s="8" t="str">
        <f t="array" ref="Q1081">IF(1077&gt;$S$1204,"",INDEX($T$5:$AJ$1204,MATCH(1077,$S$5:$S$1204,0),17))</f>
        <v/>
      </c>
      <c r="R1081" s="17"/>
      <c r="S1081" s="17">
        <f>S1080+IF(M6_Puntos_Control!A85="",0,1)</f>
        <v>0</v>
      </c>
      <c r="T1081" s="17" t="str">
        <f>IF(M6_Puntos_Control!A85="","",IF(M6_Puntos_Control!A85="","",M6_Puntos_Control!A85))</f>
        <v/>
      </c>
      <c r="U1081" s="17" t="str">
        <f>IF(M6_Puntos_Control!A85="","",IF(M6_Puntos_Control!R85="","",M6_Puntos_Control!R85))</f>
        <v/>
      </c>
      <c r="V1081" s="17" t="str">
        <f>IF(M6_Puntos_Control!A85="","",IF(M6_Puntos_Control!D85="","",M6_Puntos_Control!D85))</f>
        <v/>
      </c>
      <c r="W1081" s="17" t="str">
        <f>IF(M6_Puntos_Control!A85="","",IF(M6_Puntos_Control!B85="","",M6_Puntos_Control!B85))</f>
        <v/>
      </c>
      <c r="X1081" s="17" t="str">
        <f>IF(M6_Puntos_Control!A85="","",IF(M6_Puntos_Control!C85="","",M6_Puntos_Control!C85))</f>
        <v/>
      </c>
      <c r="Y1081" s="17" t="str">
        <f>IF(M6_Puntos_Control!A85="","",IF(M6_Puntos_Control!E85="","",M6_Puntos_Control!E85))</f>
        <v/>
      </c>
      <c r="Z1081" s="17" t="str">
        <f>IF(M6_Puntos_Control!A85="","",IF(M6_Puntos_Control!F85="","",M6_Puntos_Control!F85))</f>
        <v/>
      </c>
      <c r="AA1081" s="17" t="str">
        <f>IF(M6_Puntos_Control!A85="","","M6 Puntos de control")</f>
        <v/>
      </c>
      <c r="AB1081" s="17" t="str">
        <f>IF(M6_Puntos_Control!A85="","",IF(M6_Puntos_Control!G85="","",M6_Puntos_Control!G85))</f>
        <v/>
      </c>
      <c r="AC1081" s="17" t="str">
        <f>IF(M6_Puntos_Control!A85="","",IF(M6_Puntos_Control!K85="Sí",IF(COUNTIFS(M6_Puntos_Control!$A$9:A85,M6_Puntos_Control!A85,M6_Puntos_Control!$D$9:D85,M6_Puntos_Control!D85,M6_Puntos_Control!$G$9:G85,M6_Puntos_Control!G85,M6_Puntos_Control!$H$9:H85,M6_Puntos_Control!H85,M6_Puntos_Control!$K$9:K85,"Sí")=1,IF(M6_Puntos_Control!M85="","",M6_Puntos_Control!M85),""),""))</f>
        <v/>
      </c>
      <c r="AD1081" s="17" t="str">
        <f>IF(M6_Puntos_Control!A85="","","RD")</f>
        <v/>
      </c>
      <c r="AE1081" s="17" t="str">
        <f>IF(M6_Puntos_Control!A85="","",IF(M6_Puntos_Control!O85="","",M6_Puntos_Control!O85))</f>
        <v/>
      </c>
      <c r="AF1081" s="17" t="str">
        <f>IF(M6_Puntos_Control!A85="","",IF(M6_Puntos_Control!P85="","",M6_Puntos_Control!P85))</f>
        <v/>
      </c>
      <c r="AG1081" s="17" t="str">
        <f>IF(M6_Puntos_Control!A85="","",IF(M6_Puntos_Control!Q85="","",M6_Puntos_Control!Q85))</f>
        <v/>
      </c>
      <c r="AH1081" s="17" t="str">
        <f>IF(M6_Puntos_Control!A85="","",IF(M6_Puntos_Control!I85="","",M6_Puntos_Control!I85))</f>
        <v/>
      </c>
      <c r="AI1081" s="17" t="str">
        <f>IF(M6_Puntos_Control!A85="","","M6_Puntos_Control!85")</f>
        <v/>
      </c>
      <c r="AJ1081" s="17" t="str">
        <f>IF(M6_Puntos_Control!A85="","",IF(M6_Puntos_Control!K85&lt;&gt;"Sí","Punto de comparación",IF(COUNTIFS(M6_Puntos_Control!$A$9:A85,M6_Puntos_Control!A85,M6_Puntos_Control!$D$9:D85,M6_Puntos_Control!D85,M6_Puntos_Control!$G$9:G85,M6_Puntos_Control!G85,M6_Puntos_Control!$H$9:H85,M6_Puntos_Control!H85,M6_Puntos_Control!$K$9:K85,"Sí")=1,IF(M6_Puntos_Control!M85="","Pendiente de resultado","Punto oficial"),"Revisar: varios puntos oficiales")))</f>
        <v/>
      </c>
    </row>
    <row r="1082" spans="1:36" ht="55.5" customHeight="1">
      <c r="A1082" s="6" t="str">
        <f t="array" ref="A1082">IF(1078&gt;$S$1204,"",INDEX($T$5:$AJ$1204,MATCH(1078,$S$5:$S$1204,0),1))</f>
        <v/>
      </c>
      <c r="B1082" s="8" t="str">
        <f t="array" ref="B1082">IF(1078&gt;$S$1204,"",INDEX($T$5:$AJ$1204,MATCH(1078,$S$5:$S$1204,0),2))</f>
        <v/>
      </c>
      <c r="C1082" s="10" t="str">
        <f t="array" ref="C1082">IF(1078&gt;$S$1204,"",INDEX($T$5:$AJ$1204,MATCH(1078,$S$5:$S$1204,0),3))</f>
        <v/>
      </c>
      <c r="D1082" s="8" t="str">
        <f t="array" ref="D1082">IF(1078&gt;$S$1204,"",INDEX($T$5:$AJ$1204,MATCH(1078,$S$5:$S$1204,0),4))</f>
        <v/>
      </c>
      <c r="E1082" s="8" t="str">
        <f t="array" ref="E1082">IF(1078&gt;$S$1204,"",INDEX($T$5:$AJ$1204,MATCH(1078,$S$5:$S$1204,0),5))</f>
        <v/>
      </c>
      <c r="F1082" s="8" t="str">
        <f t="array" ref="F1082">IF(1078&gt;$S$1204,"",INDEX($T$5:$AJ$1204,MATCH(1078,$S$5:$S$1204,0),6))</f>
        <v/>
      </c>
      <c r="G1082" s="8" t="str">
        <f t="array" ref="G1082">IF(1078&gt;$S$1204,"",INDEX($T$5:$AJ$1204,MATCH(1078,$S$5:$S$1204,0),7))</f>
        <v/>
      </c>
      <c r="H1082" s="8" t="str">
        <f t="array" ref="H1082">IF(1078&gt;$S$1204,"",INDEX($T$5:$AJ$1204,MATCH(1078,$S$5:$S$1204,0),8))</f>
        <v/>
      </c>
      <c r="I1082" s="8" t="str">
        <f t="array" ref="I1082">IF(1078&gt;$S$1204,"",INDEX($T$5:$AJ$1204,MATCH(1078,$S$5:$S$1204,0),9))</f>
        <v/>
      </c>
      <c r="J1082" s="14" t="str">
        <f t="array" ref="J1082">IF(1078&gt;$S$1204,"",INDEX($T$5:$AJ$1204,MATCH(1078,$S$5:$S$1204,0),10))</f>
        <v/>
      </c>
      <c r="K1082" s="8" t="str">
        <f t="array" ref="K1082">IF(1078&gt;$S$1204,"",INDEX($T$5:$AJ$1204,MATCH(1078,$S$5:$S$1204,0),11))</f>
        <v/>
      </c>
      <c r="L1082" s="8" t="str">
        <f t="array" ref="L1082">IF(1078&gt;$S$1204,"",INDEX($T$5:$AJ$1204,MATCH(1078,$S$5:$S$1204,0),12))</f>
        <v/>
      </c>
      <c r="M1082" s="8" t="str">
        <f t="array" ref="M1082">IF(1078&gt;$S$1204,"",INDEX($T$5:$AJ$1204,MATCH(1078,$S$5:$S$1204,0),13))</f>
        <v/>
      </c>
      <c r="N1082" s="8" t="str">
        <f t="array" ref="N1082">IF(1078&gt;$S$1204,"",INDEX($T$5:$AJ$1204,MATCH(1078,$S$5:$S$1204,0),14))</f>
        <v/>
      </c>
      <c r="O1082" s="15" t="str">
        <f t="array" ref="O1082">IF(1078&gt;$S$1204,"",INDEX($T$5:$AJ$1204,MATCH(1078,$S$5:$S$1204,0),15))</f>
        <v/>
      </c>
      <c r="P1082" s="8" t="str">
        <f t="array" ref="P1082">IF(1078&gt;$S$1204,"",INDEX($T$5:$AJ$1204,MATCH(1078,$S$5:$S$1204,0),16))</f>
        <v/>
      </c>
      <c r="Q1082" s="8" t="str">
        <f t="array" ref="Q1082">IF(1078&gt;$S$1204,"",INDEX($T$5:$AJ$1204,MATCH(1078,$S$5:$S$1204,0),17))</f>
        <v/>
      </c>
      <c r="R1082" s="17"/>
      <c r="S1082" s="17">
        <f>S1081+IF(M6_Puntos_Control!A86="",0,1)</f>
        <v>0</v>
      </c>
      <c r="T1082" s="17" t="str">
        <f>IF(M6_Puntos_Control!A86="","",IF(M6_Puntos_Control!A86="","",M6_Puntos_Control!A86))</f>
        <v/>
      </c>
      <c r="U1082" s="17" t="str">
        <f>IF(M6_Puntos_Control!A86="","",IF(M6_Puntos_Control!R86="","",M6_Puntos_Control!R86))</f>
        <v/>
      </c>
      <c r="V1082" s="17" t="str">
        <f>IF(M6_Puntos_Control!A86="","",IF(M6_Puntos_Control!D86="","",M6_Puntos_Control!D86))</f>
        <v/>
      </c>
      <c r="W1082" s="17" t="str">
        <f>IF(M6_Puntos_Control!A86="","",IF(M6_Puntos_Control!B86="","",M6_Puntos_Control!B86))</f>
        <v/>
      </c>
      <c r="X1082" s="17" t="str">
        <f>IF(M6_Puntos_Control!A86="","",IF(M6_Puntos_Control!C86="","",M6_Puntos_Control!C86))</f>
        <v/>
      </c>
      <c r="Y1082" s="17" t="str">
        <f>IF(M6_Puntos_Control!A86="","",IF(M6_Puntos_Control!E86="","",M6_Puntos_Control!E86))</f>
        <v/>
      </c>
      <c r="Z1082" s="17" t="str">
        <f>IF(M6_Puntos_Control!A86="","",IF(M6_Puntos_Control!F86="","",M6_Puntos_Control!F86))</f>
        <v/>
      </c>
      <c r="AA1082" s="17" t="str">
        <f>IF(M6_Puntos_Control!A86="","","M6 Puntos de control")</f>
        <v/>
      </c>
      <c r="AB1082" s="17" t="str">
        <f>IF(M6_Puntos_Control!A86="","",IF(M6_Puntos_Control!G86="","",M6_Puntos_Control!G86))</f>
        <v/>
      </c>
      <c r="AC1082" s="17" t="str">
        <f>IF(M6_Puntos_Control!A86="","",IF(M6_Puntos_Control!K86="Sí",IF(COUNTIFS(M6_Puntos_Control!$A$9:A86,M6_Puntos_Control!A86,M6_Puntos_Control!$D$9:D86,M6_Puntos_Control!D86,M6_Puntos_Control!$G$9:G86,M6_Puntos_Control!G86,M6_Puntos_Control!$H$9:H86,M6_Puntos_Control!H86,M6_Puntos_Control!$K$9:K86,"Sí")=1,IF(M6_Puntos_Control!M86="","",M6_Puntos_Control!M86),""),""))</f>
        <v/>
      </c>
      <c r="AD1082" s="17" t="str">
        <f>IF(M6_Puntos_Control!A86="","","RD")</f>
        <v/>
      </c>
      <c r="AE1082" s="17" t="str">
        <f>IF(M6_Puntos_Control!A86="","",IF(M6_Puntos_Control!O86="","",M6_Puntos_Control!O86))</f>
        <v/>
      </c>
      <c r="AF1082" s="17" t="str">
        <f>IF(M6_Puntos_Control!A86="","",IF(M6_Puntos_Control!P86="","",M6_Puntos_Control!P86))</f>
        <v/>
      </c>
      <c r="AG1082" s="17" t="str">
        <f>IF(M6_Puntos_Control!A86="","",IF(M6_Puntos_Control!Q86="","",M6_Puntos_Control!Q86))</f>
        <v/>
      </c>
      <c r="AH1082" s="17" t="str">
        <f>IF(M6_Puntos_Control!A86="","",IF(M6_Puntos_Control!I86="","",M6_Puntos_Control!I86))</f>
        <v/>
      </c>
      <c r="AI1082" s="17" t="str">
        <f>IF(M6_Puntos_Control!A86="","","M6_Puntos_Control!86")</f>
        <v/>
      </c>
      <c r="AJ1082" s="17" t="str">
        <f>IF(M6_Puntos_Control!A86="","",IF(M6_Puntos_Control!K86&lt;&gt;"Sí","Punto de comparación",IF(COUNTIFS(M6_Puntos_Control!$A$9:A86,M6_Puntos_Control!A86,M6_Puntos_Control!$D$9:D86,M6_Puntos_Control!D86,M6_Puntos_Control!$G$9:G86,M6_Puntos_Control!G86,M6_Puntos_Control!$H$9:H86,M6_Puntos_Control!H86,M6_Puntos_Control!$K$9:K86,"Sí")=1,IF(M6_Puntos_Control!M86="","Pendiente de resultado","Punto oficial"),"Revisar: varios puntos oficiales")))</f>
        <v/>
      </c>
    </row>
    <row r="1083" spans="1:36" ht="55.5" customHeight="1">
      <c r="A1083" s="6" t="str">
        <f t="array" ref="A1083">IF(1079&gt;$S$1204,"",INDEX($T$5:$AJ$1204,MATCH(1079,$S$5:$S$1204,0),1))</f>
        <v/>
      </c>
      <c r="B1083" s="8" t="str">
        <f t="array" ref="B1083">IF(1079&gt;$S$1204,"",INDEX($T$5:$AJ$1204,MATCH(1079,$S$5:$S$1204,0),2))</f>
        <v/>
      </c>
      <c r="C1083" s="10" t="str">
        <f t="array" ref="C1083">IF(1079&gt;$S$1204,"",INDEX($T$5:$AJ$1204,MATCH(1079,$S$5:$S$1204,0),3))</f>
        <v/>
      </c>
      <c r="D1083" s="8" t="str">
        <f t="array" ref="D1083">IF(1079&gt;$S$1204,"",INDEX($T$5:$AJ$1204,MATCH(1079,$S$5:$S$1204,0),4))</f>
        <v/>
      </c>
      <c r="E1083" s="8" t="str">
        <f t="array" ref="E1083">IF(1079&gt;$S$1204,"",INDEX($T$5:$AJ$1204,MATCH(1079,$S$5:$S$1204,0),5))</f>
        <v/>
      </c>
      <c r="F1083" s="8" t="str">
        <f t="array" ref="F1083">IF(1079&gt;$S$1204,"",INDEX($T$5:$AJ$1204,MATCH(1079,$S$5:$S$1204,0),6))</f>
        <v/>
      </c>
      <c r="G1083" s="8" t="str">
        <f t="array" ref="G1083">IF(1079&gt;$S$1204,"",INDEX($T$5:$AJ$1204,MATCH(1079,$S$5:$S$1204,0),7))</f>
        <v/>
      </c>
      <c r="H1083" s="8" t="str">
        <f t="array" ref="H1083">IF(1079&gt;$S$1204,"",INDEX($T$5:$AJ$1204,MATCH(1079,$S$5:$S$1204,0),8))</f>
        <v/>
      </c>
      <c r="I1083" s="8" t="str">
        <f t="array" ref="I1083">IF(1079&gt;$S$1204,"",INDEX($T$5:$AJ$1204,MATCH(1079,$S$5:$S$1204,0),9))</f>
        <v/>
      </c>
      <c r="J1083" s="14" t="str">
        <f t="array" ref="J1083">IF(1079&gt;$S$1204,"",INDEX($T$5:$AJ$1204,MATCH(1079,$S$5:$S$1204,0),10))</f>
        <v/>
      </c>
      <c r="K1083" s="8" t="str">
        <f t="array" ref="K1083">IF(1079&gt;$S$1204,"",INDEX($T$5:$AJ$1204,MATCH(1079,$S$5:$S$1204,0),11))</f>
        <v/>
      </c>
      <c r="L1083" s="8" t="str">
        <f t="array" ref="L1083">IF(1079&gt;$S$1204,"",INDEX($T$5:$AJ$1204,MATCH(1079,$S$5:$S$1204,0),12))</f>
        <v/>
      </c>
      <c r="M1083" s="8" t="str">
        <f t="array" ref="M1083">IF(1079&gt;$S$1204,"",INDEX($T$5:$AJ$1204,MATCH(1079,$S$5:$S$1204,0),13))</f>
        <v/>
      </c>
      <c r="N1083" s="8" t="str">
        <f t="array" ref="N1083">IF(1079&gt;$S$1204,"",INDEX($T$5:$AJ$1204,MATCH(1079,$S$5:$S$1204,0),14))</f>
        <v/>
      </c>
      <c r="O1083" s="15" t="str">
        <f t="array" ref="O1083">IF(1079&gt;$S$1204,"",INDEX($T$5:$AJ$1204,MATCH(1079,$S$5:$S$1204,0),15))</f>
        <v/>
      </c>
      <c r="P1083" s="8" t="str">
        <f t="array" ref="P1083">IF(1079&gt;$S$1204,"",INDEX($T$5:$AJ$1204,MATCH(1079,$S$5:$S$1204,0),16))</f>
        <v/>
      </c>
      <c r="Q1083" s="8" t="str">
        <f t="array" ref="Q1083">IF(1079&gt;$S$1204,"",INDEX($T$5:$AJ$1204,MATCH(1079,$S$5:$S$1204,0),17))</f>
        <v/>
      </c>
      <c r="R1083" s="17"/>
      <c r="S1083" s="17">
        <f>S1082+IF(M6_Puntos_Control!A87="",0,1)</f>
        <v>0</v>
      </c>
      <c r="T1083" s="17" t="str">
        <f>IF(M6_Puntos_Control!A87="","",IF(M6_Puntos_Control!A87="","",M6_Puntos_Control!A87))</f>
        <v/>
      </c>
      <c r="U1083" s="17" t="str">
        <f>IF(M6_Puntos_Control!A87="","",IF(M6_Puntos_Control!R87="","",M6_Puntos_Control!R87))</f>
        <v/>
      </c>
      <c r="V1083" s="17" t="str">
        <f>IF(M6_Puntos_Control!A87="","",IF(M6_Puntos_Control!D87="","",M6_Puntos_Control!D87))</f>
        <v/>
      </c>
      <c r="W1083" s="17" t="str">
        <f>IF(M6_Puntos_Control!A87="","",IF(M6_Puntos_Control!B87="","",M6_Puntos_Control!B87))</f>
        <v/>
      </c>
      <c r="X1083" s="17" t="str">
        <f>IF(M6_Puntos_Control!A87="","",IF(M6_Puntos_Control!C87="","",M6_Puntos_Control!C87))</f>
        <v/>
      </c>
      <c r="Y1083" s="17" t="str">
        <f>IF(M6_Puntos_Control!A87="","",IF(M6_Puntos_Control!E87="","",M6_Puntos_Control!E87))</f>
        <v/>
      </c>
      <c r="Z1083" s="17" t="str">
        <f>IF(M6_Puntos_Control!A87="","",IF(M6_Puntos_Control!F87="","",M6_Puntos_Control!F87))</f>
        <v/>
      </c>
      <c r="AA1083" s="17" t="str">
        <f>IF(M6_Puntos_Control!A87="","","M6 Puntos de control")</f>
        <v/>
      </c>
      <c r="AB1083" s="17" t="str">
        <f>IF(M6_Puntos_Control!A87="","",IF(M6_Puntos_Control!G87="","",M6_Puntos_Control!G87))</f>
        <v/>
      </c>
      <c r="AC1083" s="17" t="str">
        <f>IF(M6_Puntos_Control!A87="","",IF(M6_Puntos_Control!K87="Sí",IF(COUNTIFS(M6_Puntos_Control!$A$9:A87,M6_Puntos_Control!A87,M6_Puntos_Control!$D$9:D87,M6_Puntos_Control!D87,M6_Puntos_Control!$G$9:G87,M6_Puntos_Control!G87,M6_Puntos_Control!$H$9:H87,M6_Puntos_Control!H87,M6_Puntos_Control!$K$9:K87,"Sí")=1,IF(M6_Puntos_Control!M87="","",M6_Puntos_Control!M87),""),""))</f>
        <v/>
      </c>
      <c r="AD1083" s="17" t="str">
        <f>IF(M6_Puntos_Control!A87="","","RD")</f>
        <v/>
      </c>
      <c r="AE1083" s="17" t="str">
        <f>IF(M6_Puntos_Control!A87="","",IF(M6_Puntos_Control!O87="","",M6_Puntos_Control!O87))</f>
        <v/>
      </c>
      <c r="AF1083" s="17" t="str">
        <f>IF(M6_Puntos_Control!A87="","",IF(M6_Puntos_Control!P87="","",M6_Puntos_Control!P87))</f>
        <v/>
      </c>
      <c r="AG1083" s="17" t="str">
        <f>IF(M6_Puntos_Control!A87="","",IF(M6_Puntos_Control!Q87="","",M6_Puntos_Control!Q87))</f>
        <v/>
      </c>
      <c r="AH1083" s="17" t="str">
        <f>IF(M6_Puntos_Control!A87="","",IF(M6_Puntos_Control!I87="","",M6_Puntos_Control!I87))</f>
        <v/>
      </c>
      <c r="AI1083" s="17" t="str">
        <f>IF(M6_Puntos_Control!A87="","","M6_Puntos_Control!87")</f>
        <v/>
      </c>
      <c r="AJ1083" s="17" t="str">
        <f>IF(M6_Puntos_Control!A87="","",IF(M6_Puntos_Control!K87&lt;&gt;"Sí","Punto de comparación",IF(COUNTIFS(M6_Puntos_Control!$A$9:A87,M6_Puntos_Control!A87,M6_Puntos_Control!$D$9:D87,M6_Puntos_Control!D87,M6_Puntos_Control!$G$9:G87,M6_Puntos_Control!G87,M6_Puntos_Control!$H$9:H87,M6_Puntos_Control!H87,M6_Puntos_Control!$K$9:K87,"Sí")=1,IF(M6_Puntos_Control!M87="","Pendiente de resultado","Punto oficial"),"Revisar: varios puntos oficiales")))</f>
        <v/>
      </c>
    </row>
    <row r="1084" spans="1:36" ht="55.5" customHeight="1">
      <c r="A1084" s="6" t="str">
        <f t="array" ref="A1084">IF(1080&gt;$S$1204,"",INDEX($T$5:$AJ$1204,MATCH(1080,$S$5:$S$1204,0),1))</f>
        <v/>
      </c>
      <c r="B1084" s="8" t="str">
        <f t="array" ref="B1084">IF(1080&gt;$S$1204,"",INDEX($T$5:$AJ$1204,MATCH(1080,$S$5:$S$1204,0),2))</f>
        <v/>
      </c>
      <c r="C1084" s="10" t="str">
        <f t="array" ref="C1084">IF(1080&gt;$S$1204,"",INDEX($T$5:$AJ$1204,MATCH(1080,$S$5:$S$1204,0),3))</f>
        <v/>
      </c>
      <c r="D1084" s="8" t="str">
        <f t="array" ref="D1084">IF(1080&gt;$S$1204,"",INDEX($T$5:$AJ$1204,MATCH(1080,$S$5:$S$1204,0),4))</f>
        <v/>
      </c>
      <c r="E1084" s="8" t="str">
        <f t="array" ref="E1084">IF(1080&gt;$S$1204,"",INDEX($T$5:$AJ$1204,MATCH(1080,$S$5:$S$1204,0),5))</f>
        <v/>
      </c>
      <c r="F1084" s="8" t="str">
        <f t="array" ref="F1084">IF(1080&gt;$S$1204,"",INDEX($T$5:$AJ$1204,MATCH(1080,$S$5:$S$1204,0),6))</f>
        <v/>
      </c>
      <c r="G1084" s="8" t="str">
        <f t="array" ref="G1084">IF(1080&gt;$S$1204,"",INDEX($T$5:$AJ$1204,MATCH(1080,$S$5:$S$1204,0),7))</f>
        <v/>
      </c>
      <c r="H1084" s="8" t="str">
        <f t="array" ref="H1084">IF(1080&gt;$S$1204,"",INDEX($T$5:$AJ$1204,MATCH(1080,$S$5:$S$1204,0),8))</f>
        <v/>
      </c>
      <c r="I1084" s="8" t="str">
        <f t="array" ref="I1084">IF(1080&gt;$S$1204,"",INDEX($T$5:$AJ$1204,MATCH(1080,$S$5:$S$1204,0),9))</f>
        <v/>
      </c>
      <c r="J1084" s="14" t="str">
        <f t="array" ref="J1084">IF(1080&gt;$S$1204,"",INDEX($T$5:$AJ$1204,MATCH(1080,$S$5:$S$1204,0),10))</f>
        <v/>
      </c>
      <c r="K1084" s="8" t="str">
        <f t="array" ref="K1084">IF(1080&gt;$S$1204,"",INDEX($T$5:$AJ$1204,MATCH(1080,$S$5:$S$1204,0),11))</f>
        <v/>
      </c>
      <c r="L1084" s="8" t="str">
        <f t="array" ref="L1084">IF(1080&gt;$S$1204,"",INDEX($T$5:$AJ$1204,MATCH(1080,$S$5:$S$1204,0),12))</f>
        <v/>
      </c>
      <c r="M1084" s="8" t="str">
        <f t="array" ref="M1084">IF(1080&gt;$S$1204,"",INDEX($T$5:$AJ$1204,MATCH(1080,$S$5:$S$1204,0),13))</f>
        <v/>
      </c>
      <c r="N1084" s="8" t="str">
        <f t="array" ref="N1084">IF(1080&gt;$S$1204,"",INDEX($T$5:$AJ$1204,MATCH(1080,$S$5:$S$1204,0),14))</f>
        <v/>
      </c>
      <c r="O1084" s="15" t="str">
        <f t="array" ref="O1084">IF(1080&gt;$S$1204,"",INDEX($T$5:$AJ$1204,MATCH(1080,$S$5:$S$1204,0),15))</f>
        <v/>
      </c>
      <c r="P1084" s="8" t="str">
        <f t="array" ref="P1084">IF(1080&gt;$S$1204,"",INDEX($T$5:$AJ$1204,MATCH(1080,$S$5:$S$1204,0),16))</f>
        <v/>
      </c>
      <c r="Q1084" s="8" t="str">
        <f t="array" ref="Q1084">IF(1080&gt;$S$1204,"",INDEX($T$5:$AJ$1204,MATCH(1080,$S$5:$S$1204,0),17))</f>
        <v/>
      </c>
      <c r="R1084" s="17"/>
      <c r="S1084" s="17">
        <f>S1083+IF(M6_Puntos_Control!A88="",0,1)</f>
        <v>0</v>
      </c>
      <c r="T1084" s="17" t="str">
        <f>IF(M6_Puntos_Control!A88="","",IF(M6_Puntos_Control!A88="","",M6_Puntos_Control!A88))</f>
        <v/>
      </c>
      <c r="U1084" s="17" t="str">
        <f>IF(M6_Puntos_Control!A88="","",IF(M6_Puntos_Control!R88="","",M6_Puntos_Control!R88))</f>
        <v/>
      </c>
      <c r="V1084" s="17" t="str">
        <f>IF(M6_Puntos_Control!A88="","",IF(M6_Puntos_Control!D88="","",M6_Puntos_Control!D88))</f>
        <v/>
      </c>
      <c r="W1084" s="17" t="str">
        <f>IF(M6_Puntos_Control!A88="","",IF(M6_Puntos_Control!B88="","",M6_Puntos_Control!B88))</f>
        <v/>
      </c>
      <c r="X1084" s="17" t="str">
        <f>IF(M6_Puntos_Control!A88="","",IF(M6_Puntos_Control!C88="","",M6_Puntos_Control!C88))</f>
        <v/>
      </c>
      <c r="Y1084" s="17" t="str">
        <f>IF(M6_Puntos_Control!A88="","",IF(M6_Puntos_Control!E88="","",M6_Puntos_Control!E88))</f>
        <v/>
      </c>
      <c r="Z1084" s="17" t="str">
        <f>IF(M6_Puntos_Control!A88="","",IF(M6_Puntos_Control!F88="","",M6_Puntos_Control!F88))</f>
        <v/>
      </c>
      <c r="AA1084" s="17" t="str">
        <f>IF(M6_Puntos_Control!A88="","","M6 Puntos de control")</f>
        <v/>
      </c>
      <c r="AB1084" s="17" t="str">
        <f>IF(M6_Puntos_Control!A88="","",IF(M6_Puntos_Control!G88="","",M6_Puntos_Control!G88))</f>
        <v/>
      </c>
      <c r="AC1084" s="17" t="str">
        <f>IF(M6_Puntos_Control!A88="","",IF(M6_Puntos_Control!K88="Sí",IF(COUNTIFS(M6_Puntos_Control!$A$9:A88,M6_Puntos_Control!A88,M6_Puntos_Control!$D$9:D88,M6_Puntos_Control!D88,M6_Puntos_Control!$G$9:G88,M6_Puntos_Control!G88,M6_Puntos_Control!$H$9:H88,M6_Puntos_Control!H88,M6_Puntos_Control!$K$9:K88,"Sí")=1,IF(M6_Puntos_Control!M88="","",M6_Puntos_Control!M88),""),""))</f>
        <v/>
      </c>
      <c r="AD1084" s="17" t="str">
        <f>IF(M6_Puntos_Control!A88="","","RD")</f>
        <v/>
      </c>
      <c r="AE1084" s="17" t="str">
        <f>IF(M6_Puntos_Control!A88="","",IF(M6_Puntos_Control!O88="","",M6_Puntos_Control!O88))</f>
        <v/>
      </c>
      <c r="AF1084" s="17" t="str">
        <f>IF(M6_Puntos_Control!A88="","",IF(M6_Puntos_Control!P88="","",M6_Puntos_Control!P88))</f>
        <v/>
      </c>
      <c r="AG1084" s="17" t="str">
        <f>IF(M6_Puntos_Control!A88="","",IF(M6_Puntos_Control!Q88="","",M6_Puntos_Control!Q88))</f>
        <v/>
      </c>
      <c r="AH1084" s="17" t="str">
        <f>IF(M6_Puntos_Control!A88="","",IF(M6_Puntos_Control!I88="","",M6_Puntos_Control!I88))</f>
        <v/>
      </c>
      <c r="AI1084" s="17" t="str">
        <f>IF(M6_Puntos_Control!A88="","","M6_Puntos_Control!88")</f>
        <v/>
      </c>
      <c r="AJ1084" s="17" t="str">
        <f>IF(M6_Puntos_Control!A88="","",IF(M6_Puntos_Control!K88&lt;&gt;"Sí","Punto de comparación",IF(COUNTIFS(M6_Puntos_Control!$A$9:A88,M6_Puntos_Control!A88,M6_Puntos_Control!$D$9:D88,M6_Puntos_Control!D88,M6_Puntos_Control!$G$9:G88,M6_Puntos_Control!G88,M6_Puntos_Control!$H$9:H88,M6_Puntos_Control!H88,M6_Puntos_Control!$K$9:K88,"Sí")=1,IF(M6_Puntos_Control!M88="","Pendiente de resultado","Punto oficial"),"Revisar: varios puntos oficiales")))</f>
        <v/>
      </c>
    </row>
    <row r="1085" spans="1:36" ht="55.5" customHeight="1">
      <c r="A1085" s="6" t="str">
        <f t="array" ref="A1085">IF(1081&gt;$S$1204,"",INDEX($T$5:$AJ$1204,MATCH(1081,$S$5:$S$1204,0),1))</f>
        <v/>
      </c>
      <c r="B1085" s="8" t="str">
        <f t="array" ref="B1085">IF(1081&gt;$S$1204,"",INDEX($T$5:$AJ$1204,MATCH(1081,$S$5:$S$1204,0),2))</f>
        <v/>
      </c>
      <c r="C1085" s="10" t="str">
        <f t="array" ref="C1085">IF(1081&gt;$S$1204,"",INDEX($T$5:$AJ$1204,MATCH(1081,$S$5:$S$1204,0),3))</f>
        <v/>
      </c>
      <c r="D1085" s="8" t="str">
        <f t="array" ref="D1085">IF(1081&gt;$S$1204,"",INDEX($T$5:$AJ$1204,MATCH(1081,$S$5:$S$1204,0),4))</f>
        <v/>
      </c>
      <c r="E1085" s="8" t="str">
        <f t="array" ref="E1085">IF(1081&gt;$S$1204,"",INDEX($T$5:$AJ$1204,MATCH(1081,$S$5:$S$1204,0),5))</f>
        <v/>
      </c>
      <c r="F1085" s="8" t="str">
        <f t="array" ref="F1085">IF(1081&gt;$S$1204,"",INDEX($T$5:$AJ$1204,MATCH(1081,$S$5:$S$1204,0),6))</f>
        <v/>
      </c>
      <c r="G1085" s="8" t="str">
        <f t="array" ref="G1085">IF(1081&gt;$S$1204,"",INDEX($T$5:$AJ$1204,MATCH(1081,$S$5:$S$1204,0),7))</f>
        <v/>
      </c>
      <c r="H1085" s="8" t="str">
        <f t="array" ref="H1085">IF(1081&gt;$S$1204,"",INDEX($T$5:$AJ$1204,MATCH(1081,$S$5:$S$1204,0),8))</f>
        <v/>
      </c>
      <c r="I1085" s="8" t="str">
        <f t="array" ref="I1085">IF(1081&gt;$S$1204,"",INDEX($T$5:$AJ$1204,MATCH(1081,$S$5:$S$1204,0),9))</f>
        <v/>
      </c>
      <c r="J1085" s="14" t="str">
        <f t="array" ref="J1085">IF(1081&gt;$S$1204,"",INDEX($T$5:$AJ$1204,MATCH(1081,$S$5:$S$1204,0),10))</f>
        <v/>
      </c>
      <c r="K1085" s="8" t="str">
        <f t="array" ref="K1085">IF(1081&gt;$S$1204,"",INDEX($T$5:$AJ$1204,MATCH(1081,$S$5:$S$1204,0),11))</f>
        <v/>
      </c>
      <c r="L1085" s="8" t="str">
        <f t="array" ref="L1085">IF(1081&gt;$S$1204,"",INDEX($T$5:$AJ$1204,MATCH(1081,$S$5:$S$1204,0),12))</f>
        <v/>
      </c>
      <c r="M1085" s="8" t="str">
        <f t="array" ref="M1085">IF(1081&gt;$S$1204,"",INDEX($T$5:$AJ$1204,MATCH(1081,$S$5:$S$1204,0),13))</f>
        <v/>
      </c>
      <c r="N1085" s="8" t="str">
        <f t="array" ref="N1085">IF(1081&gt;$S$1204,"",INDEX($T$5:$AJ$1204,MATCH(1081,$S$5:$S$1204,0),14))</f>
        <v/>
      </c>
      <c r="O1085" s="15" t="str">
        <f t="array" ref="O1085">IF(1081&gt;$S$1204,"",INDEX($T$5:$AJ$1204,MATCH(1081,$S$5:$S$1204,0),15))</f>
        <v/>
      </c>
      <c r="P1085" s="8" t="str">
        <f t="array" ref="P1085">IF(1081&gt;$S$1204,"",INDEX($T$5:$AJ$1204,MATCH(1081,$S$5:$S$1204,0),16))</f>
        <v/>
      </c>
      <c r="Q1085" s="8" t="str">
        <f t="array" ref="Q1085">IF(1081&gt;$S$1204,"",INDEX($T$5:$AJ$1204,MATCH(1081,$S$5:$S$1204,0),17))</f>
        <v/>
      </c>
      <c r="R1085" s="17"/>
      <c r="S1085" s="17">
        <f>S1084+IF(M6_Puntos_Control!A89="",0,1)</f>
        <v>0</v>
      </c>
      <c r="T1085" s="17" t="str">
        <f>IF(M6_Puntos_Control!A89="","",IF(M6_Puntos_Control!A89="","",M6_Puntos_Control!A89))</f>
        <v/>
      </c>
      <c r="U1085" s="17" t="str">
        <f>IF(M6_Puntos_Control!A89="","",IF(M6_Puntos_Control!R89="","",M6_Puntos_Control!R89))</f>
        <v/>
      </c>
      <c r="V1085" s="17" t="str">
        <f>IF(M6_Puntos_Control!A89="","",IF(M6_Puntos_Control!D89="","",M6_Puntos_Control!D89))</f>
        <v/>
      </c>
      <c r="W1085" s="17" t="str">
        <f>IF(M6_Puntos_Control!A89="","",IF(M6_Puntos_Control!B89="","",M6_Puntos_Control!B89))</f>
        <v/>
      </c>
      <c r="X1085" s="17" t="str">
        <f>IF(M6_Puntos_Control!A89="","",IF(M6_Puntos_Control!C89="","",M6_Puntos_Control!C89))</f>
        <v/>
      </c>
      <c r="Y1085" s="17" t="str">
        <f>IF(M6_Puntos_Control!A89="","",IF(M6_Puntos_Control!E89="","",M6_Puntos_Control!E89))</f>
        <v/>
      </c>
      <c r="Z1085" s="17" t="str">
        <f>IF(M6_Puntos_Control!A89="","",IF(M6_Puntos_Control!F89="","",M6_Puntos_Control!F89))</f>
        <v/>
      </c>
      <c r="AA1085" s="17" t="str">
        <f>IF(M6_Puntos_Control!A89="","","M6 Puntos de control")</f>
        <v/>
      </c>
      <c r="AB1085" s="17" t="str">
        <f>IF(M6_Puntos_Control!A89="","",IF(M6_Puntos_Control!G89="","",M6_Puntos_Control!G89))</f>
        <v/>
      </c>
      <c r="AC1085" s="17" t="str">
        <f>IF(M6_Puntos_Control!A89="","",IF(M6_Puntos_Control!K89="Sí",IF(COUNTIFS(M6_Puntos_Control!$A$9:A89,M6_Puntos_Control!A89,M6_Puntos_Control!$D$9:D89,M6_Puntos_Control!D89,M6_Puntos_Control!$G$9:G89,M6_Puntos_Control!G89,M6_Puntos_Control!$H$9:H89,M6_Puntos_Control!H89,M6_Puntos_Control!$K$9:K89,"Sí")=1,IF(M6_Puntos_Control!M89="","",M6_Puntos_Control!M89),""),""))</f>
        <v/>
      </c>
      <c r="AD1085" s="17" t="str">
        <f>IF(M6_Puntos_Control!A89="","","RD")</f>
        <v/>
      </c>
      <c r="AE1085" s="17" t="str">
        <f>IF(M6_Puntos_Control!A89="","",IF(M6_Puntos_Control!O89="","",M6_Puntos_Control!O89))</f>
        <v/>
      </c>
      <c r="AF1085" s="17" t="str">
        <f>IF(M6_Puntos_Control!A89="","",IF(M6_Puntos_Control!P89="","",M6_Puntos_Control!P89))</f>
        <v/>
      </c>
      <c r="AG1085" s="17" t="str">
        <f>IF(M6_Puntos_Control!A89="","",IF(M6_Puntos_Control!Q89="","",M6_Puntos_Control!Q89))</f>
        <v/>
      </c>
      <c r="AH1085" s="17" t="str">
        <f>IF(M6_Puntos_Control!A89="","",IF(M6_Puntos_Control!I89="","",M6_Puntos_Control!I89))</f>
        <v/>
      </c>
      <c r="AI1085" s="17" t="str">
        <f>IF(M6_Puntos_Control!A89="","","M6_Puntos_Control!89")</f>
        <v/>
      </c>
      <c r="AJ1085" s="17" t="str">
        <f>IF(M6_Puntos_Control!A89="","",IF(M6_Puntos_Control!K89&lt;&gt;"Sí","Punto de comparación",IF(COUNTIFS(M6_Puntos_Control!$A$9:A89,M6_Puntos_Control!A89,M6_Puntos_Control!$D$9:D89,M6_Puntos_Control!D89,M6_Puntos_Control!$G$9:G89,M6_Puntos_Control!G89,M6_Puntos_Control!$H$9:H89,M6_Puntos_Control!H89,M6_Puntos_Control!$K$9:K89,"Sí")=1,IF(M6_Puntos_Control!M89="","Pendiente de resultado","Punto oficial"),"Revisar: varios puntos oficiales")))</f>
        <v/>
      </c>
    </row>
    <row r="1086" spans="1:36" ht="55.5" customHeight="1">
      <c r="A1086" s="6" t="str">
        <f t="array" ref="A1086">IF(1082&gt;$S$1204,"",INDEX($T$5:$AJ$1204,MATCH(1082,$S$5:$S$1204,0),1))</f>
        <v/>
      </c>
      <c r="B1086" s="8" t="str">
        <f t="array" ref="B1086">IF(1082&gt;$S$1204,"",INDEX($T$5:$AJ$1204,MATCH(1082,$S$5:$S$1204,0),2))</f>
        <v/>
      </c>
      <c r="C1086" s="10" t="str">
        <f t="array" ref="C1086">IF(1082&gt;$S$1204,"",INDEX($T$5:$AJ$1204,MATCH(1082,$S$5:$S$1204,0),3))</f>
        <v/>
      </c>
      <c r="D1086" s="8" t="str">
        <f t="array" ref="D1086">IF(1082&gt;$S$1204,"",INDEX($T$5:$AJ$1204,MATCH(1082,$S$5:$S$1204,0),4))</f>
        <v/>
      </c>
      <c r="E1086" s="8" t="str">
        <f t="array" ref="E1086">IF(1082&gt;$S$1204,"",INDEX($T$5:$AJ$1204,MATCH(1082,$S$5:$S$1204,0),5))</f>
        <v/>
      </c>
      <c r="F1086" s="8" t="str">
        <f t="array" ref="F1086">IF(1082&gt;$S$1204,"",INDEX($T$5:$AJ$1204,MATCH(1082,$S$5:$S$1204,0),6))</f>
        <v/>
      </c>
      <c r="G1086" s="8" t="str">
        <f t="array" ref="G1086">IF(1082&gt;$S$1204,"",INDEX($T$5:$AJ$1204,MATCH(1082,$S$5:$S$1204,0),7))</f>
        <v/>
      </c>
      <c r="H1086" s="8" t="str">
        <f t="array" ref="H1086">IF(1082&gt;$S$1204,"",INDEX($T$5:$AJ$1204,MATCH(1082,$S$5:$S$1204,0),8))</f>
        <v/>
      </c>
      <c r="I1086" s="8" t="str">
        <f t="array" ref="I1086">IF(1082&gt;$S$1204,"",INDEX($T$5:$AJ$1204,MATCH(1082,$S$5:$S$1204,0),9))</f>
        <v/>
      </c>
      <c r="J1086" s="14" t="str">
        <f t="array" ref="J1086">IF(1082&gt;$S$1204,"",INDEX($T$5:$AJ$1204,MATCH(1082,$S$5:$S$1204,0),10))</f>
        <v/>
      </c>
      <c r="K1086" s="8" t="str">
        <f t="array" ref="K1086">IF(1082&gt;$S$1204,"",INDEX($T$5:$AJ$1204,MATCH(1082,$S$5:$S$1204,0),11))</f>
        <v/>
      </c>
      <c r="L1086" s="8" t="str">
        <f t="array" ref="L1086">IF(1082&gt;$S$1204,"",INDEX($T$5:$AJ$1204,MATCH(1082,$S$5:$S$1204,0),12))</f>
        <v/>
      </c>
      <c r="M1086" s="8" t="str">
        <f t="array" ref="M1086">IF(1082&gt;$S$1204,"",INDEX($T$5:$AJ$1204,MATCH(1082,$S$5:$S$1204,0),13))</f>
        <v/>
      </c>
      <c r="N1086" s="8" t="str">
        <f t="array" ref="N1086">IF(1082&gt;$S$1204,"",INDEX($T$5:$AJ$1204,MATCH(1082,$S$5:$S$1204,0),14))</f>
        <v/>
      </c>
      <c r="O1086" s="15" t="str">
        <f t="array" ref="O1086">IF(1082&gt;$S$1204,"",INDEX($T$5:$AJ$1204,MATCH(1082,$S$5:$S$1204,0),15))</f>
        <v/>
      </c>
      <c r="P1086" s="8" t="str">
        <f t="array" ref="P1086">IF(1082&gt;$S$1204,"",INDEX($T$5:$AJ$1204,MATCH(1082,$S$5:$S$1204,0),16))</f>
        <v/>
      </c>
      <c r="Q1086" s="8" t="str">
        <f t="array" ref="Q1086">IF(1082&gt;$S$1204,"",INDEX($T$5:$AJ$1204,MATCH(1082,$S$5:$S$1204,0),17))</f>
        <v/>
      </c>
      <c r="R1086" s="17"/>
      <c r="S1086" s="17">
        <f>S1085+IF(M6_Puntos_Control!A90="",0,1)</f>
        <v>0</v>
      </c>
      <c r="T1086" s="17" t="str">
        <f>IF(M6_Puntos_Control!A90="","",IF(M6_Puntos_Control!A90="","",M6_Puntos_Control!A90))</f>
        <v/>
      </c>
      <c r="U1086" s="17" t="str">
        <f>IF(M6_Puntos_Control!A90="","",IF(M6_Puntos_Control!R90="","",M6_Puntos_Control!R90))</f>
        <v/>
      </c>
      <c r="V1086" s="17" t="str">
        <f>IF(M6_Puntos_Control!A90="","",IF(M6_Puntos_Control!D90="","",M6_Puntos_Control!D90))</f>
        <v/>
      </c>
      <c r="W1086" s="17" t="str">
        <f>IF(M6_Puntos_Control!A90="","",IF(M6_Puntos_Control!B90="","",M6_Puntos_Control!B90))</f>
        <v/>
      </c>
      <c r="X1086" s="17" t="str">
        <f>IF(M6_Puntos_Control!A90="","",IF(M6_Puntos_Control!C90="","",M6_Puntos_Control!C90))</f>
        <v/>
      </c>
      <c r="Y1086" s="17" t="str">
        <f>IF(M6_Puntos_Control!A90="","",IF(M6_Puntos_Control!E90="","",M6_Puntos_Control!E90))</f>
        <v/>
      </c>
      <c r="Z1086" s="17" t="str">
        <f>IF(M6_Puntos_Control!A90="","",IF(M6_Puntos_Control!F90="","",M6_Puntos_Control!F90))</f>
        <v/>
      </c>
      <c r="AA1086" s="17" t="str">
        <f>IF(M6_Puntos_Control!A90="","","M6 Puntos de control")</f>
        <v/>
      </c>
      <c r="AB1086" s="17" t="str">
        <f>IF(M6_Puntos_Control!A90="","",IF(M6_Puntos_Control!G90="","",M6_Puntos_Control!G90))</f>
        <v/>
      </c>
      <c r="AC1086" s="17" t="str">
        <f>IF(M6_Puntos_Control!A90="","",IF(M6_Puntos_Control!K90="Sí",IF(COUNTIFS(M6_Puntos_Control!$A$9:A90,M6_Puntos_Control!A90,M6_Puntos_Control!$D$9:D90,M6_Puntos_Control!D90,M6_Puntos_Control!$G$9:G90,M6_Puntos_Control!G90,M6_Puntos_Control!$H$9:H90,M6_Puntos_Control!H90,M6_Puntos_Control!$K$9:K90,"Sí")=1,IF(M6_Puntos_Control!M90="","",M6_Puntos_Control!M90),""),""))</f>
        <v/>
      </c>
      <c r="AD1086" s="17" t="str">
        <f>IF(M6_Puntos_Control!A90="","","RD")</f>
        <v/>
      </c>
      <c r="AE1086" s="17" t="str">
        <f>IF(M6_Puntos_Control!A90="","",IF(M6_Puntos_Control!O90="","",M6_Puntos_Control!O90))</f>
        <v/>
      </c>
      <c r="AF1086" s="17" t="str">
        <f>IF(M6_Puntos_Control!A90="","",IF(M6_Puntos_Control!P90="","",M6_Puntos_Control!P90))</f>
        <v/>
      </c>
      <c r="AG1086" s="17" t="str">
        <f>IF(M6_Puntos_Control!A90="","",IF(M6_Puntos_Control!Q90="","",M6_Puntos_Control!Q90))</f>
        <v/>
      </c>
      <c r="AH1086" s="17" t="str">
        <f>IF(M6_Puntos_Control!A90="","",IF(M6_Puntos_Control!I90="","",M6_Puntos_Control!I90))</f>
        <v/>
      </c>
      <c r="AI1086" s="17" t="str">
        <f>IF(M6_Puntos_Control!A90="","","M6_Puntos_Control!90")</f>
        <v/>
      </c>
      <c r="AJ1086" s="17" t="str">
        <f>IF(M6_Puntos_Control!A90="","",IF(M6_Puntos_Control!K90&lt;&gt;"Sí","Punto de comparación",IF(COUNTIFS(M6_Puntos_Control!$A$9:A90,M6_Puntos_Control!A90,M6_Puntos_Control!$D$9:D90,M6_Puntos_Control!D90,M6_Puntos_Control!$G$9:G90,M6_Puntos_Control!G90,M6_Puntos_Control!$H$9:H90,M6_Puntos_Control!H90,M6_Puntos_Control!$K$9:K90,"Sí")=1,IF(M6_Puntos_Control!M90="","Pendiente de resultado","Punto oficial"),"Revisar: varios puntos oficiales")))</f>
        <v/>
      </c>
    </row>
    <row r="1087" spans="1:36" ht="55.5" customHeight="1">
      <c r="A1087" s="6" t="str">
        <f t="array" ref="A1087">IF(1083&gt;$S$1204,"",INDEX($T$5:$AJ$1204,MATCH(1083,$S$5:$S$1204,0),1))</f>
        <v/>
      </c>
      <c r="B1087" s="8" t="str">
        <f t="array" ref="B1087">IF(1083&gt;$S$1204,"",INDEX($T$5:$AJ$1204,MATCH(1083,$S$5:$S$1204,0),2))</f>
        <v/>
      </c>
      <c r="C1087" s="10" t="str">
        <f t="array" ref="C1087">IF(1083&gt;$S$1204,"",INDEX($T$5:$AJ$1204,MATCH(1083,$S$5:$S$1204,0),3))</f>
        <v/>
      </c>
      <c r="D1087" s="8" t="str">
        <f t="array" ref="D1087">IF(1083&gt;$S$1204,"",INDEX($T$5:$AJ$1204,MATCH(1083,$S$5:$S$1204,0),4))</f>
        <v/>
      </c>
      <c r="E1087" s="8" t="str">
        <f t="array" ref="E1087">IF(1083&gt;$S$1204,"",INDEX($T$5:$AJ$1204,MATCH(1083,$S$5:$S$1204,0),5))</f>
        <v/>
      </c>
      <c r="F1087" s="8" t="str">
        <f t="array" ref="F1087">IF(1083&gt;$S$1204,"",INDEX($T$5:$AJ$1204,MATCH(1083,$S$5:$S$1204,0),6))</f>
        <v/>
      </c>
      <c r="G1087" s="8" t="str">
        <f t="array" ref="G1087">IF(1083&gt;$S$1204,"",INDEX($T$5:$AJ$1204,MATCH(1083,$S$5:$S$1204,0),7))</f>
        <v/>
      </c>
      <c r="H1087" s="8" t="str">
        <f t="array" ref="H1087">IF(1083&gt;$S$1204,"",INDEX($T$5:$AJ$1204,MATCH(1083,$S$5:$S$1204,0),8))</f>
        <v/>
      </c>
      <c r="I1087" s="8" t="str">
        <f t="array" ref="I1087">IF(1083&gt;$S$1204,"",INDEX($T$5:$AJ$1204,MATCH(1083,$S$5:$S$1204,0),9))</f>
        <v/>
      </c>
      <c r="J1087" s="14" t="str">
        <f t="array" ref="J1087">IF(1083&gt;$S$1204,"",INDEX($T$5:$AJ$1204,MATCH(1083,$S$5:$S$1204,0),10))</f>
        <v/>
      </c>
      <c r="K1087" s="8" t="str">
        <f t="array" ref="K1087">IF(1083&gt;$S$1204,"",INDEX($T$5:$AJ$1204,MATCH(1083,$S$5:$S$1204,0),11))</f>
        <v/>
      </c>
      <c r="L1087" s="8" t="str">
        <f t="array" ref="L1087">IF(1083&gt;$S$1204,"",INDEX($T$5:$AJ$1204,MATCH(1083,$S$5:$S$1204,0),12))</f>
        <v/>
      </c>
      <c r="M1087" s="8" t="str">
        <f t="array" ref="M1087">IF(1083&gt;$S$1204,"",INDEX($T$5:$AJ$1204,MATCH(1083,$S$5:$S$1204,0),13))</f>
        <v/>
      </c>
      <c r="N1087" s="8" t="str">
        <f t="array" ref="N1087">IF(1083&gt;$S$1204,"",INDEX($T$5:$AJ$1204,MATCH(1083,$S$5:$S$1204,0),14))</f>
        <v/>
      </c>
      <c r="O1087" s="15" t="str">
        <f t="array" ref="O1087">IF(1083&gt;$S$1204,"",INDEX($T$5:$AJ$1204,MATCH(1083,$S$5:$S$1204,0),15))</f>
        <v/>
      </c>
      <c r="P1087" s="8" t="str">
        <f t="array" ref="P1087">IF(1083&gt;$S$1204,"",INDEX($T$5:$AJ$1204,MATCH(1083,$S$5:$S$1204,0),16))</f>
        <v/>
      </c>
      <c r="Q1087" s="8" t="str">
        <f t="array" ref="Q1087">IF(1083&gt;$S$1204,"",INDEX($T$5:$AJ$1204,MATCH(1083,$S$5:$S$1204,0),17))</f>
        <v/>
      </c>
      <c r="R1087" s="17"/>
      <c r="S1087" s="17">
        <f>S1086+IF(M6_Puntos_Control!A91="",0,1)</f>
        <v>0</v>
      </c>
      <c r="T1087" s="17" t="str">
        <f>IF(M6_Puntos_Control!A91="","",IF(M6_Puntos_Control!A91="","",M6_Puntos_Control!A91))</f>
        <v/>
      </c>
      <c r="U1087" s="17" t="str">
        <f>IF(M6_Puntos_Control!A91="","",IF(M6_Puntos_Control!R91="","",M6_Puntos_Control!R91))</f>
        <v/>
      </c>
      <c r="V1087" s="17" t="str">
        <f>IF(M6_Puntos_Control!A91="","",IF(M6_Puntos_Control!D91="","",M6_Puntos_Control!D91))</f>
        <v/>
      </c>
      <c r="W1087" s="17" t="str">
        <f>IF(M6_Puntos_Control!A91="","",IF(M6_Puntos_Control!B91="","",M6_Puntos_Control!B91))</f>
        <v/>
      </c>
      <c r="X1087" s="17" t="str">
        <f>IF(M6_Puntos_Control!A91="","",IF(M6_Puntos_Control!C91="","",M6_Puntos_Control!C91))</f>
        <v/>
      </c>
      <c r="Y1087" s="17" t="str">
        <f>IF(M6_Puntos_Control!A91="","",IF(M6_Puntos_Control!E91="","",M6_Puntos_Control!E91))</f>
        <v/>
      </c>
      <c r="Z1087" s="17" t="str">
        <f>IF(M6_Puntos_Control!A91="","",IF(M6_Puntos_Control!F91="","",M6_Puntos_Control!F91))</f>
        <v/>
      </c>
      <c r="AA1087" s="17" t="str">
        <f>IF(M6_Puntos_Control!A91="","","M6 Puntos de control")</f>
        <v/>
      </c>
      <c r="AB1087" s="17" t="str">
        <f>IF(M6_Puntos_Control!A91="","",IF(M6_Puntos_Control!G91="","",M6_Puntos_Control!G91))</f>
        <v/>
      </c>
      <c r="AC1087" s="17" t="str">
        <f>IF(M6_Puntos_Control!A91="","",IF(M6_Puntos_Control!K91="Sí",IF(COUNTIFS(M6_Puntos_Control!$A$9:A91,M6_Puntos_Control!A91,M6_Puntos_Control!$D$9:D91,M6_Puntos_Control!D91,M6_Puntos_Control!$G$9:G91,M6_Puntos_Control!G91,M6_Puntos_Control!$H$9:H91,M6_Puntos_Control!H91,M6_Puntos_Control!$K$9:K91,"Sí")=1,IF(M6_Puntos_Control!M91="","",M6_Puntos_Control!M91),""),""))</f>
        <v/>
      </c>
      <c r="AD1087" s="17" t="str">
        <f>IF(M6_Puntos_Control!A91="","","RD")</f>
        <v/>
      </c>
      <c r="AE1087" s="17" t="str">
        <f>IF(M6_Puntos_Control!A91="","",IF(M6_Puntos_Control!O91="","",M6_Puntos_Control!O91))</f>
        <v/>
      </c>
      <c r="AF1087" s="17" t="str">
        <f>IF(M6_Puntos_Control!A91="","",IF(M6_Puntos_Control!P91="","",M6_Puntos_Control!P91))</f>
        <v/>
      </c>
      <c r="AG1087" s="17" t="str">
        <f>IF(M6_Puntos_Control!A91="","",IF(M6_Puntos_Control!Q91="","",M6_Puntos_Control!Q91))</f>
        <v/>
      </c>
      <c r="AH1087" s="17" t="str">
        <f>IF(M6_Puntos_Control!A91="","",IF(M6_Puntos_Control!I91="","",M6_Puntos_Control!I91))</f>
        <v/>
      </c>
      <c r="AI1087" s="17" t="str">
        <f>IF(M6_Puntos_Control!A91="","","M6_Puntos_Control!91")</f>
        <v/>
      </c>
      <c r="AJ1087" s="17" t="str">
        <f>IF(M6_Puntos_Control!A91="","",IF(M6_Puntos_Control!K91&lt;&gt;"Sí","Punto de comparación",IF(COUNTIFS(M6_Puntos_Control!$A$9:A91,M6_Puntos_Control!A91,M6_Puntos_Control!$D$9:D91,M6_Puntos_Control!D91,M6_Puntos_Control!$G$9:G91,M6_Puntos_Control!G91,M6_Puntos_Control!$H$9:H91,M6_Puntos_Control!H91,M6_Puntos_Control!$K$9:K91,"Sí")=1,IF(M6_Puntos_Control!M91="","Pendiente de resultado","Punto oficial"),"Revisar: varios puntos oficiales")))</f>
        <v/>
      </c>
    </row>
    <row r="1088" spans="1:36" ht="55.5" customHeight="1">
      <c r="A1088" s="6" t="str">
        <f t="array" ref="A1088">IF(1084&gt;$S$1204,"",INDEX($T$5:$AJ$1204,MATCH(1084,$S$5:$S$1204,0),1))</f>
        <v/>
      </c>
      <c r="B1088" s="8" t="str">
        <f t="array" ref="B1088">IF(1084&gt;$S$1204,"",INDEX($T$5:$AJ$1204,MATCH(1084,$S$5:$S$1204,0),2))</f>
        <v/>
      </c>
      <c r="C1088" s="10" t="str">
        <f t="array" ref="C1088">IF(1084&gt;$S$1204,"",INDEX($T$5:$AJ$1204,MATCH(1084,$S$5:$S$1204,0),3))</f>
        <v/>
      </c>
      <c r="D1088" s="8" t="str">
        <f t="array" ref="D1088">IF(1084&gt;$S$1204,"",INDEX($T$5:$AJ$1204,MATCH(1084,$S$5:$S$1204,0),4))</f>
        <v/>
      </c>
      <c r="E1088" s="8" t="str">
        <f t="array" ref="E1088">IF(1084&gt;$S$1204,"",INDEX($T$5:$AJ$1204,MATCH(1084,$S$5:$S$1204,0),5))</f>
        <v/>
      </c>
      <c r="F1088" s="8" t="str">
        <f t="array" ref="F1088">IF(1084&gt;$S$1204,"",INDEX($T$5:$AJ$1204,MATCH(1084,$S$5:$S$1204,0),6))</f>
        <v/>
      </c>
      <c r="G1088" s="8" t="str">
        <f t="array" ref="G1088">IF(1084&gt;$S$1204,"",INDEX($T$5:$AJ$1204,MATCH(1084,$S$5:$S$1204,0),7))</f>
        <v/>
      </c>
      <c r="H1088" s="8" t="str">
        <f t="array" ref="H1088">IF(1084&gt;$S$1204,"",INDEX($T$5:$AJ$1204,MATCH(1084,$S$5:$S$1204,0),8))</f>
        <v/>
      </c>
      <c r="I1088" s="8" t="str">
        <f t="array" ref="I1088">IF(1084&gt;$S$1204,"",INDEX($T$5:$AJ$1204,MATCH(1084,$S$5:$S$1204,0),9))</f>
        <v/>
      </c>
      <c r="J1088" s="14" t="str">
        <f t="array" ref="J1088">IF(1084&gt;$S$1204,"",INDEX($T$5:$AJ$1204,MATCH(1084,$S$5:$S$1204,0),10))</f>
        <v/>
      </c>
      <c r="K1088" s="8" t="str">
        <f t="array" ref="K1088">IF(1084&gt;$S$1204,"",INDEX($T$5:$AJ$1204,MATCH(1084,$S$5:$S$1204,0),11))</f>
        <v/>
      </c>
      <c r="L1088" s="8" t="str">
        <f t="array" ref="L1088">IF(1084&gt;$S$1204,"",INDEX($T$5:$AJ$1204,MATCH(1084,$S$5:$S$1204,0),12))</f>
        <v/>
      </c>
      <c r="M1088" s="8" t="str">
        <f t="array" ref="M1088">IF(1084&gt;$S$1204,"",INDEX($T$5:$AJ$1204,MATCH(1084,$S$5:$S$1204,0),13))</f>
        <v/>
      </c>
      <c r="N1088" s="8" t="str">
        <f t="array" ref="N1088">IF(1084&gt;$S$1204,"",INDEX($T$5:$AJ$1204,MATCH(1084,$S$5:$S$1204,0),14))</f>
        <v/>
      </c>
      <c r="O1088" s="15" t="str">
        <f t="array" ref="O1088">IF(1084&gt;$S$1204,"",INDEX($T$5:$AJ$1204,MATCH(1084,$S$5:$S$1204,0),15))</f>
        <v/>
      </c>
      <c r="P1088" s="8" t="str">
        <f t="array" ref="P1088">IF(1084&gt;$S$1204,"",INDEX($T$5:$AJ$1204,MATCH(1084,$S$5:$S$1204,0),16))</f>
        <v/>
      </c>
      <c r="Q1088" s="8" t="str">
        <f t="array" ref="Q1088">IF(1084&gt;$S$1204,"",INDEX($T$5:$AJ$1204,MATCH(1084,$S$5:$S$1204,0),17))</f>
        <v/>
      </c>
      <c r="R1088" s="17"/>
      <c r="S1088" s="17">
        <f>S1087+IF(M6_Puntos_Control!A92="",0,1)</f>
        <v>0</v>
      </c>
      <c r="T1088" s="17" t="str">
        <f>IF(M6_Puntos_Control!A92="","",IF(M6_Puntos_Control!A92="","",M6_Puntos_Control!A92))</f>
        <v/>
      </c>
      <c r="U1088" s="17" t="str">
        <f>IF(M6_Puntos_Control!A92="","",IF(M6_Puntos_Control!R92="","",M6_Puntos_Control!R92))</f>
        <v/>
      </c>
      <c r="V1088" s="17" t="str">
        <f>IF(M6_Puntos_Control!A92="","",IF(M6_Puntos_Control!D92="","",M6_Puntos_Control!D92))</f>
        <v/>
      </c>
      <c r="W1088" s="17" t="str">
        <f>IF(M6_Puntos_Control!A92="","",IF(M6_Puntos_Control!B92="","",M6_Puntos_Control!B92))</f>
        <v/>
      </c>
      <c r="X1088" s="17" t="str">
        <f>IF(M6_Puntos_Control!A92="","",IF(M6_Puntos_Control!C92="","",M6_Puntos_Control!C92))</f>
        <v/>
      </c>
      <c r="Y1088" s="17" t="str">
        <f>IF(M6_Puntos_Control!A92="","",IF(M6_Puntos_Control!E92="","",M6_Puntos_Control!E92))</f>
        <v/>
      </c>
      <c r="Z1088" s="17" t="str">
        <f>IF(M6_Puntos_Control!A92="","",IF(M6_Puntos_Control!F92="","",M6_Puntos_Control!F92))</f>
        <v/>
      </c>
      <c r="AA1088" s="17" t="str">
        <f>IF(M6_Puntos_Control!A92="","","M6 Puntos de control")</f>
        <v/>
      </c>
      <c r="AB1088" s="17" t="str">
        <f>IF(M6_Puntos_Control!A92="","",IF(M6_Puntos_Control!G92="","",M6_Puntos_Control!G92))</f>
        <v/>
      </c>
      <c r="AC1088" s="17" t="str">
        <f>IF(M6_Puntos_Control!A92="","",IF(M6_Puntos_Control!K92="Sí",IF(COUNTIFS(M6_Puntos_Control!$A$9:A92,M6_Puntos_Control!A92,M6_Puntos_Control!$D$9:D92,M6_Puntos_Control!D92,M6_Puntos_Control!$G$9:G92,M6_Puntos_Control!G92,M6_Puntos_Control!$H$9:H92,M6_Puntos_Control!H92,M6_Puntos_Control!$K$9:K92,"Sí")=1,IF(M6_Puntos_Control!M92="","",M6_Puntos_Control!M92),""),""))</f>
        <v/>
      </c>
      <c r="AD1088" s="17" t="str">
        <f>IF(M6_Puntos_Control!A92="","","RD")</f>
        <v/>
      </c>
      <c r="AE1088" s="17" t="str">
        <f>IF(M6_Puntos_Control!A92="","",IF(M6_Puntos_Control!O92="","",M6_Puntos_Control!O92))</f>
        <v/>
      </c>
      <c r="AF1088" s="17" t="str">
        <f>IF(M6_Puntos_Control!A92="","",IF(M6_Puntos_Control!P92="","",M6_Puntos_Control!P92))</f>
        <v/>
      </c>
      <c r="AG1088" s="17" t="str">
        <f>IF(M6_Puntos_Control!A92="","",IF(M6_Puntos_Control!Q92="","",M6_Puntos_Control!Q92))</f>
        <v/>
      </c>
      <c r="AH1088" s="17" t="str">
        <f>IF(M6_Puntos_Control!A92="","",IF(M6_Puntos_Control!I92="","",M6_Puntos_Control!I92))</f>
        <v/>
      </c>
      <c r="AI1088" s="17" t="str">
        <f>IF(M6_Puntos_Control!A92="","","M6_Puntos_Control!92")</f>
        <v/>
      </c>
      <c r="AJ1088" s="17" t="str">
        <f>IF(M6_Puntos_Control!A92="","",IF(M6_Puntos_Control!K92&lt;&gt;"Sí","Punto de comparación",IF(COUNTIFS(M6_Puntos_Control!$A$9:A92,M6_Puntos_Control!A92,M6_Puntos_Control!$D$9:D92,M6_Puntos_Control!D92,M6_Puntos_Control!$G$9:G92,M6_Puntos_Control!G92,M6_Puntos_Control!$H$9:H92,M6_Puntos_Control!H92,M6_Puntos_Control!$K$9:K92,"Sí")=1,IF(M6_Puntos_Control!M92="","Pendiente de resultado","Punto oficial"),"Revisar: varios puntos oficiales")))</f>
        <v/>
      </c>
    </row>
    <row r="1089" spans="1:36" ht="55.5" customHeight="1">
      <c r="A1089" s="6" t="str">
        <f t="array" ref="A1089">IF(1085&gt;$S$1204,"",INDEX($T$5:$AJ$1204,MATCH(1085,$S$5:$S$1204,0),1))</f>
        <v/>
      </c>
      <c r="B1089" s="8" t="str">
        <f t="array" ref="B1089">IF(1085&gt;$S$1204,"",INDEX($T$5:$AJ$1204,MATCH(1085,$S$5:$S$1204,0),2))</f>
        <v/>
      </c>
      <c r="C1089" s="10" t="str">
        <f t="array" ref="C1089">IF(1085&gt;$S$1204,"",INDEX($T$5:$AJ$1204,MATCH(1085,$S$5:$S$1204,0),3))</f>
        <v/>
      </c>
      <c r="D1089" s="8" t="str">
        <f t="array" ref="D1089">IF(1085&gt;$S$1204,"",INDEX($T$5:$AJ$1204,MATCH(1085,$S$5:$S$1204,0),4))</f>
        <v/>
      </c>
      <c r="E1089" s="8" t="str">
        <f t="array" ref="E1089">IF(1085&gt;$S$1204,"",INDEX($T$5:$AJ$1204,MATCH(1085,$S$5:$S$1204,0),5))</f>
        <v/>
      </c>
      <c r="F1089" s="8" t="str">
        <f t="array" ref="F1089">IF(1085&gt;$S$1204,"",INDEX($T$5:$AJ$1204,MATCH(1085,$S$5:$S$1204,0),6))</f>
        <v/>
      </c>
      <c r="G1089" s="8" t="str">
        <f t="array" ref="G1089">IF(1085&gt;$S$1204,"",INDEX($T$5:$AJ$1204,MATCH(1085,$S$5:$S$1204,0),7))</f>
        <v/>
      </c>
      <c r="H1089" s="8" t="str">
        <f t="array" ref="H1089">IF(1085&gt;$S$1204,"",INDEX($T$5:$AJ$1204,MATCH(1085,$S$5:$S$1204,0),8))</f>
        <v/>
      </c>
      <c r="I1089" s="8" t="str">
        <f t="array" ref="I1089">IF(1085&gt;$S$1204,"",INDEX($T$5:$AJ$1204,MATCH(1085,$S$5:$S$1204,0),9))</f>
        <v/>
      </c>
      <c r="J1089" s="14" t="str">
        <f t="array" ref="J1089">IF(1085&gt;$S$1204,"",INDEX($T$5:$AJ$1204,MATCH(1085,$S$5:$S$1204,0),10))</f>
        <v/>
      </c>
      <c r="K1089" s="8" t="str">
        <f t="array" ref="K1089">IF(1085&gt;$S$1204,"",INDEX($T$5:$AJ$1204,MATCH(1085,$S$5:$S$1204,0),11))</f>
        <v/>
      </c>
      <c r="L1089" s="8" t="str">
        <f t="array" ref="L1089">IF(1085&gt;$S$1204,"",INDEX($T$5:$AJ$1204,MATCH(1085,$S$5:$S$1204,0),12))</f>
        <v/>
      </c>
      <c r="M1089" s="8" t="str">
        <f t="array" ref="M1089">IF(1085&gt;$S$1204,"",INDEX($T$5:$AJ$1204,MATCH(1085,$S$5:$S$1204,0),13))</f>
        <v/>
      </c>
      <c r="N1089" s="8" t="str">
        <f t="array" ref="N1089">IF(1085&gt;$S$1204,"",INDEX($T$5:$AJ$1204,MATCH(1085,$S$5:$S$1204,0),14))</f>
        <v/>
      </c>
      <c r="O1089" s="15" t="str">
        <f t="array" ref="O1089">IF(1085&gt;$S$1204,"",INDEX($T$5:$AJ$1204,MATCH(1085,$S$5:$S$1204,0),15))</f>
        <v/>
      </c>
      <c r="P1089" s="8" t="str">
        <f t="array" ref="P1089">IF(1085&gt;$S$1204,"",INDEX($T$5:$AJ$1204,MATCH(1085,$S$5:$S$1204,0),16))</f>
        <v/>
      </c>
      <c r="Q1089" s="8" t="str">
        <f t="array" ref="Q1089">IF(1085&gt;$S$1204,"",INDEX($T$5:$AJ$1204,MATCH(1085,$S$5:$S$1204,0),17))</f>
        <v/>
      </c>
      <c r="R1089" s="17"/>
      <c r="S1089" s="17">
        <f>S1088+IF(M6_Puntos_Control!A93="",0,1)</f>
        <v>0</v>
      </c>
      <c r="T1089" s="17" t="str">
        <f>IF(M6_Puntos_Control!A93="","",IF(M6_Puntos_Control!A93="","",M6_Puntos_Control!A93))</f>
        <v/>
      </c>
      <c r="U1089" s="17" t="str">
        <f>IF(M6_Puntos_Control!A93="","",IF(M6_Puntos_Control!R93="","",M6_Puntos_Control!R93))</f>
        <v/>
      </c>
      <c r="V1089" s="17" t="str">
        <f>IF(M6_Puntos_Control!A93="","",IF(M6_Puntos_Control!D93="","",M6_Puntos_Control!D93))</f>
        <v/>
      </c>
      <c r="W1089" s="17" t="str">
        <f>IF(M6_Puntos_Control!A93="","",IF(M6_Puntos_Control!B93="","",M6_Puntos_Control!B93))</f>
        <v/>
      </c>
      <c r="X1089" s="17" t="str">
        <f>IF(M6_Puntos_Control!A93="","",IF(M6_Puntos_Control!C93="","",M6_Puntos_Control!C93))</f>
        <v/>
      </c>
      <c r="Y1089" s="17" t="str">
        <f>IF(M6_Puntos_Control!A93="","",IF(M6_Puntos_Control!E93="","",M6_Puntos_Control!E93))</f>
        <v/>
      </c>
      <c r="Z1089" s="17" t="str">
        <f>IF(M6_Puntos_Control!A93="","",IF(M6_Puntos_Control!F93="","",M6_Puntos_Control!F93))</f>
        <v/>
      </c>
      <c r="AA1089" s="17" t="str">
        <f>IF(M6_Puntos_Control!A93="","","M6 Puntos de control")</f>
        <v/>
      </c>
      <c r="AB1089" s="17" t="str">
        <f>IF(M6_Puntos_Control!A93="","",IF(M6_Puntos_Control!G93="","",M6_Puntos_Control!G93))</f>
        <v/>
      </c>
      <c r="AC1089" s="17" t="str">
        <f>IF(M6_Puntos_Control!A93="","",IF(M6_Puntos_Control!K93="Sí",IF(COUNTIFS(M6_Puntos_Control!$A$9:A93,M6_Puntos_Control!A93,M6_Puntos_Control!$D$9:D93,M6_Puntos_Control!D93,M6_Puntos_Control!$G$9:G93,M6_Puntos_Control!G93,M6_Puntos_Control!$H$9:H93,M6_Puntos_Control!H93,M6_Puntos_Control!$K$9:K93,"Sí")=1,IF(M6_Puntos_Control!M93="","",M6_Puntos_Control!M93),""),""))</f>
        <v/>
      </c>
      <c r="AD1089" s="17" t="str">
        <f>IF(M6_Puntos_Control!A93="","","RD")</f>
        <v/>
      </c>
      <c r="AE1089" s="17" t="str">
        <f>IF(M6_Puntos_Control!A93="","",IF(M6_Puntos_Control!O93="","",M6_Puntos_Control!O93))</f>
        <v/>
      </c>
      <c r="AF1089" s="17" t="str">
        <f>IF(M6_Puntos_Control!A93="","",IF(M6_Puntos_Control!P93="","",M6_Puntos_Control!P93))</f>
        <v/>
      </c>
      <c r="AG1089" s="17" t="str">
        <f>IF(M6_Puntos_Control!A93="","",IF(M6_Puntos_Control!Q93="","",M6_Puntos_Control!Q93))</f>
        <v/>
      </c>
      <c r="AH1089" s="17" t="str">
        <f>IF(M6_Puntos_Control!A93="","",IF(M6_Puntos_Control!I93="","",M6_Puntos_Control!I93))</f>
        <v/>
      </c>
      <c r="AI1089" s="17" t="str">
        <f>IF(M6_Puntos_Control!A93="","","M6_Puntos_Control!93")</f>
        <v/>
      </c>
      <c r="AJ1089" s="17" t="str">
        <f>IF(M6_Puntos_Control!A93="","",IF(M6_Puntos_Control!K93&lt;&gt;"Sí","Punto de comparación",IF(COUNTIFS(M6_Puntos_Control!$A$9:A93,M6_Puntos_Control!A93,M6_Puntos_Control!$D$9:D93,M6_Puntos_Control!D93,M6_Puntos_Control!$G$9:G93,M6_Puntos_Control!G93,M6_Puntos_Control!$H$9:H93,M6_Puntos_Control!H93,M6_Puntos_Control!$K$9:K93,"Sí")=1,IF(M6_Puntos_Control!M93="","Pendiente de resultado","Punto oficial"),"Revisar: varios puntos oficiales")))</f>
        <v/>
      </c>
    </row>
    <row r="1090" spans="1:36" ht="55.5" customHeight="1">
      <c r="A1090" s="6" t="str">
        <f t="array" ref="A1090">IF(1086&gt;$S$1204,"",INDEX($T$5:$AJ$1204,MATCH(1086,$S$5:$S$1204,0),1))</f>
        <v/>
      </c>
      <c r="B1090" s="8" t="str">
        <f t="array" ref="B1090">IF(1086&gt;$S$1204,"",INDEX($T$5:$AJ$1204,MATCH(1086,$S$5:$S$1204,0),2))</f>
        <v/>
      </c>
      <c r="C1090" s="10" t="str">
        <f t="array" ref="C1090">IF(1086&gt;$S$1204,"",INDEX($T$5:$AJ$1204,MATCH(1086,$S$5:$S$1204,0),3))</f>
        <v/>
      </c>
      <c r="D1090" s="8" t="str">
        <f t="array" ref="D1090">IF(1086&gt;$S$1204,"",INDEX($T$5:$AJ$1204,MATCH(1086,$S$5:$S$1204,0),4))</f>
        <v/>
      </c>
      <c r="E1090" s="8" t="str">
        <f t="array" ref="E1090">IF(1086&gt;$S$1204,"",INDEX($T$5:$AJ$1204,MATCH(1086,$S$5:$S$1204,0),5))</f>
        <v/>
      </c>
      <c r="F1090" s="8" t="str">
        <f t="array" ref="F1090">IF(1086&gt;$S$1204,"",INDEX($T$5:$AJ$1204,MATCH(1086,$S$5:$S$1204,0),6))</f>
        <v/>
      </c>
      <c r="G1090" s="8" t="str">
        <f t="array" ref="G1090">IF(1086&gt;$S$1204,"",INDEX($T$5:$AJ$1204,MATCH(1086,$S$5:$S$1204,0),7))</f>
        <v/>
      </c>
      <c r="H1090" s="8" t="str">
        <f t="array" ref="H1090">IF(1086&gt;$S$1204,"",INDEX($T$5:$AJ$1204,MATCH(1086,$S$5:$S$1204,0),8))</f>
        <v/>
      </c>
      <c r="I1090" s="8" t="str">
        <f t="array" ref="I1090">IF(1086&gt;$S$1204,"",INDEX($T$5:$AJ$1204,MATCH(1086,$S$5:$S$1204,0),9))</f>
        <v/>
      </c>
      <c r="J1090" s="14" t="str">
        <f t="array" ref="J1090">IF(1086&gt;$S$1204,"",INDEX($T$5:$AJ$1204,MATCH(1086,$S$5:$S$1204,0),10))</f>
        <v/>
      </c>
      <c r="K1090" s="8" t="str">
        <f t="array" ref="K1090">IF(1086&gt;$S$1204,"",INDEX($T$5:$AJ$1204,MATCH(1086,$S$5:$S$1204,0),11))</f>
        <v/>
      </c>
      <c r="L1090" s="8" t="str">
        <f t="array" ref="L1090">IF(1086&gt;$S$1204,"",INDEX($T$5:$AJ$1204,MATCH(1086,$S$5:$S$1204,0),12))</f>
        <v/>
      </c>
      <c r="M1090" s="8" t="str">
        <f t="array" ref="M1090">IF(1086&gt;$S$1204,"",INDEX($T$5:$AJ$1204,MATCH(1086,$S$5:$S$1204,0),13))</f>
        <v/>
      </c>
      <c r="N1090" s="8" t="str">
        <f t="array" ref="N1090">IF(1086&gt;$S$1204,"",INDEX($T$5:$AJ$1204,MATCH(1086,$S$5:$S$1204,0),14))</f>
        <v/>
      </c>
      <c r="O1090" s="15" t="str">
        <f t="array" ref="O1090">IF(1086&gt;$S$1204,"",INDEX($T$5:$AJ$1204,MATCH(1086,$S$5:$S$1204,0),15))</f>
        <v/>
      </c>
      <c r="P1090" s="8" t="str">
        <f t="array" ref="P1090">IF(1086&gt;$S$1204,"",INDEX($T$5:$AJ$1204,MATCH(1086,$S$5:$S$1204,0),16))</f>
        <v/>
      </c>
      <c r="Q1090" s="8" t="str">
        <f t="array" ref="Q1090">IF(1086&gt;$S$1204,"",INDEX($T$5:$AJ$1204,MATCH(1086,$S$5:$S$1204,0),17))</f>
        <v/>
      </c>
      <c r="R1090" s="17"/>
      <c r="S1090" s="17">
        <f>S1089+IF(M6_Puntos_Control!A94="",0,1)</f>
        <v>0</v>
      </c>
      <c r="T1090" s="17" t="str">
        <f>IF(M6_Puntos_Control!A94="","",IF(M6_Puntos_Control!A94="","",M6_Puntos_Control!A94))</f>
        <v/>
      </c>
      <c r="U1090" s="17" t="str">
        <f>IF(M6_Puntos_Control!A94="","",IF(M6_Puntos_Control!R94="","",M6_Puntos_Control!R94))</f>
        <v/>
      </c>
      <c r="V1090" s="17" t="str">
        <f>IF(M6_Puntos_Control!A94="","",IF(M6_Puntos_Control!D94="","",M6_Puntos_Control!D94))</f>
        <v/>
      </c>
      <c r="W1090" s="17" t="str">
        <f>IF(M6_Puntos_Control!A94="","",IF(M6_Puntos_Control!B94="","",M6_Puntos_Control!B94))</f>
        <v/>
      </c>
      <c r="X1090" s="17" t="str">
        <f>IF(M6_Puntos_Control!A94="","",IF(M6_Puntos_Control!C94="","",M6_Puntos_Control!C94))</f>
        <v/>
      </c>
      <c r="Y1090" s="17" t="str">
        <f>IF(M6_Puntos_Control!A94="","",IF(M6_Puntos_Control!E94="","",M6_Puntos_Control!E94))</f>
        <v/>
      </c>
      <c r="Z1090" s="17" t="str">
        <f>IF(M6_Puntos_Control!A94="","",IF(M6_Puntos_Control!F94="","",M6_Puntos_Control!F94))</f>
        <v/>
      </c>
      <c r="AA1090" s="17" t="str">
        <f>IF(M6_Puntos_Control!A94="","","M6 Puntos de control")</f>
        <v/>
      </c>
      <c r="AB1090" s="17" t="str">
        <f>IF(M6_Puntos_Control!A94="","",IF(M6_Puntos_Control!G94="","",M6_Puntos_Control!G94))</f>
        <v/>
      </c>
      <c r="AC1090" s="17" t="str">
        <f>IF(M6_Puntos_Control!A94="","",IF(M6_Puntos_Control!K94="Sí",IF(COUNTIFS(M6_Puntos_Control!$A$9:A94,M6_Puntos_Control!A94,M6_Puntos_Control!$D$9:D94,M6_Puntos_Control!D94,M6_Puntos_Control!$G$9:G94,M6_Puntos_Control!G94,M6_Puntos_Control!$H$9:H94,M6_Puntos_Control!H94,M6_Puntos_Control!$K$9:K94,"Sí")=1,IF(M6_Puntos_Control!M94="","",M6_Puntos_Control!M94),""),""))</f>
        <v/>
      </c>
      <c r="AD1090" s="17" t="str">
        <f>IF(M6_Puntos_Control!A94="","","RD")</f>
        <v/>
      </c>
      <c r="AE1090" s="17" t="str">
        <f>IF(M6_Puntos_Control!A94="","",IF(M6_Puntos_Control!O94="","",M6_Puntos_Control!O94))</f>
        <v/>
      </c>
      <c r="AF1090" s="17" t="str">
        <f>IF(M6_Puntos_Control!A94="","",IF(M6_Puntos_Control!P94="","",M6_Puntos_Control!P94))</f>
        <v/>
      </c>
      <c r="AG1090" s="17" t="str">
        <f>IF(M6_Puntos_Control!A94="","",IF(M6_Puntos_Control!Q94="","",M6_Puntos_Control!Q94))</f>
        <v/>
      </c>
      <c r="AH1090" s="17" t="str">
        <f>IF(M6_Puntos_Control!A94="","",IF(M6_Puntos_Control!I94="","",M6_Puntos_Control!I94))</f>
        <v/>
      </c>
      <c r="AI1090" s="17" t="str">
        <f>IF(M6_Puntos_Control!A94="","","M6_Puntos_Control!94")</f>
        <v/>
      </c>
      <c r="AJ1090" s="17" t="str">
        <f>IF(M6_Puntos_Control!A94="","",IF(M6_Puntos_Control!K94&lt;&gt;"Sí","Punto de comparación",IF(COUNTIFS(M6_Puntos_Control!$A$9:A94,M6_Puntos_Control!A94,M6_Puntos_Control!$D$9:D94,M6_Puntos_Control!D94,M6_Puntos_Control!$G$9:G94,M6_Puntos_Control!G94,M6_Puntos_Control!$H$9:H94,M6_Puntos_Control!H94,M6_Puntos_Control!$K$9:K94,"Sí")=1,IF(M6_Puntos_Control!M94="","Pendiente de resultado","Punto oficial"),"Revisar: varios puntos oficiales")))</f>
        <v/>
      </c>
    </row>
    <row r="1091" spans="1:36" ht="55.5" customHeight="1">
      <c r="A1091" s="6" t="str">
        <f t="array" ref="A1091">IF(1087&gt;$S$1204,"",INDEX($T$5:$AJ$1204,MATCH(1087,$S$5:$S$1204,0),1))</f>
        <v/>
      </c>
      <c r="B1091" s="8" t="str">
        <f t="array" ref="B1091">IF(1087&gt;$S$1204,"",INDEX($T$5:$AJ$1204,MATCH(1087,$S$5:$S$1204,0),2))</f>
        <v/>
      </c>
      <c r="C1091" s="10" t="str">
        <f t="array" ref="C1091">IF(1087&gt;$S$1204,"",INDEX($T$5:$AJ$1204,MATCH(1087,$S$5:$S$1204,0),3))</f>
        <v/>
      </c>
      <c r="D1091" s="8" t="str">
        <f t="array" ref="D1091">IF(1087&gt;$S$1204,"",INDEX($T$5:$AJ$1204,MATCH(1087,$S$5:$S$1204,0),4))</f>
        <v/>
      </c>
      <c r="E1091" s="8" t="str">
        <f t="array" ref="E1091">IF(1087&gt;$S$1204,"",INDEX($T$5:$AJ$1204,MATCH(1087,$S$5:$S$1204,0),5))</f>
        <v/>
      </c>
      <c r="F1091" s="8" t="str">
        <f t="array" ref="F1091">IF(1087&gt;$S$1204,"",INDEX($T$5:$AJ$1204,MATCH(1087,$S$5:$S$1204,0),6))</f>
        <v/>
      </c>
      <c r="G1091" s="8" t="str">
        <f t="array" ref="G1091">IF(1087&gt;$S$1204,"",INDEX($T$5:$AJ$1204,MATCH(1087,$S$5:$S$1204,0),7))</f>
        <v/>
      </c>
      <c r="H1091" s="8" t="str">
        <f t="array" ref="H1091">IF(1087&gt;$S$1204,"",INDEX($T$5:$AJ$1204,MATCH(1087,$S$5:$S$1204,0),8))</f>
        <v/>
      </c>
      <c r="I1091" s="8" t="str">
        <f t="array" ref="I1091">IF(1087&gt;$S$1204,"",INDEX($T$5:$AJ$1204,MATCH(1087,$S$5:$S$1204,0),9))</f>
        <v/>
      </c>
      <c r="J1091" s="14" t="str">
        <f t="array" ref="J1091">IF(1087&gt;$S$1204,"",INDEX($T$5:$AJ$1204,MATCH(1087,$S$5:$S$1204,0),10))</f>
        <v/>
      </c>
      <c r="K1091" s="8" t="str">
        <f t="array" ref="K1091">IF(1087&gt;$S$1204,"",INDEX($T$5:$AJ$1204,MATCH(1087,$S$5:$S$1204,0),11))</f>
        <v/>
      </c>
      <c r="L1091" s="8" t="str">
        <f t="array" ref="L1091">IF(1087&gt;$S$1204,"",INDEX($T$5:$AJ$1204,MATCH(1087,$S$5:$S$1204,0),12))</f>
        <v/>
      </c>
      <c r="M1091" s="8" t="str">
        <f t="array" ref="M1091">IF(1087&gt;$S$1204,"",INDEX($T$5:$AJ$1204,MATCH(1087,$S$5:$S$1204,0),13))</f>
        <v/>
      </c>
      <c r="N1091" s="8" t="str">
        <f t="array" ref="N1091">IF(1087&gt;$S$1204,"",INDEX($T$5:$AJ$1204,MATCH(1087,$S$5:$S$1204,0),14))</f>
        <v/>
      </c>
      <c r="O1091" s="15" t="str">
        <f t="array" ref="O1091">IF(1087&gt;$S$1204,"",INDEX($T$5:$AJ$1204,MATCH(1087,$S$5:$S$1204,0),15))</f>
        <v/>
      </c>
      <c r="P1091" s="8" t="str">
        <f t="array" ref="P1091">IF(1087&gt;$S$1204,"",INDEX($T$5:$AJ$1204,MATCH(1087,$S$5:$S$1204,0),16))</f>
        <v/>
      </c>
      <c r="Q1091" s="8" t="str">
        <f t="array" ref="Q1091">IF(1087&gt;$S$1204,"",INDEX($T$5:$AJ$1204,MATCH(1087,$S$5:$S$1204,0),17))</f>
        <v/>
      </c>
      <c r="R1091" s="17"/>
      <c r="S1091" s="17">
        <f>S1090+IF(M6_Puntos_Control!A95="",0,1)</f>
        <v>0</v>
      </c>
      <c r="T1091" s="17" t="str">
        <f>IF(M6_Puntos_Control!A95="","",IF(M6_Puntos_Control!A95="","",M6_Puntos_Control!A95))</f>
        <v/>
      </c>
      <c r="U1091" s="17" t="str">
        <f>IF(M6_Puntos_Control!A95="","",IF(M6_Puntos_Control!R95="","",M6_Puntos_Control!R95))</f>
        <v/>
      </c>
      <c r="V1091" s="17" t="str">
        <f>IF(M6_Puntos_Control!A95="","",IF(M6_Puntos_Control!D95="","",M6_Puntos_Control!D95))</f>
        <v/>
      </c>
      <c r="W1091" s="17" t="str">
        <f>IF(M6_Puntos_Control!A95="","",IF(M6_Puntos_Control!B95="","",M6_Puntos_Control!B95))</f>
        <v/>
      </c>
      <c r="X1091" s="17" t="str">
        <f>IF(M6_Puntos_Control!A95="","",IF(M6_Puntos_Control!C95="","",M6_Puntos_Control!C95))</f>
        <v/>
      </c>
      <c r="Y1091" s="17" t="str">
        <f>IF(M6_Puntos_Control!A95="","",IF(M6_Puntos_Control!E95="","",M6_Puntos_Control!E95))</f>
        <v/>
      </c>
      <c r="Z1091" s="17" t="str">
        <f>IF(M6_Puntos_Control!A95="","",IF(M6_Puntos_Control!F95="","",M6_Puntos_Control!F95))</f>
        <v/>
      </c>
      <c r="AA1091" s="17" t="str">
        <f>IF(M6_Puntos_Control!A95="","","M6 Puntos de control")</f>
        <v/>
      </c>
      <c r="AB1091" s="17" t="str">
        <f>IF(M6_Puntos_Control!A95="","",IF(M6_Puntos_Control!G95="","",M6_Puntos_Control!G95))</f>
        <v/>
      </c>
      <c r="AC1091" s="17" t="str">
        <f>IF(M6_Puntos_Control!A95="","",IF(M6_Puntos_Control!K95="Sí",IF(COUNTIFS(M6_Puntos_Control!$A$9:A95,M6_Puntos_Control!A95,M6_Puntos_Control!$D$9:D95,M6_Puntos_Control!D95,M6_Puntos_Control!$G$9:G95,M6_Puntos_Control!G95,M6_Puntos_Control!$H$9:H95,M6_Puntos_Control!H95,M6_Puntos_Control!$K$9:K95,"Sí")=1,IF(M6_Puntos_Control!M95="","",M6_Puntos_Control!M95),""),""))</f>
        <v/>
      </c>
      <c r="AD1091" s="17" t="str">
        <f>IF(M6_Puntos_Control!A95="","","RD")</f>
        <v/>
      </c>
      <c r="AE1091" s="17" t="str">
        <f>IF(M6_Puntos_Control!A95="","",IF(M6_Puntos_Control!O95="","",M6_Puntos_Control!O95))</f>
        <v/>
      </c>
      <c r="AF1091" s="17" t="str">
        <f>IF(M6_Puntos_Control!A95="","",IF(M6_Puntos_Control!P95="","",M6_Puntos_Control!P95))</f>
        <v/>
      </c>
      <c r="AG1091" s="17" t="str">
        <f>IF(M6_Puntos_Control!A95="","",IF(M6_Puntos_Control!Q95="","",M6_Puntos_Control!Q95))</f>
        <v/>
      </c>
      <c r="AH1091" s="17" t="str">
        <f>IF(M6_Puntos_Control!A95="","",IF(M6_Puntos_Control!I95="","",M6_Puntos_Control!I95))</f>
        <v/>
      </c>
      <c r="AI1091" s="17" t="str">
        <f>IF(M6_Puntos_Control!A95="","","M6_Puntos_Control!95")</f>
        <v/>
      </c>
      <c r="AJ1091" s="17" t="str">
        <f>IF(M6_Puntos_Control!A95="","",IF(M6_Puntos_Control!K95&lt;&gt;"Sí","Punto de comparación",IF(COUNTIFS(M6_Puntos_Control!$A$9:A95,M6_Puntos_Control!A95,M6_Puntos_Control!$D$9:D95,M6_Puntos_Control!D95,M6_Puntos_Control!$G$9:G95,M6_Puntos_Control!G95,M6_Puntos_Control!$H$9:H95,M6_Puntos_Control!H95,M6_Puntos_Control!$K$9:K95,"Sí")=1,IF(M6_Puntos_Control!M95="","Pendiente de resultado","Punto oficial"),"Revisar: varios puntos oficiales")))</f>
        <v/>
      </c>
    </row>
    <row r="1092" spans="1:36" ht="55.5" customHeight="1">
      <c r="A1092" s="6" t="str">
        <f t="array" ref="A1092">IF(1088&gt;$S$1204,"",INDEX($T$5:$AJ$1204,MATCH(1088,$S$5:$S$1204,0),1))</f>
        <v/>
      </c>
      <c r="B1092" s="8" t="str">
        <f t="array" ref="B1092">IF(1088&gt;$S$1204,"",INDEX($T$5:$AJ$1204,MATCH(1088,$S$5:$S$1204,0),2))</f>
        <v/>
      </c>
      <c r="C1092" s="10" t="str">
        <f t="array" ref="C1092">IF(1088&gt;$S$1204,"",INDEX($T$5:$AJ$1204,MATCH(1088,$S$5:$S$1204,0),3))</f>
        <v/>
      </c>
      <c r="D1092" s="8" t="str">
        <f t="array" ref="D1092">IF(1088&gt;$S$1204,"",INDEX($T$5:$AJ$1204,MATCH(1088,$S$5:$S$1204,0),4))</f>
        <v/>
      </c>
      <c r="E1092" s="8" t="str">
        <f t="array" ref="E1092">IF(1088&gt;$S$1204,"",INDEX($T$5:$AJ$1204,MATCH(1088,$S$5:$S$1204,0),5))</f>
        <v/>
      </c>
      <c r="F1092" s="8" t="str">
        <f t="array" ref="F1092">IF(1088&gt;$S$1204,"",INDEX($T$5:$AJ$1204,MATCH(1088,$S$5:$S$1204,0),6))</f>
        <v/>
      </c>
      <c r="G1092" s="8" t="str">
        <f t="array" ref="G1092">IF(1088&gt;$S$1204,"",INDEX($T$5:$AJ$1204,MATCH(1088,$S$5:$S$1204,0),7))</f>
        <v/>
      </c>
      <c r="H1092" s="8" t="str">
        <f t="array" ref="H1092">IF(1088&gt;$S$1204,"",INDEX($T$5:$AJ$1204,MATCH(1088,$S$5:$S$1204,0),8))</f>
        <v/>
      </c>
      <c r="I1092" s="8" t="str">
        <f t="array" ref="I1092">IF(1088&gt;$S$1204,"",INDEX($T$5:$AJ$1204,MATCH(1088,$S$5:$S$1204,0),9))</f>
        <v/>
      </c>
      <c r="J1092" s="14" t="str">
        <f t="array" ref="J1092">IF(1088&gt;$S$1204,"",INDEX($T$5:$AJ$1204,MATCH(1088,$S$5:$S$1204,0),10))</f>
        <v/>
      </c>
      <c r="K1092" s="8" t="str">
        <f t="array" ref="K1092">IF(1088&gt;$S$1204,"",INDEX($T$5:$AJ$1204,MATCH(1088,$S$5:$S$1204,0),11))</f>
        <v/>
      </c>
      <c r="L1092" s="8" t="str">
        <f t="array" ref="L1092">IF(1088&gt;$S$1204,"",INDEX($T$5:$AJ$1204,MATCH(1088,$S$5:$S$1204,0),12))</f>
        <v/>
      </c>
      <c r="M1092" s="8" t="str">
        <f t="array" ref="M1092">IF(1088&gt;$S$1204,"",INDEX($T$5:$AJ$1204,MATCH(1088,$S$5:$S$1204,0),13))</f>
        <v/>
      </c>
      <c r="N1092" s="8" t="str">
        <f t="array" ref="N1092">IF(1088&gt;$S$1204,"",INDEX($T$5:$AJ$1204,MATCH(1088,$S$5:$S$1204,0),14))</f>
        <v/>
      </c>
      <c r="O1092" s="15" t="str">
        <f t="array" ref="O1092">IF(1088&gt;$S$1204,"",INDEX($T$5:$AJ$1204,MATCH(1088,$S$5:$S$1204,0),15))</f>
        <v/>
      </c>
      <c r="P1092" s="8" t="str">
        <f t="array" ref="P1092">IF(1088&gt;$S$1204,"",INDEX($T$5:$AJ$1204,MATCH(1088,$S$5:$S$1204,0),16))</f>
        <v/>
      </c>
      <c r="Q1092" s="8" t="str">
        <f t="array" ref="Q1092">IF(1088&gt;$S$1204,"",INDEX($T$5:$AJ$1204,MATCH(1088,$S$5:$S$1204,0),17))</f>
        <v/>
      </c>
      <c r="R1092" s="17"/>
      <c r="S1092" s="17">
        <f>S1091+IF(M6_Puntos_Control!A96="",0,1)</f>
        <v>0</v>
      </c>
      <c r="T1092" s="17" t="str">
        <f>IF(M6_Puntos_Control!A96="","",IF(M6_Puntos_Control!A96="","",M6_Puntos_Control!A96))</f>
        <v/>
      </c>
      <c r="U1092" s="17" t="str">
        <f>IF(M6_Puntos_Control!A96="","",IF(M6_Puntos_Control!R96="","",M6_Puntos_Control!R96))</f>
        <v/>
      </c>
      <c r="V1092" s="17" t="str">
        <f>IF(M6_Puntos_Control!A96="","",IF(M6_Puntos_Control!D96="","",M6_Puntos_Control!D96))</f>
        <v/>
      </c>
      <c r="W1092" s="17" t="str">
        <f>IF(M6_Puntos_Control!A96="","",IF(M6_Puntos_Control!B96="","",M6_Puntos_Control!B96))</f>
        <v/>
      </c>
      <c r="X1092" s="17" t="str">
        <f>IF(M6_Puntos_Control!A96="","",IF(M6_Puntos_Control!C96="","",M6_Puntos_Control!C96))</f>
        <v/>
      </c>
      <c r="Y1092" s="17" t="str">
        <f>IF(M6_Puntos_Control!A96="","",IF(M6_Puntos_Control!E96="","",M6_Puntos_Control!E96))</f>
        <v/>
      </c>
      <c r="Z1092" s="17" t="str">
        <f>IF(M6_Puntos_Control!A96="","",IF(M6_Puntos_Control!F96="","",M6_Puntos_Control!F96))</f>
        <v/>
      </c>
      <c r="AA1092" s="17" t="str">
        <f>IF(M6_Puntos_Control!A96="","","M6 Puntos de control")</f>
        <v/>
      </c>
      <c r="AB1092" s="17" t="str">
        <f>IF(M6_Puntos_Control!A96="","",IF(M6_Puntos_Control!G96="","",M6_Puntos_Control!G96))</f>
        <v/>
      </c>
      <c r="AC1092" s="17" t="str">
        <f>IF(M6_Puntos_Control!A96="","",IF(M6_Puntos_Control!K96="Sí",IF(COUNTIFS(M6_Puntos_Control!$A$9:A96,M6_Puntos_Control!A96,M6_Puntos_Control!$D$9:D96,M6_Puntos_Control!D96,M6_Puntos_Control!$G$9:G96,M6_Puntos_Control!G96,M6_Puntos_Control!$H$9:H96,M6_Puntos_Control!H96,M6_Puntos_Control!$K$9:K96,"Sí")=1,IF(M6_Puntos_Control!M96="","",M6_Puntos_Control!M96),""),""))</f>
        <v/>
      </c>
      <c r="AD1092" s="17" t="str">
        <f>IF(M6_Puntos_Control!A96="","","RD")</f>
        <v/>
      </c>
      <c r="AE1092" s="17" t="str">
        <f>IF(M6_Puntos_Control!A96="","",IF(M6_Puntos_Control!O96="","",M6_Puntos_Control!O96))</f>
        <v/>
      </c>
      <c r="AF1092" s="17" t="str">
        <f>IF(M6_Puntos_Control!A96="","",IF(M6_Puntos_Control!P96="","",M6_Puntos_Control!P96))</f>
        <v/>
      </c>
      <c r="AG1092" s="17" t="str">
        <f>IF(M6_Puntos_Control!A96="","",IF(M6_Puntos_Control!Q96="","",M6_Puntos_Control!Q96))</f>
        <v/>
      </c>
      <c r="AH1092" s="17" t="str">
        <f>IF(M6_Puntos_Control!A96="","",IF(M6_Puntos_Control!I96="","",M6_Puntos_Control!I96))</f>
        <v/>
      </c>
      <c r="AI1092" s="17" t="str">
        <f>IF(M6_Puntos_Control!A96="","","M6_Puntos_Control!96")</f>
        <v/>
      </c>
      <c r="AJ1092" s="17" t="str">
        <f>IF(M6_Puntos_Control!A96="","",IF(M6_Puntos_Control!K96&lt;&gt;"Sí","Punto de comparación",IF(COUNTIFS(M6_Puntos_Control!$A$9:A96,M6_Puntos_Control!A96,M6_Puntos_Control!$D$9:D96,M6_Puntos_Control!D96,M6_Puntos_Control!$G$9:G96,M6_Puntos_Control!G96,M6_Puntos_Control!$H$9:H96,M6_Puntos_Control!H96,M6_Puntos_Control!$K$9:K96,"Sí")=1,IF(M6_Puntos_Control!M96="","Pendiente de resultado","Punto oficial"),"Revisar: varios puntos oficiales")))</f>
        <v/>
      </c>
    </row>
    <row r="1093" spans="1:36" ht="55.5" customHeight="1">
      <c r="A1093" s="6" t="str">
        <f t="array" ref="A1093">IF(1089&gt;$S$1204,"",INDEX($T$5:$AJ$1204,MATCH(1089,$S$5:$S$1204,0),1))</f>
        <v/>
      </c>
      <c r="B1093" s="8" t="str">
        <f t="array" ref="B1093">IF(1089&gt;$S$1204,"",INDEX($T$5:$AJ$1204,MATCH(1089,$S$5:$S$1204,0),2))</f>
        <v/>
      </c>
      <c r="C1093" s="10" t="str">
        <f t="array" ref="C1093">IF(1089&gt;$S$1204,"",INDEX($T$5:$AJ$1204,MATCH(1089,$S$5:$S$1204,0),3))</f>
        <v/>
      </c>
      <c r="D1093" s="8" t="str">
        <f t="array" ref="D1093">IF(1089&gt;$S$1204,"",INDEX($T$5:$AJ$1204,MATCH(1089,$S$5:$S$1204,0),4))</f>
        <v/>
      </c>
      <c r="E1093" s="8" t="str">
        <f t="array" ref="E1093">IF(1089&gt;$S$1204,"",INDEX($T$5:$AJ$1204,MATCH(1089,$S$5:$S$1204,0),5))</f>
        <v/>
      </c>
      <c r="F1093" s="8" t="str">
        <f t="array" ref="F1093">IF(1089&gt;$S$1204,"",INDEX($T$5:$AJ$1204,MATCH(1089,$S$5:$S$1204,0),6))</f>
        <v/>
      </c>
      <c r="G1093" s="8" t="str">
        <f t="array" ref="G1093">IF(1089&gt;$S$1204,"",INDEX($T$5:$AJ$1204,MATCH(1089,$S$5:$S$1204,0),7))</f>
        <v/>
      </c>
      <c r="H1093" s="8" t="str">
        <f t="array" ref="H1093">IF(1089&gt;$S$1204,"",INDEX($T$5:$AJ$1204,MATCH(1089,$S$5:$S$1204,0),8))</f>
        <v/>
      </c>
      <c r="I1093" s="8" t="str">
        <f t="array" ref="I1093">IF(1089&gt;$S$1204,"",INDEX($T$5:$AJ$1204,MATCH(1089,$S$5:$S$1204,0),9))</f>
        <v/>
      </c>
      <c r="J1093" s="14" t="str">
        <f t="array" ref="J1093">IF(1089&gt;$S$1204,"",INDEX($T$5:$AJ$1204,MATCH(1089,$S$5:$S$1204,0),10))</f>
        <v/>
      </c>
      <c r="K1093" s="8" t="str">
        <f t="array" ref="K1093">IF(1089&gt;$S$1204,"",INDEX($T$5:$AJ$1204,MATCH(1089,$S$5:$S$1204,0),11))</f>
        <v/>
      </c>
      <c r="L1093" s="8" t="str">
        <f t="array" ref="L1093">IF(1089&gt;$S$1204,"",INDEX($T$5:$AJ$1204,MATCH(1089,$S$5:$S$1204,0),12))</f>
        <v/>
      </c>
      <c r="M1093" s="8" t="str">
        <f t="array" ref="M1093">IF(1089&gt;$S$1204,"",INDEX($T$5:$AJ$1204,MATCH(1089,$S$5:$S$1204,0),13))</f>
        <v/>
      </c>
      <c r="N1093" s="8" t="str">
        <f t="array" ref="N1093">IF(1089&gt;$S$1204,"",INDEX($T$5:$AJ$1204,MATCH(1089,$S$5:$S$1204,0),14))</f>
        <v/>
      </c>
      <c r="O1093" s="15" t="str">
        <f t="array" ref="O1093">IF(1089&gt;$S$1204,"",INDEX($T$5:$AJ$1204,MATCH(1089,$S$5:$S$1204,0),15))</f>
        <v/>
      </c>
      <c r="P1093" s="8" t="str">
        <f t="array" ref="P1093">IF(1089&gt;$S$1204,"",INDEX($T$5:$AJ$1204,MATCH(1089,$S$5:$S$1204,0),16))</f>
        <v/>
      </c>
      <c r="Q1093" s="8" t="str">
        <f t="array" ref="Q1093">IF(1089&gt;$S$1204,"",INDEX($T$5:$AJ$1204,MATCH(1089,$S$5:$S$1204,0),17))</f>
        <v/>
      </c>
      <c r="R1093" s="17"/>
      <c r="S1093" s="17">
        <f>S1092+IF(M6_Puntos_Control!A97="",0,1)</f>
        <v>0</v>
      </c>
      <c r="T1093" s="17" t="str">
        <f>IF(M6_Puntos_Control!A97="","",IF(M6_Puntos_Control!A97="","",M6_Puntos_Control!A97))</f>
        <v/>
      </c>
      <c r="U1093" s="17" t="str">
        <f>IF(M6_Puntos_Control!A97="","",IF(M6_Puntos_Control!R97="","",M6_Puntos_Control!R97))</f>
        <v/>
      </c>
      <c r="V1093" s="17" t="str">
        <f>IF(M6_Puntos_Control!A97="","",IF(M6_Puntos_Control!D97="","",M6_Puntos_Control!D97))</f>
        <v/>
      </c>
      <c r="W1093" s="17" t="str">
        <f>IF(M6_Puntos_Control!A97="","",IF(M6_Puntos_Control!B97="","",M6_Puntos_Control!B97))</f>
        <v/>
      </c>
      <c r="X1093" s="17" t="str">
        <f>IF(M6_Puntos_Control!A97="","",IF(M6_Puntos_Control!C97="","",M6_Puntos_Control!C97))</f>
        <v/>
      </c>
      <c r="Y1093" s="17" t="str">
        <f>IF(M6_Puntos_Control!A97="","",IF(M6_Puntos_Control!E97="","",M6_Puntos_Control!E97))</f>
        <v/>
      </c>
      <c r="Z1093" s="17" t="str">
        <f>IF(M6_Puntos_Control!A97="","",IF(M6_Puntos_Control!F97="","",M6_Puntos_Control!F97))</f>
        <v/>
      </c>
      <c r="AA1093" s="17" t="str">
        <f>IF(M6_Puntos_Control!A97="","","M6 Puntos de control")</f>
        <v/>
      </c>
      <c r="AB1093" s="17" t="str">
        <f>IF(M6_Puntos_Control!A97="","",IF(M6_Puntos_Control!G97="","",M6_Puntos_Control!G97))</f>
        <v/>
      </c>
      <c r="AC1093" s="17" t="str">
        <f>IF(M6_Puntos_Control!A97="","",IF(M6_Puntos_Control!K97="Sí",IF(COUNTIFS(M6_Puntos_Control!$A$9:A97,M6_Puntos_Control!A97,M6_Puntos_Control!$D$9:D97,M6_Puntos_Control!D97,M6_Puntos_Control!$G$9:G97,M6_Puntos_Control!G97,M6_Puntos_Control!$H$9:H97,M6_Puntos_Control!H97,M6_Puntos_Control!$K$9:K97,"Sí")=1,IF(M6_Puntos_Control!M97="","",M6_Puntos_Control!M97),""),""))</f>
        <v/>
      </c>
      <c r="AD1093" s="17" t="str">
        <f>IF(M6_Puntos_Control!A97="","","RD")</f>
        <v/>
      </c>
      <c r="AE1093" s="17" t="str">
        <f>IF(M6_Puntos_Control!A97="","",IF(M6_Puntos_Control!O97="","",M6_Puntos_Control!O97))</f>
        <v/>
      </c>
      <c r="AF1093" s="17" t="str">
        <f>IF(M6_Puntos_Control!A97="","",IF(M6_Puntos_Control!P97="","",M6_Puntos_Control!P97))</f>
        <v/>
      </c>
      <c r="AG1093" s="17" t="str">
        <f>IF(M6_Puntos_Control!A97="","",IF(M6_Puntos_Control!Q97="","",M6_Puntos_Control!Q97))</f>
        <v/>
      </c>
      <c r="AH1093" s="17" t="str">
        <f>IF(M6_Puntos_Control!A97="","",IF(M6_Puntos_Control!I97="","",M6_Puntos_Control!I97))</f>
        <v/>
      </c>
      <c r="AI1093" s="17" t="str">
        <f>IF(M6_Puntos_Control!A97="","","M6_Puntos_Control!97")</f>
        <v/>
      </c>
      <c r="AJ1093" s="17" t="str">
        <f>IF(M6_Puntos_Control!A97="","",IF(M6_Puntos_Control!K97&lt;&gt;"Sí","Punto de comparación",IF(COUNTIFS(M6_Puntos_Control!$A$9:A97,M6_Puntos_Control!A97,M6_Puntos_Control!$D$9:D97,M6_Puntos_Control!D97,M6_Puntos_Control!$G$9:G97,M6_Puntos_Control!G97,M6_Puntos_Control!$H$9:H97,M6_Puntos_Control!H97,M6_Puntos_Control!$K$9:K97,"Sí")=1,IF(M6_Puntos_Control!M97="","Pendiente de resultado","Punto oficial"),"Revisar: varios puntos oficiales")))</f>
        <v/>
      </c>
    </row>
    <row r="1094" spans="1:36" ht="55.5" customHeight="1">
      <c r="A1094" s="6" t="str">
        <f t="array" ref="A1094">IF(1090&gt;$S$1204,"",INDEX($T$5:$AJ$1204,MATCH(1090,$S$5:$S$1204,0),1))</f>
        <v/>
      </c>
      <c r="B1094" s="8" t="str">
        <f t="array" ref="B1094">IF(1090&gt;$S$1204,"",INDEX($T$5:$AJ$1204,MATCH(1090,$S$5:$S$1204,0),2))</f>
        <v/>
      </c>
      <c r="C1094" s="10" t="str">
        <f t="array" ref="C1094">IF(1090&gt;$S$1204,"",INDEX($T$5:$AJ$1204,MATCH(1090,$S$5:$S$1204,0),3))</f>
        <v/>
      </c>
      <c r="D1094" s="8" t="str">
        <f t="array" ref="D1094">IF(1090&gt;$S$1204,"",INDEX($T$5:$AJ$1204,MATCH(1090,$S$5:$S$1204,0),4))</f>
        <v/>
      </c>
      <c r="E1094" s="8" t="str">
        <f t="array" ref="E1094">IF(1090&gt;$S$1204,"",INDEX($T$5:$AJ$1204,MATCH(1090,$S$5:$S$1204,0),5))</f>
        <v/>
      </c>
      <c r="F1094" s="8" t="str">
        <f t="array" ref="F1094">IF(1090&gt;$S$1204,"",INDEX($T$5:$AJ$1204,MATCH(1090,$S$5:$S$1204,0),6))</f>
        <v/>
      </c>
      <c r="G1094" s="8" t="str">
        <f t="array" ref="G1094">IF(1090&gt;$S$1204,"",INDEX($T$5:$AJ$1204,MATCH(1090,$S$5:$S$1204,0),7))</f>
        <v/>
      </c>
      <c r="H1094" s="8" t="str">
        <f t="array" ref="H1094">IF(1090&gt;$S$1204,"",INDEX($T$5:$AJ$1204,MATCH(1090,$S$5:$S$1204,0),8))</f>
        <v/>
      </c>
      <c r="I1094" s="8" t="str">
        <f t="array" ref="I1094">IF(1090&gt;$S$1204,"",INDEX($T$5:$AJ$1204,MATCH(1090,$S$5:$S$1204,0),9))</f>
        <v/>
      </c>
      <c r="J1094" s="14" t="str">
        <f t="array" ref="J1094">IF(1090&gt;$S$1204,"",INDEX($T$5:$AJ$1204,MATCH(1090,$S$5:$S$1204,0),10))</f>
        <v/>
      </c>
      <c r="K1094" s="8" t="str">
        <f t="array" ref="K1094">IF(1090&gt;$S$1204,"",INDEX($T$5:$AJ$1204,MATCH(1090,$S$5:$S$1204,0),11))</f>
        <v/>
      </c>
      <c r="L1094" s="8" t="str">
        <f t="array" ref="L1094">IF(1090&gt;$S$1204,"",INDEX($T$5:$AJ$1204,MATCH(1090,$S$5:$S$1204,0),12))</f>
        <v/>
      </c>
      <c r="M1094" s="8" t="str">
        <f t="array" ref="M1094">IF(1090&gt;$S$1204,"",INDEX($T$5:$AJ$1204,MATCH(1090,$S$5:$S$1204,0),13))</f>
        <v/>
      </c>
      <c r="N1094" s="8" t="str">
        <f t="array" ref="N1094">IF(1090&gt;$S$1204,"",INDEX($T$5:$AJ$1204,MATCH(1090,$S$5:$S$1204,0),14))</f>
        <v/>
      </c>
      <c r="O1094" s="15" t="str">
        <f t="array" ref="O1094">IF(1090&gt;$S$1204,"",INDEX($T$5:$AJ$1204,MATCH(1090,$S$5:$S$1204,0),15))</f>
        <v/>
      </c>
      <c r="P1094" s="8" t="str">
        <f t="array" ref="P1094">IF(1090&gt;$S$1204,"",INDEX($T$5:$AJ$1204,MATCH(1090,$S$5:$S$1204,0),16))</f>
        <v/>
      </c>
      <c r="Q1094" s="8" t="str">
        <f t="array" ref="Q1094">IF(1090&gt;$S$1204,"",INDEX($T$5:$AJ$1204,MATCH(1090,$S$5:$S$1204,0),17))</f>
        <v/>
      </c>
      <c r="R1094" s="17"/>
      <c r="S1094" s="17">
        <f>S1093+IF(M6_Puntos_Control!A98="",0,1)</f>
        <v>0</v>
      </c>
      <c r="T1094" s="17" t="str">
        <f>IF(M6_Puntos_Control!A98="","",IF(M6_Puntos_Control!A98="","",M6_Puntos_Control!A98))</f>
        <v/>
      </c>
      <c r="U1094" s="17" t="str">
        <f>IF(M6_Puntos_Control!A98="","",IF(M6_Puntos_Control!R98="","",M6_Puntos_Control!R98))</f>
        <v/>
      </c>
      <c r="V1094" s="17" t="str">
        <f>IF(M6_Puntos_Control!A98="","",IF(M6_Puntos_Control!D98="","",M6_Puntos_Control!D98))</f>
        <v/>
      </c>
      <c r="W1094" s="17" t="str">
        <f>IF(M6_Puntos_Control!A98="","",IF(M6_Puntos_Control!B98="","",M6_Puntos_Control!B98))</f>
        <v/>
      </c>
      <c r="X1094" s="17" t="str">
        <f>IF(M6_Puntos_Control!A98="","",IF(M6_Puntos_Control!C98="","",M6_Puntos_Control!C98))</f>
        <v/>
      </c>
      <c r="Y1094" s="17" t="str">
        <f>IF(M6_Puntos_Control!A98="","",IF(M6_Puntos_Control!E98="","",M6_Puntos_Control!E98))</f>
        <v/>
      </c>
      <c r="Z1094" s="17" t="str">
        <f>IF(M6_Puntos_Control!A98="","",IF(M6_Puntos_Control!F98="","",M6_Puntos_Control!F98))</f>
        <v/>
      </c>
      <c r="AA1094" s="17" t="str">
        <f>IF(M6_Puntos_Control!A98="","","M6 Puntos de control")</f>
        <v/>
      </c>
      <c r="AB1094" s="17" t="str">
        <f>IF(M6_Puntos_Control!A98="","",IF(M6_Puntos_Control!G98="","",M6_Puntos_Control!G98))</f>
        <v/>
      </c>
      <c r="AC1094" s="17" t="str">
        <f>IF(M6_Puntos_Control!A98="","",IF(M6_Puntos_Control!K98="Sí",IF(COUNTIFS(M6_Puntos_Control!$A$9:A98,M6_Puntos_Control!A98,M6_Puntos_Control!$D$9:D98,M6_Puntos_Control!D98,M6_Puntos_Control!$G$9:G98,M6_Puntos_Control!G98,M6_Puntos_Control!$H$9:H98,M6_Puntos_Control!H98,M6_Puntos_Control!$K$9:K98,"Sí")=1,IF(M6_Puntos_Control!M98="","",M6_Puntos_Control!M98),""),""))</f>
        <v/>
      </c>
      <c r="AD1094" s="17" t="str">
        <f>IF(M6_Puntos_Control!A98="","","RD")</f>
        <v/>
      </c>
      <c r="AE1094" s="17" t="str">
        <f>IF(M6_Puntos_Control!A98="","",IF(M6_Puntos_Control!O98="","",M6_Puntos_Control!O98))</f>
        <v/>
      </c>
      <c r="AF1094" s="17" t="str">
        <f>IF(M6_Puntos_Control!A98="","",IF(M6_Puntos_Control!P98="","",M6_Puntos_Control!P98))</f>
        <v/>
      </c>
      <c r="AG1094" s="17" t="str">
        <f>IF(M6_Puntos_Control!A98="","",IF(M6_Puntos_Control!Q98="","",M6_Puntos_Control!Q98))</f>
        <v/>
      </c>
      <c r="AH1094" s="17" t="str">
        <f>IF(M6_Puntos_Control!A98="","",IF(M6_Puntos_Control!I98="","",M6_Puntos_Control!I98))</f>
        <v/>
      </c>
      <c r="AI1094" s="17" t="str">
        <f>IF(M6_Puntos_Control!A98="","","M6_Puntos_Control!98")</f>
        <v/>
      </c>
      <c r="AJ1094" s="17" t="str">
        <f>IF(M6_Puntos_Control!A98="","",IF(M6_Puntos_Control!K98&lt;&gt;"Sí","Punto de comparación",IF(COUNTIFS(M6_Puntos_Control!$A$9:A98,M6_Puntos_Control!A98,M6_Puntos_Control!$D$9:D98,M6_Puntos_Control!D98,M6_Puntos_Control!$G$9:G98,M6_Puntos_Control!G98,M6_Puntos_Control!$H$9:H98,M6_Puntos_Control!H98,M6_Puntos_Control!$K$9:K98,"Sí")=1,IF(M6_Puntos_Control!M98="","Pendiente de resultado","Punto oficial"),"Revisar: varios puntos oficiales")))</f>
        <v/>
      </c>
    </row>
    <row r="1095" spans="1:36" ht="55.5" customHeight="1">
      <c r="A1095" s="6" t="str">
        <f t="array" ref="A1095">IF(1091&gt;$S$1204,"",INDEX($T$5:$AJ$1204,MATCH(1091,$S$5:$S$1204,0),1))</f>
        <v/>
      </c>
      <c r="B1095" s="8" t="str">
        <f t="array" ref="B1095">IF(1091&gt;$S$1204,"",INDEX($T$5:$AJ$1204,MATCH(1091,$S$5:$S$1204,0),2))</f>
        <v/>
      </c>
      <c r="C1095" s="10" t="str">
        <f t="array" ref="C1095">IF(1091&gt;$S$1204,"",INDEX($T$5:$AJ$1204,MATCH(1091,$S$5:$S$1204,0),3))</f>
        <v/>
      </c>
      <c r="D1095" s="8" t="str">
        <f t="array" ref="D1095">IF(1091&gt;$S$1204,"",INDEX($T$5:$AJ$1204,MATCH(1091,$S$5:$S$1204,0),4))</f>
        <v/>
      </c>
      <c r="E1095" s="8" t="str">
        <f t="array" ref="E1095">IF(1091&gt;$S$1204,"",INDEX($T$5:$AJ$1204,MATCH(1091,$S$5:$S$1204,0),5))</f>
        <v/>
      </c>
      <c r="F1095" s="8" t="str">
        <f t="array" ref="F1095">IF(1091&gt;$S$1204,"",INDEX($T$5:$AJ$1204,MATCH(1091,$S$5:$S$1204,0),6))</f>
        <v/>
      </c>
      <c r="G1095" s="8" t="str">
        <f t="array" ref="G1095">IF(1091&gt;$S$1204,"",INDEX($T$5:$AJ$1204,MATCH(1091,$S$5:$S$1204,0),7))</f>
        <v/>
      </c>
      <c r="H1095" s="8" t="str">
        <f t="array" ref="H1095">IF(1091&gt;$S$1204,"",INDEX($T$5:$AJ$1204,MATCH(1091,$S$5:$S$1204,0),8))</f>
        <v/>
      </c>
      <c r="I1095" s="8" t="str">
        <f t="array" ref="I1095">IF(1091&gt;$S$1204,"",INDEX($T$5:$AJ$1204,MATCH(1091,$S$5:$S$1204,0),9))</f>
        <v/>
      </c>
      <c r="J1095" s="14" t="str">
        <f t="array" ref="J1095">IF(1091&gt;$S$1204,"",INDEX($T$5:$AJ$1204,MATCH(1091,$S$5:$S$1204,0),10))</f>
        <v/>
      </c>
      <c r="K1095" s="8" t="str">
        <f t="array" ref="K1095">IF(1091&gt;$S$1204,"",INDEX($T$5:$AJ$1204,MATCH(1091,$S$5:$S$1204,0),11))</f>
        <v/>
      </c>
      <c r="L1095" s="8" t="str">
        <f t="array" ref="L1095">IF(1091&gt;$S$1204,"",INDEX($T$5:$AJ$1204,MATCH(1091,$S$5:$S$1204,0),12))</f>
        <v/>
      </c>
      <c r="M1095" s="8" t="str">
        <f t="array" ref="M1095">IF(1091&gt;$S$1204,"",INDEX($T$5:$AJ$1204,MATCH(1091,$S$5:$S$1204,0),13))</f>
        <v/>
      </c>
      <c r="N1095" s="8" t="str">
        <f t="array" ref="N1095">IF(1091&gt;$S$1204,"",INDEX($T$5:$AJ$1204,MATCH(1091,$S$5:$S$1204,0),14))</f>
        <v/>
      </c>
      <c r="O1095" s="15" t="str">
        <f t="array" ref="O1095">IF(1091&gt;$S$1204,"",INDEX($T$5:$AJ$1204,MATCH(1091,$S$5:$S$1204,0),15))</f>
        <v/>
      </c>
      <c r="P1095" s="8" t="str">
        <f t="array" ref="P1095">IF(1091&gt;$S$1204,"",INDEX($T$5:$AJ$1204,MATCH(1091,$S$5:$S$1204,0),16))</f>
        <v/>
      </c>
      <c r="Q1095" s="8" t="str">
        <f t="array" ref="Q1095">IF(1091&gt;$S$1204,"",INDEX($T$5:$AJ$1204,MATCH(1091,$S$5:$S$1204,0),17))</f>
        <v/>
      </c>
      <c r="R1095" s="17"/>
      <c r="S1095" s="17">
        <f>S1094+IF(M6_Puntos_Control!A99="",0,1)</f>
        <v>0</v>
      </c>
      <c r="T1095" s="17" t="str">
        <f>IF(M6_Puntos_Control!A99="","",IF(M6_Puntos_Control!A99="","",M6_Puntos_Control!A99))</f>
        <v/>
      </c>
      <c r="U1095" s="17" t="str">
        <f>IF(M6_Puntos_Control!A99="","",IF(M6_Puntos_Control!R99="","",M6_Puntos_Control!R99))</f>
        <v/>
      </c>
      <c r="V1095" s="17" t="str">
        <f>IF(M6_Puntos_Control!A99="","",IF(M6_Puntos_Control!D99="","",M6_Puntos_Control!D99))</f>
        <v/>
      </c>
      <c r="W1095" s="17" t="str">
        <f>IF(M6_Puntos_Control!A99="","",IF(M6_Puntos_Control!B99="","",M6_Puntos_Control!B99))</f>
        <v/>
      </c>
      <c r="X1095" s="17" t="str">
        <f>IF(M6_Puntos_Control!A99="","",IF(M6_Puntos_Control!C99="","",M6_Puntos_Control!C99))</f>
        <v/>
      </c>
      <c r="Y1095" s="17" t="str">
        <f>IF(M6_Puntos_Control!A99="","",IF(M6_Puntos_Control!E99="","",M6_Puntos_Control!E99))</f>
        <v/>
      </c>
      <c r="Z1095" s="17" t="str">
        <f>IF(M6_Puntos_Control!A99="","",IF(M6_Puntos_Control!F99="","",M6_Puntos_Control!F99))</f>
        <v/>
      </c>
      <c r="AA1095" s="17" t="str">
        <f>IF(M6_Puntos_Control!A99="","","M6 Puntos de control")</f>
        <v/>
      </c>
      <c r="AB1095" s="17" t="str">
        <f>IF(M6_Puntos_Control!A99="","",IF(M6_Puntos_Control!G99="","",M6_Puntos_Control!G99))</f>
        <v/>
      </c>
      <c r="AC1095" s="17" t="str">
        <f>IF(M6_Puntos_Control!A99="","",IF(M6_Puntos_Control!K99="Sí",IF(COUNTIFS(M6_Puntos_Control!$A$9:A99,M6_Puntos_Control!A99,M6_Puntos_Control!$D$9:D99,M6_Puntos_Control!D99,M6_Puntos_Control!$G$9:G99,M6_Puntos_Control!G99,M6_Puntos_Control!$H$9:H99,M6_Puntos_Control!H99,M6_Puntos_Control!$K$9:K99,"Sí")=1,IF(M6_Puntos_Control!M99="","",M6_Puntos_Control!M99),""),""))</f>
        <v/>
      </c>
      <c r="AD1095" s="17" t="str">
        <f>IF(M6_Puntos_Control!A99="","","RD")</f>
        <v/>
      </c>
      <c r="AE1095" s="17" t="str">
        <f>IF(M6_Puntos_Control!A99="","",IF(M6_Puntos_Control!O99="","",M6_Puntos_Control!O99))</f>
        <v/>
      </c>
      <c r="AF1095" s="17" t="str">
        <f>IF(M6_Puntos_Control!A99="","",IF(M6_Puntos_Control!P99="","",M6_Puntos_Control!P99))</f>
        <v/>
      </c>
      <c r="AG1095" s="17" t="str">
        <f>IF(M6_Puntos_Control!A99="","",IF(M6_Puntos_Control!Q99="","",M6_Puntos_Control!Q99))</f>
        <v/>
      </c>
      <c r="AH1095" s="17" t="str">
        <f>IF(M6_Puntos_Control!A99="","",IF(M6_Puntos_Control!I99="","",M6_Puntos_Control!I99))</f>
        <v/>
      </c>
      <c r="AI1095" s="17" t="str">
        <f>IF(M6_Puntos_Control!A99="","","M6_Puntos_Control!99")</f>
        <v/>
      </c>
      <c r="AJ1095" s="17" t="str">
        <f>IF(M6_Puntos_Control!A99="","",IF(M6_Puntos_Control!K99&lt;&gt;"Sí","Punto de comparación",IF(COUNTIFS(M6_Puntos_Control!$A$9:A99,M6_Puntos_Control!A99,M6_Puntos_Control!$D$9:D99,M6_Puntos_Control!D99,M6_Puntos_Control!$G$9:G99,M6_Puntos_Control!G99,M6_Puntos_Control!$H$9:H99,M6_Puntos_Control!H99,M6_Puntos_Control!$K$9:K99,"Sí")=1,IF(M6_Puntos_Control!M99="","Pendiente de resultado","Punto oficial"),"Revisar: varios puntos oficiales")))</f>
        <v/>
      </c>
    </row>
    <row r="1096" spans="1:36" ht="55.5" customHeight="1">
      <c r="A1096" s="6" t="str">
        <f t="array" ref="A1096">IF(1092&gt;$S$1204,"",INDEX($T$5:$AJ$1204,MATCH(1092,$S$5:$S$1204,0),1))</f>
        <v/>
      </c>
      <c r="B1096" s="8" t="str">
        <f t="array" ref="B1096">IF(1092&gt;$S$1204,"",INDEX($T$5:$AJ$1204,MATCH(1092,$S$5:$S$1204,0),2))</f>
        <v/>
      </c>
      <c r="C1096" s="10" t="str">
        <f t="array" ref="C1096">IF(1092&gt;$S$1204,"",INDEX($T$5:$AJ$1204,MATCH(1092,$S$5:$S$1204,0),3))</f>
        <v/>
      </c>
      <c r="D1096" s="8" t="str">
        <f t="array" ref="D1096">IF(1092&gt;$S$1204,"",INDEX($T$5:$AJ$1204,MATCH(1092,$S$5:$S$1204,0),4))</f>
        <v/>
      </c>
      <c r="E1096" s="8" t="str">
        <f t="array" ref="E1096">IF(1092&gt;$S$1204,"",INDEX($T$5:$AJ$1204,MATCH(1092,$S$5:$S$1204,0),5))</f>
        <v/>
      </c>
      <c r="F1096" s="8" t="str">
        <f t="array" ref="F1096">IF(1092&gt;$S$1204,"",INDEX($T$5:$AJ$1204,MATCH(1092,$S$5:$S$1204,0),6))</f>
        <v/>
      </c>
      <c r="G1096" s="8" t="str">
        <f t="array" ref="G1096">IF(1092&gt;$S$1204,"",INDEX($T$5:$AJ$1204,MATCH(1092,$S$5:$S$1204,0),7))</f>
        <v/>
      </c>
      <c r="H1096" s="8" t="str">
        <f t="array" ref="H1096">IF(1092&gt;$S$1204,"",INDEX($T$5:$AJ$1204,MATCH(1092,$S$5:$S$1204,0),8))</f>
        <v/>
      </c>
      <c r="I1096" s="8" t="str">
        <f t="array" ref="I1096">IF(1092&gt;$S$1204,"",INDEX($T$5:$AJ$1204,MATCH(1092,$S$5:$S$1204,0),9))</f>
        <v/>
      </c>
      <c r="J1096" s="14" t="str">
        <f t="array" ref="J1096">IF(1092&gt;$S$1204,"",INDEX($T$5:$AJ$1204,MATCH(1092,$S$5:$S$1204,0),10))</f>
        <v/>
      </c>
      <c r="K1096" s="8" t="str">
        <f t="array" ref="K1096">IF(1092&gt;$S$1204,"",INDEX($T$5:$AJ$1204,MATCH(1092,$S$5:$S$1204,0),11))</f>
        <v/>
      </c>
      <c r="L1096" s="8" t="str">
        <f t="array" ref="L1096">IF(1092&gt;$S$1204,"",INDEX($T$5:$AJ$1204,MATCH(1092,$S$5:$S$1204,0),12))</f>
        <v/>
      </c>
      <c r="M1096" s="8" t="str">
        <f t="array" ref="M1096">IF(1092&gt;$S$1204,"",INDEX($T$5:$AJ$1204,MATCH(1092,$S$5:$S$1204,0),13))</f>
        <v/>
      </c>
      <c r="N1096" s="8" t="str">
        <f t="array" ref="N1096">IF(1092&gt;$S$1204,"",INDEX($T$5:$AJ$1204,MATCH(1092,$S$5:$S$1204,0),14))</f>
        <v/>
      </c>
      <c r="O1096" s="15" t="str">
        <f t="array" ref="O1096">IF(1092&gt;$S$1204,"",INDEX($T$5:$AJ$1204,MATCH(1092,$S$5:$S$1204,0),15))</f>
        <v/>
      </c>
      <c r="P1096" s="8" t="str">
        <f t="array" ref="P1096">IF(1092&gt;$S$1204,"",INDEX($T$5:$AJ$1204,MATCH(1092,$S$5:$S$1204,0),16))</f>
        <v/>
      </c>
      <c r="Q1096" s="8" t="str">
        <f t="array" ref="Q1096">IF(1092&gt;$S$1204,"",INDEX($T$5:$AJ$1204,MATCH(1092,$S$5:$S$1204,0),17))</f>
        <v/>
      </c>
      <c r="R1096" s="17"/>
      <c r="S1096" s="17">
        <f>S1095+IF(M6_Puntos_Control!A100="",0,1)</f>
        <v>0</v>
      </c>
      <c r="T1096" s="17" t="str">
        <f>IF(M6_Puntos_Control!A100="","",IF(M6_Puntos_Control!A100="","",M6_Puntos_Control!A100))</f>
        <v/>
      </c>
      <c r="U1096" s="17" t="str">
        <f>IF(M6_Puntos_Control!A100="","",IF(M6_Puntos_Control!R100="","",M6_Puntos_Control!R100))</f>
        <v/>
      </c>
      <c r="V1096" s="17" t="str">
        <f>IF(M6_Puntos_Control!A100="","",IF(M6_Puntos_Control!D100="","",M6_Puntos_Control!D100))</f>
        <v/>
      </c>
      <c r="W1096" s="17" t="str">
        <f>IF(M6_Puntos_Control!A100="","",IF(M6_Puntos_Control!B100="","",M6_Puntos_Control!B100))</f>
        <v/>
      </c>
      <c r="X1096" s="17" t="str">
        <f>IF(M6_Puntos_Control!A100="","",IF(M6_Puntos_Control!C100="","",M6_Puntos_Control!C100))</f>
        <v/>
      </c>
      <c r="Y1096" s="17" t="str">
        <f>IF(M6_Puntos_Control!A100="","",IF(M6_Puntos_Control!E100="","",M6_Puntos_Control!E100))</f>
        <v/>
      </c>
      <c r="Z1096" s="17" t="str">
        <f>IF(M6_Puntos_Control!A100="","",IF(M6_Puntos_Control!F100="","",M6_Puntos_Control!F100))</f>
        <v/>
      </c>
      <c r="AA1096" s="17" t="str">
        <f>IF(M6_Puntos_Control!A100="","","M6 Puntos de control")</f>
        <v/>
      </c>
      <c r="AB1096" s="17" t="str">
        <f>IF(M6_Puntos_Control!A100="","",IF(M6_Puntos_Control!G100="","",M6_Puntos_Control!G100))</f>
        <v/>
      </c>
      <c r="AC1096" s="17" t="str">
        <f>IF(M6_Puntos_Control!A100="","",IF(M6_Puntos_Control!K100="Sí",IF(COUNTIFS(M6_Puntos_Control!$A$9:A100,M6_Puntos_Control!A100,M6_Puntos_Control!$D$9:D100,M6_Puntos_Control!D100,M6_Puntos_Control!$G$9:G100,M6_Puntos_Control!G100,M6_Puntos_Control!$H$9:H100,M6_Puntos_Control!H100,M6_Puntos_Control!$K$9:K100,"Sí")=1,IF(M6_Puntos_Control!M100="","",M6_Puntos_Control!M100),""),""))</f>
        <v/>
      </c>
      <c r="AD1096" s="17" t="str">
        <f>IF(M6_Puntos_Control!A100="","","RD")</f>
        <v/>
      </c>
      <c r="AE1096" s="17" t="str">
        <f>IF(M6_Puntos_Control!A100="","",IF(M6_Puntos_Control!O100="","",M6_Puntos_Control!O100))</f>
        <v/>
      </c>
      <c r="AF1096" s="17" t="str">
        <f>IF(M6_Puntos_Control!A100="","",IF(M6_Puntos_Control!P100="","",M6_Puntos_Control!P100))</f>
        <v/>
      </c>
      <c r="AG1096" s="17" t="str">
        <f>IF(M6_Puntos_Control!A100="","",IF(M6_Puntos_Control!Q100="","",M6_Puntos_Control!Q100))</f>
        <v/>
      </c>
      <c r="AH1096" s="17" t="str">
        <f>IF(M6_Puntos_Control!A100="","",IF(M6_Puntos_Control!I100="","",M6_Puntos_Control!I100))</f>
        <v/>
      </c>
      <c r="AI1096" s="17" t="str">
        <f>IF(M6_Puntos_Control!A100="","","M6_Puntos_Control!100")</f>
        <v/>
      </c>
      <c r="AJ1096" s="17" t="str">
        <f>IF(M6_Puntos_Control!A100="","",IF(M6_Puntos_Control!K100&lt;&gt;"Sí","Punto de comparación",IF(COUNTIFS(M6_Puntos_Control!$A$9:A100,M6_Puntos_Control!A100,M6_Puntos_Control!$D$9:D100,M6_Puntos_Control!D100,M6_Puntos_Control!$G$9:G100,M6_Puntos_Control!G100,M6_Puntos_Control!$H$9:H100,M6_Puntos_Control!H100,M6_Puntos_Control!$K$9:K100,"Sí")=1,IF(M6_Puntos_Control!M100="","Pendiente de resultado","Punto oficial"),"Revisar: varios puntos oficiales")))</f>
        <v/>
      </c>
    </row>
    <row r="1097" spans="1:36" ht="55.5" customHeight="1">
      <c r="A1097" s="6" t="str">
        <f t="array" ref="A1097">IF(1093&gt;$S$1204,"",INDEX($T$5:$AJ$1204,MATCH(1093,$S$5:$S$1204,0),1))</f>
        <v/>
      </c>
      <c r="B1097" s="8" t="str">
        <f t="array" ref="B1097">IF(1093&gt;$S$1204,"",INDEX($T$5:$AJ$1204,MATCH(1093,$S$5:$S$1204,0),2))</f>
        <v/>
      </c>
      <c r="C1097" s="10" t="str">
        <f t="array" ref="C1097">IF(1093&gt;$S$1204,"",INDEX($T$5:$AJ$1204,MATCH(1093,$S$5:$S$1204,0),3))</f>
        <v/>
      </c>
      <c r="D1097" s="8" t="str">
        <f t="array" ref="D1097">IF(1093&gt;$S$1204,"",INDEX($T$5:$AJ$1204,MATCH(1093,$S$5:$S$1204,0),4))</f>
        <v/>
      </c>
      <c r="E1097" s="8" t="str">
        <f t="array" ref="E1097">IF(1093&gt;$S$1204,"",INDEX($T$5:$AJ$1204,MATCH(1093,$S$5:$S$1204,0),5))</f>
        <v/>
      </c>
      <c r="F1097" s="8" t="str">
        <f t="array" ref="F1097">IF(1093&gt;$S$1204,"",INDEX($T$5:$AJ$1204,MATCH(1093,$S$5:$S$1204,0),6))</f>
        <v/>
      </c>
      <c r="G1097" s="8" t="str">
        <f t="array" ref="G1097">IF(1093&gt;$S$1204,"",INDEX($T$5:$AJ$1204,MATCH(1093,$S$5:$S$1204,0),7))</f>
        <v/>
      </c>
      <c r="H1097" s="8" t="str">
        <f t="array" ref="H1097">IF(1093&gt;$S$1204,"",INDEX($T$5:$AJ$1204,MATCH(1093,$S$5:$S$1204,0),8))</f>
        <v/>
      </c>
      <c r="I1097" s="8" t="str">
        <f t="array" ref="I1097">IF(1093&gt;$S$1204,"",INDEX($T$5:$AJ$1204,MATCH(1093,$S$5:$S$1204,0),9))</f>
        <v/>
      </c>
      <c r="J1097" s="14" t="str">
        <f t="array" ref="J1097">IF(1093&gt;$S$1204,"",INDEX($T$5:$AJ$1204,MATCH(1093,$S$5:$S$1204,0),10))</f>
        <v/>
      </c>
      <c r="K1097" s="8" t="str">
        <f t="array" ref="K1097">IF(1093&gt;$S$1204,"",INDEX($T$5:$AJ$1204,MATCH(1093,$S$5:$S$1204,0),11))</f>
        <v/>
      </c>
      <c r="L1097" s="8" t="str">
        <f t="array" ref="L1097">IF(1093&gt;$S$1204,"",INDEX($T$5:$AJ$1204,MATCH(1093,$S$5:$S$1204,0),12))</f>
        <v/>
      </c>
      <c r="M1097" s="8" t="str">
        <f t="array" ref="M1097">IF(1093&gt;$S$1204,"",INDEX($T$5:$AJ$1204,MATCH(1093,$S$5:$S$1204,0),13))</f>
        <v/>
      </c>
      <c r="N1097" s="8" t="str">
        <f t="array" ref="N1097">IF(1093&gt;$S$1204,"",INDEX($T$5:$AJ$1204,MATCH(1093,$S$5:$S$1204,0),14))</f>
        <v/>
      </c>
      <c r="O1097" s="15" t="str">
        <f t="array" ref="O1097">IF(1093&gt;$S$1204,"",INDEX($T$5:$AJ$1204,MATCH(1093,$S$5:$S$1204,0),15))</f>
        <v/>
      </c>
      <c r="P1097" s="8" t="str">
        <f t="array" ref="P1097">IF(1093&gt;$S$1204,"",INDEX($T$5:$AJ$1204,MATCH(1093,$S$5:$S$1204,0),16))</f>
        <v/>
      </c>
      <c r="Q1097" s="8" t="str">
        <f t="array" ref="Q1097">IF(1093&gt;$S$1204,"",INDEX($T$5:$AJ$1204,MATCH(1093,$S$5:$S$1204,0),17))</f>
        <v/>
      </c>
      <c r="R1097" s="17"/>
      <c r="S1097" s="17">
        <f>S1096+IF(M6_Puntos_Control!A101="",0,1)</f>
        <v>0</v>
      </c>
      <c r="T1097" s="17" t="str">
        <f>IF(M6_Puntos_Control!A101="","",IF(M6_Puntos_Control!A101="","",M6_Puntos_Control!A101))</f>
        <v/>
      </c>
      <c r="U1097" s="17" t="str">
        <f>IF(M6_Puntos_Control!A101="","",IF(M6_Puntos_Control!R101="","",M6_Puntos_Control!R101))</f>
        <v/>
      </c>
      <c r="V1097" s="17" t="str">
        <f>IF(M6_Puntos_Control!A101="","",IF(M6_Puntos_Control!D101="","",M6_Puntos_Control!D101))</f>
        <v/>
      </c>
      <c r="W1097" s="17" t="str">
        <f>IF(M6_Puntos_Control!A101="","",IF(M6_Puntos_Control!B101="","",M6_Puntos_Control!B101))</f>
        <v/>
      </c>
      <c r="X1097" s="17" t="str">
        <f>IF(M6_Puntos_Control!A101="","",IF(M6_Puntos_Control!C101="","",M6_Puntos_Control!C101))</f>
        <v/>
      </c>
      <c r="Y1097" s="17" t="str">
        <f>IF(M6_Puntos_Control!A101="","",IF(M6_Puntos_Control!E101="","",M6_Puntos_Control!E101))</f>
        <v/>
      </c>
      <c r="Z1097" s="17" t="str">
        <f>IF(M6_Puntos_Control!A101="","",IF(M6_Puntos_Control!F101="","",M6_Puntos_Control!F101))</f>
        <v/>
      </c>
      <c r="AA1097" s="17" t="str">
        <f>IF(M6_Puntos_Control!A101="","","M6 Puntos de control")</f>
        <v/>
      </c>
      <c r="AB1097" s="17" t="str">
        <f>IF(M6_Puntos_Control!A101="","",IF(M6_Puntos_Control!G101="","",M6_Puntos_Control!G101))</f>
        <v/>
      </c>
      <c r="AC1097" s="17" t="str">
        <f>IF(M6_Puntos_Control!A101="","",IF(M6_Puntos_Control!K101="Sí",IF(COUNTIFS(M6_Puntos_Control!$A$9:A101,M6_Puntos_Control!A101,M6_Puntos_Control!$D$9:D101,M6_Puntos_Control!D101,M6_Puntos_Control!$G$9:G101,M6_Puntos_Control!G101,M6_Puntos_Control!$H$9:H101,M6_Puntos_Control!H101,M6_Puntos_Control!$K$9:K101,"Sí")=1,IF(M6_Puntos_Control!M101="","",M6_Puntos_Control!M101),""),""))</f>
        <v/>
      </c>
      <c r="AD1097" s="17" t="str">
        <f>IF(M6_Puntos_Control!A101="","","RD")</f>
        <v/>
      </c>
      <c r="AE1097" s="17" t="str">
        <f>IF(M6_Puntos_Control!A101="","",IF(M6_Puntos_Control!O101="","",M6_Puntos_Control!O101))</f>
        <v/>
      </c>
      <c r="AF1097" s="17" t="str">
        <f>IF(M6_Puntos_Control!A101="","",IF(M6_Puntos_Control!P101="","",M6_Puntos_Control!P101))</f>
        <v/>
      </c>
      <c r="AG1097" s="17" t="str">
        <f>IF(M6_Puntos_Control!A101="","",IF(M6_Puntos_Control!Q101="","",M6_Puntos_Control!Q101))</f>
        <v/>
      </c>
      <c r="AH1097" s="17" t="str">
        <f>IF(M6_Puntos_Control!A101="","",IF(M6_Puntos_Control!I101="","",M6_Puntos_Control!I101))</f>
        <v/>
      </c>
      <c r="AI1097" s="17" t="str">
        <f>IF(M6_Puntos_Control!A101="","","M6_Puntos_Control!101")</f>
        <v/>
      </c>
      <c r="AJ1097" s="17" t="str">
        <f>IF(M6_Puntos_Control!A101="","",IF(M6_Puntos_Control!K101&lt;&gt;"Sí","Punto de comparación",IF(COUNTIFS(M6_Puntos_Control!$A$9:A101,M6_Puntos_Control!A101,M6_Puntos_Control!$D$9:D101,M6_Puntos_Control!D101,M6_Puntos_Control!$G$9:G101,M6_Puntos_Control!G101,M6_Puntos_Control!$H$9:H101,M6_Puntos_Control!H101,M6_Puntos_Control!$K$9:K101,"Sí")=1,IF(M6_Puntos_Control!M101="","Pendiente de resultado","Punto oficial"),"Revisar: varios puntos oficiales")))</f>
        <v/>
      </c>
    </row>
    <row r="1098" spans="1:36" ht="55.5" customHeight="1">
      <c r="A1098" s="6" t="str">
        <f t="array" ref="A1098">IF(1094&gt;$S$1204,"",INDEX($T$5:$AJ$1204,MATCH(1094,$S$5:$S$1204,0),1))</f>
        <v/>
      </c>
      <c r="B1098" s="8" t="str">
        <f t="array" ref="B1098">IF(1094&gt;$S$1204,"",INDEX($T$5:$AJ$1204,MATCH(1094,$S$5:$S$1204,0),2))</f>
        <v/>
      </c>
      <c r="C1098" s="10" t="str">
        <f t="array" ref="C1098">IF(1094&gt;$S$1204,"",INDEX($T$5:$AJ$1204,MATCH(1094,$S$5:$S$1204,0),3))</f>
        <v/>
      </c>
      <c r="D1098" s="8" t="str">
        <f t="array" ref="D1098">IF(1094&gt;$S$1204,"",INDEX($T$5:$AJ$1204,MATCH(1094,$S$5:$S$1204,0),4))</f>
        <v/>
      </c>
      <c r="E1098" s="8" t="str">
        <f t="array" ref="E1098">IF(1094&gt;$S$1204,"",INDEX($T$5:$AJ$1204,MATCH(1094,$S$5:$S$1204,0),5))</f>
        <v/>
      </c>
      <c r="F1098" s="8" t="str">
        <f t="array" ref="F1098">IF(1094&gt;$S$1204,"",INDEX($T$5:$AJ$1204,MATCH(1094,$S$5:$S$1204,0),6))</f>
        <v/>
      </c>
      <c r="G1098" s="8" t="str">
        <f t="array" ref="G1098">IF(1094&gt;$S$1204,"",INDEX($T$5:$AJ$1204,MATCH(1094,$S$5:$S$1204,0),7))</f>
        <v/>
      </c>
      <c r="H1098" s="8" t="str">
        <f t="array" ref="H1098">IF(1094&gt;$S$1204,"",INDEX($T$5:$AJ$1204,MATCH(1094,$S$5:$S$1204,0),8))</f>
        <v/>
      </c>
      <c r="I1098" s="8" t="str">
        <f t="array" ref="I1098">IF(1094&gt;$S$1204,"",INDEX($T$5:$AJ$1204,MATCH(1094,$S$5:$S$1204,0),9))</f>
        <v/>
      </c>
      <c r="J1098" s="14" t="str">
        <f t="array" ref="J1098">IF(1094&gt;$S$1204,"",INDEX($T$5:$AJ$1204,MATCH(1094,$S$5:$S$1204,0),10))</f>
        <v/>
      </c>
      <c r="K1098" s="8" t="str">
        <f t="array" ref="K1098">IF(1094&gt;$S$1204,"",INDEX($T$5:$AJ$1204,MATCH(1094,$S$5:$S$1204,0),11))</f>
        <v/>
      </c>
      <c r="L1098" s="8" t="str">
        <f t="array" ref="L1098">IF(1094&gt;$S$1204,"",INDEX($T$5:$AJ$1204,MATCH(1094,$S$5:$S$1204,0),12))</f>
        <v/>
      </c>
      <c r="M1098" s="8" t="str">
        <f t="array" ref="M1098">IF(1094&gt;$S$1204,"",INDEX($T$5:$AJ$1204,MATCH(1094,$S$5:$S$1204,0),13))</f>
        <v/>
      </c>
      <c r="N1098" s="8" t="str">
        <f t="array" ref="N1098">IF(1094&gt;$S$1204,"",INDEX($T$5:$AJ$1204,MATCH(1094,$S$5:$S$1204,0),14))</f>
        <v/>
      </c>
      <c r="O1098" s="15" t="str">
        <f t="array" ref="O1098">IF(1094&gt;$S$1204,"",INDEX($T$5:$AJ$1204,MATCH(1094,$S$5:$S$1204,0),15))</f>
        <v/>
      </c>
      <c r="P1098" s="8" t="str">
        <f t="array" ref="P1098">IF(1094&gt;$S$1204,"",INDEX($T$5:$AJ$1204,MATCH(1094,$S$5:$S$1204,0),16))</f>
        <v/>
      </c>
      <c r="Q1098" s="8" t="str">
        <f t="array" ref="Q1098">IF(1094&gt;$S$1204,"",INDEX($T$5:$AJ$1204,MATCH(1094,$S$5:$S$1204,0),17))</f>
        <v/>
      </c>
      <c r="R1098" s="17"/>
      <c r="S1098" s="17">
        <f>S1097+IF(M6_Puntos_Control!A102="",0,1)</f>
        <v>0</v>
      </c>
      <c r="T1098" s="17" t="str">
        <f>IF(M6_Puntos_Control!A102="","",IF(M6_Puntos_Control!A102="","",M6_Puntos_Control!A102))</f>
        <v/>
      </c>
      <c r="U1098" s="17" t="str">
        <f>IF(M6_Puntos_Control!A102="","",IF(M6_Puntos_Control!R102="","",M6_Puntos_Control!R102))</f>
        <v/>
      </c>
      <c r="V1098" s="17" t="str">
        <f>IF(M6_Puntos_Control!A102="","",IF(M6_Puntos_Control!D102="","",M6_Puntos_Control!D102))</f>
        <v/>
      </c>
      <c r="W1098" s="17" t="str">
        <f>IF(M6_Puntos_Control!A102="","",IF(M6_Puntos_Control!B102="","",M6_Puntos_Control!B102))</f>
        <v/>
      </c>
      <c r="X1098" s="17" t="str">
        <f>IF(M6_Puntos_Control!A102="","",IF(M6_Puntos_Control!C102="","",M6_Puntos_Control!C102))</f>
        <v/>
      </c>
      <c r="Y1098" s="17" t="str">
        <f>IF(M6_Puntos_Control!A102="","",IF(M6_Puntos_Control!E102="","",M6_Puntos_Control!E102))</f>
        <v/>
      </c>
      <c r="Z1098" s="17" t="str">
        <f>IF(M6_Puntos_Control!A102="","",IF(M6_Puntos_Control!F102="","",M6_Puntos_Control!F102))</f>
        <v/>
      </c>
      <c r="AA1098" s="17" t="str">
        <f>IF(M6_Puntos_Control!A102="","","M6 Puntos de control")</f>
        <v/>
      </c>
      <c r="AB1098" s="17" t="str">
        <f>IF(M6_Puntos_Control!A102="","",IF(M6_Puntos_Control!G102="","",M6_Puntos_Control!G102))</f>
        <v/>
      </c>
      <c r="AC1098" s="17" t="str">
        <f>IF(M6_Puntos_Control!A102="","",IF(M6_Puntos_Control!K102="Sí",IF(COUNTIFS(M6_Puntos_Control!$A$9:A102,M6_Puntos_Control!A102,M6_Puntos_Control!$D$9:D102,M6_Puntos_Control!D102,M6_Puntos_Control!$G$9:G102,M6_Puntos_Control!G102,M6_Puntos_Control!$H$9:H102,M6_Puntos_Control!H102,M6_Puntos_Control!$K$9:K102,"Sí")=1,IF(M6_Puntos_Control!M102="","",M6_Puntos_Control!M102),""),""))</f>
        <v/>
      </c>
      <c r="AD1098" s="17" t="str">
        <f>IF(M6_Puntos_Control!A102="","","RD")</f>
        <v/>
      </c>
      <c r="AE1098" s="17" t="str">
        <f>IF(M6_Puntos_Control!A102="","",IF(M6_Puntos_Control!O102="","",M6_Puntos_Control!O102))</f>
        <v/>
      </c>
      <c r="AF1098" s="17" t="str">
        <f>IF(M6_Puntos_Control!A102="","",IF(M6_Puntos_Control!P102="","",M6_Puntos_Control!P102))</f>
        <v/>
      </c>
      <c r="AG1098" s="17" t="str">
        <f>IF(M6_Puntos_Control!A102="","",IF(M6_Puntos_Control!Q102="","",M6_Puntos_Control!Q102))</f>
        <v/>
      </c>
      <c r="AH1098" s="17" t="str">
        <f>IF(M6_Puntos_Control!A102="","",IF(M6_Puntos_Control!I102="","",M6_Puntos_Control!I102))</f>
        <v/>
      </c>
      <c r="AI1098" s="17" t="str">
        <f>IF(M6_Puntos_Control!A102="","","M6_Puntos_Control!102")</f>
        <v/>
      </c>
      <c r="AJ1098" s="17" t="str">
        <f>IF(M6_Puntos_Control!A102="","",IF(M6_Puntos_Control!K102&lt;&gt;"Sí","Punto de comparación",IF(COUNTIFS(M6_Puntos_Control!$A$9:A102,M6_Puntos_Control!A102,M6_Puntos_Control!$D$9:D102,M6_Puntos_Control!D102,M6_Puntos_Control!$G$9:G102,M6_Puntos_Control!G102,M6_Puntos_Control!$H$9:H102,M6_Puntos_Control!H102,M6_Puntos_Control!$K$9:K102,"Sí")=1,IF(M6_Puntos_Control!M102="","Pendiente de resultado","Punto oficial"),"Revisar: varios puntos oficiales")))</f>
        <v/>
      </c>
    </row>
    <row r="1099" spans="1:36" ht="55.5" customHeight="1">
      <c r="A1099" s="6" t="str">
        <f t="array" ref="A1099">IF(1095&gt;$S$1204,"",INDEX($T$5:$AJ$1204,MATCH(1095,$S$5:$S$1204,0),1))</f>
        <v/>
      </c>
      <c r="B1099" s="8" t="str">
        <f t="array" ref="B1099">IF(1095&gt;$S$1204,"",INDEX($T$5:$AJ$1204,MATCH(1095,$S$5:$S$1204,0),2))</f>
        <v/>
      </c>
      <c r="C1099" s="10" t="str">
        <f t="array" ref="C1099">IF(1095&gt;$S$1204,"",INDEX($T$5:$AJ$1204,MATCH(1095,$S$5:$S$1204,0),3))</f>
        <v/>
      </c>
      <c r="D1099" s="8" t="str">
        <f t="array" ref="D1099">IF(1095&gt;$S$1204,"",INDEX($T$5:$AJ$1204,MATCH(1095,$S$5:$S$1204,0),4))</f>
        <v/>
      </c>
      <c r="E1099" s="8" t="str">
        <f t="array" ref="E1099">IF(1095&gt;$S$1204,"",INDEX($T$5:$AJ$1204,MATCH(1095,$S$5:$S$1204,0),5))</f>
        <v/>
      </c>
      <c r="F1099" s="8" t="str">
        <f t="array" ref="F1099">IF(1095&gt;$S$1204,"",INDEX($T$5:$AJ$1204,MATCH(1095,$S$5:$S$1204,0),6))</f>
        <v/>
      </c>
      <c r="G1099" s="8" t="str">
        <f t="array" ref="G1099">IF(1095&gt;$S$1204,"",INDEX($T$5:$AJ$1204,MATCH(1095,$S$5:$S$1204,0),7))</f>
        <v/>
      </c>
      <c r="H1099" s="8" t="str">
        <f t="array" ref="H1099">IF(1095&gt;$S$1204,"",INDEX($T$5:$AJ$1204,MATCH(1095,$S$5:$S$1204,0),8))</f>
        <v/>
      </c>
      <c r="I1099" s="8" t="str">
        <f t="array" ref="I1099">IF(1095&gt;$S$1204,"",INDEX($T$5:$AJ$1204,MATCH(1095,$S$5:$S$1204,0),9))</f>
        <v/>
      </c>
      <c r="J1099" s="14" t="str">
        <f t="array" ref="J1099">IF(1095&gt;$S$1204,"",INDEX($T$5:$AJ$1204,MATCH(1095,$S$5:$S$1204,0),10))</f>
        <v/>
      </c>
      <c r="K1099" s="8" t="str">
        <f t="array" ref="K1099">IF(1095&gt;$S$1204,"",INDEX($T$5:$AJ$1204,MATCH(1095,$S$5:$S$1204,0),11))</f>
        <v/>
      </c>
      <c r="L1099" s="8" t="str">
        <f t="array" ref="L1099">IF(1095&gt;$S$1204,"",INDEX($T$5:$AJ$1204,MATCH(1095,$S$5:$S$1204,0),12))</f>
        <v/>
      </c>
      <c r="M1099" s="8" t="str">
        <f t="array" ref="M1099">IF(1095&gt;$S$1204,"",INDEX($T$5:$AJ$1204,MATCH(1095,$S$5:$S$1204,0),13))</f>
        <v/>
      </c>
      <c r="N1099" s="8" t="str">
        <f t="array" ref="N1099">IF(1095&gt;$S$1204,"",INDEX($T$5:$AJ$1204,MATCH(1095,$S$5:$S$1204,0),14))</f>
        <v/>
      </c>
      <c r="O1099" s="15" t="str">
        <f t="array" ref="O1099">IF(1095&gt;$S$1204,"",INDEX($T$5:$AJ$1204,MATCH(1095,$S$5:$S$1204,0),15))</f>
        <v/>
      </c>
      <c r="P1099" s="8" t="str">
        <f t="array" ref="P1099">IF(1095&gt;$S$1204,"",INDEX($T$5:$AJ$1204,MATCH(1095,$S$5:$S$1204,0),16))</f>
        <v/>
      </c>
      <c r="Q1099" s="8" t="str">
        <f t="array" ref="Q1099">IF(1095&gt;$S$1204,"",INDEX($T$5:$AJ$1204,MATCH(1095,$S$5:$S$1204,0),17))</f>
        <v/>
      </c>
      <c r="R1099" s="17"/>
      <c r="S1099" s="17">
        <f>S1098+IF(M6_Puntos_Control!A103="",0,1)</f>
        <v>0</v>
      </c>
      <c r="T1099" s="17" t="str">
        <f>IF(M6_Puntos_Control!A103="","",IF(M6_Puntos_Control!A103="","",M6_Puntos_Control!A103))</f>
        <v/>
      </c>
      <c r="U1099" s="17" t="str">
        <f>IF(M6_Puntos_Control!A103="","",IF(M6_Puntos_Control!R103="","",M6_Puntos_Control!R103))</f>
        <v/>
      </c>
      <c r="V1099" s="17" t="str">
        <f>IF(M6_Puntos_Control!A103="","",IF(M6_Puntos_Control!D103="","",M6_Puntos_Control!D103))</f>
        <v/>
      </c>
      <c r="W1099" s="17" t="str">
        <f>IF(M6_Puntos_Control!A103="","",IF(M6_Puntos_Control!B103="","",M6_Puntos_Control!B103))</f>
        <v/>
      </c>
      <c r="X1099" s="17" t="str">
        <f>IF(M6_Puntos_Control!A103="","",IF(M6_Puntos_Control!C103="","",M6_Puntos_Control!C103))</f>
        <v/>
      </c>
      <c r="Y1099" s="17" t="str">
        <f>IF(M6_Puntos_Control!A103="","",IF(M6_Puntos_Control!E103="","",M6_Puntos_Control!E103))</f>
        <v/>
      </c>
      <c r="Z1099" s="17" t="str">
        <f>IF(M6_Puntos_Control!A103="","",IF(M6_Puntos_Control!F103="","",M6_Puntos_Control!F103))</f>
        <v/>
      </c>
      <c r="AA1099" s="17" t="str">
        <f>IF(M6_Puntos_Control!A103="","","M6 Puntos de control")</f>
        <v/>
      </c>
      <c r="AB1099" s="17" t="str">
        <f>IF(M6_Puntos_Control!A103="","",IF(M6_Puntos_Control!G103="","",M6_Puntos_Control!G103))</f>
        <v/>
      </c>
      <c r="AC1099" s="17" t="str">
        <f>IF(M6_Puntos_Control!A103="","",IF(M6_Puntos_Control!K103="Sí",IF(COUNTIFS(M6_Puntos_Control!$A$9:A103,M6_Puntos_Control!A103,M6_Puntos_Control!$D$9:D103,M6_Puntos_Control!D103,M6_Puntos_Control!$G$9:G103,M6_Puntos_Control!G103,M6_Puntos_Control!$H$9:H103,M6_Puntos_Control!H103,M6_Puntos_Control!$K$9:K103,"Sí")=1,IF(M6_Puntos_Control!M103="","",M6_Puntos_Control!M103),""),""))</f>
        <v/>
      </c>
      <c r="AD1099" s="17" t="str">
        <f>IF(M6_Puntos_Control!A103="","","RD")</f>
        <v/>
      </c>
      <c r="AE1099" s="17" t="str">
        <f>IF(M6_Puntos_Control!A103="","",IF(M6_Puntos_Control!O103="","",M6_Puntos_Control!O103))</f>
        <v/>
      </c>
      <c r="AF1099" s="17" t="str">
        <f>IF(M6_Puntos_Control!A103="","",IF(M6_Puntos_Control!P103="","",M6_Puntos_Control!P103))</f>
        <v/>
      </c>
      <c r="AG1099" s="17" t="str">
        <f>IF(M6_Puntos_Control!A103="","",IF(M6_Puntos_Control!Q103="","",M6_Puntos_Control!Q103))</f>
        <v/>
      </c>
      <c r="AH1099" s="17" t="str">
        <f>IF(M6_Puntos_Control!A103="","",IF(M6_Puntos_Control!I103="","",M6_Puntos_Control!I103))</f>
        <v/>
      </c>
      <c r="AI1099" s="17" t="str">
        <f>IF(M6_Puntos_Control!A103="","","M6_Puntos_Control!103")</f>
        <v/>
      </c>
      <c r="AJ1099" s="17" t="str">
        <f>IF(M6_Puntos_Control!A103="","",IF(M6_Puntos_Control!K103&lt;&gt;"Sí","Punto de comparación",IF(COUNTIFS(M6_Puntos_Control!$A$9:A103,M6_Puntos_Control!A103,M6_Puntos_Control!$D$9:D103,M6_Puntos_Control!D103,M6_Puntos_Control!$G$9:G103,M6_Puntos_Control!G103,M6_Puntos_Control!$H$9:H103,M6_Puntos_Control!H103,M6_Puntos_Control!$K$9:K103,"Sí")=1,IF(M6_Puntos_Control!M103="","Pendiente de resultado","Punto oficial"),"Revisar: varios puntos oficiales")))</f>
        <v/>
      </c>
    </row>
    <row r="1100" spans="1:36" ht="55.5" customHeight="1">
      <c r="A1100" s="6" t="str">
        <f t="array" ref="A1100">IF(1096&gt;$S$1204,"",INDEX($T$5:$AJ$1204,MATCH(1096,$S$5:$S$1204,0),1))</f>
        <v/>
      </c>
      <c r="B1100" s="8" t="str">
        <f t="array" ref="B1100">IF(1096&gt;$S$1204,"",INDEX($T$5:$AJ$1204,MATCH(1096,$S$5:$S$1204,0),2))</f>
        <v/>
      </c>
      <c r="C1100" s="10" t="str">
        <f t="array" ref="C1100">IF(1096&gt;$S$1204,"",INDEX($T$5:$AJ$1204,MATCH(1096,$S$5:$S$1204,0),3))</f>
        <v/>
      </c>
      <c r="D1100" s="8" t="str">
        <f t="array" ref="D1100">IF(1096&gt;$S$1204,"",INDEX($T$5:$AJ$1204,MATCH(1096,$S$5:$S$1204,0),4))</f>
        <v/>
      </c>
      <c r="E1100" s="8" t="str">
        <f t="array" ref="E1100">IF(1096&gt;$S$1204,"",INDEX($T$5:$AJ$1204,MATCH(1096,$S$5:$S$1204,0),5))</f>
        <v/>
      </c>
      <c r="F1100" s="8" t="str">
        <f t="array" ref="F1100">IF(1096&gt;$S$1204,"",INDEX($T$5:$AJ$1204,MATCH(1096,$S$5:$S$1204,0),6))</f>
        <v/>
      </c>
      <c r="G1100" s="8" t="str">
        <f t="array" ref="G1100">IF(1096&gt;$S$1204,"",INDEX($T$5:$AJ$1204,MATCH(1096,$S$5:$S$1204,0),7))</f>
        <v/>
      </c>
      <c r="H1100" s="8" t="str">
        <f t="array" ref="H1100">IF(1096&gt;$S$1204,"",INDEX($T$5:$AJ$1204,MATCH(1096,$S$5:$S$1204,0),8))</f>
        <v/>
      </c>
      <c r="I1100" s="8" t="str">
        <f t="array" ref="I1100">IF(1096&gt;$S$1204,"",INDEX($T$5:$AJ$1204,MATCH(1096,$S$5:$S$1204,0),9))</f>
        <v/>
      </c>
      <c r="J1100" s="14" t="str">
        <f t="array" ref="J1100">IF(1096&gt;$S$1204,"",INDEX($T$5:$AJ$1204,MATCH(1096,$S$5:$S$1204,0),10))</f>
        <v/>
      </c>
      <c r="K1100" s="8" t="str">
        <f t="array" ref="K1100">IF(1096&gt;$S$1204,"",INDEX($T$5:$AJ$1204,MATCH(1096,$S$5:$S$1204,0),11))</f>
        <v/>
      </c>
      <c r="L1100" s="8" t="str">
        <f t="array" ref="L1100">IF(1096&gt;$S$1204,"",INDEX($T$5:$AJ$1204,MATCH(1096,$S$5:$S$1204,0),12))</f>
        <v/>
      </c>
      <c r="M1100" s="8" t="str">
        <f t="array" ref="M1100">IF(1096&gt;$S$1204,"",INDEX($T$5:$AJ$1204,MATCH(1096,$S$5:$S$1204,0),13))</f>
        <v/>
      </c>
      <c r="N1100" s="8" t="str">
        <f t="array" ref="N1100">IF(1096&gt;$S$1204,"",INDEX($T$5:$AJ$1204,MATCH(1096,$S$5:$S$1204,0),14))</f>
        <v/>
      </c>
      <c r="O1100" s="15" t="str">
        <f t="array" ref="O1100">IF(1096&gt;$S$1204,"",INDEX($T$5:$AJ$1204,MATCH(1096,$S$5:$S$1204,0),15))</f>
        <v/>
      </c>
      <c r="P1100" s="8" t="str">
        <f t="array" ref="P1100">IF(1096&gt;$S$1204,"",INDEX($T$5:$AJ$1204,MATCH(1096,$S$5:$S$1204,0),16))</f>
        <v/>
      </c>
      <c r="Q1100" s="8" t="str">
        <f t="array" ref="Q1100">IF(1096&gt;$S$1204,"",INDEX($T$5:$AJ$1204,MATCH(1096,$S$5:$S$1204,0),17))</f>
        <v/>
      </c>
      <c r="R1100" s="17"/>
      <c r="S1100" s="17">
        <f>S1099+IF(M6_Puntos_Control!A104="",0,1)</f>
        <v>0</v>
      </c>
      <c r="T1100" s="17" t="str">
        <f>IF(M6_Puntos_Control!A104="","",IF(M6_Puntos_Control!A104="","",M6_Puntos_Control!A104))</f>
        <v/>
      </c>
      <c r="U1100" s="17" t="str">
        <f>IF(M6_Puntos_Control!A104="","",IF(M6_Puntos_Control!R104="","",M6_Puntos_Control!R104))</f>
        <v/>
      </c>
      <c r="V1100" s="17" t="str">
        <f>IF(M6_Puntos_Control!A104="","",IF(M6_Puntos_Control!D104="","",M6_Puntos_Control!D104))</f>
        <v/>
      </c>
      <c r="W1100" s="17" t="str">
        <f>IF(M6_Puntos_Control!A104="","",IF(M6_Puntos_Control!B104="","",M6_Puntos_Control!B104))</f>
        <v/>
      </c>
      <c r="X1100" s="17" t="str">
        <f>IF(M6_Puntos_Control!A104="","",IF(M6_Puntos_Control!C104="","",M6_Puntos_Control!C104))</f>
        <v/>
      </c>
      <c r="Y1100" s="17" t="str">
        <f>IF(M6_Puntos_Control!A104="","",IF(M6_Puntos_Control!E104="","",M6_Puntos_Control!E104))</f>
        <v/>
      </c>
      <c r="Z1100" s="17" t="str">
        <f>IF(M6_Puntos_Control!A104="","",IF(M6_Puntos_Control!F104="","",M6_Puntos_Control!F104))</f>
        <v/>
      </c>
      <c r="AA1100" s="17" t="str">
        <f>IF(M6_Puntos_Control!A104="","","M6 Puntos de control")</f>
        <v/>
      </c>
      <c r="AB1100" s="17" t="str">
        <f>IF(M6_Puntos_Control!A104="","",IF(M6_Puntos_Control!G104="","",M6_Puntos_Control!G104))</f>
        <v/>
      </c>
      <c r="AC1100" s="17" t="str">
        <f>IF(M6_Puntos_Control!A104="","",IF(M6_Puntos_Control!K104="Sí",IF(COUNTIFS(M6_Puntos_Control!$A$9:A104,M6_Puntos_Control!A104,M6_Puntos_Control!$D$9:D104,M6_Puntos_Control!D104,M6_Puntos_Control!$G$9:G104,M6_Puntos_Control!G104,M6_Puntos_Control!$H$9:H104,M6_Puntos_Control!H104,M6_Puntos_Control!$K$9:K104,"Sí")=1,IF(M6_Puntos_Control!M104="","",M6_Puntos_Control!M104),""),""))</f>
        <v/>
      </c>
      <c r="AD1100" s="17" t="str">
        <f>IF(M6_Puntos_Control!A104="","","RD")</f>
        <v/>
      </c>
      <c r="AE1100" s="17" t="str">
        <f>IF(M6_Puntos_Control!A104="","",IF(M6_Puntos_Control!O104="","",M6_Puntos_Control!O104))</f>
        <v/>
      </c>
      <c r="AF1100" s="17" t="str">
        <f>IF(M6_Puntos_Control!A104="","",IF(M6_Puntos_Control!P104="","",M6_Puntos_Control!P104))</f>
        <v/>
      </c>
      <c r="AG1100" s="17" t="str">
        <f>IF(M6_Puntos_Control!A104="","",IF(M6_Puntos_Control!Q104="","",M6_Puntos_Control!Q104))</f>
        <v/>
      </c>
      <c r="AH1100" s="17" t="str">
        <f>IF(M6_Puntos_Control!A104="","",IF(M6_Puntos_Control!I104="","",M6_Puntos_Control!I104))</f>
        <v/>
      </c>
      <c r="AI1100" s="17" t="str">
        <f>IF(M6_Puntos_Control!A104="","","M6_Puntos_Control!104")</f>
        <v/>
      </c>
      <c r="AJ1100" s="17" t="str">
        <f>IF(M6_Puntos_Control!A104="","",IF(M6_Puntos_Control!K104&lt;&gt;"Sí","Punto de comparación",IF(COUNTIFS(M6_Puntos_Control!$A$9:A104,M6_Puntos_Control!A104,M6_Puntos_Control!$D$9:D104,M6_Puntos_Control!D104,M6_Puntos_Control!$G$9:G104,M6_Puntos_Control!G104,M6_Puntos_Control!$H$9:H104,M6_Puntos_Control!H104,M6_Puntos_Control!$K$9:K104,"Sí")=1,IF(M6_Puntos_Control!M104="","Pendiente de resultado","Punto oficial"),"Revisar: varios puntos oficiales")))</f>
        <v/>
      </c>
    </row>
    <row r="1101" spans="1:36" ht="55.5" customHeight="1">
      <c r="A1101" s="6" t="str">
        <f t="array" ref="A1101">IF(1097&gt;$S$1204,"",INDEX($T$5:$AJ$1204,MATCH(1097,$S$5:$S$1204,0),1))</f>
        <v/>
      </c>
      <c r="B1101" s="8" t="str">
        <f t="array" ref="B1101">IF(1097&gt;$S$1204,"",INDEX($T$5:$AJ$1204,MATCH(1097,$S$5:$S$1204,0),2))</f>
        <v/>
      </c>
      <c r="C1101" s="10" t="str">
        <f t="array" ref="C1101">IF(1097&gt;$S$1204,"",INDEX($T$5:$AJ$1204,MATCH(1097,$S$5:$S$1204,0),3))</f>
        <v/>
      </c>
      <c r="D1101" s="8" t="str">
        <f t="array" ref="D1101">IF(1097&gt;$S$1204,"",INDEX($T$5:$AJ$1204,MATCH(1097,$S$5:$S$1204,0),4))</f>
        <v/>
      </c>
      <c r="E1101" s="8" t="str">
        <f t="array" ref="E1101">IF(1097&gt;$S$1204,"",INDEX($T$5:$AJ$1204,MATCH(1097,$S$5:$S$1204,0),5))</f>
        <v/>
      </c>
      <c r="F1101" s="8" t="str">
        <f t="array" ref="F1101">IF(1097&gt;$S$1204,"",INDEX($T$5:$AJ$1204,MATCH(1097,$S$5:$S$1204,0),6))</f>
        <v/>
      </c>
      <c r="G1101" s="8" t="str">
        <f t="array" ref="G1101">IF(1097&gt;$S$1204,"",INDEX($T$5:$AJ$1204,MATCH(1097,$S$5:$S$1204,0),7))</f>
        <v/>
      </c>
      <c r="H1101" s="8" t="str">
        <f t="array" ref="H1101">IF(1097&gt;$S$1204,"",INDEX($T$5:$AJ$1204,MATCH(1097,$S$5:$S$1204,0),8))</f>
        <v/>
      </c>
      <c r="I1101" s="8" t="str">
        <f t="array" ref="I1101">IF(1097&gt;$S$1204,"",INDEX($T$5:$AJ$1204,MATCH(1097,$S$5:$S$1204,0),9))</f>
        <v/>
      </c>
      <c r="J1101" s="14" t="str">
        <f t="array" ref="J1101">IF(1097&gt;$S$1204,"",INDEX($T$5:$AJ$1204,MATCH(1097,$S$5:$S$1204,0),10))</f>
        <v/>
      </c>
      <c r="K1101" s="8" t="str">
        <f t="array" ref="K1101">IF(1097&gt;$S$1204,"",INDEX($T$5:$AJ$1204,MATCH(1097,$S$5:$S$1204,0),11))</f>
        <v/>
      </c>
      <c r="L1101" s="8" t="str">
        <f t="array" ref="L1101">IF(1097&gt;$S$1204,"",INDEX($T$5:$AJ$1204,MATCH(1097,$S$5:$S$1204,0),12))</f>
        <v/>
      </c>
      <c r="M1101" s="8" t="str">
        <f t="array" ref="M1101">IF(1097&gt;$S$1204,"",INDEX($T$5:$AJ$1204,MATCH(1097,$S$5:$S$1204,0),13))</f>
        <v/>
      </c>
      <c r="N1101" s="8" t="str">
        <f t="array" ref="N1101">IF(1097&gt;$S$1204,"",INDEX($T$5:$AJ$1204,MATCH(1097,$S$5:$S$1204,0),14))</f>
        <v/>
      </c>
      <c r="O1101" s="15" t="str">
        <f t="array" ref="O1101">IF(1097&gt;$S$1204,"",INDEX($T$5:$AJ$1204,MATCH(1097,$S$5:$S$1204,0),15))</f>
        <v/>
      </c>
      <c r="P1101" s="8" t="str">
        <f t="array" ref="P1101">IF(1097&gt;$S$1204,"",INDEX($T$5:$AJ$1204,MATCH(1097,$S$5:$S$1204,0),16))</f>
        <v/>
      </c>
      <c r="Q1101" s="8" t="str">
        <f t="array" ref="Q1101">IF(1097&gt;$S$1204,"",INDEX($T$5:$AJ$1204,MATCH(1097,$S$5:$S$1204,0),17))</f>
        <v/>
      </c>
      <c r="R1101" s="17"/>
      <c r="S1101" s="17">
        <f>S1100+IF(M6_Puntos_Control!A105="",0,1)</f>
        <v>0</v>
      </c>
      <c r="T1101" s="17" t="str">
        <f>IF(M6_Puntos_Control!A105="","",IF(M6_Puntos_Control!A105="","",M6_Puntos_Control!A105))</f>
        <v/>
      </c>
      <c r="U1101" s="17" t="str">
        <f>IF(M6_Puntos_Control!A105="","",IF(M6_Puntos_Control!R105="","",M6_Puntos_Control!R105))</f>
        <v/>
      </c>
      <c r="V1101" s="17" t="str">
        <f>IF(M6_Puntos_Control!A105="","",IF(M6_Puntos_Control!D105="","",M6_Puntos_Control!D105))</f>
        <v/>
      </c>
      <c r="W1101" s="17" t="str">
        <f>IF(M6_Puntos_Control!A105="","",IF(M6_Puntos_Control!B105="","",M6_Puntos_Control!B105))</f>
        <v/>
      </c>
      <c r="X1101" s="17" t="str">
        <f>IF(M6_Puntos_Control!A105="","",IF(M6_Puntos_Control!C105="","",M6_Puntos_Control!C105))</f>
        <v/>
      </c>
      <c r="Y1101" s="17" t="str">
        <f>IF(M6_Puntos_Control!A105="","",IF(M6_Puntos_Control!E105="","",M6_Puntos_Control!E105))</f>
        <v/>
      </c>
      <c r="Z1101" s="17" t="str">
        <f>IF(M6_Puntos_Control!A105="","",IF(M6_Puntos_Control!F105="","",M6_Puntos_Control!F105))</f>
        <v/>
      </c>
      <c r="AA1101" s="17" t="str">
        <f>IF(M6_Puntos_Control!A105="","","M6 Puntos de control")</f>
        <v/>
      </c>
      <c r="AB1101" s="17" t="str">
        <f>IF(M6_Puntos_Control!A105="","",IF(M6_Puntos_Control!G105="","",M6_Puntos_Control!G105))</f>
        <v/>
      </c>
      <c r="AC1101" s="17" t="str">
        <f>IF(M6_Puntos_Control!A105="","",IF(M6_Puntos_Control!K105="Sí",IF(COUNTIFS(M6_Puntos_Control!$A$9:A105,M6_Puntos_Control!A105,M6_Puntos_Control!$D$9:D105,M6_Puntos_Control!D105,M6_Puntos_Control!$G$9:G105,M6_Puntos_Control!G105,M6_Puntos_Control!$H$9:H105,M6_Puntos_Control!H105,M6_Puntos_Control!$K$9:K105,"Sí")=1,IF(M6_Puntos_Control!M105="","",M6_Puntos_Control!M105),""),""))</f>
        <v/>
      </c>
      <c r="AD1101" s="17" t="str">
        <f>IF(M6_Puntos_Control!A105="","","RD")</f>
        <v/>
      </c>
      <c r="AE1101" s="17" t="str">
        <f>IF(M6_Puntos_Control!A105="","",IF(M6_Puntos_Control!O105="","",M6_Puntos_Control!O105))</f>
        <v/>
      </c>
      <c r="AF1101" s="17" t="str">
        <f>IF(M6_Puntos_Control!A105="","",IF(M6_Puntos_Control!P105="","",M6_Puntos_Control!P105))</f>
        <v/>
      </c>
      <c r="AG1101" s="17" t="str">
        <f>IF(M6_Puntos_Control!A105="","",IF(M6_Puntos_Control!Q105="","",M6_Puntos_Control!Q105))</f>
        <v/>
      </c>
      <c r="AH1101" s="17" t="str">
        <f>IF(M6_Puntos_Control!A105="","",IF(M6_Puntos_Control!I105="","",M6_Puntos_Control!I105))</f>
        <v/>
      </c>
      <c r="AI1101" s="17" t="str">
        <f>IF(M6_Puntos_Control!A105="","","M6_Puntos_Control!105")</f>
        <v/>
      </c>
      <c r="AJ1101" s="17" t="str">
        <f>IF(M6_Puntos_Control!A105="","",IF(M6_Puntos_Control!K105&lt;&gt;"Sí","Punto de comparación",IF(COUNTIFS(M6_Puntos_Control!$A$9:A105,M6_Puntos_Control!A105,M6_Puntos_Control!$D$9:D105,M6_Puntos_Control!D105,M6_Puntos_Control!$G$9:G105,M6_Puntos_Control!G105,M6_Puntos_Control!$H$9:H105,M6_Puntos_Control!H105,M6_Puntos_Control!$K$9:K105,"Sí")=1,IF(M6_Puntos_Control!M105="","Pendiente de resultado","Punto oficial"),"Revisar: varios puntos oficiales")))</f>
        <v/>
      </c>
    </row>
    <row r="1102" spans="1:36" ht="55.5" customHeight="1">
      <c r="A1102" s="6" t="str">
        <f t="array" ref="A1102">IF(1098&gt;$S$1204,"",INDEX($T$5:$AJ$1204,MATCH(1098,$S$5:$S$1204,0),1))</f>
        <v/>
      </c>
      <c r="B1102" s="8" t="str">
        <f t="array" ref="B1102">IF(1098&gt;$S$1204,"",INDEX($T$5:$AJ$1204,MATCH(1098,$S$5:$S$1204,0),2))</f>
        <v/>
      </c>
      <c r="C1102" s="10" t="str">
        <f t="array" ref="C1102">IF(1098&gt;$S$1204,"",INDEX($T$5:$AJ$1204,MATCH(1098,$S$5:$S$1204,0),3))</f>
        <v/>
      </c>
      <c r="D1102" s="8" t="str">
        <f t="array" ref="D1102">IF(1098&gt;$S$1204,"",INDEX($T$5:$AJ$1204,MATCH(1098,$S$5:$S$1204,0),4))</f>
        <v/>
      </c>
      <c r="E1102" s="8" t="str">
        <f t="array" ref="E1102">IF(1098&gt;$S$1204,"",INDEX($T$5:$AJ$1204,MATCH(1098,$S$5:$S$1204,0),5))</f>
        <v/>
      </c>
      <c r="F1102" s="8" t="str">
        <f t="array" ref="F1102">IF(1098&gt;$S$1204,"",INDEX($T$5:$AJ$1204,MATCH(1098,$S$5:$S$1204,0),6))</f>
        <v/>
      </c>
      <c r="G1102" s="8" t="str">
        <f t="array" ref="G1102">IF(1098&gt;$S$1204,"",INDEX($T$5:$AJ$1204,MATCH(1098,$S$5:$S$1204,0),7))</f>
        <v/>
      </c>
      <c r="H1102" s="8" t="str">
        <f t="array" ref="H1102">IF(1098&gt;$S$1204,"",INDEX($T$5:$AJ$1204,MATCH(1098,$S$5:$S$1204,0),8))</f>
        <v/>
      </c>
      <c r="I1102" s="8" t="str">
        <f t="array" ref="I1102">IF(1098&gt;$S$1204,"",INDEX($T$5:$AJ$1204,MATCH(1098,$S$5:$S$1204,0),9))</f>
        <v/>
      </c>
      <c r="J1102" s="14" t="str">
        <f t="array" ref="J1102">IF(1098&gt;$S$1204,"",INDEX($T$5:$AJ$1204,MATCH(1098,$S$5:$S$1204,0),10))</f>
        <v/>
      </c>
      <c r="K1102" s="8" t="str">
        <f t="array" ref="K1102">IF(1098&gt;$S$1204,"",INDEX($T$5:$AJ$1204,MATCH(1098,$S$5:$S$1204,0),11))</f>
        <v/>
      </c>
      <c r="L1102" s="8" t="str">
        <f t="array" ref="L1102">IF(1098&gt;$S$1204,"",INDEX($T$5:$AJ$1204,MATCH(1098,$S$5:$S$1204,0),12))</f>
        <v/>
      </c>
      <c r="M1102" s="8" t="str">
        <f t="array" ref="M1102">IF(1098&gt;$S$1204,"",INDEX($T$5:$AJ$1204,MATCH(1098,$S$5:$S$1204,0),13))</f>
        <v/>
      </c>
      <c r="N1102" s="8" t="str">
        <f t="array" ref="N1102">IF(1098&gt;$S$1204,"",INDEX($T$5:$AJ$1204,MATCH(1098,$S$5:$S$1204,0),14))</f>
        <v/>
      </c>
      <c r="O1102" s="15" t="str">
        <f t="array" ref="O1102">IF(1098&gt;$S$1204,"",INDEX($T$5:$AJ$1204,MATCH(1098,$S$5:$S$1204,0),15))</f>
        <v/>
      </c>
      <c r="P1102" s="8" t="str">
        <f t="array" ref="P1102">IF(1098&gt;$S$1204,"",INDEX($T$5:$AJ$1204,MATCH(1098,$S$5:$S$1204,0),16))</f>
        <v/>
      </c>
      <c r="Q1102" s="8" t="str">
        <f t="array" ref="Q1102">IF(1098&gt;$S$1204,"",INDEX($T$5:$AJ$1204,MATCH(1098,$S$5:$S$1204,0),17))</f>
        <v/>
      </c>
      <c r="R1102" s="17"/>
      <c r="S1102" s="17">
        <f>S1101+IF(M6_Puntos_Control!A106="",0,1)</f>
        <v>0</v>
      </c>
      <c r="T1102" s="17" t="str">
        <f>IF(M6_Puntos_Control!A106="","",IF(M6_Puntos_Control!A106="","",M6_Puntos_Control!A106))</f>
        <v/>
      </c>
      <c r="U1102" s="17" t="str">
        <f>IF(M6_Puntos_Control!A106="","",IF(M6_Puntos_Control!R106="","",M6_Puntos_Control!R106))</f>
        <v/>
      </c>
      <c r="V1102" s="17" t="str">
        <f>IF(M6_Puntos_Control!A106="","",IF(M6_Puntos_Control!D106="","",M6_Puntos_Control!D106))</f>
        <v/>
      </c>
      <c r="W1102" s="17" t="str">
        <f>IF(M6_Puntos_Control!A106="","",IF(M6_Puntos_Control!B106="","",M6_Puntos_Control!B106))</f>
        <v/>
      </c>
      <c r="X1102" s="17" t="str">
        <f>IF(M6_Puntos_Control!A106="","",IF(M6_Puntos_Control!C106="","",M6_Puntos_Control!C106))</f>
        <v/>
      </c>
      <c r="Y1102" s="17" t="str">
        <f>IF(M6_Puntos_Control!A106="","",IF(M6_Puntos_Control!E106="","",M6_Puntos_Control!E106))</f>
        <v/>
      </c>
      <c r="Z1102" s="17" t="str">
        <f>IF(M6_Puntos_Control!A106="","",IF(M6_Puntos_Control!F106="","",M6_Puntos_Control!F106))</f>
        <v/>
      </c>
      <c r="AA1102" s="17" t="str">
        <f>IF(M6_Puntos_Control!A106="","","M6 Puntos de control")</f>
        <v/>
      </c>
      <c r="AB1102" s="17" t="str">
        <f>IF(M6_Puntos_Control!A106="","",IF(M6_Puntos_Control!G106="","",M6_Puntos_Control!G106))</f>
        <v/>
      </c>
      <c r="AC1102" s="17" t="str">
        <f>IF(M6_Puntos_Control!A106="","",IF(M6_Puntos_Control!K106="Sí",IF(COUNTIFS(M6_Puntos_Control!$A$9:A106,M6_Puntos_Control!A106,M6_Puntos_Control!$D$9:D106,M6_Puntos_Control!D106,M6_Puntos_Control!$G$9:G106,M6_Puntos_Control!G106,M6_Puntos_Control!$H$9:H106,M6_Puntos_Control!H106,M6_Puntos_Control!$K$9:K106,"Sí")=1,IF(M6_Puntos_Control!M106="","",M6_Puntos_Control!M106),""),""))</f>
        <v/>
      </c>
      <c r="AD1102" s="17" t="str">
        <f>IF(M6_Puntos_Control!A106="","","RD")</f>
        <v/>
      </c>
      <c r="AE1102" s="17" t="str">
        <f>IF(M6_Puntos_Control!A106="","",IF(M6_Puntos_Control!O106="","",M6_Puntos_Control!O106))</f>
        <v/>
      </c>
      <c r="AF1102" s="17" t="str">
        <f>IF(M6_Puntos_Control!A106="","",IF(M6_Puntos_Control!P106="","",M6_Puntos_Control!P106))</f>
        <v/>
      </c>
      <c r="AG1102" s="17" t="str">
        <f>IF(M6_Puntos_Control!A106="","",IF(M6_Puntos_Control!Q106="","",M6_Puntos_Control!Q106))</f>
        <v/>
      </c>
      <c r="AH1102" s="17" t="str">
        <f>IF(M6_Puntos_Control!A106="","",IF(M6_Puntos_Control!I106="","",M6_Puntos_Control!I106))</f>
        <v/>
      </c>
      <c r="AI1102" s="17" t="str">
        <f>IF(M6_Puntos_Control!A106="","","M6_Puntos_Control!106")</f>
        <v/>
      </c>
      <c r="AJ1102" s="17" t="str">
        <f>IF(M6_Puntos_Control!A106="","",IF(M6_Puntos_Control!K106&lt;&gt;"Sí","Punto de comparación",IF(COUNTIFS(M6_Puntos_Control!$A$9:A106,M6_Puntos_Control!A106,M6_Puntos_Control!$D$9:D106,M6_Puntos_Control!D106,M6_Puntos_Control!$G$9:G106,M6_Puntos_Control!G106,M6_Puntos_Control!$H$9:H106,M6_Puntos_Control!H106,M6_Puntos_Control!$K$9:K106,"Sí")=1,IF(M6_Puntos_Control!M106="","Pendiente de resultado","Punto oficial"),"Revisar: varios puntos oficiales")))</f>
        <v/>
      </c>
    </row>
    <row r="1103" spans="1:36" ht="55.5" customHeight="1">
      <c r="A1103" s="6" t="str">
        <f t="array" ref="A1103">IF(1099&gt;$S$1204,"",INDEX($T$5:$AJ$1204,MATCH(1099,$S$5:$S$1204,0),1))</f>
        <v/>
      </c>
      <c r="B1103" s="8" t="str">
        <f t="array" ref="B1103">IF(1099&gt;$S$1204,"",INDEX($T$5:$AJ$1204,MATCH(1099,$S$5:$S$1204,0),2))</f>
        <v/>
      </c>
      <c r="C1103" s="10" t="str">
        <f t="array" ref="C1103">IF(1099&gt;$S$1204,"",INDEX($T$5:$AJ$1204,MATCH(1099,$S$5:$S$1204,0),3))</f>
        <v/>
      </c>
      <c r="D1103" s="8" t="str">
        <f t="array" ref="D1103">IF(1099&gt;$S$1204,"",INDEX($T$5:$AJ$1204,MATCH(1099,$S$5:$S$1204,0),4))</f>
        <v/>
      </c>
      <c r="E1103" s="8" t="str">
        <f t="array" ref="E1103">IF(1099&gt;$S$1204,"",INDEX($T$5:$AJ$1204,MATCH(1099,$S$5:$S$1204,0),5))</f>
        <v/>
      </c>
      <c r="F1103" s="8" t="str">
        <f t="array" ref="F1103">IF(1099&gt;$S$1204,"",INDEX($T$5:$AJ$1204,MATCH(1099,$S$5:$S$1204,0),6))</f>
        <v/>
      </c>
      <c r="G1103" s="8" t="str">
        <f t="array" ref="G1103">IF(1099&gt;$S$1204,"",INDEX($T$5:$AJ$1204,MATCH(1099,$S$5:$S$1204,0),7))</f>
        <v/>
      </c>
      <c r="H1103" s="8" t="str">
        <f t="array" ref="H1103">IF(1099&gt;$S$1204,"",INDEX($T$5:$AJ$1204,MATCH(1099,$S$5:$S$1204,0),8))</f>
        <v/>
      </c>
      <c r="I1103" s="8" t="str">
        <f t="array" ref="I1103">IF(1099&gt;$S$1204,"",INDEX($T$5:$AJ$1204,MATCH(1099,$S$5:$S$1204,0),9))</f>
        <v/>
      </c>
      <c r="J1103" s="14" t="str">
        <f t="array" ref="J1103">IF(1099&gt;$S$1204,"",INDEX($T$5:$AJ$1204,MATCH(1099,$S$5:$S$1204,0),10))</f>
        <v/>
      </c>
      <c r="K1103" s="8" t="str">
        <f t="array" ref="K1103">IF(1099&gt;$S$1204,"",INDEX($T$5:$AJ$1204,MATCH(1099,$S$5:$S$1204,0),11))</f>
        <v/>
      </c>
      <c r="L1103" s="8" t="str">
        <f t="array" ref="L1103">IF(1099&gt;$S$1204,"",INDEX($T$5:$AJ$1204,MATCH(1099,$S$5:$S$1204,0),12))</f>
        <v/>
      </c>
      <c r="M1103" s="8" t="str">
        <f t="array" ref="M1103">IF(1099&gt;$S$1204,"",INDEX($T$5:$AJ$1204,MATCH(1099,$S$5:$S$1204,0),13))</f>
        <v/>
      </c>
      <c r="N1103" s="8" t="str">
        <f t="array" ref="N1103">IF(1099&gt;$S$1204,"",INDEX($T$5:$AJ$1204,MATCH(1099,$S$5:$S$1204,0),14))</f>
        <v/>
      </c>
      <c r="O1103" s="15" t="str">
        <f t="array" ref="O1103">IF(1099&gt;$S$1204,"",INDEX($T$5:$AJ$1204,MATCH(1099,$S$5:$S$1204,0),15))</f>
        <v/>
      </c>
      <c r="P1103" s="8" t="str">
        <f t="array" ref="P1103">IF(1099&gt;$S$1204,"",INDEX($T$5:$AJ$1204,MATCH(1099,$S$5:$S$1204,0),16))</f>
        <v/>
      </c>
      <c r="Q1103" s="8" t="str">
        <f t="array" ref="Q1103">IF(1099&gt;$S$1204,"",INDEX($T$5:$AJ$1204,MATCH(1099,$S$5:$S$1204,0),17))</f>
        <v/>
      </c>
      <c r="R1103" s="17"/>
      <c r="S1103" s="17">
        <f>S1102+IF(M6_Puntos_Control!A107="",0,1)</f>
        <v>0</v>
      </c>
      <c r="T1103" s="17" t="str">
        <f>IF(M6_Puntos_Control!A107="","",IF(M6_Puntos_Control!A107="","",M6_Puntos_Control!A107))</f>
        <v/>
      </c>
      <c r="U1103" s="17" t="str">
        <f>IF(M6_Puntos_Control!A107="","",IF(M6_Puntos_Control!R107="","",M6_Puntos_Control!R107))</f>
        <v/>
      </c>
      <c r="V1103" s="17" t="str">
        <f>IF(M6_Puntos_Control!A107="","",IF(M6_Puntos_Control!D107="","",M6_Puntos_Control!D107))</f>
        <v/>
      </c>
      <c r="W1103" s="17" t="str">
        <f>IF(M6_Puntos_Control!A107="","",IF(M6_Puntos_Control!B107="","",M6_Puntos_Control!B107))</f>
        <v/>
      </c>
      <c r="X1103" s="17" t="str">
        <f>IF(M6_Puntos_Control!A107="","",IF(M6_Puntos_Control!C107="","",M6_Puntos_Control!C107))</f>
        <v/>
      </c>
      <c r="Y1103" s="17" t="str">
        <f>IF(M6_Puntos_Control!A107="","",IF(M6_Puntos_Control!E107="","",M6_Puntos_Control!E107))</f>
        <v/>
      </c>
      <c r="Z1103" s="17" t="str">
        <f>IF(M6_Puntos_Control!A107="","",IF(M6_Puntos_Control!F107="","",M6_Puntos_Control!F107))</f>
        <v/>
      </c>
      <c r="AA1103" s="17" t="str">
        <f>IF(M6_Puntos_Control!A107="","","M6 Puntos de control")</f>
        <v/>
      </c>
      <c r="AB1103" s="17" t="str">
        <f>IF(M6_Puntos_Control!A107="","",IF(M6_Puntos_Control!G107="","",M6_Puntos_Control!G107))</f>
        <v/>
      </c>
      <c r="AC1103" s="17" t="str">
        <f>IF(M6_Puntos_Control!A107="","",IF(M6_Puntos_Control!K107="Sí",IF(COUNTIFS(M6_Puntos_Control!$A$9:A107,M6_Puntos_Control!A107,M6_Puntos_Control!$D$9:D107,M6_Puntos_Control!D107,M6_Puntos_Control!$G$9:G107,M6_Puntos_Control!G107,M6_Puntos_Control!$H$9:H107,M6_Puntos_Control!H107,M6_Puntos_Control!$K$9:K107,"Sí")=1,IF(M6_Puntos_Control!M107="","",M6_Puntos_Control!M107),""),""))</f>
        <v/>
      </c>
      <c r="AD1103" s="17" t="str">
        <f>IF(M6_Puntos_Control!A107="","","RD")</f>
        <v/>
      </c>
      <c r="AE1103" s="17" t="str">
        <f>IF(M6_Puntos_Control!A107="","",IF(M6_Puntos_Control!O107="","",M6_Puntos_Control!O107))</f>
        <v/>
      </c>
      <c r="AF1103" s="17" t="str">
        <f>IF(M6_Puntos_Control!A107="","",IF(M6_Puntos_Control!P107="","",M6_Puntos_Control!P107))</f>
        <v/>
      </c>
      <c r="AG1103" s="17" t="str">
        <f>IF(M6_Puntos_Control!A107="","",IF(M6_Puntos_Control!Q107="","",M6_Puntos_Control!Q107))</f>
        <v/>
      </c>
      <c r="AH1103" s="17" t="str">
        <f>IF(M6_Puntos_Control!A107="","",IF(M6_Puntos_Control!I107="","",M6_Puntos_Control!I107))</f>
        <v/>
      </c>
      <c r="AI1103" s="17" t="str">
        <f>IF(M6_Puntos_Control!A107="","","M6_Puntos_Control!107")</f>
        <v/>
      </c>
      <c r="AJ1103" s="17" t="str">
        <f>IF(M6_Puntos_Control!A107="","",IF(M6_Puntos_Control!K107&lt;&gt;"Sí","Punto de comparación",IF(COUNTIFS(M6_Puntos_Control!$A$9:A107,M6_Puntos_Control!A107,M6_Puntos_Control!$D$9:D107,M6_Puntos_Control!D107,M6_Puntos_Control!$G$9:G107,M6_Puntos_Control!G107,M6_Puntos_Control!$H$9:H107,M6_Puntos_Control!H107,M6_Puntos_Control!$K$9:K107,"Sí")=1,IF(M6_Puntos_Control!M107="","Pendiente de resultado","Punto oficial"),"Revisar: varios puntos oficiales")))</f>
        <v/>
      </c>
    </row>
    <row r="1104" spans="1:36" ht="55.5" customHeight="1">
      <c r="A1104" s="6" t="str">
        <f t="array" ref="A1104">IF(1100&gt;$S$1204,"",INDEX($T$5:$AJ$1204,MATCH(1100,$S$5:$S$1204,0),1))</f>
        <v/>
      </c>
      <c r="B1104" s="8" t="str">
        <f t="array" ref="B1104">IF(1100&gt;$S$1204,"",INDEX($T$5:$AJ$1204,MATCH(1100,$S$5:$S$1204,0),2))</f>
        <v/>
      </c>
      <c r="C1104" s="10" t="str">
        <f t="array" ref="C1104">IF(1100&gt;$S$1204,"",INDEX($T$5:$AJ$1204,MATCH(1100,$S$5:$S$1204,0),3))</f>
        <v/>
      </c>
      <c r="D1104" s="8" t="str">
        <f t="array" ref="D1104">IF(1100&gt;$S$1204,"",INDEX($T$5:$AJ$1204,MATCH(1100,$S$5:$S$1204,0),4))</f>
        <v/>
      </c>
      <c r="E1104" s="8" t="str">
        <f t="array" ref="E1104">IF(1100&gt;$S$1204,"",INDEX($T$5:$AJ$1204,MATCH(1100,$S$5:$S$1204,0),5))</f>
        <v/>
      </c>
      <c r="F1104" s="8" t="str">
        <f t="array" ref="F1104">IF(1100&gt;$S$1204,"",INDEX($T$5:$AJ$1204,MATCH(1100,$S$5:$S$1204,0),6))</f>
        <v/>
      </c>
      <c r="G1104" s="8" t="str">
        <f t="array" ref="G1104">IF(1100&gt;$S$1204,"",INDEX($T$5:$AJ$1204,MATCH(1100,$S$5:$S$1204,0),7))</f>
        <v/>
      </c>
      <c r="H1104" s="8" t="str">
        <f t="array" ref="H1104">IF(1100&gt;$S$1204,"",INDEX($T$5:$AJ$1204,MATCH(1100,$S$5:$S$1204,0),8))</f>
        <v/>
      </c>
      <c r="I1104" s="8" t="str">
        <f t="array" ref="I1104">IF(1100&gt;$S$1204,"",INDEX($T$5:$AJ$1204,MATCH(1100,$S$5:$S$1204,0),9))</f>
        <v/>
      </c>
      <c r="J1104" s="14" t="str">
        <f t="array" ref="J1104">IF(1100&gt;$S$1204,"",INDEX($T$5:$AJ$1204,MATCH(1100,$S$5:$S$1204,0),10))</f>
        <v/>
      </c>
      <c r="K1104" s="8" t="str">
        <f t="array" ref="K1104">IF(1100&gt;$S$1204,"",INDEX($T$5:$AJ$1204,MATCH(1100,$S$5:$S$1204,0),11))</f>
        <v/>
      </c>
      <c r="L1104" s="8" t="str">
        <f t="array" ref="L1104">IF(1100&gt;$S$1204,"",INDEX($T$5:$AJ$1204,MATCH(1100,$S$5:$S$1204,0),12))</f>
        <v/>
      </c>
      <c r="M1104" s="8" t="str">
        <f t="array" ref="M1104">IF(1100&gt;$S$1204,"",INDEX($T$5:$AJ$1204,MATCH(1100,$S$5:$S$1204,0),13))</f>
        <v/>
      </c>
      <c r="N1104" s="8" t="str">
        <f t="array" ref="N1104">IF(1100&gt;$S$1204,"",INDEX($T$5:$AJ$1204,MATCH(1100,$S$5:$S$1204,0),14))</f>
        <v/>
      </c>
      <c r="O1104" s="15" t="str">
        <f t="array" ref="O1104">IF(1100&gt;$S$1204,"",INDEX($T$5:$AJ$1204,MATCH(1100,$S$5:$S$1204,0),15))</f>
        <v/>
      </c>
      <c r="P1104" s="8" t="str">
        <f t="array" ref="P1104">IF(1100&gt;$S$1204,"",INDEX($T$5:$AJ$1204,MATCH(1100,$S$5:$S$1204,0),16))</f>
        <v/>
      </c>
      <c r="Q1104" s="8" t="str">
        <f t="array" ref="Q1104">IF(1100&gt;$S$1204,"",INDEX($T$5:$AJ$1204,MATCH(1100,$S$5:$S$1204,0),17))</f>
        <v/>
      </c>
      <c r="R1104" s="17"/>
      <c r="S1104" s="17">
        <f>S1103+IF(M6_Puntos_Control!A108="",0,1)</f>
        <v>0</v>
      </c>
      <c r="T1104" s="17" t="str">
        <f>IF(M6_Puntos_Control!A108="","",IF(M6_Puntos_Control!A108="","",M6_Puntos_Control!A108))</f>
        <v/>
      </c>
      <c r="U1104" s="17" t="str">
        <f>IF(M6_Puntos_Control!A108="","",IF(M6_Puntos_Control!R108="","",M6_Puntos_Control!R108))</f>
        <v/>
      </c>
      <c r="V1104" s="17" t="str">
        <f>IF(M6_Puntos_Control!A108="","",IF(M6_Puntos_Control!D108="","",M6_Puntos_Control!D108))</f>
        <v/>
      </c>
      <c r="W1104" s="17" t="str">
        <f>IF(M6_Puntos_Control!A108="","",IF(M6_Puntos_Control!B108="","",M6_Puntos_Control!B108))</f>
        <v/>
      </c>
      <c r="X1104" s="17" t="str">
        <f>IF(M6_Puntos_Control!A108="","",IF(M6_Puntos_Control!C108="","",M6_Puntos_Control!C108))</f>
        <v/>
      </c>
      <c r="Y1104" s="17" t="str">
        <f>IF(M6_Puntos_Control!A108="","",IF(M6_Puntos_Control!E108="","",M6_Puntos_Control!E108))</f>
        <v/>
      </c>
      <c r="Z1104" s="17" t="str">
        <f>IF(M6_Puntos_Control!A108="","",IF(M6_Puntos_Control!F108="","",M6_Puntos_Control!F108))</f>
        <v/>
      </c>
      <c r="AA1104" s="17" t="str">
        <f>IF(M6_Puntos_Control!A108="","","M6 Puntos de control")</f>
        <v/>
      </c>
      <c r="AB1104" s="17" t="str">
        <f>IF(M6_Puntos_Control!A108="","",IF(M6_Puntos_Control!G108="","",M6_Puntos_Control!G108))</f>
        <v/>
      </c>
      <c r="AC1104" s="17" t="str">
        <f>IF(M6_Puntos_Control!A108="","",IF(M6_Puntos_Control!K108="Sí",IF(COUNTIFS(M6_Puntos_Control!$A$9:A108,M6_Puntos_Control!A108,M6_Puntos_Control!$D$9:D108,M6_Puntos_Control!D108,M6_Puntos_Control!$G$9:G108,M6_Puntos_Control!G108,M6_Puntos_Control!$H$9:H108,M6_Puntos_Control!H108,M6_Puntos_Control!$K$9:K108,"Sí")=1,IF(M6_Puntos_Control!M108="","",M6_Puntos_Control!M108),""),""))</f>
        <v/>
      </c>
      <c r="AD1104" s="17" t="str">
        <f>IF(M6_Puntos_Control!A108="","","RD")</f>
        <v/>
      </c>
      <c r="AE1104" s="17" t="str">
        <f>IF(M6_Puntos_Control!A108="","",IF(M6_Puntos_Control!O108="","",M6_Puntos_Control!O108))</f>
        <v/>
      </c>
      <c r="AF1104" s="17" t="str">
        <f>IF(M6_Puntos_Control!A108="","",IF(M6_Puntos_Control!P108="","",M6_Puntos_Control!P108))</f>
        <v/>
      </c>
      <c r="AG1104" s="17" t="str">
        <f>IF(M6_Puntos_Control!A108="","",IF(M6_Puntos_Control!Q108="","",M6_Puntos_Control!Q108))</f>
        <v/>
      </c>
      <c r="AH1104" s="17" t="str">
        <f>IF(M6_Puntos_Control!A108="","",IF(M6_Puntos_Control!I108="","",M6_Puntos_Control!I108))</f>
        <v/>
      </c>
      <c r="AI1104" s="17" t="str">
        <f>IF(M6_Puntos_Control!A108="","","M6_Puntos_Control!108")</f>
        <v/>
      </c>
      <c r="AJ1104" s="17" t="str">
        <f>IF(M6_Puntos_Control!A108="","",IF(M6_Puntos_Control!K108&lt;&gt;"Sí","Punto de comparación",IF(COUNTIFS(M6_Puntos_Control!$A$9:A108,M6_Puntos_Control!A108,M6_Puntos_Control!$D$9:D108,M6_Puntos_Control!D108,M6_Puntos_Control!$G$9:G108,M6_Puntos_Control!G108,M6_Puntos_Control!$H$9:H108,M6_Puntos_Control!H108,M6_Puntos_Control!$K$9:K108,"Sí")=1,IF(M6_Puntos_Control!M108="","Pendiente de resultado","Punto oficial"),"Revisar: varios puntos oficiales")))</f>
        <v/>
      </c>
    </row>
    <row r="1105" spans="1:36" ht="55.5" customHeight="1">
      <c r="A1105" s="6" t="str">
        <f t="array" ref="A1105">IF(1101&gt;$S$1204,"",INDEX($T$5:$AJ$1204,MATCH(1101,$S$5:$S$1204,0),1))</f>
        <v/>
      </c>
      <c r="B1105" s="8" t="str">
        <f t="array" ref="B1105">IF(1101&gt;$S$1204,"",INDEX($T$5:$AJ$1204,MATCH(1101,$S$5:$S$1204,0),2))</f>
        <v/>
      </c>
      <c r="C1105" s="10" t="str">
        <f t="array" ref="C1105">IF(1101&gt;$S$1204,"",INDEX($T$5:$AJ$1204,MATCH(1101,$S$5:$S$1204,0),3))</f>
        <v/>
      </c>
      <c r="D1105" s="8" t="str">
        <f t="array" ref="D1105">IF(1101&gt;$S$1204,"",INDEX($T$5:$AJ$1204,MATCH(1101,$S$5:$S$1204,0),4))</f>
        <v/>
      </c>
      <c r="E1105" s="8" t="str">
        <f t="array" ref="E1105">IF(1101&gt;$S$1204,"",INDEX($T$5:$AJ$1204,MATCH(1101,$S$5:$S$1204,0),5))</f>
        <v/>
      </c>
      <c r="F1105" s="8" t="str">
        <f t="array" ref="F1105">IF(1101&gt;$S$1204,"",INDEX($T$5:$AJ$1204,MATCH(1101,$S$5:$S$1204,0),6))</f>
        <v/>
      </c>
      <c r="G1105" s="8" t="str">
        <f t="array" ref="G1105">IF(1101&gt;$S$1204,"",INDEX($T$5:$AJ$1204,MATCH(1101,$S$5:$S$1204,0),7))</f>
        <v/>
      </c>
      <c r="H1105" s="8" t="str">
        <f t="array" ref="H1105">IF(1101&gt;$S$1204,"",INDEX($T$5:$AJ$1204,MATCH(1101,$S$5:$S$1204,0),8))</f>
        <v/>
      </c>
      <c r="I1105" s="8" t="str">
        <f t="array" ref="I1105">IF(1101&gt;$S$1204,"",INDEX($T$5:$AJ$1204,MATCH(1101,$S$5:$S$1204,0),9))</f>
        <v/>
      </c>
      <c r="J1105" s="14" t="str">
        <f t="array" ref="J1105">IF(1101&gt;$S$1204,"",INDEX($T$5:$AJ$1204,MATCH(1101,$S$5:$S$1204,0),10))</f>
        <v/>
      </c>
      <c r="K1105" s="8" t="str">
        <f t="array" ref="K1105">IF(1101&gt;$S$1204,"",INDEX($T$5:$AJ$1204,MATCH(1101,$S$5:$S$1204,0),11))</f>
        <v/>
      </c>
      <c r="L1105" s="8" t="str">
        <f t="array" ref="L1105">IF(1101&gt;$S$1204,"",INDEX($T$5:$AJ$1204,MATCH(1101,$S$5:$S$1204,0),12))</f>
        <v/>
      </c>
      <c r="M1105" s="8" t="str">
        <f t="array" ref="M1105">IF(1101&gt;$S$1204,"",INDEX($T$5:$AJ$1204,MATCH(1101,$S$5:$S$1204,0),13))</f>
        <v/>
      </c>
      <c r="N1105" s="8" t="str">
        <f t="array" ref="N1105">IF(1101&gt;$S$1204,"",INDEX($T$5:$AJ$1204,MATCH(1101,$S$5:$S$1204,0),14))</f>
        <v/>
      </c>
      <c r="O1105" s="15" t="str">
        <f t="array" ref="O1105">IF(1101&gt;$S$1204,"",INDEX($T$5:$AJ$1204,MATCH(1101,$S$5:$S$1204,0),15))</f>
        <v/>
      </c>
      <c r="P1105" s="8" t="str">
        <f t="array" ref="P1105">IF(1101&gt;$S$1204,"",INDEX($T$5:$AJ$1204,MATCH(1101,$S$5:$S$1204,0),16))</f>
        <v/>
      </c>
      <c r="Q1105" s="8" t="str">
        <f t="array" ref="Q1105">IF(1101&gt;$S$1204,"",INDEX($T$5:$AJ$1204,MATCH(1101,$S$5:$S$1204,0),17))</f>
        <v/>
      </c>
      <c r="R1105" s="17"/>
      <c r="S1105" s="17">
        <f>S1104+IF(M6_Puntos_Control!A109="",0,1)</f>
        <v>0</v>
      </c>
      <c r="T1105" s="17" t="str">
        <f>IF(M6_Puntos_Control!A109="","",IF(M6_Puntos_Control!A109="","",M6_Puntos_Control!A109))</f>
        <v/>
      </c>
      <c r="U1105" s="17" t="str">
        <f>IF(M6_Puntos_Control!A109="","",IF(M6_Puntos_Control!R109="","",M6_Puntos_Control!R109))</f>
        <v/>
      </c>
      <c r="V1105" s="17" t="str">
        <f>IF(M6_Puntos_Control!A109="","",IF(M6_Puntos_Control!D109="","",M6_Puntos_Control!D109))</f>
        <v/>
      </c>
      <c r="W1105" s="17" t="str">
        <f>IF(M6_Puntos_Control!A109="","",IF(M6_Puntos_Control!B109="","",M6_Puntos_Control!B109))</f>
        <v/>
      </c>
      <c r="X1105" s="17" t="str">
        <f>IF(M6_Puntos_Control!A109="","",IF(M6_Puntos_Control!C109="","",M6_Puntos_Control!C109))</f>
        <v/>
      </c>
      <c r="Y1105" s="17" t="str">
        <f>IF(M6_Puntos_Control!A109="","",IF(M6_Puntos_Control!E109="","",M6_Puntos_Control!E109))</f>
        <v/>
      </c>
      <c r="Z1105" s="17" t="str">
        <f>IF(M6_Puntos_Control!A109="","",IF(M6_Puntos_Control!F109="","",M6_Puntos_Control!F109))</f>
        <v/>
      </c>
      <c r="AA1105" s="17" t="str">
        <f>IF(M6_Puntos_Control!A109="","","M6 Puntos de control")</f>
        <v/>
      </c>
      <c r="AB1105" s="17" t="str">
        <f>IF(M6_Puntos_Control!A109="","",IF(M6_Puntos_Control!G109="","",M6_Puntos_Control!G109))</f>
        <v/>
      </c>
      <c r="AC1105" s="17" t="str">
        <f>IF(M6_Puntos_Control!A109="","",IF(M6_Puntos_Control!K109="Sí",IF(COUNTIFS(M6_Puntos_Control!$A$9:A109,M6_Puntos_Control!A109,M6_Puntos_Control!$D$9:D109,M6_Puntos_Control!D109,M6_Puntos_Control!$G$9:G109,M6_Puntos_Control!G109,M6_Puntos_Control!$H$9:H109,M6_Puntos_Control!H109,M6_Puntos_Control!$K$9:K109,"Sí")=1,IF(M6_Puntos_Control!M109="","",M6_Puntos_Control!M109),""),""))</f>
        <v/>
      </c>
      <c r="AD1105" s="17" t="str">
        <f>IF(M6_Puntos_Control!A109="","","RD")</f>
        <v/>
      </c>
      <c r="AE1105" s="17" t="str">
        <f>IF(M6_Puntos_Control!A109="","",IF(M6_Puntos_Control!O109="","",M6_Puntos_Control!O109))</f>
        <v/>
      </c>
      <c r="AF1105" s="17" t="str">
        <f>IF(M6_Puntos_Control!A109="","",IF(M6_Puntos_Control!P109="","",M6_Puntos_Control!P109))</f>
        <v/>
      </c>
      <c r="AG1105" s="17" t="str">
        <f>IF(M6_Puntos_Control!A109="","",IF(M6_Puntos_Control!Q109="","",M6_Puntos_Control!Q109))</f>
        <v/>
      </c>
      <c r="AH1105" s="17" t="str">
        <f>IF(M6_Puntos_Control!A109="","",IF(M6_Puntos_Control!I109="","",M6_Puntos_Control!I109))</f>
        <v/>
      </c>
      <c r="AI1105" s="17" t="str">
        <f>IF(M6_Puntos_Control!A109="","","M6_Puntos_Control!109")</f>
        <v/>
      </c>
      <c r="AJ1105" s="17" t="str">
        <f>IF(M6_Puntos_Control!A109="","",IF(M6_Puntos_Control!K109&lt;&gt;"Sí","Punto de comparación",IF(COUNTIFS(M6_Puntos_Control!$A$9:A109,M6_Puntos_Control!A109,M6_Puntos_Control!$D$9:D109,M6_Puntos_Control!D109,M6_Puntos_Control!$G$9:G109,M6_Puntos_Control!G109,M6_Puntos_Control!$H$9:H109,M6_Puntos_Control!H109,M6_Puntos_Control!$K$9:K109,"Sí")=1,IF(M6_Puntos_Control!M109="","Pendiente de resultado","Punto oficial"),"Revisar: varios puntos oficiales")))</f>
        <v/>
      </c>
    </row>
    <row r="1106" spans="1:36" ht="55.5" customHeight="1">
      <c r="A1106" s="6" t="str">
        <f t="array" ref="A1106">IF(1102&gt;$S$1204,"",INDEX($T$5:$AJ$1204,MATCH(1102,$S$5:$S$1204,0),1))</f>
        <v/>
      </c>
      <c r="B1106" s="8" t="str">
        <f t="array" ref="B1106">IF(1102&gt;$S$1204,"",INDEX($T$5:$AJ$1204,MATCH(1102,$S$5:$S$1204,0),2))</f>
        <v/>
      </c>
      <c r="C1106" s="10" t="str">
        <f t="array" ref="C1106">IF(1102&gt;$S$1204,"",INDEX($T$5:$AJ$1204,MATCH(1102,$S$5:$S$1204,0),3))</f>
        <v/>
      </c>
      <c r="D1106" s="8" t="str">
        <f t="array" ref="D1106">IF(1102&gt;$S$1204,"",INDEX($T$5:$AJ$1204,MATCH(1102,$S$5:$S$1204,0),4))</f>
        <v/>
      </c>
      <c r="E1106" s="8" t="str">
        <f t="array" ref="E1106">IF(1102&gt;$S$1204,"",INDEX($T$5:$AJ$1204,MATCH(1102,$S$5:$S$1204,0),5))</f>
        <v/>
      </c>
      <c r="F1106" s="8" t="str">
        <f t="array" ref="F1106">IF(1102&gt;$S$1204,"",INDEX($T$5:$AJ$1204,MATCH(1102,$S$5:$S$1204,0),6))</f>
        <v/>
      </c>
      <c r="G1106" s="8" t="str">
        <f t="array" ref="G1106">IF(1102&gt;$S$1204,"",INDEX($T$5:$AJ$1204,MATCH(1102,$S$5:$S$1204,0),7))</f>
        <v/>
      </c>
      <c r="H1106" s="8" t="str">
        <f t="array" ref="H1106">IF(1102&gt;$S$1204,"",INDEX($T$5:$AJ$1204,MATCH(1102,$S$5:$S$1204,0),8))</f>
        <v/>
      </c>
      <c r="I1106" s="8" t="str">
        <f t="array" ref="I1106">IF(1102&gt;$S$1204,"",INDEX($T$5:$AJ$1204,MATCH(1102,$S$5:$S$1204,0),9))</f>
        <v/>
      </c>
      <c r="J1106" s="14" t="str">
        <f t="array" ref="J1106">IF(1102&gt;$S$1204,"",INDEX($T$5:$AJ$1204,MATCH(1102,$S$5:$S$1204,0),10))</f>
        <v/>
      </c>
      <c r="K1106" s="8" t="str">
        <f t="array" ref="K1106">IF(1102&gt;$S$1204,"",INDEX($T$5:$AJ$1204,MATCH(1102,$S$5:$S$1204,0),11))</f>
        <v/>
      </c>
      <c r="L1106" s="8" t="str">
        <f t="array" ref="L1106">IF(1102&gt;$S$1204,"",INDEX($T$5:$AJ$1204,MATCH(1102,$S$5:$S$1204,0),12))</f>
        <v/>
      </c>
      <c r="M1106" s="8" t="str">
        <f t="array" ref="M1106">IF(1102&gt;$S$1204,"",INDEX($T$5:$AJ$1204,MATCH(1102,$S$5:$S$1204,0),13))</f>
        <v/>
      </c>
      <c r="N1106" s="8" t="str">
        <f t="array" ref="N1106">IF(1102&gt;$S$1204,"",INDEX($T$5:$AJ$1204,MATCH(1102,$S$5:$S$1204,0),14))</f>
        <v/>
      </c>
      <c r="O1106" s="15" t="str">
        <f t="array" ref="O1106">IF(1102&gt;$S$1204,"",INDEX($T$5:$AJ$1204,MATCH(1102,$S$5:$S$1204,0),15))</f>
        <v/>
      </c>
      <c r="P1106" s="8" t="str">
        <f t="array" ref="P1106">IF(1102&gt;$S$1204,"",INDEX($T$5:$AJ$1204,MATCH(1102,$S$5:$S$1204,0),16))</f>
        <v/>
      </c>
      <c r="Q1106" s="8" t="str">
        <f t="array" ref="Q1106">IF(1102&gt;$S$1204,"",INDEX($T$5:$AJ$1204,MATCH(1102,$S$5:$S$1204,0),17))</f>
        <v/>
      </c>
      <c r="R1106" s="17"/>
      <c r="S1106" s="17">
        <f>S1105+IF(M6_Puntos_Control!A110="",0,1)</f>
        <v>0</v>
      </c>
      <c r="T1106" s="17" t="str">
        <f>IF(M6_Puntos_Control!A110="","",IF(M6_Puntos_Control!A110="","",M6_Puntos_Control!A110))</f>
        <v/>
      </c>
      <c r="U1106" s="17" t="str">
        <f>IF(M6_Puntos_Control!A110="","",IF(M6_Puntos_Control!R110="","",M6_Puntos_Control!R110))</f>
        <v/>
      </c>
      <c r="V1106" s="17" t="str">
        <f>IF(M6_Puntos_Control!A110="","",IF(M6_Puntos_Control!D110="","",M6_Puntos_Control!D110))</f>
        <v/>
      </c>
      <c r="W1106" s="17" t="str">
        <f>IF(M6_Puntos_Control!A110="","",IF(M6_Puntos_Control!B110="","",M6_Puntos_Control!B110))</f>
        <v/>
      </c>
      <c r="X1106" s="17" t="str">
        <f>IF(M6_Puntos_Control!A110="","",IF(M6_Puntos_Control!C110="","",M6_Puntos_Control!C110))</f>
        <v/>
      </c>
      <c r="Y1106" s="17" t="str">
        <f>IF(M6_Puntos_Control!A110="","",IF(M6_Puntos_Control!E110="","",M6_Puntos_Control!E110))</f>
        <v/>
      </c>
      <c r="Z1106" s="17" t="str">
        <f>IF(M6_Puntos_Control!A110="","",IF(M6_Puntos_Control!F110="","",M6_Puntos_Control!F110))</f>
        <v/>
      </c>
      <c r="AA1106" s="17" t="str">
        <f>IF(M6_Puntos_Control!A110="","","M6 Puntos de control")</f>
        <v/>
      </c>
      <c r="AB1106" s="17" t="str">
        <f>IF(M6_Puntos_Control!A110="","",IF(M6_Puntos_Control!G110="","",M6_Puntos_Control!G110))</f>
        <v/>
      </c>
      <c r="AC1106" s="17" t="str">
        <f>IF(M6_Puntos_Control!A110="","",IF(M6_Puntos_Control!K110="Sí",IF(COUNTIFS(M6_Puntos_Control!$A$9:A110,M6_Puntos_Control!A110,M6_Puntos_Control!$D$9:D110,M6_Puntos_Control!D110,M6_Puntos_Control!$G$9:G110,M6_Puntos_Control!G110,M6_Puntos_Control!$H$9:H110,M6_Puntos_Control!H110,M6_Puntos_Control!$K$9:K110,"Sí")=1,IF(M6_Puntos_Control!M110="","",M6_Puntos_Control!M110),""),""))</f>
        <v/>
      </c>
      <c r="AD1106" s="17" t="str">
        <f>IF(M6_Puntos_Control!A110="","","RD")</f>
        <v/>
      </c>
      <c r="AE1106" s="17" t="str">
        <f>IF(M6_Puntos_Control!A110="","",IF(M6_Puntos_Control!O110="","",M6_Puntos_Control!O110))</f>
        <v/>
      </c>
      <c r="AF1106" s="17" t="str">
        <f>IF(M6_Puntos_Control!A110="","",IF(M6_Puntos_Control!P110="","",M6_Puntos_Control!P110))</f>
        <v/>
      </c>
      <c r="AG1106" s="17" t="str">
        <f>IF(M6_Puntos_Control!A110="","",IF(M6_Puntos_Control!Q110="","",M6_Puntos_Control!Q110))</f>
        <v/>
      </c>
      <c r="AH1106" s="17" t="str">
        <f>IF(M6_Puntos_Control!A110="","",IF(M6_Puntos_Control!I110="","",M6_Puntos_Control!I110))</f>
        <v/>
      </c>
      <c r="AI1106" s="17" t="str">
        <f>IF(M6_Puntos_Control!A110="","","M6_Puntos_Control!110")</f>
        <v/>
      </c>
      <c r="AJ1106" s="17" t="str">
        <f>IF(M6_Puntos_Control!A110="","",IF(M6_Puntos_Control!K110&lt;&gt;"Sí","Punto de comparación",IF(COUNTIFS(M6_Puntos_Control!$A$9:A110,M6_Puntos_Control!A110,M6_Puntos_Control!$D$9:D110,M6_Puntos_Control!D110,M6_Puntos_Control!$G$9:G110,M6_Puntos_Control!G110,M6_Puntos_Control!$H$9:H110,M6_Puntos_Control!H110,M6_Puntos_Control!$K$9:K110,"Sí")=1,IF(M6_Puntos_Control!M110="","Pendiente de resultado","Punto oficial"),"Revisar: varios puntos oficiales")))</f>
        <v/>
      </c>
    </row>
    <row r="1107" spans="1:36" ht="55.5" customHeight="1">
      <c r="A1107" s="6" t="str">
        <f t="array" ref="A1107">IF(1103&gt;$S$1204,"",INDEX($T$5:$AJ$1204,MATCH(1103,$S$5:$S$1204,0),1))</f>
        <v/>
      </c>
      <c r="B1107" s="8" t="str">
        <f t="array" ref="B1107">IF(1103&gt;$S$1204,"",INDEX($T$5:$AJ$1204,MATCH(1103,$S$5:$S$1204,0),2))</f>
        <v/>
      </c>
      <c r="C1107" s="10" t="str">
        <f t="array" ref="C1107">IF(1103&gt;$S$1204,"",INDEX($T$5:$AJ$1204,MATCH(1103,$S$5:$S$1204,0),3))</f>
        <v/>
      </c>
      <c r="D1107" s="8" t="str">
        <f t="array" ref="D1107">IF(1103&gt;$S$1204,"",INDEX($T$5:$AJ$1204,MATCH(1103,$S$5:$S$1204,0),4))</f>
        <v/>
      </c>
      <c r="E1107" s="8" t="str">
        <f t="array" ref="E1107">IF(1103&gt;$S$1204,"",INDEX($T$5:$AJ$1204,MATCH(1103,$S$5:$S$1204,0),5))</f>
        <v/>
      </c>
      <c r="F1107" s="8" t="str">
        <f t="array" ref="F1107">IF(1103&gt;$S$1204,"",INDEX($T$5:$AJ$1204,MATCH(1103,$S$5:$S$1204,0),6))</f>
        <v/>
      </c>
      <c r="G1107" s="8" t="str">
        <f t="array" ref="G1107">IF(1103&gt;$S$1204,"",INDEX($T$5:$AJ$1204,MATCH(1103,$S$5:$S$1204,0),7))</f>
        <v/>
      </c>
      <c r="H1107" s="8" t="str">
        <f t="array" ref="H1107">IF(1103&gt;$S$1204,"",INDEX($T$5:$AJ$1204,MATCH(1103,$S$5:$S$1204,0),8))</f>
        <v/>
      </c>
      <c r="I1107" s="8" t="str">
        <f t="array" ref="I1107">IF(1103&gt;$S$1204,"",INDEX($T$5:$AJ$1204,MATCH(1103,$S$5:$S$1204,0),9))</f>
        <v/>
      </c>
      <c r="J1107" s="14" t="str">
        <f t="array" ref="J1107">IF(1103&gt;$S$1204,"",INDEX($T$5:$AJ$1204,MATCH(1103,$S$5:$S$1204,0),10))</f>
        <v/>
      </c>
      <c r="K1107" s="8" t="str">
        <f t="array" ref="K1107">IF(1103&gt;$S$1204,"",INDEX($T$5:$AJ$1204,MATCH(1103,$S$5:$S$1204,0),11))</f>
        <v/>
      </c>
      <c r="L1107" s="8" t="str">
        <f t="array" ref="L1107">IF(1103&gt;$S$1204,"",INDEX($T$5:$AJ$1204,MATCH(1103,$S$5:$S$1204,0),12))</f>
        <v/>
      </c>
      <c r="M1107" s="8" t="str">
        <f t="array" ref="M1107">IF(1103&gt;$S$1204,"",INDEX($T$5:$AJ$1204,MATCH(1103,$S$5:$S$1204,0),13))</f>
        <v/>
      </c>
      <c r="N1107" s="8" t="str">
        <f t="array" ref="N1107">IF(1103&gt;$S$1204,"",INDEX($T$5:$AJ$1204,MATCH(1103,$S$5:$S$1204,0),14))</f>
        <v/>
      </c>
      <c r="O1107" s="15" t="str">
        <f t="array" ref="O1107">IF(1103&gt;$S$1204,"",INDEX($T$5:$AJ$1204,MATCH(1103,$S$5:$S$1204,0),15))</f>
        <v/>
      </c>
      <c r="P1107" s="8" t="str">
        <f t="array" ref="P1107">IF(1103&gt;$S$1204,"",INDEX($T$5:$AJ$1204,MATCH(1103,$S$5:$S$1204,0),16))</f>
        <v/>
      </c>
      <c r="Q1107" s="8" t="str">
        <f t="array" ref="Q1107">IF(1103&gt;$S$1204,"",INDEX($T$5:$AJ$1204,MATCH(1103,$S$5:$S$1204,0),17))</f>
        <v/>
      </c>
      <c r="R1107" s="17"/>
      <c r="S1107" s="17">
        <f>S1106+IF(M6_Puntos_Control!A111="",0,1)</f>
        <v>0</v>
      </c>
      <c r="T1107" s="17" t="str">
        <f>IF(M6_Puntos_Control!A111="","",IF(M6_Puntos_Control!A111="","",M6_Puntos_Control!A111))</f>
        <v/>
      </c>
      <c r="U1107" s="17" t="str">
        <f>IF(M6_Puntos_Control!A111="","",IF(M6_Puntos_Control!R111="","",M6_Puntos_Control!R111))</f>
        <v/>
      </c>
      <c r="V1107" s="17" t="str">
        <f>IF(M6_Puntos_Control!A111="","",IF(M6_Puntos_Control!D111="","",M6_Puntos_Control!D111))</f>
        <v/>
      </c>
      <c r="W1107" s="17" t="str">
        <f>IF(M6_Puntos_Control!A111="","",IF(M6_Puntos_Control!B111="","",M6_Puntos_Control!B111))</f>
        <v/>
      </c>
      <c r="X1107" s="17" t="str">
        <f>IF(M6_Puntos_Control!A111="","",IF(M6_Puntos_Control!C111="","",M6_Puntos_Control!C111))</f>
        <v/>
      </c>
      <c r="Y1107" s="17" t="str">
        <f>IF(M6_Puntos_Control!A111="","",IF(M6_Puntos_Control!E111="","",M6_Puntos_Control!E111))</f>
        <v/>
      </c>
      <c r="Z1107" s="17" t="str">
        <f>IF(M6_Puntos_Control!A111="","",IF(M6_Puntos_Control!F111="","",M6_Puntos_Control!F111))</f>
        <v/>
      </c>
      <c r="AA1107" s="17" t="str">
        <f>IF(M6_Puntos_Control!A111="","","M6 Puntos de control")</f>
        <v/>
      </c>
      <c r="AB1107" s="17" t="str">
        <f>IF(M6_Puntos_Control!A111="","",IF(M6_Puntos_Control!G111="","",M6_Puntos_Control!G111))</f>
        <v/>
      </c>
      <c r="AC1107" s="17" t="str">
        <f>IF(M6_Puntos_Control!A111="","",IF(M6_Puntos_Control!K111="Sí",IF(COUNTIFS(M6_Puntos_Control!$A$9:A111,M6_Puntos_Control!A111,M6_Puntos_Control!$D$9:D111,M6_Puntos_Control!D111,M6_Puntos_Control!$G$9:G111,M6_Puntos_Control!G111,M6_Puntos_Control!$H$9:H111,M6_Puntos_Control!H111,M6_Puntos_Control!$K$9:K111,"Sí")=1,IF(M6_Puntos_Control!M111="","",M6_Puntos_Control!M111),""),""))</f>
        <v/>
      </c>
      <c r="AD1107" s="17" t="str">
        <f>IF(M6_Puntos_Control!A111="","","RD")</f>
        <v/>
      </c>
      <c r="AE1107" s="17" t="str">
        <f>IF(M6_Puntos_Control!A111="","",IF(M6_Puntos_Control!O111="","",M6_Puntos_Control!O111))</f>
        <v/>
      </c>
      <c r="AF1107" s="17" t="str">
        <f>IF(M6_Puntos_Control!A111="","",IF(M6_Puntos_Control!P111="","",M6_Puntos_Control!P111))</f>
        <v/>
      </c>
      <c r="AG1107" s="17" t="str">
        <f>IF(M6_Puntos_Control!A111="","",IF(M6_Puntos_Control!Q111="","",M6_Puntos_Control!Q111))</f>
        <v/>
      </c>
      <c r="AH1107" s="17" t="str">
        <f>IF(M6_Puntos_Control!A111="","",IF(M6_Puntos_Control!I111="","",M6_Puntos_Control!I111))</f>
        <v/>
      </c>
      <c r="AI1107" s="17" t="str">
        <f>IF(M6_Puntos_Control!A111="","","M6_Puntos_Control!111")</f>
        <v/>
      </c>
      <c r="AJ1107" s="17" t="str">
        <f>IF(M6_Puntos_Control!A111="","",IF(M6_Puntos_Control!K111&lt;&gt;"Sí","Punto de comparación",IF(COUNTIFS(M6_Puntos_Control!$A$9:A111,M6_Puntos_Control!A111,M6_Puntos_Control!$D$9:D111,M6_Puntos_Control!D111,M6_Puntos_Control!$G$9:G111,M6_Puntos_Control!G111,M6_Puntos_Control!$H$9:H111,M6_Puntos_Control!H111,M6_Puntos_Control!$K$9:K111,"Sí")=1,IF(M6_Puntos_Control!M111="","Pendiente de resultado","Punto oficial"),"Revisar: varios puntos oficiales")))</f>
        <v/>
      </c>
    </row>
    <row r="1108" spans="1:36" ht="55.5" customHeight="1">
      <c r="A1108" s="6" t="str">
        <f t="array" ref="A1108">IF(1104&gt;$S$1204,"",INDEX($T$5:$AJ$1204,MATCH(1104,$S$5:$S$1204,0),1))</f>
        <v/>
      </c>
      <c r="B1108" s="8" t="str">
        <f t="array" ref="B1108">IF(1104&gt;$S$1204,"",INDEX($T$5:$AJ$1204,MATCH(1104,$S$5:$S$1204,0),2))</f>
        <v/>
      </c>
      <c r="C1108" s="10" t="str">
        <f t="array" ref="C1108">IF(1104&gt;$S$1204,"",INDEX($T$5:$AJ$1204,MATCH(1104,$S$5:$S$1204,0),3))</f>
        <v/>
      </c>
      <c r="D1108" s="8" t="str">
        <f t="array" ref="D1108">IF(1104&gt;$S$1204,"",INDEX($T$5:$AJ$1204,MATCH(1104,$S$5:$S$1204,0),4))</f>
        <v/>
      </c>
      <c r="E1108" s="8" t="str">
        <f t="array" ref="E1108">IF(1104&gt;$S$1204,"",INDEX($T$5:$AJ$1204,MATCH(1104,$S$5:$S$1204,0),5))</f>
        <v/>
      </c>
      <c r="F1108" s="8" t="str">
        <f t="array" ref="F1108">IF(1104&gt;$S$1204,"",INDEX($T$5:$AJ$1204,MATCH(1104,$S$5:$S$1204,0),6))</f>
        <v/>
      </c>
      <c r="G1108" s="8" t="str">
        <f t="array" ref="G1108">IF(1104&gt;$S$1204,"",INDEX($T$5:$AJ$1204,MATCH(1104,$S$5:$S$1204,0),7))</f>
        <v/>
      </c>
      <c r="H1108" s="8" t="str">
        <f t="array" ref="H1108">IF(1104&gt;$S$1204,"",INDEX($T$5:$AJ$1204,MATCH(1104,$S$5:$S$1204,0),8))</f>
        <v/>
      </c>
      <c r="I1108" s="8" t="str">
        <f t="array" ref="I1108">IF(1104&gt;$S$1204,"",INDEX($T$5:$AJ$1204,MATCH(1104,$S$5:$S$1204,0),9))</f>
        <v/>
      </c>
      <c r="J1108" s="14" t="str">
        <f t="array" ref="J1108">IF(1104&gt;$S$1204,"",INDEX($T$5:$AJ$1204,MATCH(1104,$S$5:$S$1204,0),10))</f>
        <v/>
      </c>
      <c r="K1108" s="8" t="str">
        <f t="array" ref="K1108">IF(1104&gt;$S$1204,"",INDEX($T$5:$AJ$1204,MATCH(1104,$S$5:$S$1204,0),11))</f>
        <v/>
      </c>
      <c r="L1108" s="8" t="str">
        <f t="array" ref="L1108">IF(1104&gt;$S$1204,"",INDEX($T$5:$AJ$1204,MATCH(1104,$S$5:$S$1204,0),12))</f>
        <v/>
      </c>
      <c r="M1108" s="8" t="str">
        <f t="array" ref="M1108">IF(1104&gt;$S$1204,"",INDEX($T$5:$AJ$1204,MATCH(1104,$S$5:$S$1204,0),13))</f>
        <v/>
      </c>
      <c r="N1108" s="8" t="str">
        <f t="array" ref="N1108">IF(1104&gt;$S$1204,"",INDEX($T$5:$AJ$1204,MATCH(1104,$S$5:$S$1204,0),14))</f>
        <v/>
      </c>
      <c r="O1108" s="15" t="str">
        <f t="array" ref="O1108">IF(1104&gt;$S$1204,"",INDEX($T$5:$AJ$1204,MATCH(1104,$S$5:$S$1204,0),15))</f>
        <v/>
      </c>
      <c r="P1108" s="8" t="str">
        <f t="array" ref="P1108">IF(1104&gt;$S$1204,"",INDEX($T$5:$AJ$1204,MATCH(1104,$S$5:$S$1204,0),16))</f>
        <v/>
      </c>
      <c r="Q1108" s="8" t="str">
        <f t="array" ref="Q1108">IF(1104&gt;$S$1204,"",INDEX($T$5:$AJ$1204,MATCH(1104,$S$5:$S$1204,0),17))</f>
        <v/>
      </c>
      <c r="R1108" s="17"/>
      <c r="S1108" s="17">
        <f>S1107+IF(M6_Puntos_Control!A112="",0,1)</f>
        <v>0</v>
      </c>
      <c r="T1108" s="17" t="str">
        <f>IF(M6_Puntos_Control!A112="","",IF(M6_Puntos_Control!A112="","",M6_Puntos_Control!A112))</f>
        <v/>
      </c>
      <c r="U1108" s="17" t="str">
        <f>IF(M6_Puntos_Control!A112="","",IF(M6_Puntos_Control!R112="","",M6_Puntos_Control!R112))</f>
        <v/>
      </c>
      <c r="V1108" s="17" t="str">
        <f>IF(M6_Puntos_Control!A112="","",IF(M6_Puntos_Control!D112="","",M6_Puntos_Control!D112))</f>
        <v/>
      </c>
      <c r="W1108" s="17" t="str">
        <f>IF(M6_Puntos_Control!A112="","",IF(M6_Puntos_Control!B112="","",M6_Puntos_Control!B112))</f>
        <v/>
      </c>
      <c r="X1108" s="17" t="str">
        <f>IF(M6_Puntos_Control!A112="","",IF(M6_Puntos_Control!C112="","",M6_Puntos_Control!C112))</f>
        <v/>
      </c>
      <c r="Y1108" s="17" t="str">
        <f>IF(M6_Puntos_Control!A112="","",IF(M6_Puntos_Control!E112="","",M6_Puntos_Control!E112))</f>
        <v/>
      </c>
      <c r="Z1108" s="17" t="str">
        <f>IF(M6_Puntos_Control!A112="","",IF(M6_Puntos_Control!F112="","",M6_Puntos_Control!F112))</f>
        <v/>
      </c>
      <c r="AA1108" s="17" t="str">
        <f>IF(M6_Puntos_Control!A112="","","M6 Puntos de control")</f>
        <v/>
      </c>
      <c r="AB1108" s="17" t="str">
        <f>IF(M6_Puntos_Control!A112="","",IF(M6_Puntos_Control!G112="","",M6_Puntos_Control!G112))</f>
        <v/>
      </c>
      <c r="AC1108" s="17" t="str">
        <f>IF(M6_Puntos_Control!A112="","",IF(M6_Puntos_Control!K112="Sí",IF(COUNTIFS(M6_Puntos_Control!$A$9:A112,M6_Puntos_Control!A112,M6_Puntos_Control!$D$9:D112,M6_Puntos_Control!D112,M6_Puntos_Control!$G$9:G112,M6_Puntos_Control!G112,M6_Puntos_Control!$H$9:H112,M6_Puntos_Control!H112,M6_Puntos_Control!$K$9:K112,"Sí")=1,IF(M6_Puntos_Control!M112="","",M6_Puntos_Control!M112),""),""))</f>
        <v/>
      </c>
      <c r="AD1108" s="17" t="str">
        <f>IF(M6_Puntos_Control!A112="","","RD")</f>
        <v/>
      </c>
      <c r="AE1108" s="17" t="str">
        <f>IF(M6_Puntos_Control!A112="","",IF(M6_Puntos_Control!O112="","",M6_Puntos_Control!O112))</f>
        <v/>
      </c>
      <c r="AF1108" s="17" t="str">
        <f>IF(M6_Puntos_Control!A112="","",IF(M6_Puntos_Control!P112="","",M6_Puntos_Control!P112))</f>
        <v/>
      </c>
      <c r="AG1108" s="17" t="str">
        <f>IF(M6_Puntos_Control!A112="","",IF(M6_Puntos_Control!Q112="","",M6_Puntos_Control!Q112))</f>
        <v/>
      </c>
      <c r="AH1108" s="17" t="str">
        <f>IF(M6_Puntos_Control!A112="","",IF(M6_Puntos_Control!I112="","",M6_Puntos_Control!I112))</f>
        <v/>
      </c>
      <c r="AI1108" s="17" t="str">
        <f>IF(M6_Puntos_Control!A112="","","M6_Puntos_Control!112")</f>
        <v/>
      </c>
      <c r="AJ1108" s="17" t="str">
        <f>IF(M6_Puntos_Control!A112="","",IF(M6_Puntos_Control!K112&lt;&gt;"Sí","Punto de comparación",IF(COUNTIFS(M6_Puntos_Control!$A$9:A112,M6_Puntos_Control!A112,M6_Puntos_Control!$D$9:D112,M6_Puntos_Control!D112,M6_Puntos_Control!$G$9:G112,M6_Puntos_Control!G112,M6_Puntos_Control!$H$9:H112,M6_Puntos_Control!H112,M6_Puntos_Control!$K$9:K112,"Sí")=1,IF(M6_Puntos_Control!M112="","Pendiente de resultado","Punto oficial"),"Revisar: varios puntos oficiales")))</f>
        <v/>
      </c>
    </row>
    <row r="1109" spans="1:36" ht="55.5" customHeight="1">
      <c r="A1109" s="6" t="str">
        <f t="array" ref="A1109">IF(1105&gt;$S$1204,"",INDEX($T$5:$AJ$1204,MATCH(1105,$S$5:$S$1204,0),1))</f>
        <v/>
      </c>
      <c r="B1109" s="8" t="str">
        <f t="array" ref="B1109">IF(1105&gt;$S$1204,"",INDEX($T$5:$AJ$1204,MATCH(1105,$S$5:$S$1204,0),2))</f>
        <v/>
      </c>
      <c r="C1109" s="10" t="str">
        <f t="array" ref="C1109">IF(1105&gt;$S$1204,"",INDEX($T$5:$AJ$1204,MATCH(1105,$S$5:$S$1204,0),3))</f>
        <v/>
      </c>
      <c r="D1109" s="8" t="str">
        <f t="array" ref="D1109">IF(1105&gt;$S$1204,"",INDEX($T$5:$AJ$1204,MATCH(1105,$S$5:$S$1204,0),4))</f>
        <v/>
      </c>
      <c r="E1109" s="8" t="str">
        <f t="array" ref="E1109">IF(1105&gt;$S$1204,"",INDEX($T$5:$AJ$1204,MATCH(1105,$S$5:$S$1204,0),5))</f>
        <v/>
      </c>
      <c r="F1109" s="8" t="str">
        <f t="array" ref="F1109">IF(1105&gt;$S$1204,"",INDEX($T$5:$AJ$1204,MATCH(1105,$S$5:$S$1204,0),6))</f>
        <v/>
      </c>
      <c r="G1109" s="8" t="str">
        <f t="array" ref="G1109">IF(1105&gt;$S$1204,"",INDEX($T$5:$AJ$1204,MATCH(1105,$S$5:$S$1204,0),7))</f>
        <v/>
      </c>
      <c r="H1109" s="8" t="str">
        <f t="array" ref="H1109">IF(1105&gt;$S$1204,"",INDEX($T$5:$AJ$1204,MATCH(1105,$S$5:$S$1204,0),8))</f>
        <v/>
      </c>
      <c r="I1109" s="8" t="str">
        <f t="array" ref="I1109">IF(1105&gt;$S$1204,"",INDEX($T$5:$AJ$1204,MATCH(1105,$S$5:$S$1204,0),9))</f>
        <v/>
      </c>
      <c r="J1109" s="14" t="str">
        <f t="array" ref="J1109">IF(1105&gt;$S$1204,"",INDEX($T$5:$AJ$1204,MATCH(1105,$S$5:$S$1204,0),10))</f>
        <v/>
      </c>
      <c r="K1109" s="8" t="str">
        <f t="array" ref="K1109">IF(1105&gt;$S$1204,"",INDEX($T$5:$AJ$1204,MATCH(1105,$S$5:$S$1204,0),11))</f>
        <v/>
      </c>
      <c r="L1109" s="8" t="str">
        <f t="array" ref="L1109">IF(1105&gt;$S$1204,"",INDEX($T$5:$AJ$1204,MATCH(1105,$S$5:$S$1204,0),12))</f>
        <v/>
      </c>
      <c r="M1109" s="8" t="str">
        <f t="array" ref="M1109">IF(1105&gt;$S$1204,"",INDEX($T$5:$AJ$1204,MATCH(1105,$S$5:$S$1204,0),13))</f>
        <v/>
      </c>
      <c r="N1109" s="8" t="str">
        <f t="array" ref="N1109">IF(1105&gt;$S$1204,"",INDEX($T$5:$AJ$1204,MATCH(1105,$S$5:$S$1204,0),14))</f>
        <v/>
      </c>
      <c r="O1109" s="15" t="str">
        <f t="array" ref="O1109">IF(1105&gt;$S$1204,"",INDEX($T$5:$AJ$1204,MATCH(1105,$S$5:$S$1204,0),15))</f>
        <v/>
      </c>
      <c r="P1109" s="8" t="str">
        <f t="array" ref="P1109">IF(1105&gt;$S$1204,"",INDEX($T$5:$AJ$1204,MATCH(1105,$S$5:$S$1204,0),16))</f>
        <v/>
      </c>
      <c r="Q1109" s="8" t="str">
        <f t="array" ref="Q1109">IF(1105&gt;$S$1204,"",INDEX($T$5:$AJ$1204,MATCH(1105,$S$5:$S$1204,0),17))</f>
        <v/>
      </c>
      <c r="R1109" s="17"/>
      <c r="S1109" s="17">
        <f>S1108+IF(M6_Puntos_Control!A113="",0,1)</f>
        <v>0</v>
      </c>
      <c r="T1109" s="17" t="str">
        <f>IF(M6_Puntos_Control!A113="","",IF(M6_Puntos_Control!A113="","",M6_Puntos_Control!A113))</f>
        <v/>
      </c>
      <c r="U1109" s="17" t="str">
        <f>IF(M6_Puntos_Control!A113="","",IF(M6_Puntos_Control!R113="","",M6_Puntos_Control!R113))</f>
        <v/>
      </c>
      <c r="V1109" s="17" t="str">
        <f>IF(M6_Puntos_Control!A113="","",IF(M6_Puntos_Control!D113="","",M6_Puntos_Control!D113))</f>
        <v/>
      </c>
      <c r="W1109" s="17" t="str">
        <f>IF(M6_Puntos_Control!A113="","",IF(M6_Puntos_Control!B113="","",M6_Puntos_Control!B113))</f>
        <v/>
      </c>
      <c r="X1109" s="17" t="str">
        <f>IF(M6_Puntos_Control!A113="","",IF(M6_Puntos_Control!C113="","",M6_Puntos_Control!C113))</f>
        <v/>
      </c>
      <c r="Y1109" s="17" t="str">
        <f>IF(M6_Puntos_Control!A113="","",IF(M6_Puntos_Control!E113="","",M6_Puntos_Control!E113))</f>
        <v/>
      </c>
      <c r="Z1109" s="17" t="str">
        <f>IF(M6_Puntos_Control!A113="","",IF(M6_Puntos_Control!F113="","",M6_Puntos_Control!F113))</f>
        <v/>
      </c>
      <c r="AA1109" s="17" t="str">
        <f>IF(M6_Puntos_Control!A113="","","M6 Puntos de control")</f>
        <v/>
      </c>
      <c r="AB1109" s="17" t="str">
        <f>IF(M6_Puntos_Control!A113="","",IF(M6_Puntos_Control!G113="","",M6_Puntos_Control!G113))</f>
        <v/>
      </c>
      <c r="AC1109" s="17" t="str">
        <f>IF(M6_Puntos_Control!A113="","",IF(M6_Puntos_Control!K113="Sí",IF(COUNTIFS(M6_Puntos_Control!$A$9:A113,M6_Puntos_Control!A113,M6_Puntos_Control!$D$9:D113,M6_Puntos_Control!D113,M6_Puntos_Control!$G$9:G113,M6_Puntos_Control!G113,M6_Puntos_Control!$H$9:H113,M6_Puntos_Control!H113,M6_Puntos_Control!$K$9:K113,"Sí")=1,IF(M6_Puntos_Control!M113="","",M6_Puntos_Control!M113),""),""))</f>
        <v/>
      </c>
      <c r="AD1109" s="17" t="str">
        <f>IF(M6_Puntos_Control!A113="","","RD")</f>
        <v/>
      </c>
      <c r="AE1109" s="17" t="str">
        <f>IF(M6_Puntos_Control!A113="","",IF(M6_Puntos_Control!O113="","",M6_Puntos_Control!O113))</f>
        <v/>
      </c>
      <c r="AF1109" s="17" t="str">
        <f>IF(M6_Puntos_Control!A113="","",IF(M6_Puntos_Control!P113="","",M6_Puntos_Control!P113))</f>
        <v/>
      </c>
      <c r="AG1109" s="17" t="str">
        <f>IF(M6_Puntos_Control!A113="","",IF(M6_Puntos_Control!Q113="","",M6_Puntos_Control!Q113))</f>
        <v/>
      </c>
      <c r="AH1109" s="17" t="str">
        <f>IF(M6_Puntos_Control!A113="","",IF(M6_Puntos_Control!I113="","",M6_Puntos_Control!I113))</f>
        <v/>
      </c>
      <c r="AI1109" s="17" t="str">
        <f>IF(M6_Puntos_Control!A113="","","M6_Puntos_Control!113")</f>
        <v/>
      </c>
      <c r="AJ1109" s="17" t="str">
        <f>IF(M6_Puntos_Control!A113="","",IF(M6_Puntos_Control!K113&lt;&gt;"Sí","Punto de comparación",IF(COUNTIFS(M6_Puntos_Control!$A$9:A113,M6_Puntos_Control!A113,M6_Puntos_Control!$D$9:D113,M6_Puntos_Control!D113,M6_Puntos_Control!$G$9:G113,M6_Puntos_Control!G113,M6_Puntos_Control!$H$9:H113,M6_Puntos_Control!H113,M6_Puntos_Control!$K$9:K113,"Sí")=1,IF(M6_Puntos_Control!M113="","Pendiente de resultado","Punto oficial"),"Revisar: varios puntos oficiales")))</f>
        <v/>
      </c>
    </row>
    <row r="1110" spans="1:36" ht="55.5" customHeight="1">
      <c r="A1110" s="6" t="str">
        <f t="array" ref="A1110">IF(1106&gt;$S$1204,"",INDEX($T$5:$AJ$1204,MATCH(1106,$S$5:$S$1204,0),1))</f>
        <v/>
      </c>
      <c r="B1110" s="8" t="str">
        <f t="array" ref="B1110">IF(1106&gt;$S$1204,"",INDEX($T$5:$AJ$1204,MATCH(1106,$S$5:$S$1204,0),2))</f>
        <v/>
      </c>
      <c r="C1110" s="10" t="str">
        <f t="array" ref="C1110">IF(1106&gt;$S$1204,"",INDEX($T$5:$AJ$1204,MATCH(1106,$S$5:$S$1204,0),3))</f>
        <v/>
      </c>
      <c r="D1110" s="8" t="str">
        <f t="array" ref="D1110">IF(1106&gt;$S$1204,"",INDEX($T$5:$AJ$1204,MATCH(1106,$S$5:$S$1204,0),4))</f>
        <v/>
      </c>
      <c r="E1110" s="8" t="str">
        <f t="array" ref="E1110">IF(1106&gt;$S$1204,"",INDEX($T$5:$AJ$1204,MATCH(1106,$S$5:$S$1204,0),5))</f>
        <v/>
      </c>
      <c r="F1110" s="8" t="str">
        <f t="array" ref="F1110">IF(1106&gt;$S$1204,"",INDEX($T$5:$AJ$1204,MATCH(1106,$S$5:$S$1204,0),6))</f>
        <v/>
      </c>
      <c r="G1110" s="8" t="str">
        <f t="array" ref="G1110">IF(1106&gt;$S$1204,"",INDEX($T$5:$AJ$1204,MATCH(1106,$S$5:$S$1204,0),7))</f>
        <v/>
      </c>
      <c r="H1110" s="8" t="str">
        <f t="array" ref="H1110">IF(1106&gt;$S$1204,"",INDEX($T$5:$AJ$1204,MATCH(1106,$S$5:$S$1204,0),8))</f>
        <v/>
      </c>
      <c r="I1110" s="8" t="str">
        <f t="array" ref="I1110">IF(1106&gt;$S$1204,"",INDEX($T$5:$AJ$1204,MATCH(1106,$S$5:$S$1204,0),9))</f>
        <v/>
      </c>
      <c r="J1110" s="14" t="str">
        <f t="array" ref="J1110">IF(1106&gt;$S$1204,"",INDEX($T$5:$AJ$1204,MATCH(1106,$S$5:$S$1204,0),10))</f>
        <v/>
      </c>
      <c r="K1110" s="8" t="str">
        <f t="array" ref="K1110">IF(1106&gt;$S$1204,"",INDEX($T$5:$AJ$1204,MATCH(1106,$S$5:$S$1204,0),11))</f>
        <v/>
      </c>
      <c r="L1110" s="8" t="str">
        <f t="array" ref="L1110">IF(1106&gt;$S$1204,"",INDEX($T$5:$AJ$1204,MATCH(1106,$S$5:$S$1204,0),12))</f>
        <v/>
      </c>
      <c r="M1110" s="8" t="str">
        <f t="array" ref="M1110">IF(1106&gt;$S$1204,"",INDEX($T$5:$AJ$1204,MATCH(1106,$S$5:$S$1204,0),13))</f>
        <v/>
      </c>
      <c r="N1110" s="8" t="str">
        <f t="array" ref="N1110">IF(1106&gt;$S$1204,"",INDEX($T$5:$AJ$1204,MATCH(1106,$S$5:$S$1204,0),14))</f>
        <v/>
      </c>
      <c r="O1110" s="15" t="str">
        <f t="array" ref="O1110">IF(1106&gt;$S$1204,"",INDEX($T$5:$AJ$1204,MATCH(1106,$S$5:$S$1204,0),15))</f>
        <v/>
      </c>
      <c r="P1110" s="8" t="str">
        <f t="array" ref="P1110">IF(1106&gt;$S$1204,"",INDEX($T$5:$AJ$1204,MATCH(1106,$S$5:$S$1204,0),16))</f>
        <v/>
      </c>
      <c r="Q1110" s="8" t="str">
        <f t="array" ref="Q1110">IF(1106&gt;$S$1204,"",INDEX($T$5:$AJ$1204,MATCH(1106,$S$5:$S$1204,0),17))</f>
        <v/>
      </c>
      <c r="R1110" s="17"/>
      <c r="S1110" s="17">
        <f>S1109+IF(M6_Puntos_Control!A114="",0,1)</f>
        <v>0</v>
      </c>
      <c r="T1110" s="17" t="str">
        <f>IF(M6_Puntos_Control!A114="","",IF(M6_Puntos_Control!A114="","",M6_Puntos_Control!A114))</f>
        <v/>
      </c>
      <c r="U1110" s="17" t="str">
        <f>IF(M6_Puntos_Control!A114="","",IF(M6_Puntos_Control!R114="","",M6_Puntos_Control!R114))</f>
        <v/>
      </c>
      <c r="V1110" s="17" t="str">
        <f>IF(M6_Puntos_Control!A114="","",IF(M6_Puntos_Control!D114="","",M6_Puntos_Control!D114))</f>
        <v/>
      </c>
      <c r="W1110" s="17" t="str">
        <f>IF(M6_Puntos_Control!A114="","",IF(M6_Puntos_Control!B114="","",M6_Puntos_Control!B114))</f>
        <v/>
      </c>
      <c r="X1110" s="17" t="str">
        <f>IF(M6_Puntos_Control!A114="","",IF(M6_Puntos_Control!C114="","",M6_Puntos_Control!C114))</f>
        <v/>
      </c>
      <c r="Y1110" s="17" t="str">
        <f>IF(M6_Puntos_Control!A114="","",IF(M6_Puntos_Control!E114="","",M6_Puntos_Control!E114))</f>
        <v/>
      </c>
      <c r="Z1110" s="17" t="str">
        <f>IF(M6_Puntos_Control!A114="","",IF(M6_Puntos_Control!F114="","",M6_Puntos_Control!F114))</f>
        <v/>
      </c>
      <c r="AA1110" s="17" t="str">
        <f>IF(M6_Puntos_Control!A114="","","M6 Puntos de control")</f>
        <v/>
      </c>
      <c r="AB1110" s="17" t="str">
        <f>IF(M6_Puntos_Control!A114="","",IF(M6_Puntos_Control!G114="","",M6_Puntos_Control!G114))</f>
        <v/>
      </c>
      <c r="AC1110" s="17" t="str">
        <f>IF(M6_Puntos_Control!A114="","",IF(M6_Puntos_Control!K114="Sí",IF(COUNTIFS(M6_Puntos_Control!$A$9:A114,M6_Puntos_Control!A114,M6_Puntos_Control!$D$9:D114,M6_Puntos_Control!D114,M6_Puntos_Control!$G$9:G114,M6_Puntos_Control!G114,M6_Puntos_Control!$H$9:H114,M6_Puntos_Control!H114,M6_Puntos_Control!$K$9:K114,"Sí")=1,IF(M6_Puntos_Control!M114="","",M6_Puntos_Control!M114),""),""))</f>
        <v/>
      </c>
      <c r="AD1110" s="17" t="str">
        <f>IF(M6_Puntos_Control!A114="","","RD")</f>
        <v/>
      </c>
      <c r="AE1110" s="17" t="str">
        <f>IF(M6_Puntos_Control!A114="","",IF(M6_Puntos_Control!O114="","",M6_Puntos_Control!O114))</f>
        <v/>
      </c>
      <c r="AF1110" s="17" t="str">
        <f>IF(M6_Puntos_Control!A114="","",IF(M6_Puntos_Control!P114="","",M6_Puntos_Control!P114))</f>
        <v/>
      </c>
      <c r="AG1110" s="17" t="str">
        <f>IF(M6_Puntos_Control!A114="","",IF(M6_Puntos_Control!Q114="","",M6_Puntos_Control!Q114))</f>
        <v/>
      </c>
      <c r="AH1110" s="17" t="str">
        <f>IF(M6_Puntos_Control!A114="","",IF(M6_Puntos_Control!I114="","",M6_Puntos_Control!I114))</f>
        <v/>
      </c>
      <c r="AI1110" s="17" t="str">
        <f>IF(M6_Puntos_Control!A114="","","M6_Puntos_Control!114")</f>
        <v/>
      </c>
      <c r="AJ1110" s="17" t="str">
        <f>IF(M6_Puntos_Control!A114="","",IF(M6_Puntos_Control!K114&lt;&gt;"Sí","Punto de comparación",IF(COUNTIFS(M6_Puntos_Control!$A$9:A114,M6_Puntos_Control!A114,M6_Puntos_Control!$D$9:D114,M6_Puntos_Control!D114,M6_Puntos_Control!$G$9:G114,M6_Puntos_Control!G114,M6_Puntos_Control!$H$9:H114,M6_Puntos_Control!H114,M6_Puntos_Control!$K$9:K114,"Sí")=1,IF(M6_Puntos_Control!M114="","Pendiente de resultado","Punto oficial"),"Revisar: varios puntos oficiales")))</f>
        <v/>
      </c>
    </row>
    <row r="1111" spans="1:36" ht="55.5" customHeight="1">
      <c r="A1111" s="6" t="str">
        <f t="array" ref="A1111">IF(1107&gt;$S$1204,"",INDEX($T$5:$AJ$1204,MATCH(1107,$S$5:$S$1204,0),1))</f>
        <v/>
      </c>
      <c r="B1111" s="8" t="str">
        <f t="array" ref="B1111">IF(1107&gt;$S$1204,"",INDEX($T$5:$AJ$1204,MATCH(1107,$S$5:$S$1204,0),2))</f>
        <v/>
      </c>
      <c r="C1111" s="10" t="str">
        <f t="array" ref="C1111">IF(1107&gt;$S$1204,"",INDEX($T$5:$AJ$1204,MATCH(1107,$S$5:$S$1204,0),3))</f>
        <v/>
      </c>
      <c r="D1111" s="8" t="str">
        <f t="array" ref="D1111">IF(1107&gt;$S$1204,"",INDEX($T$5:$AJ$1204,MATCH(1107,$S$5:$S$1204,0),4))</f>
        <v/>
      </c>
      <c r="E1111" s="8" t="str">
        <f t="array" ref="E1111">IF(1107&gt;$S$1204,"",INDEX($T$5:$AJ$1204,MATCH(1107,$S$5:$S$1204,0),5))</f>
        <v/>
      </c>
      <c r="F1111" s="8" t="str">
        <f t="array" ref="F1111">IF(1107&gt;$S$1204,"",INDEX($T$5:$AJ$1204,MATCH(1107,$S$5:$S$1204,0),6))</f>
        <v/>
      </c>
      <c r="G1111" s="8" t="str">
        <f t="array" ref="G1111">IF(1107&gt;$S$1204,"",INDEX($T$5:$AJ$1204,MATCH(1107,$S$5:$S$1204,0),7))</f>
        <v/>
      </c>
      <c r="H1111" s="8" t="str">
        <f t="array" ref="H1111">IF(1107&gt;$S$1204,"",INDEX($T$5:$AJ$1204,MATCH(1107,$S$5:$S$1204,0),8))</f>
        <v/>
      </c>
      <c r="I1111" s="8" t="str">
        <f t="array" ref="I1111">IF(1107&gt;$S$1204,"",INDEX($T$5:$AJ$1204,MATCH(1107,$S$5:$S$1204,0),9))</f>
        <v/>
      </c>
      <c r="J1111" s="14" t="str">
        <f t="array" ref="J1111">IF(1107&gt;$S$1204,"",INDEX($T$5:$AJ$1204,MATCH(1107,$S$5:$S$1204,0),10))</f>
        <v/>
      </c>
      <c r="K1111" s="8" t="str">
        <f t="array" ref="K1111">IF(1107&gt;$S$1204,"",INDEX($T$5:$AJ$1204,MATCH(1107,$S$5:$S$1204,0),11))</f>
        <v/>
      </c>
      <c r="L1111" s="8" t="str">
        <f t="array" ref="L1111">IF(1107&gt;$S$1204,"",INDEX($T$5:$AJ$1204,MATCH(1107,$S$5:$S$1204,0),12))</f>
        <v/>
      </c>
      <c r="M1111" s="8" t="str">
        <f t="array" ref="M1111">IF(1107&gt;$S$1204,"",INDEX($T$5:$AJ$1204,MATCH(1107,$S$5:$S$1204,0),13))</f>
        <v/>
      </c>
      <c r="N1111" s="8" t="str">
        <f t="array" ref="N1111">IF(1107&gt;$S$1204,"",INDEX($T$5:$AJ$1204,MATCH(1107,$S$5:$S$1204,0),14))</f>
        <v/>
      </c>
      <c r="O1111" s="15" t="str">
        <f t="array" ref="O1111">IF(1107&gt;$S$1204,"",INDEX($T$5:$AJ$1204,MATCH(1107,$S$5:$S$1204,0),15))</f>
        <v/>
      </c>
      <c r="P1111" s="8" t="str">
        <f t="array" ref="P1111">IF(1107&gt;$S$1204,"",INDEX($T$5:$AJ$1204,MATCH(1107,$S$5:$S$1204,0),16))</f>
        <v/>
      </c>
      <c r="Q1111" s="8" t="str">
        <f t="array" ref="Q1111">IF(1107&gt;$S$1204,"",INDEX($T$5:$AJ$1204,MATCH(1107,$S$5:$S$1204,0),17))</f>
        <v/>
      </c>
      <c r="R1111" s="17"/>
      <c r="S1111" s="17">
        <f>S1110+IF(M6_Puntos_Control!A115="",0,1)</f>
        <v>0</v>
      </c>
      <c r="T1111" s="17" t="str">
        <f>IF(M6_Puntos_Control!A115="","",IF(M6_Puntos_Control!A115="","",M6_Puntos_Control!A115))</f>
        <v/>
      </c>
      <c r="U1111" s="17" t="str">
        <f>IF(M6_Puntos_Control!A115="","",IF(M6_Puntos_Control!R115="","",M6_Puntos_Control!R115))</f>
        <v/>
      </c>
      <c r="V1111" s="17" t="str">
        <f>IF(M6_Puntos_Control!A115="","",IF(M6_Puntos_Control!D115="","",M6_Puntos_Control!D115))</f>
        <v/>
      </c>
      <c r="W1111" s="17" t="str">
        <f>IF(M6_Puntos_Control!A115="","",IF(M6_Puntos_Control!B115="","",M6_Puntos_Control!B115))</f>
        <v/>
      </c>
      <c r="X1111" s="17" t="str">
        <f>IF(M6_Puntos_Control!A115="","",IF(M6_Puntos_Control!C115="","",M6_Puntos_Control!C115))</f>
        <v/>
      </c>
      <c r="Y1111" s="17" t="str">
        <f>IF(M6_Puntos_Control!A115="","",IF(M6_Puntos_Control!E115="","",M6_Puntos_Control!E115))</f>
        <v/>
      </c>
      <c r="Z1111" s="17" t="str">
        <f>IF(M6_Puntos_Control!A115="","",IF(M6_Puntos_Control!F115="","",M6_Puntos_Control!F115))</f>
        <v/>
      </c>
      <c r="AA1111" s="17" t="str">
        <f>IF(M6_Puntos_Control!A115="","","M6 Puntos de control")</f>
        <v/>
      </c>
      <c r="AB1111" s="17" t="str">
        <f>IF(M6_Puntos_Control!A115="","",IF(M6_Puntos_Control!G115="","",M6_Puntos_Control!G115))</f>
        <v/>
      </c>
      <c r="AC1111" s="17" t="str">
        <f>IF(M6_Puntos_Control!A115="","",IF(M6_Puntos_Control!K115="Sí",IF(COUNTIFS(M6_Puntos_Control!$A$9:A115,M6_Puntos_Control!A115,M6_Puntos_Control!$D$9:D115,M6_Puntos_Control!D115,M6_Puntos_Control!$G$9:G115,M6_Puntos_Control!G115,M6_Puntos_Control!$H$9:H115,M6_Puntos_Control!H115,M6_Puntos_Control!$K$9:K115,"Sí")=1,IF(M6_Puntos_Control!M115="","",M6_Puntos_Control!M115),""),""))</f>
        <v/>
      </c>
      <c r="AD1111" s="17" t="str">
        <f>IF(M6_Puntos_Control!A115="","","RD")</f>
        <v/>
      </c>
      <c r="AE1111" s="17" t="str">
        <f>IF(M6_Puntos_Control!A115="","",IF(M6_Puntos_Control!O115="","",M6_Puntos_Control!O115))</f>
        <v/>
      </c>
      <c r="AF1111" s="17" t="str">
        <f>IF(M6_Puntos_Control!A115="","",IF(M6_Puntos_Control!P115="","",M6_Puntos_Control!P115))</f>
        <v/>
      </c>
      <c r="AG1111" s="17" t="str">
        <f>IF(M6_Puntos_Control!A115="","",IF(M6_Puntos_Control!Q115="","",M6_Puntos_Control!Q115))</f>
        <v/>
      </c>
      <c r="AH1111" s="17" t="str">
        <f>IF(M6_Puntos_Control!A115="","",IF(M6_Puntos_Control!I115="","",M6_Puntos_Control!I115))</f>
        <v/>
      </c>
      <c r="AI1111" s="17" t="str">
        <f>IF(M6_Puntos_Control!A115="","","M6_Puntos_Control!115")</f>
        <v/>
      </c>
      <c r="AJ1111" s="17" t="str">
        <f>IF(M6_Puntos_Control!A115="","",IF(M6_Puntos_Control!K115&lt;&gt;"Sí","Punto de comparación",IF(COUNTIFS(M6_Puntos_Control!$A$9:A115,M6_Puntos_Control!A115,M6_Puntos_Control!$D$9:D115,M6_Puntos_Control!D115,M6_Puntos_Control!$G$9:G115,M6_Puntos_Control!G115,M6_Puntos_Control!$H$9:H115,M6_Puntos_Control!H115,M6_Puntos_Control!$K$9:K115,"Sí")=1,IF(M6_Puntos_Control!M115="","Pendiente de resultado","Punto oficial"),"Revisar: varios puntos oficiales")))</f>
        <v/>
      </c>
    </row>
    <row r="1112" spans="1:36" ht="55.5" customHeight="1">
      <c r="A1112" s="6" t="str">
        <f t="array" ref="A1112">IF(1108&gt;$S$1204,"",INDEX($T$5:$AJ$1204,MATCH(1108,$S$5:$S$1204,0),1))</f>
        <v/>
      </c>
      <c r="B1112" s="8" t="str">
        <f t="array" ref="B1112">IF(1108&gt;$S$1204,"",INDEX($T$5:$AJ$1204,MATCH(1108,$S$5:$S$1204,0),2))</f>
        <v/>
      </c>
      <c r="C1112" s="10" t="str">
        <f t="array" ref="C1112">IF(1108&gt;$S$1204,"",INDEX($T$5:$AJ$1204,MATCH(1108,$S$5:$S$1204,0),3))</f>
        <v/>
      </c>
      <c r="D1112" s="8" t="str">
        <f t="array" ref="D1112">IF(1108&gt;$S$1204,"",INDEX($T$5:$AJ$1204,MATCH(1108,$S$5:$S$1204,0),4))</f>
        <v/>
      </c>
      <c r="E1112" s="8" t="str">
        <f t="array" ref="E1112">IF(1108&gt;$S$1204,"",INDEX($T$5:$AJ$1204,MATCH(1108,$S$5:$S$1204,0),5))</f>
        <v/>
      </c>
      <c r="F1112" s="8" t="str">
        <f t="array" ref="F1112">IF(1108&gt;$S$1204,"",INDEX($T$5:$AJ$1204,MATCH(1108,$S$5:$S$1204,0),6))</f>
        <v/>
      </c>
      <c r="G1112" s="8" t="str">
        <f t="array" ref="G1112">IF(1108&gt;$S$1204,"",INDEX($T$5:$AJ$1204,MATCH(1108,$S$5:$S$1204,0),7))</f>
        <v/>
      </c>
      <c r="H1112" s="8" t="str">
        <f t="array" ref="H1112">IF(1108&gt;$S$1204,"",INDEX($T$5:$AJ$1204,MATCH(1108,$S$5:$S$1204,0),8))</f>
        <v/>
      </c>
      <c r="I1112" s="8" t="str">
        <f t="array" ref="I1112">IF(1108&gt;$S$1204,"",INDEX($T$5:$AJ$1204,MATCH(1108,$S$5:$S$1204,0),9))</f>
        <v/>
      </c>
      <c r="J1112" s="14" t="str">
        <f t="array" ref="J1112">IF(1108&gt;$S$1204,"",INDEX($T$5:$AJ$1204,MATCH(1108,$S$5:$S$1204,0),10))</f>
        <v/>
      </c>
      <c r="K1112" s="8" t="str">
        <f t="array" ref="K1112">IF(1108&gt;$S$1204,"",INDEX($T$5:$AJ$1204,MATCH(1108,$S$5:$S$1204,0),11))</f>
        <v/>
      </c>
      <c r="L1112" s="8" t="str">
        <f t="array" ref="L1112">IF(1108&gt;$S$1204,"",INDEX($T$5:$AJ$1204,MATCH(1108,$S$5:$S$1204,0),12))</f>
        <v/>
      </c>
      <c r="M1112" s="8" t="str">
        <f t="array" ref="M1112">IF(1108&gt;$S$1204,"",INDEX($T$5:$AJ$1204,MATCH(1108,$S$5:$S$1204,0),13))</f>
        <v/>
      </c>
      <c r="N1112" s="8" t="str">
        <f t="array" ref="N1112">IF(1108&gt;$S$1204,"",INDEX($T$5:$AJ$1204,MATCH(1108,$S$5:$S$1204,0),14))</f>
        <v/>
      </c>
      <c r="O1112" s="15" t="str">
        <f t="array" ref="O1112">IF(1108&gt;$S$1204,"",INDEX($T$5:$AJ$1204,MATCH(1108,$S$5:$S$1204,0),15))</f>
        <v/>
      </c>
      <c r="P1112" s="8" t="str">
        <f t="array" ref="P1112">IF(1108&gt;$S$1204,"",INDEX($T$5:$AJ$1204,MATCH(1108,$S$5:$S$1204,0),16))</f>
        <v/>
      </c>
      <c r="Q1112" s="8" t="str">
        <f t="array" ref="Q1112">IF(1108&gt;$S$1204,"",INDEX($T$5:$AJ$1204,MATCH(1108,$S$5:$S$1204,0),17))</f>
        <v/>
      </c>
      <c r="R1112" s="17"/>
      <c r="S1112" s="17">
        <f>S1111+IF(M6_Puntos_Control!A116="",0,1)</f>
        <v>0</v>
      </c>
      <c r="T1112" s="17" t="str">
        <f>IF(M6_Puntos_Control!A116="","",IF(M6_Puntos_Control!A116="","",M6_Puntos_Control!A116))</f>
        <v/>
      </c>
      <c r="U1112" s="17" t="str">
        <f>IF(M6_Puntos_Control!A116="","",IF(M6_Puntos_Control!R116="","",M6_Puntos_Control!R116))</f>
        <v/>
      </c>
      <c r="V1112" s="17" t="str">
        <f>IF(M6_Puntos_Control!A116="","",IF(M6_Puntos_Control!D116="","",M6_Puntos_Control!D116))</f>
        <v/>
      </c>
      <c r="W1112" s="17" t="str">
        <f>IF(M6_Puntos_Control!A116="","",IF(M6_Puntos_Control!B116="","",M6_Puntos_Control!B116))</f>
        <v/>
      </c>
      <c r="X1112" s="17" t="str">
        <f>IF(M6_Puntos_Control!A116="","",IF(M6_Puntos_Control!C116="","",M6_Puntos_Control!C116))</f>
        <v/>
      </c>
      <c r="Y1112" s="17" t="str">
        <f>IF(M6_Puntos_Control!A116="","",IF(M6_Puntos_Control!E116="","",M6_Puntos_Control!E116))</f>
        <v/>
      </c>
      <c r="Z1112" s="17" t="str">
        <f>IF(M6_Puntos_Control!A116="","",IF(M6_Puntos_Control!F116="","",M6_Puntos_Control!F116))</f>
        <v/>
      </c>
      <c r="AA1112" s="17" t="str">
        <f>IF(M6_Puntos_Control!A116="","","M6 Puntos de control")</f>
        <v/>
      </c>
      <c r="AB1112" s="17" t="str">
        <f>IF(M6_Puntos_Control!A116="","",IF(M6_Puntos_Control!G116="","",M6_Puntos_Control!G116))</f>
        <v/>
      </c>
      <c r="AC1112" s="17" t="str">
        <f>IF(M6_Puntos_Control!A116="","",IF(M6_Puntos_Control!K116="Sí",IF(COUNTIFS(M6_Puntos_Control!$A$9:A116,M6_Puntos_Control!A116,M6_Puntos_Control!$D$9:D116,M6_Puntos_Control!D116,M6_Puntos_Control!$G$9:G116,M6_Puntos_Control!G116,M6_Puntos_Control!$H$9:H116,M6_Puntos_Control!H116,M6_Puntos_Control!$K$9:K116,"Sí")=1,IF(M6_Puntos_Control!M116="","",M6_Puntos_Control!M116),""),""))</f>
        <v/>
      </c>
      <c r="AD1112" s="17" t="str">
        <f>IF(M6_Puntos_Control!A116="","","RD")</f>
        <v/>
      </c>
      <c r="AE1112" s="17" t="str">
        <f>IF(M6_Puntos_Control!A116="","",IF(M6_Puntos_Control!O116="","",M6_Puntos_Control!O116))</f>
        <v/>
      </c>
      <c r="AF1112" s="17" t="str">
        <f>IF(M6_Puntos_Control!A116="","",IF(M6_Puntos_Control!P116="","",M6_Puntos_Control!P116))</f>
        <v/>
      </c>
      <c r="AG1112" s="17" t="str">
        <f>IF(M6_Puntos_Control!A116="","",IF(M6_Puntos_Control!Q116="","",M6_Puntos_Control!Q116))</f>
        <v/>
      </c>
      <c r="AH1112" s="17" t="str">
        <f>IF(M6_Puntos_Control!A116="","",IF(M6_Puntos_Control!I116="","",M6_Puntos_Control!I116))</f>
        <v/>
      </c>
      <c r="AI1112" s="17" t="str">
        <f>IF(M6_Puntos_Control!A116="","","M6_Puntos_Control!116")</f>
        <v/>
      </c>
      <c r="AJ1112" s="17" t="str">
        <f>IF(M6_Puntos_Control!A116="","",IF(M6_Puntos_Control!K116&lt;&gt;"Sí","Punto de comparación",IF(COUNTIFS(M6_Puntos_Control!$A$9:A116,M6_Puntos_Control!A116,M6_Puntos_Control!$D$9:D116,M6_Puntos_Control!D116,M6_Puntos_Control!$G$9:G116,M6_Puntos_Control!G116,M6_Puntos_Control!$H$9:H116,M6_Puntos_Control!H116,M6_Puntos_Control!$K$9:K116,"Sí")=1,IF(M6_Puntos_Control!M116="","Pendiente de resultado","Punto oficial"),"Revisar: varios puntos oficiales")))</f>
        <v/>
      </c>
    </row>
    <row r="1113" spans="1:36" ht="55.5" customHeight="1">
      <c r="A1113" s="6" t="str">
        <f t="array" ref="A1113">IF(1109&gt;$S$1204,"",INDEX($T$5:$AJ$1204,MATCH(1109,$S$5:$S$1204,0),1))</f>
        <v/>
      </c>
      <c r="B1113" s="8" t="str">
        <f t="array" ref="B1113">IF(1109&gt;$S$1204,"",INDEX($T$5:$AJ$1204,MATCH(1109,$S$5:$S$1204,0),2))</f>
        <v/>
      </c>
      <c r="C1113" s="10" t="str">
        <f t="array" ref="C1113">IF(1109&gt;$S$1204,"",INDEX($T$5:$AJ$1204,MATCH(1109,$S$5:$S$1204,0),3))</f>
        <v/>
      </c>
      <c r="D1113" s="8" t="str">
        <f t="array" ref="D1113">IF(1109&gt;$S$1204,"",INDEX($T$5:$AJ$1204,MATCH(1109,$S$5:$S$1204,0),4))</f>
        <v/>
      </c>
      <c r="E1113" s="8" t="str">
        <f t="array" ref="E1113">IF(1109&gt;$S$1204,"",INDEX($T$5:$AJ$1204,MATCH(1109,$S$5:$S$1204,0),5))</f>
        <v/>
      </c>
      <c r="F1113" s="8" t="str">
        <f t="array" ref="F1113">IF(1109&gt;$S$1204,"",INDEX($T$5:$AJ$1204,MATCH(1109,$S$5:$S$1204,0),6))</f>
        <v/>
      </c>
      <c r="G1113" s="8" t="str">
        <f t="array" ref="G1113">IF(1109&gt;$S$1204,"",INDEX($T$5:$AJ$1204,MATCH(1109,$S$5:$S$1204,0),7))</f>
        <v/>
      </c>
      <c r="H1113" s="8" t="str">
        <f t="array" ref="H1113">IF(1109&gt;$S$1204,"",INDEX($T$5:$AJ$1204,MATCH(1109,$S$5:$S$1204,0),8))</f>
        <v/>
      </c>
      <c r="I1113" s="8" t="str">
        <f t="array" ref="I1113">IF(1109&gt;$S$1204,"",INDEX($T$5:$AJ$1204,MATCH(1109,$S$5:$S$1204,0),9))</f>
        <v/>
      </c>
      <c r="J1113" s="14" t="str">
        <f t="array" ref="J1113">IF(1109&gt;$S$1204,"",INDEX($T$5:$AJ$1204,MATCH(1109,$S$5:$S$1204,0),10))</f>
        <v/>
      </c>
      <c r="K1113" s="8" t="str">
        <f t="array" ref="K1113">IF(1109&gt;$S$1204,"",INDEX($T$5:$AJ$1204,MATCH(1109,$S$5:$S$1204,0),11))</f>
        <v/>
      </c>
      <c r="L1113" s="8" t="str">
        <f t="array" ref="L1113">IF(1109&gt;$S$1204,"",INDEX($T$5:$AJ$1204,MATCH(1109,$S$5:$S$1204,0),12))</f>
        <v/>
      </c>
      <c r="M1113" s="8" t="str">
        <f t="array" ref="M1113">IF(1109&gt;$S$1204,"",INDEX($T$5:$AJ$1204,MATCH(1109,$S$5:$S$1204,0),13))</f>
        <v/>
      </c>
      <c r="N1113" s="8" t="str">
        <f t="array" ref="N1113">IF(1109&gt;$S$1204,"",INDEX($T$5:$AJ$1204,MATCH(1109,$S$5:$S$1204,0),14))</f>
        <v/>
      </c>
      <c r="O1113" s="15" t="str">
        <f t="array" ref="O1113">IF(1109&gt;$S$1204,"",INDEX($T$5:$AJ$1204,MATCH(1109,$S$5:$S$1204,0),15))</f>
        <v/>
      </c>
      <c r="P1113" s="8" t="str">
        <f t="array" ref="P1113">IF(1109&gt;$S$1204,"",INDEX($T$5:$AJ$1204,MATCH(1109,$S$5:$S$1204,0),16))</f>
        <v/>
      </c>
      <c r="Q1113" s="8" t="str">
        <f t="array" ref="Q1113">IF(1109&gt;$S$1204,"",INDEX($T$5:$AJ$1204,MATCH(1109,$S$5:$S$1204,0),17))</f>
        <v/>
      </c>
      <c r="R1113" s="17"/>
      <c r="S1113" s="17">
        <f>S1112+IF(M6_Puntos_Control!A117="",0,1)</f>
        <v>0</v>
      </c>
      <c r="T1113" s="17" t="str">
        <f>IF(M6_Puntos_Control!A117="","",IF(M6_Puntos_Control!A117="","",M6_Puntos_Control!A117))</f>
        <v/>
      </c>
      <c r="U1113" s="17" t="str">
        <f>IF(M6_Puntos_Control!A117="","",IF(M6_Puntos_Control!R117="","",M6_Puntos_Control!R117))</f>
        <v/>
      </c>
      <c r="V1113" s="17" t="str">
        <f>IF(M6_Puntos_Control!A117="","",IF(M6_Puntos_Control!D117="","",M6_Puntos_Control!D117))</f>
        <v/>
      </c>
      <c r="W1113" s="17" t="str">
        <f>IF(M6_Puntos_Control!A117="","",IF(M6_Puntos_Control!B117="","",M6_Puntos_Control!B117))</f>
        <v/>
      </c>
      <c r="X1113" s="17" t="str">
        <f>IF(M6_Puntos_Control!A117="","",IF(M6_Puntos_Control!C117="","",M6_Puntos_Control!C117))</f>
        <v/>
      </c>
      <c r="Y1113" s="17" t="str">
        <f>IF(M6_Puntos_Control!A117="","",IF(M6_Puntos_Control!E117="","",M6_Puntos_Control!E117))</f>
        <v/>
      </c>
      <c r="Z1113" s="17" t="str">
        <f>IF(M6_Puntos_Control!A117="","",IF(M6_Puntos_Control!F117="","",M6_Puntos_Control!F117))</f>
        <v/>
      </c>
      <c r="AA1113" s="17" t="str">
        <f>IF(M6_Puntos_Control!A117="","","M6 Puntos de control")</f>
        <v/>
      </c>
      <c r="AB1113" s="17" t="str">
        <f>IF(M6_Puntos_Control!A117="","",IF(M6_Puntos_Control!G117="","",M6_Puntos_Control!G117))</f>
        <v/>
      </c>
      <c r="AC1113" s="17" t="str">
        <f>IF(M6_Puntos_Control!A117="","",IF(M6_Puntos_Control!K117="Sí",IF(COUNTIFS(M6_Puntos_Control!$A$9:A117,M6_Puntos_Control!A117,M6_Puntos_Control!$D$9:D117,M6_Puntos_Control!D117,M6_Puntos_Control!$G$9:G117,M6_Puntos_Control!G117,M6_Puntos_Control!$H$9:H117,M6_Puntos_Control!H117,M6_Puntos_Control!$K$9:K117,"Sí")=1,IF(M6_Puntos_Control!M117="","",M6_Puntos_Control!M117),""),""))</f>
        <v/>
      </c>
      <c r="AD1113" s="17" t="str">
        <f>IF(M6_Puntos_Control!A117="","","RD")</f>
        <v/>
      </c>
      <c r="AE1113" s="17" t="str">
        <f>IF(M6_Puntos_Control!A117="","",IF(M6_Puntos_Control!O117="","",M6_Puntos_Control!O117))</f>
        <v/>
      </c>
      <c r="AF1113" s="17" t="str">
        <f>IF(M6_Puntos_Control!A117="","",IF(M6_Puntos_Control!P117="","",M6_Puntos_Control!P117))</f>
        <v/>
      </c>
      <c r="AG1113" s="17" t="str">
        <f>IF(M6_Puntos_Control!A117="","",IF(M6_Puntos_Control!Q117="","",M6_Puntos_Control!Q117))</f>
        <v/>
      </c>
      <c r="AH1113" s="17" t="str">
        <f>IF(M6_Puntos_Control!A117="","",IF(M6_Puntos_Control!I117="","",M6_Puntos_Control!I117))</f>
        <v/>
      </c>
      <c r="AI1113" s="17" t="str">
        <f>IF(M6_Puntos_Control!A117="","","M6_Puntos_Control!117")</f>
        <v/>
      </c>
      <c r="AJ1113" s="17" t="str">
        <f>IF(M6_Puntos_Control!A117="","",IF(M6_Puntos_Control!K117&lt;&gt;"Sí","Punto de comparación",IF(COUNTIFS(M6_Puntos_Control!$A$9:A117,M6_Puntos_Control!A117,M6_Puntos_Control!$D$9:D117,M6_Puntos_Control!D117,M6_Puntos_Control!$G$9:G117,M6_Puntos_Control!G117,M6_Puntos_Control!$H$9:H117,M6_Puntos_Control!H117,M6_Puntos_Control!$K$9:K117,"Sí")=1,IF(M6_Puntos_Control!M117="","Pendiente de resultado","Punto oficial"),"Revisar: varios puntos oficiales")))</f>
        <v/>
      </c>
    </row>
    <row r="1114" spans="1:36" ht="55.5" customHeight="1">
      <c r="A1114" s="6" t="str">
        <f t="array" ref="A1114">IF(1110&gt;$S$1204,"",INDEX($T$5:$AJ$1204,MATCH(1110,$S$5:$S$1204,0),1))</f>
        <v/>
      </c>
      <c r="B1114" s="8" t="str">
        <f t="array" ref="B1114">IF(1110&gt;$S$1204,"",INDEX($T$5:$AJ$1204,MATCH(1110,$S$5:$S$1204,0),2))</f>
        <v/>
      </c>
      <c r="C1114" s="10" t="str">
        <f t="array" ref="C1114">IF(1110&gt;$S$1204,"",INDEX($T$5:$AJ$1204,MATCH(1110,$S$5:$S$1204,0),3))</f>
        <v/>
      </c>
      <c r="D1114" s="8" t="str">
        <f t="array" ref="D1114">IF(1110&gt;$S$1204,"",INDEX($T$5:$AJ$1204,MATCH(1110,$S$5:$S$1204,0),4))</f>
        <v/>
      </c>
      <c r="E1114" s="8" t="str">
        <f t="array" ref="E1114">IF(1110&gt;$S$1204,"",INDEX($T$5:$AJ$1204,MATCH(1110,$S$5:$S$1204,0),5))</f>
        <v/>
      </c>
      <c r="F1114" s="8" t="str">
        <f t="array" ref="F1114">IF(1110&gt;$S$1204,"",INDEX($T$5:$AJ$1204,MATCH(1110,$S$5:$S$1204,0),6))</f>
        <v/>
      </c>
      <c r="G1114" s="8" t="str">
        <f t="array" ref="G1114">IF(1110&gt;$S$1204,"",INDEX($T$5:$AJ$1204,MATCH(1110,$S$5:$S$1204,0),7))</f>
        <v/>
      </c>
      <c r="H1114" s="8" t="str">
        <f t="array" ref="H1114">IF(1110&gt;$S$1204,"",INDEX($T$5:$AJ$1204,MATCH(1110,$S$5:$S$1204,0),8))</f>
        <v/>
      </c>
      <c r="I1114" s="8" t="str">
        <f t="array" ref="I1114">IF(1110&gt;$S$1204,"",INDEX($T$5:$AJ$1204,MATCH(1110,$S$5:$S$1204,0),9))</f>
        <v/>
      </c>
      <c r="J1114" s="14" t="str">
        <f t="array" ref="J1114">IF(1110&gt;$S$1204,"",INDEX($T$5:$AJ$1204,MATCH(1110,$S$5:$S$1204,0),10))</f>
        <v/>
      </c>
      <c r="K1114" s="8" t="str">
        <f t="array" ref="K1114">IF(1110&gt;$S$1204,"",INDEX($T$5:$AJ$1204,MATCH(1110,$S$5:$S$1204,0),11))</f>
        <v/>
      </c>
      <c r="L1114" s="8" t="str">
        <f t="array" ref="L1114">IF(1110&gt;$S$1204,"",INDEX($T$5:$AJ$1204,MATCH(1110,$S$5:$S$1204,0),12))</f>
        <v/>
      </c>
      <c r="M1114" s="8" t="str">
        <f t="array" ref="M1114">IF(1110&gt;$S$1204,"",INDEX($T$5:$AJ$1204,MATCH(1110,$S$5:$S$1204,0),13))</f>
        <v/>
      </c>
      <c r="N1114" s="8" t="str">
        <f t="array" ref="N1114">IF(1110&gt;$S$1204,"",INDEX($T$5:$AJ$1204,MATCH(1110,$S$5:$S$1204,0),14))</f>
        <v/>
      </c>
      <c r="O1114" s="15" t="str">
        <f t="array" ref="O1114">IF(1110&gt;$S$1204,"",INDEX($T$5:$AJ$1204,MATCH(1110,$S$5:$S$1204,0),15))</f>
        <v/>
      </c>
      <c r="P1114" s="8" t="str">
        <f t="array" ref="P1114">IF(1110&gt;$S$1204,"",INDEX($T$5:$AJ$1204,MATCH(1110,$S$5:$S$1204,0),16))</f>
        <v/>
      </c>
      <c r="Q1114" s="8" t="str">
        <f t="array" ref="Q1114">IF(1110&gt;$S$1204,"",INDEX($T$5:$AJ$1204,MATCH(1110,$S$5:$S$1204,0),17))</f>
        <v/>
      </c>
      <c r="R1114" s="17"/>
      <c r="S1114" s="17">
        <f>S1113+IF(M6_Puntos_Control!A118="",0,1)</f>
        <v>0</v>
      </c>
      <c r="T1114" s="17" t="str">
        <f>IF(M6_Puntos_Control!A118="","",IF(M6_Puntos_Control!A118="","",M6_Puntos_Control!A118))</f>
        <v/>
      </c>
      <c r="U1114" s="17" t="str">
        <f>IF(M6_Puntos_Control!A118="","",IF(M6_Puntos_Control!R118="","",M6_Puntos_Control!R118))</f>
        <v/>
      </c>
      <c r="V1114" s="17" t="str">
        <f>IF(M6_Puntos_Control!A118="","",IF(M6_Puntos_Control!D118="","",M6_Puntos_Control!D118))</f>
        <v/>
      </c>
      <c r="W1114" s="17" t="str">
        <f>IF(M6_Puntos_Control!A118="","",IF(M6_Puntos_Control!B118="","",M6_Puntos_Control!B118))</f>
        <v/>
      </c>
      <c r="X1114" s="17" t="str">
        <f>IF(M6_Puntos_Control!A118="","",IF(M6_Puntos_Control!C118="","",M6_Puntos_Control!C118))</f>
        <v/>
      </c>
      <c r="Y1114" s="17" t="str">
        <f>IF(M6_Puntos_Control!A118="","",IF(M6_Puntos_Control!E118="","",M6_Puntos_Control!E118))</f>
        <v/>
      </c>
      <c r="Z1114" s="17" t="str">
        <f>IF(M6_Puntos_Control!A118="","",IF(M6_Puntos_Control!F118="","",M6_Puntos_Control!F118))</f>
        <v/>
      </c>
      <c r="AA1114" s="17" t="str">
        <f>IF(M6_Puntos_Control!A118="","","M6 Puntos de control")</f>
        <v/>
      </c>
      <c r="AB1114" s="17" t="str">
        <f>IF(M6_Puntos_Control!A118="","",IF(M6_Puntos_Control!G118="","",M6_Puntos_Control!G118))</f>
        <v/>
      </c>
      <c r="AC1114" s="17" t="str">
        <f>IF(M6_Puntos_Control!A118="","",IF(M6_Puntos_Control!K118="Sí",IF(COUNTIFS(M6_Puntos_Control!$A$9:A118,M6_Puntos_Control!A118,M6_Puntos_Control!$D$9:D118,M6_Puntos_Control!D118,M6_Puntos_Control!$G$9:G118,M6_Puntos_Control!G118,M6_Puntos_Control!$H$9:H118,M6_Puntos_Control!H118,M6_Puntos_Control!$K$9:K118,"Sí")=1,IF(M6_Puntos_Control!M118="","",M6_Puntos_Control!M118),""),""))</f>
        <v/>
      </c>
      <c r="AD1114" s="17" t="str">
        <f>IF(M6_Puntos_Control!A118="","","RD")</f>
        <v/>
      </c>
      <c r="AE1114" s="17" t="str">
        <f>IF(M6_Puntos_Control!A118="","",IF(M6_Puntos_Control!O118="","",M6_Puntos_Control!O118))</f>
        <v/>
      </c>
      <c r="AF1114" s="17" t="str">
        <f>IF(M6_Puntos_Control!A118="","",IF(M6_Puntos_Control!P118="","",M6_Puntos_Control!P118))</f>
        <v/>
      </c>
      <c r="AG1114" s="17" t="str">
        <f>IF(M6_Puntos_Control!A118="","",IF(M6_Puntos_Control!Q118="","",M6_Puntos_Control!Q118))</f>
        <v/>
      </c>
      <c r="AH1114" s="17" t="str">
        <f>IF(M6_Puntos_Control!A118="","",IF(M6_Puntos_Control!I118="","",M6_Puntos_Control!I118))</f>
        <v/>
      </c>
      <c r="AI1114" s="17" t="str">
        <f>IF(M6_Puntos_Control!A118="","","M6_Puntos_Control!118")</f>
        <v/>
      </c>
      <c r="AJ1114" s="17" t="str">
        <f>IF(M6_Puntos_Control!A118="","",IF(M6_Puntos_Control!K118&lt;&gt;"Sí","Punto de comparación",IF(COUNTIFS(M6_Puntos_Control!$A$9:A118,M6_Puntos_Control!A118,M6_Puntos_Control!$D$9:D118,M6_Puntos_Control!D118,M6_Puntos_Control!$G$9:G118,M6_Puntos_Control!G118,M6_Puntos_Control!$H$9:H118,M6_Puntos_Control!H118,M6_Puntos_Control!$K$9:K118,"Sí")=1,IF(M6_Puntos_Control!M118="","Pendiente de resultado","Punto oficial"),"Revisar: varios puntos oficiales")))</f>
        <v/>
      </c>
    </row>
    <row r="1115" spans="1:36" ht="55.5" customHeight="1">
      <c r="A1115" s="6" t="str">
        <f t="array" ref="A1115">IF(1111&gt;$S$1204,"",INDEX($T$5:$AJ$1204,MATCH(1111,$S$5:$S$1204,0),1))</f>
        <v/>
      </c>
      <c r="B1115" s="8" t="str">
        <f t="array" ref="B1115">IF(1111&gt;$S$1204,"",INDEX($T$5:$AJ$1204,MATCH(1111,$S$5:$S$1204,0),2))</f>
        <v/>
      </c>
      <c r="C1115" s="10" t="str">
        <f t="array" ref="C1115">IF(1111&gt;$S$1204,"",INDEX($T$5:$AJ$1204,MATCH(1111,$S$5:$S$1204,0),3))</f>
        <v/>
      </c>
      <c r="D1115" s="8" t="str">
        <f t="array" ref="D1115">IF(1111&gt;$S$1204,"",INDEX($T$5:$AJ$1204,MATCH(1111,$S$5:$S$1204,0),4))</f>
        <v/>
      </c>
      <c r="E1115" s="8" t="str">
        <f t="array" ref="E1115">IF(1111&gt;$S$1204,"",INDEX($T$5:$AJ$1204,MATCH(1111,$S$5:$S$1204,0),5))</f>
        <v/>
      </c>
      <c r="F1115" s="8" t="str">
        <f t="array" ref="F1115">IF(1111&gt;$S$1204,"",INDEX($T$5:$AJ$1204,MATCH(1111,$S$5:$S$1204,0),6))</f>
        <v/>
      </c>
      <c r="G1115" s="8" t="str">
        <f t="array" ref="G1115">IF(1111&gt;$S$1204,"",INDEX($T$5:$AJ$1204,MATCH(1111,$S$5:$S$1204,0),7))</f>
        <v/>
      </c>
      <c r="H1115" s="8" t="str">
        <f t="array" ref="H1115">IF(1111&gt;$S$1204,"",INDEX($T$5:$AJ$1204,MATCH(1111,$S$5:$S$1204,0),8))</f>
        <v/>
      </c>
      <c r="I1115" s="8" t="str">
        <f t="array" ref="I1115">IF(1111&gt;$S$1204,"",INDEX($T$5:$AJ$1204,MATCH(1111,$S$5:$S$1204,0),9))</f>
        <v/>
      </c>
      <c r="J1115" s="14" t="str">
        <f t="array" ref="J1115">IF(1111&gt;$S$1204,"",INDEX($T$5:$AJ$1204,MATCH(1111,$S$5:$S$1204,0),10))</f>
        <v/>
      </c>
      <c r="K1115" s="8" t="str">
        <f t="array" ref="K1115">IF(1111&gt;$S$1204,"",INDEX($T$5:$AJ$1204,MATCH(1111,$S$5:$S$1204,0),11))</f>
        <v/>
      </c>
      <c r="L1115" s="8" t="str">
        <f t="array" ref="L1115">IF(1111&gt;$S$1204,"",INDEX($T$5:$AJ$1204,MATCH(1111,$S$5:$S$1204,0),12))</f>
        <v/>
      </c>
      <c r="M1115" s="8" t="str">
        <f t="array" ref="M1115">IF(1111&gt;$S$1204,"",INDEX($T$5:$AJ$1204,MATCH(1111,$S$5:$S$1204,0),13))</f>
        <v/>
      </c>
      <c r="N1115" s="8" t="str">
        <f t="array" ref="N1115">IF(1111&gt;$S$1204,"",INDEX($T$5:$AJ$1204,MATCH(1111,$S$5:$S$1204,0),14))</f>
        <v/>
      </c>
      <c r="O1115" s="15" t="str">
        <f t="array" ref="O1115">IF(1111&gt;$S$1204,"",INDEX($T$5:$AJ$1204,MATCH(1111,$S$5:$S$1204,0),15))</f>
        <v/>
      </c>
      <c r="P1115" s="8" t="str">
        <f t="array" ref="P1115">IF(1111&gt;$S$1204,"",INDEX($T$5:$AJ$1204,MATCH(1111,$S$5:$S$1204,0),16))</f>
        <v/>
      </c>
      <c r="Q1115" s="8" t="str">
        <f t="array" ref="Q1115">IF(1111&gt;$S$1204,"",INDEX($T$5:$AJ$1204,MATCH(1111,$S$5:$S$1204,0),17))</f>
        <v/>
      </c>
      <c r="R1115" s="17"/>
      <c r="S1115" s="17">
        <f>S1114+IF(M6_Puntos_Control!A119="",0,1)</f>
        <v>0</v>
      </c>
      <c r="T1115" s="17" t="str">
        <f>IF(M6_Puntos_Control!A119="","",IF(M6_Puntos_Control!A119="","",M6_Puntos_Control!A119))</f>
        <v/>
      </c>
      <c r="U1115" s="17" t="str">
        <f>IF(M6_Puntos_Control!A119="","",IF(M6_Puntos_Control!R119="","",M6_Puntos_Control!R119))</f>
        <v/>
      </c>
      <c r="V1115" s="17" t="str">
        <f>IF(M6_Puntos_Control!A119="","",IF(M6_Puntos_Control!D119="","",M6_Puntos_Control!D119))</f>
        <v/>
      </c>
      <c r="W1115" s="17" t="str">
        <f>IF(M6_Puntos_Control!A119="","",IF(M6_Puntos_Control!B119="","",M6_Puntos_Control!B119))</f>
        <v/>
      </c>
      <c r="X1115" s="17" t="str">
        <f>IF(M6_Puntos_Control!A119="","",IF(M6_Puntos_Control!C119="","",M6_Puntos_Control!C119))</f>
        <v/>
      </c>
      <c r="Y1115" s="17" t="str">
        <f>IF(M6_Puntos_Control!A119="","",IF(M6_Puntos_Control!E119="","",M6_Puntos_Control!E119))</f>
        <v/>
      </c>
      <c r="Z1115" s="17" t="str">
        <f>IF(M6_Puntos_Control!A119="","",IF(M6_Puntos_Control!F119="","",M6_Puntos_Control!F119))</f>
        <v/>
      </c>
      <c r="AA1115" s="17" t="str">
        <f>IF(M6_Puntos_Control!A119="","","M6 Puntos de control")</f>
        <v/>
      </c>
      <c r="AB1115" s="17" t="str">
        <f>IF(M6_Puntos_Control!A119="","",IF(M6_Puntos_Control!G119="","",M6_Puntos_Control!G119))</f>
        <v/>
      </c>
      <c r="AC1115" s="17" t="str">
        <f>IF(M6_Puntos_Control!A119="","",IF(M6_Puntos_Control!K119="Sí",IF(COUNTIFS(M6_Puntos_Control!$A$9:A119,M6_Puntos_Control!A119,M6_Puntos_Control!$D$9:D119,M6_Puntos_Control!D119,M6_Puntos_Control!$G$9:G119,M6_Puntos_Control!G119,M6_Puntos_Control!$H$9:H119,M6_Puntos_Control!H119,M6_Puntos_Control!$K$9:K119,"Sí")=1,IF(M6_Puntos_Control!M119="","",M6_Puntos_Control!M119),""),""))</f>
        <v/>
      </c>
      <c r="AD1115" s="17" t="str">
        <f>IF(M6_Puntos_Control!A119="","","RD")</f>
        <v/>
      </c>
      <c r="AE1115" s="17" t="str">
        <f>IF(M6_Puntos_Control!A119="","",IF(M6_Puntos_Control!O119="","",M6_Puntos_Control!O119))</f>
        <v/>
      </c>
      <c r="AF1115" s="17" t="str">
        <f>IF(M6_Puntos_Control!A119="","",IF(M6_Puntos_Control!P119="","",M6_Puntos_Control!P119))</f>
        <v/>
      </c>
      <c r="AG1115" s="17" t="str">
        <f>IF(M6_Puntos_Control!A119="","",IF(M6_Puntos_Control!Q119="","",M6_Puntos_Control!Q119))</f>
        <v/>
      </c>
      <c r="AH1115" s="17" t="str">
        <f>IF(M6_Puntos_Control!A119="","",IF(M6_Puntos_Control!I119="","",M6_Puntos_Control!I119))</f>
        <v/>
      </c>
      <c r="AI1115" s="17" t="str">
        <f>IF(M6_Puntos_Control!A119="","","M6_Puntos_Control!119")</f>
        <v/>
      </c>
      <c r="AJ1115" s="17" t="str">
        <f>IF(M6_Puntos_Control!A119="","",IF(M6_Puntos_Control!K119&lt;&gt;"Sí","Punto de comparación",IF(COUNTIFS(M6_Puntos_Control!$A$9:A119,M6_Puntos_Control!A119,M6_Puntos_Control!$D$9:D119,M6_Puntos_Control!D119,M6_Puntos_Control!$G$9:G119,M6_Puntos_Control!G119,M6_Puntos_Control!$H$9:H119,M6_Puntos_Control!H119,M6_Puntos_Control!$K$9:K119,"Sí")=1,IF(M6_Puntos_Control!M119="","Pendiente de resultado","Punto oficial"),"Revisar: varios puntos oficiales")))</f>
        <v/>
      </c>
    </row>
    <row r="1116" spans="1:36" ht="55.5" customHeight="1">
      <c r="A1116" s="6" t="str">
        <f t="array" ref="A1116">IF(1112&gt;$S$1204,"",INDEX($T$5:$AJ$1204,MATCH(1112,$S$5:$S$1204,0),1))</f>
        <v/>
      </c>
      <c r="B1116" s="8" t="str">
        <f t="array" ref="B1116">IF(1112&gt;$S$1204,"",INDEX($T$5:$AJ$1204,MATCH(1112,$S$5:$S$1204,0),2))</f>
        <v/>
      </c>
      <c r="C1116" s="10" t="str">
        <f t="array" ref="C1116">IF(1112&gt;$S$1204,"",INDEX($T$5:$AJ$1204,MATCH(1112,$S$5:$S$1204,0),3))</f>
        <v/>
      </c>
      <c r="D1116" s="8" t="str">
        <f t="array" ref="D1116">IF(1112&gt;$S$1204,"",INDEX($T$5:$AJ$1204,MATCH(1112,$S$5:$S$1204,0),4))</f>
        <v/>
      </c>
      <c r="E1116" s="8" t="str">
        <f t="array" ref="E1116">IF(1112&gt;$S$1204,"",INDEX($T$5:$AJ$1204,MATCH(1112,$S$5:$S$1204,0),5))</f>
        <v/>
      </c>
      <c r="F1116" s="8" t="str">
        <f t="array" ref="F1116">IF(1112&gt;$S$1204,"",INDEX($T$5:$AJ$1204,MATCH(1112,$S$5:$S$1204,0),6))</f>
        <v/>
      </c>
      <c r="G1116" s="8" t="str">
        <f t="array" ref="G1116">IF(1112&gt;$S$1204,"",INDEX($T$5:$AJ$1204,MATCH(1112,$S$5:$S$1204,0),7))</f>
        <v/>
      </c>
      <c r="H1116" s="8" t="str">
        <f t="array" ref="H1116">IF(1112&gt;$S$1204,"",INDEX($T$5:$AJ$1204,MATCH(1112,$S$5:$S$1204,0),8))</f>
        <v/>
      </c>
      <c r="I1116" s="8" t="str">
        <f t="array" ref="I1116">IF(1112&gt;$S$1204,"",INDEX($T$5:$AJ$1204,MATCH(1112,$S$5:$S$1204,0),9))</f>
        <v/>
      </c>
      <c r="J1116" s="14" t="str">
        <f t="array" ref="J1116">IF(1112&gt;$S$1204,"",INDEX($T$5:$AJ$1204,MATCH(1112,$S$5:$S$1204,0),10))</f>
        <v/>
      </c>
      <c r="K1116" s="8" t="str">
        <f t="array" ref="K1116">IF(1112&gt;$S$1204,"",INDEX($T$5:$AJ$1204,MATCH(1112,$S$5:$S$1204,0),11))</f>
        <v/>
      </c>
      <c r="L1116" s="8" t="str">
        <f t="array" ref="L1116">IF(1112&gt;$S$1204,"",INDEX($T$5:$AJ$1204,MATCH(1112,$S$5:$S$1204,0),12))</f>
        <v/>
      </c>
      <c r="M1116" s="8" t="str">
        <f t="array" ref="M1116">IF(1112&gt;$S$1204,"",INDEX($T$5:$AJ$1204,MATCH(1112,$S$5:$S$1204,0),13))</f>
        <v/>
      </c>
      <c r="N1116" s="8" t="str">
        <f t="array" ref="N1116">IF(1112&gt;$S$1204,"",INDEX($T$5:$AJ$1204,MATCH(1112,$S$5:$S$1204,0),14))</f>
        <v/>
      </c>
      <c r="O1116" s="15" t="str">
        <f t="array" ref="O1116">IF(1112&gt;$S$1204,"",INDEX($T$5:$AJ$1204,MATCH(1112,$S$5:$S$1204,0),15))</f>
        <v/>
      </c>
      <c r="P1116" s="8" t="str">
        <f t="array" ref="P1116">IF(1112&gt;$S$1204,"",INDEX($T$5:$AJ$1204,MATCH(1112,$S$5:$S$1204,0),16))</f>
        <v/>
      </c>
      <c r="Q1116" s="8" t="str">
        <f t="array" ref="Q1116">IF(1112&gt;$S$1204,"",INDEX($T$5:$AJ$1204,MATCH(1112,$S$5:$S$1204,0),17))</f>
        <v/>
      </c>
      <c r="R1116" s="17"/>
      <c r="S1116" s="17">
        <f>S1115+IF(M6_Puntos_Control!A120="",0,1)</f>
        <v>0</v>
      </c>
      <c r="T1116" s="17" t="str">
        <f>IF(M6_Puntos_Control!A120="","",IF(M6_Puntos_Control!A120="","",M6_Puntos_Control!A120))</f>
        <v/>
      </c>
      <c r="U1116" s="17" t="str">
        <f>IF(M6_Puntos_Control!A120="","",IF(M6_Puntos_Control!R120="","",M6_Puntos_Control!R120))</f>
        <v/>
      </c>
      <c r="V1116" s="17" t="str">
        <f>IF(M6_Puntos_Control!A120="","",IF(M6_Puntos_Control!D120="","",M6_Puntos_Control!D120))</f>
        <v/>
      </c>
      <c r="W1116" s="17" t="str">
        <f>IF(M6_Puntos_Control!A120="","",IF(M6_Puntos_Control!B120="","",M6_Puntos_Control!B120))</f>
        <v/>
      </c>
      <c r="X1116" s="17" t="str">
        <f>IF(M6_Puntos_Control!A120="","",IF(M6_Puntos_Control!C120="","",M6_Puntos_Control!C120))</f>
        <v/>
      </c>
      <c r="Y1116" s="17" t="str">
        <f>IF(M6_Puntos_Control!A120="","",IF(M6_Puntos_Control!E120="","",M6_Puntos_Control!E120))</f>
        <v/>
      </c>
      <c r="Z1116" s="17" t="str">
        <f>IF(M6_Puntos_Control!A120="","",IF(M6_Puntos_Control!F120="","",M6_Puntos_Control!F120))</f>
        <v/>
      </c>
      <c r="AA1116" s="17" t="str">
        <f>IF(M6_Puntos_Control!A120="","","M6 Puntos de control")</f>
        <v/>
      </c>
      <c r="AB1116" s="17" t="str">
        <f>IF(M6_Puntos_Control!A120="","",IF(M6_Puntos_Control!G120="","",M6_Puntos_Control!G120))</f>
        <v/>
      </c>
      <c r="AC1116" s="17" t="str">
        <f>IF(M6_Puntos_Control!A120="","",IF(M6_Puntos_Control!K120="Sí",IF(COUNTIFS(M6_Puntos_Control!$A$9:A120,M6_Puntos_Control!A120,M6_Puntos_Control!$D$9:D120,M6_Puntos_Control!D120,M6_Puntos_Control!$G$9:G120,M6_Puntos_Control!G120,M6_Puntos_Control!$H$9:H120,M6_Puntos_Control!H120,M6_Puntos_Control!$K$9:K120,"Sí")=1,IF(M6_Puntos_Control!M120="","",M6_Puntos_Control!M120),""),""))</f>
        <v/>
      </c>
      <c r="AD1116" s="17" t="str">
        <f>IF(M6_Puntos_Control!A120="","","RD")</f>
        <v/>
      </c>
      <c r="AE1116" s="17" t="str">
        <f>IF(M6_Puntos_Control!A120="","",IF(M6_Puntos_Control!O120="","",M6_Puntos_Control!O120))</f>
        <v/>
      </c>
      <c r="AF1116" s="17" t="str">
        <f>IF(M6_Puntos_Control!A120="","",IF(M6_Puntos_Control!P120="","",M6_Puntos_Control!P120))</f>
        <v/>
      </c>
      <c r="AG1116" s="17" t="str">
        <f>IF(M6_Puntos_Control!A120="","",IF(M6_Puntos_Control!Q120="","",M6_Puntos_Control!Q120))</f>
        <v/>
      </c>
      <c r="AH1116" s="17" t="str">
        <f>IF(M6_Puntos_Control!A120="","",IF(M6_Puntos_Control!I120="","",M6_Puntos_Control!I120))</f>
        <v/>
      </c>
      <c r="AI1116" s="17" t="str">
        <f>IF(M6_Puntos_Control!A120="","","M6_Puntos_Control!120")</f>
        <v/>
      </c>
      <c r="AJ1116" s="17" t="str">
        <f>IF(M6_Puntos_Control!A120="","",IF(M6_Puntos_Control!K120&lt;&gt;"Sí","Punto de comparación",IF(COUNTIFS(M6_Puntos_Control!$A$9:A120,M6_Puntos_Control!A120,M6_Puntos_Control!$D$9:D120,M6_Puntos_Control!D120,M6_Puntos_Control!$G$9:G120,M6_Puntos_Control!G120,M6_Puntos_Control!$H$9:H120,M6_Puntos_Control!H120,M6_Puntos_Control!$K$9:K120,"Sí")=1,IF(M6_Puntos_Control!M120="","Pendiente de resultado","Punto oficial"),"Revisar: varios puntos oficiales")))</f>
        <v/>
      </c>
    </row>
    <row r="1117" spans="1:36" ht="55.5" customHeight="1">
      <c r="A1117" s="6" t="str">
        <f t="array" ref="A1117">IF(1113&gt;$S$1204,"",INDEX($T$5:$AJ$1204,MATCH(1113,$S$5:$S$1204,0),1))</f>
        <v/>
      </c>
      <c r="B1117" s="8" t="str">
        <f t="array" ref="B1117">IF(1113&gt;$S$1204,"",INDEX($T$5:$AJ$1204,MATCH(1113,$S$5:$S$1204,0),2))</f>
        <v/>
      </c>
      <c r="C1117" s="10" t="str">
        <f t="array" ref="C1117">IF(1113&gt;$S$1204,"",INDEX($T$5:$AJ$1204,MATCH(1113,$S$5:$S$1204,0),3))</f>
        <v/>
      </c>
      <c r="D1117" s="8" t="str">
        <f t="array" ref="D1117">IF(1113&gt;$S$1204,"",INDEX($T$5:$AJ$1204,MATCH(1113,$S$5:$S$1204,0),4))</f>
        <v/>
      </c>
      <c r="E1117" s="8" t="str">
        <f t="array" ref="E1117">IF(1113&gt;$S$1204,"",INDEX($T$5:$AJ$1204,MATCH(1113,$S$5:$S$1204,0),5))</f>
        <v/>
      </c>
      <c r="F1117" s="8" t="str">
        <f t="array" ref="F1117">IF(1113&gt;$S$1204,"",INDEX($T$5:$AJ$1204,MATCH(1113,$S$5:$S$1204,0),6))</f>
        <v/>
      </c>
      <c r="G1117" s="8" t="str">
        <f t="array" ref="G1117">IF(1113&gt;$S$1204,"",INDEX($T$5:$AJ$1204,MATCH(1113,$S$5:$S$1204,0),7))</f>
        <v/>
      </c>
      <c r="H1117" s="8" t="str">
        <f t="array" ref="H1117">IF(1113&gt;$S$1204,"",INDEX($T$5:$AJ$1204,MATCH(1113,$S$5:$S$1204,0),8))</f>
        <v/>
      </c>
      <c r="I1117" s="8" t="str">
        <f t="array" ref="I1117">IF(1113&gt;$S$1204,"",INDEX($T$5:$AJ$1204,MATCH(1113,$S$5:$S$1204,0),9))</f>
        <v/>
      </c>
      <c r="J1117" s="14" t="str">
        <f t="array" ref="J1117">IF(1113&gt;$S$1204,"",INDEX($T$5:$AJ$1204,MATCH(1113,$S$5:$S$1204,0),10))</f>
        <v/>
      </c>
      <c r="K1117" s="8" t="str">
        <f t="array" ref="K1117">IF(1113&gt;$S$1204,"",INDEX($T$5:$AJ$1204,MATCH(1113,$S$5:$S$1204,0),11))</f>
        <v/>
      </c>
      <c r="L1117" s="8" t="str">
        <f t="array" ref="L1117">IF(1113&gt;$S$1204,"",INDEX($T$5:$AJ$1204,MATCH(1113,$S$5:$S$1204,0),12))</f>
        <v/>
      </c>
      <c r="M1117" s="8" t="str">
        <f t="array" ref="M1117">IF(1113&gt;$S$1204,"",INDEX($T$5:$AJ$1204,MATCH(1113,$S$5:$S$1204,0),13))</f>
        <v/>
      </c>
      <c r="N1117" s="8" t="str">
        <f t="array" ref="N1117">IF(1113&gt;$S$1204,"",INDEX($T$5:$AJ$1204,MATCH(1113,$S$5:$S$1204,0),14))</f>
        <v/>
      </c>
      <c r="O1117" s="15" t="str">
        <f t="array" ref="O1117">IF(1113&gt;$S$1204,"",INDEX($T$5:$AJ$1204,MATCH(1113,$S$5:$S$1204,0),15))</f>
        <v/>
      </c>
      <c r="P1117" s="8" t="str">
        <f t="array" ref="P1117">IF(1113&gt;$S$1204,"",INDEX($T$5:$AJ$1204,MATCH(1113,$S$5:$S$1204,0),16))</f>
        <v/>
      </c>
      <c r="Q1117" s="8" t="str">
        <f t="array" ref="Q1117">IF(1113&gt;$S$1204,"",INDEX($T$5:$AJ$1204,MATCH(1113,$S$5:$S$1204,0),17))</f>
        <v/>
      </c>
      <c r="R1117" s="17"/>
      <c r="S1117" s="17">
        <f>S1116+IF(M6_Puntos_Control!A121="",0,1)</f>
        <v>0</v>
      </c>
      <c r="T1117" s="17" t="str">
        <f>IF(M6_Puntos_Control!A121="","",IF(M6_Puntos_Control!A121="","",M6_Puntos_Control!A121))</f>
        <v/>
      </c>
      <c r="U1117" s="17" t="str">
        <f>IF(M6_Puntos_Control!A121="","",IF(M6_Puntos_Control!R121="","",M6_Puntos_Control!R121))</f>
        <v/>
      </c>
      <c r="V1117" s="17" t="str">
        <f>IF(M6_Puntos_Control!A121="","",IF(M6_Puntos_Control!D121="","",M6_Puntos_Control!D121))</f>
        <v/>
      </c>
      <c r="W1117" s="17" t="str">
        <f>IF(M6_Puntos_Control!A121="","",IF(M6_Puntos_Control!B121="","",M6_Puntos_Control!B121))</f>
        <v/>
      </c>
      <c r="X1117" s="17" t="str">
        <f>IF(M6_Puntos_Control!A121="","",IF(M6_Puntos_Control!C121="","",M6_Puntos_Control!C121))</f>
        <v/>
      </c>
      <c r="Y1117" s="17" t="str">
        <f>IF(M6_Puntos_Control!A121="","",IF(M6_Puntos_Control!E121="","",M6_Puntos_Control!E121))</f>
        <v/>
      </c>
      <c r="Z1117" s="17" t="str">
        <f>IF(M6_Puntos_Control!A121="","",IF(M6_Puntos_Control!F121="","",M6_Puntos_Control!F121))</f>
        <v/>
      </c>
      <c r="AA1117" s="17" t="str">
        <f>IF(M6_Puntos_Control!A121="","","M6 Puntos de control")</f>
        <v/>
      </c>
      <c r="AB1117" s="17" t="str">
        <f>IF(M6_Puntos_Control!A121="","",IF(M6_Puntos_Control!G121="","",M6_Puntos_Control!G121))</f>
        <v/>
      </c>
      <c r="AC1117" s="17" t="str">
        <f>IF(M6_Puntos_Control!A121="","",IF(M6_Puntos_Control!K121="Sí",IF(COUNTIFS(M6_Puntos_Control!$A$9:A121,M6_Puntos_Control!A121,M6_Puntos_Control!$D$9:D121,M6_Puntos_Control!D121,M6_Puntos_Control!$G$9:G121,M6_Puntos_Control!G121,M6_Puntos_Control!$H$9:H121,M6_Puntos_Control!H121,M6_Puntos_Control!$K$9:K121,"Sí")=1,IF(M6_Puntos_Control!M121="","",M6_Puntos_Control!M121),""),""))</f>
        <v/>
      </c>
      <c r="AD1117" s="17" t="str">
        <f>IF(M6_Puntos_Control!A121="","","RD")</f>
        <v/>
      </c>
      <c r="AE1117" s="17" t="str">
        <f>IF(M6_Puntos_Control!A121="","",IF(M6_Puntos_Control!O121="","",M6_Puntos_Control!O121))</f>
        <v/>
      </c>
      <c r="AF1117" s="17" t="str">
        <f>IF(M6_Puntos_Control!A121="","",IF(M6_Puntos_Control!P121="","",M6_Puntos_Control!P121))</f>
        <v/>
      </c>
      <c r="AG1117" s="17" t="str">
        <f>IF(M6_Puntos_Control!A121="","",IF(M6_Puntos_Control!Q121="","",M6_Puntos_Control!Q121))</f>
        <v/>
      </c>
      <c r="AH1117" s="17" t="str">
        <f>IF(M6_Puntos_Control!A121="","",IF(M6_Puntos_Control!I121="","",M6_Puntos_Control!I121))</f>
        <v/>
      </c>
      <c r="AI1117" s="17" t="str">
        <f>IF(M6_Puntos_Control!A121="","","M6_Puntos_Control!121")</f>
        <v/>
      </c>
      <c r="AJ1117" s="17" t="str">
        <f>IF(M6_Puntos_Control!A121="","",IF(M6_Puntos_Control!K121&lt;&gt;"Sí","Punto de comparación",IF(COUNTIFS(M6_Puntos_Control!$A$9:A121,M6_Puntos_Control!A121,M6_Puntos_Control!$D$9:D121,M6_Puntos_Control!D121,M6_Puntos_Control!$G$9:G121,M6_Puntos_Control!G121,M6_Puntos_Control!$H$9:H121,M6_Puntos_Control!H121,M6_Puntos_Control!$K$9:K121,"Sí")=1,IF(M6_Puntos_Control!M121="","Pendiente de resultado","Punto oficial"),"Revisar: varios puntos oficiales")))</f>
        <v/>
      </c>
    </row>
    <row r="1118" spans="1:36" ht="55.5" customHeight="1">
      <c r="A1118" s="6" t="str">
        <f t="array" ref="A1118">IF(1114&gt;$S$1204,"",INDEX($T$5:$AJ$1204,MATCH(1114,$S$5:$S$1204,0),1))</f>
        <v/>
      </c>
      <c r="B1118" s="8" t="str">
        <f t="array" ref="B1118">IF(1114&gt;$S$1204,"",INDEX($T$5:$AJ$1204,MATCH(1114,$S$5:$S$1204,0),2))</f>
        <v/>
      </c>
      <c r="C1118" s="10" t="str">
        <f t="array" ref="C1118">IF(1114&gt;$S$1204,"",INDEX($T$5:$AJ$1204,MATCH(1114,$S$5:$S$1204,0),3))</f>
        <v/>
      </c>
      <c r="D1118" s="8" t="str">
        <f t="array" ref="D1118">IF(1114&gt;$S$1204,"",INDEX($T$5:$AJ$1204,MATCH(1114,$S$5:$S$1204,0),4))</f>
        <v/>
      </c>
      <c r="E1118" s="8" t="str">
        <f t="array" ref="E1118">IF(1114&gt;$S$1204,"",INDEX($T$5:$AJ$1204,MATCH(1114,$S$5:$S$1204,0),5))</f>
        <v/>
      </c>
      <c r="F1118" s="8" t="str">
        <f t="array" ref="F1118">IF(1114&gt;$S$1204,"",INDEX($T$5:$AJ$1204,MATCH(1114,$S$5:$S$1204,0),6))</f>
        <v/>
      </c>
      <c r="G1118" s="8" t="str">
        <f t="array" ref="G1118">IF(1114&gt;$S$1204,"",INDEX($T$5:$AJ$1204,MATCH(1114,$S$5:$S$1204,0),7))</f>
        <v/>
      </c>
      <c r="H1118" s="8" t="str">
        <f t="array" ref="H1118">IF(1114&gt;$S$1204,"",INDEX($T$5:$AJ$1204,MATCH(1114,$S$5:$S$1204,0),8))</f>
        <v/>
      </c>
      <c r="I1118" s="8" t="str">
        <f t="array" ref="I1118">IF(1114&gt;$S$1204,"",INDEX($T$5:$AJ$1204,MATCH(1114,$S$5:$S$1204,0),9))</f>
        <v/>
      </c>
      <c r="J1118" s="14" t="str">
        <f t="array" ref="J1118">IF(1114&gt;$S$1204,"",INDEX($T$5:$AJ$1204,MATCH(1114,$S$5:$S$1204,0),10))</f>
        <v/>
      </c>
      <c r="K1118" s="8" t="str">
        <f t="array" ref="K1118">IF(1114&gt;$S$1204,"",INDEX($T$5:$AJ$1204,MATCH(1114,$S$5:$S$1204,0),11))</f>
        <v/>
      </c>
      <c r="L1118" s="8" t="str">
        <f t="array" ref="L1118">IF(1114&gt;$S$1204,"",INDEX($T$5:$AJ$1204,MATCH(1114,$S$5:$S$1204,0),12))</f>
        <v/>
      </c>
      <c r="M1118" s="8" t="str">
        <f t="array" ref="M1118">IF(1114&gt;$S$1204,"",INDEX($T$5:$AJ$1204,MATCH(1114,$S$5:$S$1204,0),13))</f>
        <v/>
      </c>
      <c r="N1118" s="8" t="str">
        <f t="array" ref="N1118">IF(1114&gt;$S$1204,"",INDEX($T$5:$AJ$1204,MATCH(1114,$S$5:$S$1204,0),14))</f>
        <v/>
      </c>
      <c r="O1118" s="15" t="str">
        <f t="array" ref="O1118">IF(1114&gt;$S$1204,"",INDEX($T$5:$AJ$1204,MATCH(1114,$S$5:$S$1204,0),15))</f>
        <v/>
      </c>
      <c r="P1118" s="8" t="str">
        <f t="array" ref="P1118">IF(1114&gt;$S$1204,"",INDEX($T$5:$AJ$1204,MATCH(1114,$S$5:$S$1204,0),16))</f>
        <v/>
      </c>
      <c r="Q1118" s="8" t="str">
        <f t="array" ref="Q1118">IF(1114&gt;$S$1204,"",INDEX($T$5:$AJ$1204,MATCH(1114,$S$5:$S$1204,0),17))</f>
        <v/>
      </c>
      <c r="R1118" s="17"/>
      <c r="S1118" s="17">
        <f>S1117+IF(M6_Puntos_Control!A122="",0,1)</f>
        <v>0</v>
      </c>
      <c r="T1118" s="17" t="str">
        <f>IF(M6_Puntos_Control!A122="","",IF(M6_Puntos_Control!A122="","",M6_Puntos_Control!A122))</f>
        <v/>
      </c>
      <c r="U1118" s="17" t="str">
        <f>IF(M6_Puntos_Control!A122="","",IF(M6_Puntos_Control!R122="","",M6_Puntos_Control!R122))</f>
        <v/>
      </c>
      <c r="V1118" s="17" t="str">
        <f>IF(M6_Puntos_Control!A122="","",IF(M6_Puntos_Control!D122="","",M6_Puntos_Control!D122))</f>
        <v/>
      </c>
      <c r="W1118" s="17" t="str">
        <f>IF(M6_Puntos_Control!A122="","",IF(M6_Puntos_Control!B122="","",M6_Puntos_Control!B122))</f>
        <v/>
      </c>
      <c r="X1118" s="17" t="str">
        <f>IF(M6_Puntos_Control!A122="","",IF(M6_Puntos_Control!C122="","",M6_Puntos_Control!C122))</f>
        <v/>
      </c>
      <c r="Y1118" s="17" t="str">
        <f>IF(M6_Puntos_Control!A122="","",IF(M6_Puntos_Control!E122="","",M6_Puntos_Control!E122))</f>
        <v/>
      </c>
      <c r="Z1118" s="17" t="str">
        <f>IF(M6_Puntos_Control!A122="","",IF(M6_Puntos_Control!F122="","",M6_Puntos_Control!F122))</f>
        <v/>
      </c>
      <c r="AA1118" s="17" t="str">
        <f>IF(M6_Puntos_Control!A122="","","M6 Puntos de control")</f>
        <v/>
      </c>
      <c r="AB1118" s="17" t="str">
        <f>IF(M6_Puntos_Control!A122="","",IF(M6_Puntos_Control!G122="","",M6_Puntos_Control!G122))</f>
        <v/>
      </c>
      <c r="AC1118" s="17" t="str">
        <f>IF(M6_Puntos_Control!A122="","",IF(M6_Puntos_Control!K122="Sí",IF(COUNTIFS(M6_Puntos_Control!$A$9:A122,M6_Puntos_Control!A122,M6_Puntos_Control!$D$9:D122,M6_Puntos_Control!D122,M6_Puntos_Control!$G$9:G122,M6_Puntos_Control!G122,M6_Puntos_Control!$H$9:H122,M6_Puntos_Control!H122,M6_Puntos_Control!$K$9:K122,"Sí")=1,IF(M6_Puntos_Control!M122="","",M6_Puntos_Control!M122),""),""))</f>
        <v/>
      </c>
      <c r="AD1118" s="17" t="str">
        <f>IF(M6_Puntos_Control!A122="","","RD")</f>
        <v/>
      </c>
      <c r="AE1118" s="17" t="str">
        <f>IF(M6_Puntos_Control!A122="","",IF(M6_Puntos_Control!O122="","",M6_Puntos_Control!O122))</f>
        <v/>
      </c>
      <c r="AF1118" s="17" t="str">
        <f>IF(M6_Puntos_Control!A122="","",IF(M6_Puntos_Control!P122="","",M6_Puntos_Control!P122))</f>
        <v/>
      </c>
      <c r="AG1118" s="17" t="str">
        <f>IF(M6_Puntos_Control!A122="","",IF(M6_Puntos_Control!Q122="","",M6_Puntos_Control!Q122))</f>
        <v/>
      </c>
      <c r="AH1118" s="17" t="str">
        <f>IF(M6_Puntos_Control!A122="","",IF(M6_Puntos_Control!I122="","",M6_Puntos_Control!I122))</f>
        <v/>
      </c>
      <c r="AI1118" s="17" t="str">
        <f>IF(M6_Puntos_Control!A122="","","M6_Puntos_Control!122")</f>
        <v/>
      </c>
      <c r="AJ1118" s="17" t="str">
        <f>IF(M6_Puntos_Control!A122="","",IF(M6_Puntos_Control!K122&lt;&gt;"Sí","Punto de comparación",IF(COUNTIFS(M6_Puntos_Control!$A$9:A122,M6_Puntos_Control!A122,M6_Puntos_Control!$D$9:D122,M6_Puntos_Control!D122,M6_Puntos_Control!$G$9:G122,M6_Puntos_Control!G122,M6_Puntos_Control!$H$9:H122,M6_Puntos_Control!H122,M6_Puntos_Control!$K$9:K122,"Sí")=1,IF(M6_Puntos_Control!M122="","Pendiente de resultado","Punto oficial"),"Revisar: varios puntos oficiales")))</f>
        <v/>
      </c>
    </row>
    <row r="1119" spans="1:36" ht="55.5" customHeight="1">
      <c r="A1119" s="6" t="str">
        <f t="array" ref="A1119">IF(1115&gt;$S$1204,"",INDEX($T$5:$AJ$1204,MATCH(1115,$S$5:$S$1204,0),1))</f>
        <v/>
      </c>
      <c r="B1119" s="8" t="str">
        <f t="array" ref="B1119">IF(1115&gt;$S$1204,"",INDEX($T$5:$AJ$1204,MATCH(1115,$S$5:$S$1204,0),2))</f>
        <v/>
      </c>
      <c r="C1119" s="10" t="str">
        <f t="array" ref="C1119">IF(1115&gt;$S$1204,"",INDEX($T$5:$AJ$1204,MATCH(1115,$S$5:$S$1204,0),3))</f>
        <v/>
      </c>
      <c r="D1119" s="8" t="str">
        <f t="array" ref="D1119">IF(1115&gt;$S$1204,"",INDEX($T$5:$AJ$1204,MATCH(1115,$S$5:$S$1204,0),4))</f>
        <v/>
      </c>
      <c r="E1119" s="8" t="str">
        <f t="array" ref="E1119">IF(1115&gt;$S$1204,"",INDEX($T$5:$AJ$1204,MATCH(1115,$S$5:$S$1204,0),5))</f>
        <v/>
      </c>
      <c r="F1119" s="8" t="str">
        <f t="array" ref="F1119">IF(1115&gt;$S$1204,"",INDEX($T$5:$AJ$1204,MATCH(1115,$S$5:$S$1204,0),6))</f>
        <v/>
      </c>
      <c r="G1119" s="8" t="str">
        <f t="array" ref="G1119">IF(1115&gt;$S$1204,"",INDEX($T$5:$AJ$1204,MATCH(1115,$S$5:$S$1204,0),7))</f>
        <v/>
      </c>
      <c r="H1119" s="8" t="str">
        <f t="array" ref="H1119">IF(1115&gt;$S$1204,"",INDEX($T$5:$AJ$1204,MATCH(1115,$S$5:$S$1204,0),8))</f>
        <v/>
      </c>
      <c r="I1119" s="8" t="str">
        <f t="array" ref="I1119">IF(1115&gt;$S$1204,"",INDEX($T$5:$AJ$1204,MATCH(1115,$S$5:$S$1204,0),9))</f>
        <v/>
      </c>
      <c r="J1119" s="14" t="str">
        <f t="array" ref="J1119">IF(1115&gt;$S$1204,"",INDEX($T$5:$AJ$1204,MATCH(1115,$S$5:$S$1204,0),10))</f>
        <v/>
      </c>
      <c r="K1119" s="8" t="str">
        <f t="array" ref="K1119">IF(1115&gt;$S$1204,"",INDEX($T$5:$AJ$1204,MATCH(1115,$S$5:$S$1204,0),11))</f>
        <v/>
      </c>
      <c r="L1119" s="8" t="str">
        <f t="array" ref="L1119">IF(1115&gt;$S$1204,"",INDEX($T$5:$AJ$1204,MATCH(1115,$S$5:$S$1204,0),12))</f>
        <v/>
      </c>
      <c r="M1119" s="8" t="str">
        <f t="array" ref="M1119">IF(1115&gt;$S$1204,"",INDEX($T$5:$AJ$1204,MATCH(1115,$S$5:$S$1204,0),13))</f>
        <v/>
      </c>
      <c r="N1119" s="8" t="str">
        <f t="array" ref="N1119">IF(1115&gt;$S$1204,"",INDEX($T$5:$AJ$1204,MATCH(1115,$S$5:$S$1204,0),14))</f>
        <v/>
      </c>
      <c r="O1119" s="15" t="str">
        <f t="array" ref="O1119">IF(1115&gt;$S$1204,"",INDEX($T$5:$AJ$1204,MATCH(1115,$S$5:$S$1204,0),15))</f>
        <v/>
      </c>
      <c r="P1119" s="8" t="str">
        <f t="array" ref="P1119">IF(1115&gt;$S$1204,"",INDEX($T$5:$AJ$1204,MATCH(1115,$S$5:$S$1204,0),16))</f>
        <v/>
      </c>
      <c r="Q1119" s="8" t="str">
        <f t="array" ref="Q1119">IF(1115&gt;$S$1204,"",INDEX($T$5:$AJ$1204,MATCH(1115,$S$5:$S$1204,0),17))</f>
        <v/>
      </c>
      <c r="R1119" s="17"/>
      <c r="S1119" s="17">
        <f>S1118+IF(M6_Puntos_Control!A123="",0,1)</f>
        <v>0</v>
      </c>
      <c r="T1119" s="17" t="str">
        <f>IF(M6_Puntos_Control!A123="","",IF(M6_Puntos_Control!A123="","",M6_Puntos_Control!A123))</f>
        <v/>
      </c>
      <c r="U1119" s="17" t="str">
        <f>IF(M6_Puntos_Control!A123="","",IF(M6_Puntos_Control!R123="","",M6_Puntos_Control!R123))</f>
        <v/>
      </c>
      <c r="V1119" s="17" t="str">
        <f>IF(M6_Puntos_Control!A123="","",IF(M6_Puntos_Control!D123="","",M6_Puntos_Control!D123))</f>
        <v/>
      </c>
      <c r="W1119" s="17" t="str">
        <f>IF(M6_Puntos_Control!A123="","",IF(M6_Puntos_Control!B123="","",M6_Puntos_Control!B123))</f>
        <v/>
      </c>
      <c r="X1119" s="17" t="str">
        <f>IF(M6_Puntos_Control!A123="","",IF(M6_Puntos_Control!C123="","",M6_Puntos_Control!C123))</f>
        <v/>
      </c>
      <c r="Y1119" s="17" t="str">
        <f>IF(M6_Puntos_Control!A123="","",IF(M6_Puntos_Control!E123="","",M6_Puntos_Control!E123))</f>
        <v/>
      </c>
      <c r="Z1119" s="17" t="str">
        <f>IF(M6_Puntos_Control!A123="","",IF(M6_Puntos_Control!F123="","",M6_Puntos_Control!F123))</f>
        <v/>
      </c>
      <c r="AA1119" s="17" t="str">
        <f>IF(M6_Puntos_Control!A123="","","M6 Puntos de control")</f>
        <v/>
      </c>
      <c r="AB1119" s="17" t="str">
        <f>IF(M6_Puntos_Control!A123="","",IF(M6_Puntos_Control!G123="","",M6_Puntos_Control!G123))</f>
        <v/>
      </c>
      <c r="AC1119" s="17" t="str">
        <f>IF(M6_Puntos_Control!A123="","",IF(M6_Puntos_Control!K123="Sí",IF(COUNTIFS(M6_Puntos_Control!$A$9:A123,M6_Puntos_Control!A123,M6_Puntos_Control!$D$9:D123,M6_Puntos_Control!D123,M6_Puntos_Control!$G$9:G123,M6_Puntos_Control!G123,M6_Puntos_Control!$H$9:H123,M6_Puntos_Control!H123,M6_Puntos_Control!$K$9:K123,"Sí")=1,IF(M6_Puntos_Control!M123="","",M6_Puntos_Control!M123),""),""))</f>
        <v/>
      </c>
      <c r="AD1119" s="17" t="str">
        <f>IF(M6_Puntos_Control!A123="","","RD")</f>
        <v/>
      </c>
      <c r="AE1119" s="17" t="str">
        <f>IF(M6_Puntos_Control!A123="","",IF(M6_Puntos_Control!O123="","",M6_Puntos_Control!O123))</f>
        <v/>
      </c>
      <c r="AF1119" s="17" t="str">
        <f>IF(M6_Puntos_Control!A123="","",IF(M6_Puntos_Control!P123="","",M6_Puntos_Control!P123))</f>
        <v/>
      </c>
      <c r="AG1119" s="17" t="str">
        <f>IF(M6_Puntos_Control!A123="","",IF(M6_Puntos_Control!Q123="","",M6_Puntos_Control!Q123))</f>
        <v/>
      </c>
      <c r="AH1119" s="17" t="str">
        <f>IF(M6_Puntos_Control!A123="","",IF(M6_Puntos_Control!I123="","",M6_Puntos_Control!I123))</f>
        <v/>
      </c>
      <c r="AI1119" s="17" t="str">
        <f>IF(M6_Puntos_Control!A123="","","M6_Puntos_Control!123")</f>
        <v/>
      </c>
      <c r="AJ1119" s="17" t="str">
        <f>IF(M6_Puntos_Control!A123="","",IF(M6_Puntos_Control!K123&lt;&gt;"Sí","Punto de comparación",IF(COUNTIFS(M6_Puntos_Control!$A$9:A123,M6_Puntos_Control!A123,M6_Puntos_Control!$D$9:D123,M6_Puntos_Control!D123,M6_Puntos_Control!$G$9:G123,M6_Puntos_Control!G123,M6_Puntos_Control!$H$9:H123,M6_Puntos_Control!H123,M6_Puntos_Control!$K$9:K123,"Sí")=1,IF(M6_Puntos_Control!M123="","Pendiente de resultado","Punto oficial"),"Revisar: varios puntos oficiales")))</f>
        <v/>
      </c>
    </row>
    <row r="1120" spans="1:36" ht="55.5" customHeight="1">
      <c r="A1120" s="6" t="str">
        <f t="array" ref="A1120">IF(1116&gt;$S$1204,"",INDEX($T$5:$AJ$1204,MATCH(1116,$S$5:$S$1204,0),1))</f>
        <v/>
      </c>
      <c r="B1120" s="8" t="str">
        <f t="array" ref="B1120">IF(1116&gt;$S$1204,"",INDEX($T$5:$AJ$1204,MATCH(1116,$S$5:$S$1204,0),2))</f>
        <v/>
      </c>
      <c r="C1120" s="10" t="str">
        <f t="array" ref="C1120">IF(1116&gt;$S$1204,"",INDEX($T$5:$AJ$1204,MATCH(1116,$S$5:$S$1204,0),3))</f>
        <v/>
      </c>
      <c r="D1120" s="8" t="str">
        <f t="array" ref="D1120">IF(1116&gt;$S$1204,"",INDEX($T$5:$AJ$1204,MATCH(1116,$S$5:$S$1204,0),4))</f>
        <v/>
      </c>
      <c r="E1120" s="8" t="str">
        <f t="array" ref="E1120">IF(1116&gt;$S$1204,"",INDEX($T$5:$AJ$1204,MATCH(1116,$S$5:$S$1204,0),5))</f>
        <v/>
      </c>
      <c r="F1120" s="8" t="str">
        <f t="array" ref="F1120">IF(1116&gt;$S$1204,"",INDEX($T$5:$AJ$1204,MATCH(1116,$S$5:$S$1204,0),6))</f>
        <v/>
      </c>
      <c r="G1120" s="8" t="str">
        <f t="array" ref="G1120">IF(1116&gt;$S$1204,"",INDEX($T$5:$AJ$1204,MATCH(1116,$S$5:$S$1204,0),7))</f>
        <v/>
      </c>
      <c r="H1120" s="8" t="str">
        <f t="array" ref="H1120">IF(1116&gt;$S$1204,"",INDEX($T$5:$AJ$1204,MATCH(1116,$S$5:$S$1204,0),8))</f>
        <v/>
      </c>
      <c r="I1120" s="8" t="str">
        <f t="array" ref="I1120">IF(1116&gt;$S$1204,"",INDEX($T$5:$AJ$1204,MATCH(1116,$S$5:$S$1204,0),9))</f>
        <v/>
      </c>
      <c r="J1120" s="14" t="str">
        <f t="array" ref="J1120">IF(1116&gt;$S$1204,"",INDEX($T$5:$AJ$1204,MATCH(1116,$S$5:$S$1204,0),10))</f>
        <v/>
      </c>
      <c r="K1120" s="8" t="str">
        <f t="array" ref="K1120">IF(1116&gt;$S$1204,"",INDEX($T$5:$AJ$1204,MATCH(1116,$S$5:$S$1204,0),11))</f>
        <v/>
      </c>
      <c r="L1120" s="8" t="str">
        <f t="array" ref="L1120">IF(1116&gt;$S$1204,"",INDEX($T$5:$AJ$1204,MATCH(1116,$S$5:$S$1204,0),12))</f>
        <v/>
      </c>
      <c r="M1120" s="8" t="str">
        <f t="array" ref="M1120">IF(1116&gt;$S$1204,"",INDEX($T$5:$AJ$1204,MATCH(1116,$S$5:$S$1204,0),13))</f>
        <v/>
      </c>
      <c r="N1120" s="8" t="str">
        <f t="array" ref="N1120">IF(1116&gt;$S$1204,"",INDEX($T$5:$AJ$1204,MATCH(1116,$S$5:$S$1204,0),14))</f>
        <v/>
      </c>
      <c r="O1120" s="15" t="str">
        <f t="array" ref="O1120">IF(1116&gt;$S$1204,"",INDEX($T$5:$AJ$1204,MATCH(1116,$S$5:$S$1204,0),15))</f>
        <v/>
      </c>
      <c r="P1120" s="8" t="str">
        <f t="array" ref="P1120">IF(1116&gt;$S$1204,"",INDEX($T$5:$AJ$1204,MATCH(1116,$S$5:$S$1204,0),16))</f>
        <v/>
      </c>
      <c r="Q1120" s="8" t="str">
        <f t="array" ref="Q1120">IF(1116&gt;$S$1204,"",INDEX($T$5:$AJ$1204,MATCH(1116,$S$5:$S$1204,0),17))</f>
        <v/>
      </c>
      <c r="R1120" s="17"/>
      <c r="S1120" s="17">
        <f>S1119+IF(M6_Puntos_Control!A124="",0,1)</f>
        <v>0</v>
      </c>
      <c r="T1120" s="17" t="str">
        <f>IF(M6_Puntos_Control!A124="","",IF(M6_Puntos_Control!A124="","",M6_Puntos_Control!A124))</f>
        <v/>
      </c>
      <c r="U1120" s="17" t="str">
        <f>IF(M6_Puntos_Control!A124="","",IF(M6_Puntos_Control!R124="","",M6_Puntos_Control!R124))</f>
        <v/>
      </c>
      <c r="V1120" s="17" t="str">
        <f>IF(M6_Puntos_Control!A124="","",IF(M6_Puntos_Control!D124="","",M6_Puntos_Control!D124))</f>
        <v/>
      </c>
      <c r="W1120" s="17" t="str">
        <f>IF(M6_Puntos_Control!A124="","",IF(M6_Puntos_Control!B124="","",M6_Puntos_Control!B124))</f>
        <v/>
      </c>
      <c r="X1120" s="17" t="str">
        <f>IF(M6_Puntos_Control!A124="","",IF(M6_Puntos_Control!C124="","",M6_Puntos_Control!C124))</f>
        <v/>
      </c>
      <c r="Y1120" s="17" t="str">
        <f>IF(M6_Puntos_Control!A124="","",IF(M6_Puntos_Control!E124="","",M6_Puntos_Control!E124))</f>
        <v/>
      </c>
      <c r="Z1120" s="17" t="str">
        <f>IF(M6_Puntos_Control!A124="","",IF(M6_Puntos_Control!F124="","",M6_Puntos_Control!F124))</f>
        <v/>
      </c>
      <c r="AA1120" s="17" t="str">
        <f>IF(M6_Puntos_Control!A124="","","M6 Puntos de control")</f>
        <v/>
      </c>
      <c r="AB1120" s="17" t="str">
        <f>IF(M6_Puntos_Control!A124="","",IF(M6_Puntos_Control!G124="","",M6_Puntos_Control!G124))</f>
        <v/>
      </c>
      <c r="AC1120" s="17" t="str">
        <f>IF(M6_Puntos_Control!A124="","",IF(M6_Puntos_Control!K124="Sí",IF(COUNTIFS(M6_Puntos_Control!$A$9:A124,M6_Puntos_Control!A124,M6_Puntos_Control!$D$9:D124,M6_Puntos_Control!D124,M6_Puntos_Control!$G$9:G124,M6_Puntos_Control!G124,M6_Puntos_Control!$H$9:H124,M6_Puntos_Control!H124,M6_Puntos_Control!$K$9:K124,"Sí")=1,IF(M6_Puntos_Control!M124="","",M6_Puntos_Control!M124),""),""))</f>
        <v/>
      </c>
      <c r="AD1120" s="17" t="str">
        <f>IF(M6_Puntos_Control!A124="","","RD")</f>
        <v/>
      </c>
      <c r="AE1120" s="17" t="str">
        <f>IF(M6_Puntos_Control!A124="","",IF(M6_Puntos_Control!O124="","",M6_Puntos_Control!O124))</f>
        <v/>
      </c>
      <c r="AF1120" s="17" t="str">
        <f>IF(M6_Puntos_Control!A124="","",IF(M6_Puntos_Control!P124="","",M6_Puntos_Control!P124))</f>
        <v/>
      </c>
      <c r="AG1120" s="17" t="str">
        <f>IF(M6_Puntos_Control!A124="","",IF(M6_Puntos_Control!Q124="","",M6_Puntos_Control!Q124))</f>
        <v/>
      </c>
      <c r="AH1120" s="17" t="str">
        <f>IF(M6_Puntos_Control!A124="","",IF(M6_Puntos_Control!I124="","",M6_Puntos_Control!I124))</f>
        <v/>
      </c>
      <c r="AI1120" s="17" t="str">
        <f>IF(M6_Puntos_Control!A124="","","M6_Puntos_Control!124")</f>
        <v/>
      </c>
      <c r="AJ1120" s="17" t="str">
        <f>IF(M6_Puntos_Control!A124="","",IF(M6_Puntos_Control!K124&lt;&gt;"Sí","Punto de comparación",IF(COUNTIFS(M6_Puntos_Control!$A$9:A124,M6_Puntos_Control!A124,M6_Puntos_Control!$D$9:D124,M6_Puntos_Control!D124,M6_Puntos_Control!$G$9:G124,M6_Puntos_Control!G124,M6_Puntos_Control!$H$9:H124,M6_Puntos_Control!H124,M6_Puntos_Control!$K$9:K124,"Sí")=1,IF(M6_Puntos_Control!M124="","Pendiente de resultado","Punto oficial"),"Revisar: varios puntos oficiales")))</f>
        <v/>
      </c>
    </row>
    <row r="1121" spans="1:36" ht="55.5" customHeight="1">
      <c r="A1121" s="6" t="str">
        <f t="array" ref="A1121">IF(1117&gt;$S$1204,"",INDEX($T$5:$AJ$1204,MATCH(1117,$S$5:$S$1204,0),1))</f>
        <v/>
      </c>
      <c r="B1121" s="8" t="str">
        <f t="array" ref="B1121">IF(1117&gt;$S$1204,"",INDEX($T$5:$AJ$1204,MATCH(1117,$S$5:$S$1204,0),2))</f>
        <v/>
      </c>
      <c r="C1121" s="10" t="str">
        <f t="array" ref="C1121">IF(1117&gt;$S$1204,"",INDEX($T$5:$AJ$1204,MATCH(1117,$S$5:$S$1204,0),3))</f>
        <v/>
      </c>
      <c r="D1121" s="8" t="str">
        <f t="array" ref="D1121">IF(1117&gt;$S$1204,"",INDEX($T$5:$AJ$1204,MATCH(1117,$S$5:$S$1204,0),4))</f>
        <v/>
      </c>
      <c r="E1121" s="8" t="str">
        <f t="array" ref="E1121">IF(1117&gt;$S$1204,"",INDEX($T$5:$AJ$1204,MATCH(1117,$S$5:$S$1204,0),5))</f>
        <v/>
      </c>
      <c r="F1121" s="8" t="str">
        <f t="array" ref="F1121">IF(1117&gt;$S$1204,"",INDEX($T$5:$AJ$1204,MATCH(1117,$S$5:$S$1204,0),6))</f>
        <v/>
      </c>
      <c r="G1121" s="8" t="str">
        <f t="array" ref="G1121">IF(1117&gt;$S$1204,"",INDEX($T$5:$AJ$1204,MATCH(1117,$S$5:$S$1204,0),7))</f>
        <v/>
      </c>
      <c r="H1121" s="8" t="str">
        <f t="array" ref="H1121">IF(1117&gt;$S$1204,"",INDEX($T$5:$AJ$1204,MATCH(1117,$S$5:$S$1204,0),8))</f>
        <v/>
      </c>
      <c r="I1121" s="8" t="str">
        <f t="array" ref="I1121">IF(1117&gt;$S$1204,"",INDEX($T$5:$AJ$1204,MATCH(1117,$S$5:$S$1204,0),9))</f>
        <v/>
      </c>
      <c r="J1121" s="14" t="str">
        <f t="array" ref="J1121">IF(1117&gt;$S$1204,"",INDEX($T$5:$AJ$1204,MATCH(1117,$S$5:$S$1204,0),10))</f>
        <v/>
      </c>
      <c r="K1121" s="8" t="str">
        <f t="array" ref="K1121">IF(1117&gt;$S$1204,"",INDEX($T$5:$AJ$1204,MATCH(1117,$S$5:$S$1204,0),11))</f>
        <v/>
      </c>
      <c r="L1121" s="8" t="str">
        <f t="array" ref="L1121">IF(1117&gt;$S$1204,"",INDEX($T$5:$AJ$1204,MATCH(1117,$S$5:$S$1204,0),12))</f>
        <v/>
      </c>
      <c r="M1121" s="8" t="str">
        <f t="array" ref="M1121">IF(1117&gt;$S$1204,"",INDEX($T$5:$AJ$1204,MATCH(1117,$S$5:$S$1204,0),13))</f>
        <v/>
      </c>
      <c r="N1121" s="8" t="str">
        <f t="array" ref="N1121">IF(1117&gt;$S$1204,"",INDEX($T$5:$AJ$1204,MATCH(1117,$S$5:$S$1204,0),14))</f>
        <v/>
      </c>
      <c r="O1121" s="15" t="str">
        <f t="array" ref="O1121">IF(1117&gt;$S$1204,"",INDEX($T$5:$AJ$1204,MATCH(1117,$S$5:$S$1204,0),15))</f>
        <v/>
      </c>
      <c r="P1121" s="8" t="str">
        <f t="array" ref="P1121">IF(1117&gt;$S$1204,"",INDEX($T$5:$AJ$1204,MATCH(1117,$S$5:$S$1204,0),16))</f>
        <v/>
      </c>
      <c r="Q1121" s="8" t="str">
        <f t="array" ref="Q1121">IF(1117&gt;$S$1204,"",INDEX($T$5:$AJ$1204,MATCH(1117,$S$5:$S$1204,0),17))</f>
        <v/>
      </c>
      <c r="R1121" s="17"/>
      <c r="S1121" s="17">
        <f>S1120+IF(M6_Puntos_Control!A125="",0,1)</f>
        <v>0</v>
      </c>
      <c r="T1121" s="17" t="str">
        <f>IF(M6_Puntos_Control!A125="","",IF(M6_Puntos_Control!A125="","",M6_Puntos_Control!A125))</f>
        <v/>
      </c>
      <c r="U1121" s="17" t="str">
        <f>IF(M6_Puntos_Control!A125="","",IF(M6_Puntos_Control!R125="","",M6_Puntos_Control!R125))</f>
        <v/>
      </c>
      <c r="V1121" s="17" t="str">
        <f>IF(M6_Puntos_Control!A125="","",IF(M6_Puntos_Control!D125="","",M6_Puntos_Control!D125))</f>
        <v/>
      </c>
      <c r="W1121" s="17" t="str">
        <f>IF(M6_Puntos_Control!A125="","",IF(M6_Puntos_Control!B125="","",M6_Puntos_Control!B125))</f>
        <v/>
      </c>
      <c r="X1121" s="17" t="str">
        <f>IF(M6_Puntos_Control!A125="","",IF(M6_Puntos_Control!C125="","",M6_Puntos_Control!C125))</f>
        <v/>
      </c>
      <c r="Y1121" s="17" t="str">
        <f>IF(M6_Puntos_Control!A125="","",IF(M6_Puntos_Control!E125="","",M6_Puntos_Control!E125))</f>
        <v/>
      </c>
      <c r="Z1121" s="17" t="str">
        <f>IF(M6_Puntos_Control!A125="","",IF(M6_Puntos_Control!F125="","",M6_Puntos_Control!F125))</f>
        <v/>
      </c>
      <c r="AA1121" s="17" t="str">
        <f>IF(M6_Puntos_Control!A125="","","M6 Puntos de control")</f>
        <v/>
      </c>
      <c r="AB1121" s="17" t="str">
        <f>IF(M6_Puntos_Control!A125="","",IF(M6_Puntos_Control!G125="","",M6_Puntos_Control!G125))</f>
        <v/>
      </c>
      <c r="AC1121" s="17" t="str">
        <f>IF(M6_Puntos_Control!A125="","",IF(M6_Puntos_Control!K125="Sí",IF(COUNTIFS(M6_Puntos_Control!$A$9:A125,M6_Puntos_Control!A125,M6_Puntos_Control!$D$9:D125,M6_Puntos_Control!D125,M6_Puntos_Control!$G$9:G125,M6_Puntos_Control!G125,M6_Puntos_Control!$H$9:H125,M6_Puntos_Control!H125,M6_Puntos_Control!$K$9:K125,"Sí")=1,IF(M6_Puntos_Control!M125="","",M6_Puntos_Control!M125),""),""))</f>
        <v/>
      </c>
      <c r="AD1121" s="17" t="str">
        <f>IF(M6_Puntos_Control!A125="","","RD")</f>
        <v/>
      </c>
      <c r="AE1121" s="17" t="str">
        <f>IF(M6_Puntos_Control!A125="","",IF(M6_Puntos_Control!O125="","",M6_Puntos_Control!O125))</f>
        <v/>
      </c>
      <c r="AF1121" s="17" t="str">
        <f>IF(M6_Puntos_Control!A125="","",IF(M6_Puntos_Control!P125="","",M6_Puntos_Control!P125))</f>
        <v/>
      </c>
      <c r="AG1121" s="17" t="str">
        <f>IF(M6_Puntos_Control!A125="","",IF(M6_Puntos_Control!Q125="","",M6_Puntos_Control!Q125))</f>
        <v/>
      </c>
      <c r="AH1121" s="17" t="str">
        <f>IF(M6_Puntos_Control!A125="","",IF(M6_Puntos_Control!I125="","",M6_Puntos_Control!I125))</f>
        <v/>
      </c>
      <c r="AI1121" s="17" t="str">
        <f>IF(M6_Puntos_Control!A125="","","M6_Puntos_Control!125")</f>
        <v/>
      </c>
      <c r="AJ1121" s="17" t="str">
        <f>IF(M6_Puntos_Control!A125="","",IF(M6_Puntos_Control!K125&lt;&gt;"Sí","Punto de comparación",IF(COUNTIFS(M6_Puntos_Control!$A$9:A125,M6_Puntos_Control!A125,M6_Puntos_Control!$D$9:D125,M6_Puntos_Control!D125,M6_Puntos_Control!$G$9:G125,M6_Puntos_Control!G125,M6_Puntos_Control!$H$9:H125,M6_Puntos_Control!H125,M6_Puntos_Control!$K$9:K125,"Sí")=1,IF(M6_Puntos_Control!M125="","Pendiente de resultado","Punto oficial"),"Revisar: varios puntos oficiales")))</f>
        <v/>
      </c>
    </row>
    <row r="1122" spans="1:36" ht="55.5" customHeight="1">
      <c r="A1122" s="6" t="str">
        <f t="array" ref="A1122">IF(1118&gt;$S$1204,"",INDEX($T$5:$AJ$1204,MATCH(1118,$S$5:$S$1204,0),1))</f>
        <v/>
      </c>
      <c r="B1122" s="8" t="str">
        <f t="array" ref="B1122">IF(1118&gt;$S$1204,"",INDEX($T$5:$AJ$1204,MATCH(1118,$S$5:$S$1204,0),2))</f>
        <v/>
      </c>
      <c r="C1122" s="10" t="str">
        <f t="array" ref="C1122">IF(1118&gt;$S$1204,"",INDEX($T$5:$AJ$1204,MATCH(1118,$S$5:$S$1204,0),3))</f>
        <v/>
      </c>
      <c r="D1122" s="8" t="str">
        <f t="array" ref="D1122">IF(1118&gt;$S$1204,"",INDEX($T$5:$AJ$1204,MATCH(1118,$S$5:$S$1204,0),4))</f>
        <v/>
      </c>
      <c r="E1122" s="8" t="str">
        <f t="array" ref="E1122">IF(1118&gt;$S$1204,"",INDEX($T$5:$AJ$1204,MATCH(1118,$S$5:$S$1204,0),5))</f>
        <v/>
      </c>
      <c r="F1122" s="8" t="str">
        <f t="array" ref="F1122">IF(1118&gt;$S$1204,"",INDEX($T$5:$AJ$1204,MATCH(1118,$S$5:$S$1204,0),6))</f>
        <v/>
      </c>
      <c r="G1122" s="8" t="str">
        <f t="array" ref="G1122">IF(1118&gt;$S$1204,"",INDEX($T$5:$AJ$1204,MATCH(1118,$S$5:$S$1204,0),7))</f>
        <v/>
      </c>
      <c r="H1122" s="8" t="str">
        <f t="array" ref="H1122">IF(1118&gt;$S$1204,"",INDEX($T$5:$AJ$1204,MATCH(1118,$S$5:$S$1204,0),8))</f>
        <v/>
      </c>
      <c r="I1122" s="8" t="str">
        <f t="array" ref="I1122">IF(1118&gt;$S$1204,"",INDEX($T$5:$AJ$1204,MATCH(1118,$S$5:$S$1204,0),9))</f>
        <v/>
      </c>
      <c r="J1122" s="14" t="str">
        <f t="array" ref="J1122">IF(1118&gt;$S$1204,"",INDEX($T$5:$AJ$1204,MATCH(1118,$S$5:$S$1204,0),10))</f>
        <v/>
      </c>
      <c r="K1122" s="8" t="str">
        <f t="array" ref="K1122">IF(1118&gt;$S$1204,"",INDEX($T$5:$AJ$1204,MATCH(1118,$S$5:$S$1204,0),11))</f>
        <v/>
      </c>
      <c r="L1122" s="8" t="str">
        <f t="array" ref="L1122">IF(1118&gt;$S$1204,"",INDEX($T$5:$AJ$1204,MATCH(1118,$S$5:$S$1204,0),12))</f>
        <v/>
      </c>
      <c r="M1122" s="8" t="str">
        <f t="array" ref="M1122">IF(1118&gt;$S$1204,"",INDEX($T$5:$AJ$1204,MATCH(1118,$S$5:$S$1204,0),13))</f>
        <v/>
      </c>
      <c r="N1122" s="8" t="str">
        <f t="array" ref="N1122">IF(1118&gt;$S$1204,"",INDEX($T$5:$AJ$1204,MATCH(1118,$S$5:$S$1204,0),14))</f>
        <v/>
      </c>
      <c r="O1122" s="15" t="str">
        <f t="array" ref="O1122">IF(1118&gt;$S$1204,"",INDEX($T$5:$AJ$1204,MATCH(1118,$S$5:$S$1204,0),15))</f>
        <v/>
      </c>
      <c r="P1122" s="8" t="str">
        <f t="array" ref="P1122">IF(1118&gt;$S$1204,"",INDEX($T$5:$AJ$1204,MATCH(1118,$S$5:$S$1204,0),16))</f>
        <v/>
      </c>
      <c r="Q1122" s="8" t="str">
        <f t="array" ref="Q1122">IF(1118&gt;$S$1204,"",INDEX($T$5:$AJ$1204,MATCH(1118,$S$5:$S$1204,0),17))</f>
        <v/>
      </c>
      <c r="R1122" s="17"/>
      <c r="S1122" s="17">
        <f>S1121+IF(M6_Puntos_Control!A126="",0,1)</f>
        <v>0</v>
      </c>
      <c r="T1122" s="17" t="str">
        <f>IF(M6_Puntos_Control!A126="","",IF(M6_Puntos_Control!A126="","",M6_Puntos_Control!A126))</f>
        <v/>
      </c>
      <c r="U1122" s="17" t="str">
        <f>IF(M6_Puntos_Control!A126="","",IF(M6_Puntos_Control!R126="","",M6_Puntos_Control!R126))</f>
        <v/>
      </c>
      <c r="V1122" s="17" t="str">
        <f>IF(M6_Puntos_Control!A126="","",IF(M6_Puntos_Control!D126="","",M6_Puntos_Control!D126))</f>
        <v/>
      </c>
      <c r="W1122" s="17" t="str">
        <f>IF(M6_Puntos_Control!A126="","",IF(M6_Puntos_Control!B126="","",M6_Puntos_Control!B126))</f>
        <v/>
      </c>
      <c r="X1122" s="17" t="str">
        <f>IF(M6_Puntos_Control!A126="","",IF(M6_Puntos_Control!C126="","",M6_Puntos_Control!C126))</f>
        <v/>
      </c>
      <c r="Y1122" s="17" t="str">
        <f>IF(M6_Puntos_Control!A126="","",IF(M6_Puntos_Control!E126="","",M6_Puntos_Control!E126))</f>
        <v/>
      </c>
      <c r="Z1122" s="17" t="str">
        <f>IF(M6_Puntos_Control!A126="","",IF(M6_Puntos_Control!F126="","",M6_Puntos_Control!F126))</f>
        <v/>
      </c>
      <c r="AA1122" s="17" t="str">
        <f>IF(M6_Puntos_Control!A126="","","M6 Puntos de control")</f>
        <v/>
      </c>
      <c r="AB1122" s="17" t="str">
        <f>IF(M6_Puntos_Control!A126="","",IF(M6_Puntos_Control!G126="","",M6_Puntos_Control!G126))</f>
        <v/>
      </c>
      <c r="AC1122" s="17" t="str">
        <f>IF(M6_Puntos_Control!A126="","",IF(M6_Puntos_Control!K126="Sí",IF(COUNTIFS(M6_Puntos_Control!$A$9:A126,M6_Puntos_Control!A126,M6_Puntos_Control!$D$9:D126,M6_Puntos_Control!D126,M6_Puntos_Control!$G$9:G126,M6_Puntos_Control!G126,M6_Puntos_Control!$H$9:H126,M6_Puntos_Control!H126,M6_Puntos_Control!$K$9:K126,"Sí")=1,IF(M6_Puntos_Control!M126="","",M6_Puntos_Control!M126),""),""))</f>
        <v/>
      </c>
      <c r="AD1122" s="17" t="str">
        <f>IF(M6_Puntos_Control!A126="","","RD")</f>
        <v/>
      </c>
      <c r="AE1122" s="17" t="str">
        <f>IF(M6_Puntos_Control!A126="","",IF(M6_Puntos_Control!O126="","",M6_Puntos_Control!O126))</f>
        <v/>
      </c>
      <c r="AF1122" s="17" t="str">
        <f>IF(M6_Puntos_Control!A126="","",IF(M6_Puntos_Control!P126="","",M6_Puntos_Control!P126))</f>
        <v/>
      </c>
      <c r="AG1122" s="17" t="str">
        <f>IF(M6_Puntos_Control!A126="","",IF(M6_Puntos_Control!Q126="","",M6_Puntos_Control!Q126))</f>
        <v/>
      </c>
      <c r="AH1122" s="17" t="str">
        <f>IF(M6_Puntos_Control!A126="","",IF(M6_Puntos_Control!I126="","",M6_Puntos_Control!I126))</f>
        <v/>
      </c>
      <c r="AI1122" s="17" t="str">
        <f>IF(M6_Puntos_Control!A126="","","M6_Puntos_Control!126")</f>
        <v/>
      </c>
      <c r="AJ1122" s="17" t="str">
        <f>IF(M6_Puntos_Control!A126="","",IF(M6_Puntos_Control!K126&lt;&gt;"Sí","Punto de comparación",IF(COUNTIFS(M6_Puntos_Control!$A$9:A126,M6_Puntos_Control!A126,M6_Puntos_Control!$D$9:D126,M6_Puntos_Control!D126,M6_Puntos_Control!$G$9:G126,M6_Puntos_Control!G126,M6_Puntos_Control!$H$9:H126,M6_Puntos_Control!H126,M6_Puntos_Control!$K$9:K126,"Sí")=1,IF(M6_Puntos_Control!M126="","Pendiente de resultado","Punto oficial"),"Revisar: varios puntos oficiales")))</f>
        <v/>
      </c>
    </row>
    <row r="1123" spans="1:36" ht="55.5" customHeight="1">
      <c r="A1123" s="6" t="str">
        <f t="array" ref="A1123">IF(1119&gt;$S$1204,"",INDEX($T$5:$AJ$1204,MATCH(1119,$S$5:$S$1204,0),1))</f>
        <v/>
      </c>
      <c r="B1123" s="8" t="str">
        <f t="array" ref="B1123">IF(1119&gt;$S$1204,"",INDEX($T$5:$AJ$1204,MATCH(1119,$S$5:$S$1204,0),2))</f>
        <v/>
      </c>
      <c r="C1123" s="10" t="str">
        <f t="array" ref="C1123">IF(1119&gt;$S$1204,"",INDEX($T$5:$AJ$1204,MATCH(1119,$S$5:$S$1204,0),3))</f>
        <v/>
      </c>
      <c r="D1123" s="8" t="str">
        <f t="array" ref="D1123">IF(1119&gt;$S$1204,"",INDEX($T$5:$AJ$1204,MATCH(1119,$S$5:$S$1204,0),4))</f>
        <v/>
      </c>
      <c r="E1123" s="8" t="str">
        <f t="array" ref="E1123">IF(1119&gt;$S$1204,"",INDEX($T$5:$AJ$1204,MATCH(1119,$S$5:$S$1204,0),5))</f>
        <v/>
      </c>
      <c r="F1123" s="8" t="str">
        <f t="array" ref="F1123">IF(1119&gt;$S$1204,"",INDEX($T$5:$AJ$1204,MATCH(1119,$S$5:$S$1204,0),6))</f>
        <v/>
      </c>
      <c r="G1123" s="8" t="str">
        <f t="array" ref="G1123">IF(1119&gt;$S$1204,"",INDEX($T$5:$AJ$1204,MATCH(1119,$S$5:$S$1204,0),7))</f>
        <v/>
      </c>
      <c r="H1123" s="8" t="str">
        <f t="array" ref="H1123">IF(1119&gt;$S$1204,"",INDEX($T$5:$AJ$1204,MATCH(1119,$S$5:$S$1204,0),8))</f>
        <v/>
      </c>
      <c r="I1123" s="8" t="str">
        <f t="array" ref="I1123">IF(1119&gt;$S$1204,"",INDEX($T$5:$AJ$1204,MATCH(1119,$S$5:$S$1204,0),9))</f>
        <v/>
      </c>
      <c r="J1123" s="14" t="str">
        <f t="array" ref="J1123">IF(1119&gt;$S$1204,"",INDEX($T$5:$AJ$1204,MATCH(1119,$S$5:$S$1204,0),10))</f>
        <v/>
      </c>
      <c r="K1123" s="8" t="str">
        <f t="array" ref="K1123">IF(1119&gt;$S$1204,"",INDEX($T$5:$AJ$1204,MATCH(1119,$S$5:$S$1204,0),11))</f>
        <v/>
      </c>
      <c r="L1123" s="8" t="str">
        <f t="array" ref="L1123">IF(1119&gt;$S$1204,"",INDEX($T$5:$AJ$1204,MATCH(1119,$S$5:$S$1204,0),12))</f>
        <v/>
      </c>
      <c r="M1123" s="8" t="str">
        <f t="array" ref="M1123">IF(1119&gt;$S$1204,"",INDEX($T$5:$AJ$1204,MATCH(1119,$S$5:$S$1204,0),13))</f>
        <v/>
      </c>
      <c r="N1123" s="8" t="str">
        <f t="array" ref="N1123">IF(1119&gt;$S$1204,"",INDEX($T$5:$AJ$1204,MATCH(1119,$S$5:$S$1204,0),14))</f>
        <v/>
      </c>
      <c r="O1123" s="15" t="str">
        <f t="array" ref="O1123">IF(1119&gt;$S$1204,"",INDEX($T$5:$AJ$1204,MATCH(1119,$S$5:$S$1204,0),15))</f>
        <v/>
      </c>
      <c r="P1123" s="8" t="str">
        <f t="array" ref="P1123">IF(1119&gt;$S$1204,"",INDEX($T$5:$AJ$1204,MATCH(1119,$S$5:$S$1204,0),16))</f>
        <v/>
      </c>
      <c r="Q1123" s="8" t="str">
        <f t="array" ref="Q1123">IF(1119&gt;$S$1204,"",INDEX($T$5:$AJ$1204,MATCH(1119,$S$5:$S$1204,0),17))</f>
        <v/>
      </c>
      <c r="R1123" s="17"/>
      <c r="S1123" s="17">
        <f>S1122+IF(M6_Puntos_Control!A127="",0,1)</f>
        <v>0</v>
      </c>
      <c r="T1123" s="17" t="str">
        <f>IF(M6_Puntos_Control!A127="","",IF(M6_Puntos_Control!A127="","",M6_Puntos_Control!A127))</f>
        <v/>
      </c>
      <c r="U1123" s="17" t="str">
        <f>IF(M6_Puntos_Control!A127="","",IF(M6_Puntos_Control!R127="","",M6_Puntos_Control!R127))</f>
        <v/>
      </c>
      <c r="V1123" s="17" t="str">
        <f>IF(M6_Puntos_Control!A127="","",IF(M6_Puntos_Control!D127="","",M6_Puntos_Control!D127))</f>
        <v/>
      </c>
      <c r="W1123" s="17" t="str">
        <f>IF(M6_Puntos_Control!A127="","",IF(M6_Puntos_Control!B127="","",M6_Puntos_Control!B127))</f>
        <v/>
      </c>
      <c r="X1123" s="17" t="str">
        <f>IF(M6_Puntos_Control!A127="","",IF(M6_Puntos_Control!C127="","",M6_Puntos_Control!C127))</f>
        <v/>
      </c>
      <c r="Y1123" s="17" t="str">
        <f>IF(M6_Puntos_Control!A127="","",IF(M6_Puntos_Control!E127="","",M6_Puntos_Control!E127))</f>
        <v/>
      </c>
      <c r="Z1123" s="17" t="str">
        <f>IF(M6_Puntos_Control!A127="","",IF(M6_Puntos_Control!F127="","",M6_Puntos_Control!F127))</f>
        <v/>
      </c>
      <c r="AA1123" s="17" t="str">
        <f>IF(M6_Puntos_Control!A127="","","M6 Puntos de control")</f>
        <v/>
      </c>
      <c r="AB1123" s="17" t="str">
        <f>IF(M6_Puntos_Control!A127="","",IF(M6_Puntos_Control!G127="","",M6_Puntos_Control!G127))</f>
        <v/>
      </c>
      <c r="AC1123" s="17" t="str">
        <f>IF(M6_Puntos_Control!A127="","",IF(M6_Puntos_Control!K127="Sí",IF(COUNTIFS(M6_Puntos_Control!$A$9:A127,M6_Puntos_Control!A127,M6_Puntos_Control!$D$9:D127,M6_Puntos_Control!D127,M6_Puntos_Control!$G$9:G127,M6_Puntos_Control!G127,M6_Puntos_Control!$H$9:H127,M6_Puntos_Control!H127,M6_Puntos_Control!$K$9:K127,"Sí")=1,IF(M6_Puntos_Control!M127="","",M6_Puntos_Control!M127),""),""))</f>
        <v/>
      </c>
      <c r="AD1123" s="17" t="str">
        <f>IF(M6_Puntos_Control!A127="","","RD")</f>
        <v/>
      </c>
      <c r="AE1123" s="17" t="str">
        <f>IF(M6_Puntos_Control!A127="","",IF(M6_Puntos_Control!O127="","",M6_Puntos_Control!O127))</f>
        <v/>
      </c>
      <c r="AF1123" s="17" t="str">
        <f>IF(M6_Puntos_Control!A127="","",IF(M6_Puntos_Control!P127="","",M6_Puntos_Control!P127))</f>
        <v/>
      </c>
      <c r="AG1123" s="17" t="str">
        <f>IF(M6_Puntos_Control!A127="","",IF(M6_Puntos_Control!Q127="","",M6_Puntos_Control!Q127))</f>
        <v/>
      </c>
      <c r="AH1123" s="17" t="str">
        <f>IF(M6_Puntos_Control!A127="","",IF(M6_Puntos_Control!I127="","",M6_Puntos_Control!I127))</f>
        <v/>
      </c>
      <c r="AI1123" s="17" t="str">
        <f>IF(M6_Puntos_Control!A127="","","M6_Puntos_Control!127")</f>
        <v/>
      </c>
      <c r="AJ1123" s="17" t="str">
        <f>IF(M6_Puntos_Control!A127="","",IF(M6_Puntos_Control!K127&lt;&gt;"Sí","Punto de comparación",IF(COUNTIFS(M6_Puntos_Control!$A$9:A127,M6_Puntos_Control!A127,M6_Puntos_Control!$D$9:D127,M6_Puntos_Control!D127,M6_Puntos_Control!$G$9:G127,M6_Puntos_Control!G127,M6_Puntos_Control!$H$9:H127,M6_Puntos_Control!H127,M6_Puntos_Control!$K$9:K127,"Sí")=1,IF(M6_Puntos_Control!M127="","Pendiente de resultado","Punto oficial"),"Revisar: varios puntos oficiales")))</f>
        <v/>
      </c>
    </row>
    <row r="1124" spans="1:36" ht="55.5" customHeight="1">
      <c r="A1124" s="6" t="str">
        <f t="array" ref="A1124">IF(1120&gt;$S$1204,"",INDEX($T$5:$AJ$1204,MATCH(1120,$S$5:$S$1204,0),1))</f>
        <v/>
      </c>
      <c r="B1124" s="8" t="str">
        <f t="array" ref="B1124">IF(1120&gt;$S$1204,"",INDEX($T$5:$AJ$1204,MATCH(1120,$S$5:$S$1204,0),2))</f>
        <v/>
      </c>
      <c r="C1124" s="10" t="str">
        <f t="array" ref="C1124">IF(1120&gt;$S$1204,"",INDEX($T$5:$AJ$1204,MATCH(1120,$S$5:$S$1204,0),3))</f>
        <v/>
      </c>
      <c r="D1124" s="8" t="str">
        <f t="array" ref="D1124">IF(1120&gt;$S$1204,"",INDEX($T$5:$AJ$1204,MATCH(1120,$S$5:$S$1204,0),4))</f>
        <v/>
      </c>
      <c r="E1124" s="8" t="str">
        <f t="array" ref="E1124">IF(1120&gt;$S$1204,"",INDEX($T$5:$AJ$1204,MATCH(1120,$S$5:$S$1204,0),5))</f>
        <v/>
      </c>
      <c r="F1124" s="8" t="str">
        <f t="array" ref="F1124">IF(1120&gt;$S$1204,"",INDEX($T$5:$AJ$1204,MATCH(1120,$S$5:$S$1204,0),6))</f>
        <v/>
      </c>
      <c r="G1124" s="8" t="str">
        <f t="array" ref="G1124">IF(1120&gt;$S$1204,"",INDEX($T$5:$AJ$1204,MATCH(1120,$S$5:$S$1204,0),7))</f>
        <v/>
      </c>
      <c r="H1124" s="8" t="str">
        <f t="array" ref="H1124">IF(1120&gt;$S$1204,"",INDEX($T$5:$AJ$1204,MATCH(1120,$S$5:$S$1204,0),8))</f>
        <v/>
      </c>
      <c r="I1124" s="8" t="str">
        <f t="array" ref="I1124">IF(1120&gt;$S$1204,"",INDEX($T$5:$AJ$1204,MATCH(1120,$S$5:$S$1204,0),9))</f>
        <v/>
      </c>
      <c r="J1124" s="14" t="str">
        <f t="array" ref="J1124">IF(1120&gt;$S$1204,"",INDEX($T$5:$AJ$1204,MATCH(1120,$S$5:$S$1204,0),10))</f>
        <v/>
      </c>
      <c r="K1124" s="8" t="str">
        <f t="array" ref="K1124">IF(1120&gt;$S$1204,"",INDEX($T$5:$AJ$1204,MATCH(1120,$S$5:$S$1204,0),11))</f>
        <v/>
      </c>
      <c r="L1124" s="8" t="str">
        <f t="array" ref="L1124">IF(1120&gt;$S$1204,"",INDEX($T$5:$AJ$1204,MATCH(1120,$S$5:$S$1204,0),12))</f>
        <v/>
      </c>
      <c r="M1124" s="8" t="str">
        <f t="array" ref="M1124">IF(1120&gt;$S$1204,"",INDEX($T$5:$AJ$1204,MATCH(1120,$S$5:$S$1204,0),13))</f>
        <v/>
      </c>
      <c r="N1124" s="8" t="str">
        <f t="array" ref="N1124">IF(1120&gt;$S$1204,"",INDEX($T$5:$AJ$1204,MATCH(1120,$S$5:$S$1204,0),14))</f>
        <v/>
      </c>
      <c r="O1124" s="15" t="str">
        <f t="array" ref="O1124">IF(1120&gt;$S$1204,"",INDEX($T$5:$AJ$1204,MATCH(1120,$S$5:$S$1204,0),15))</f>
        <v/>
      </c>
      <c r="P1124" s="8" t="str">
        <f t="array" ref="P1124">IF(1120&gt;$S$1204,"",INDEX($T$5:$AJ$1204,MATCH(1120,$S$5:$S$1204,0),16))</f>
        <v/>
      </c>
      <c r="Q1124" s="8" t="str">
        <f t="array" ref="Q1124">IF(1120&gt;$S$1204,"",INDEX($T$5:$AJ$1204,MATCH(1120,$S$5:$S$1204,0),17))</f>
        <v/>
      </c>
      <c r="R1124" s="17"/>
      <c r="S1124" s="17">
        <f>S1123+IF(M6_Puntos_Control!A128="",0,1)</f>
        <v>0</v>
      </c>
      <c r="T1124" s="17" t="str">
        <f>IF(M6_Puntos_Control!A128="","",IF(M6_Puntos_Control!A128="","",M6_Puntos_Control!A128))</f>
        <v/>
      </c>
      <c r="U1124" s="17" t="str">
        <f>IF(M6_Puntos_Control!A128="","",IF(M6_Puntos_Control!R128="","",M6_Puntos_Control!R128))</f>
        <v/>
      </c>
      <c r="V1124" s="17" t="str">
        <f>IF(M6_Puntos_Control!A128="","",IF(M6_Puntos_Control!D128="","",M6_Puntos_Control!D128))</f>
        <v/>
      </c>
      <c r="W1124" s="17" t="str">
        <f>IF(M6_Puntos_Control!A128="","",IF(M6_Puntos_Control!B128="","",M6_Puntos_Control!B128))</f>
        <v/>
      </c>
      <c r="X1124" s="17" t="str">
        <f>IF(M6_Puntos_Control!A128="","",IF(M6_Puntos_Control!C128="","",M6_Puntos_Control!C128))</f>
        <v/>
      </c>
      <c r="Y1124" s="17" t="str">
        <f>IF(M6_Puntos_Control!A128="","",IF(M6_Puntos_Control!E128="","",M6_Puntos_Control!E128))</f>
        <v/>
      </c>
      <c r="Z1124" s="17" t="str">
        <f>IF(M6_Puntos_Control!A128="","",IF(M6_Puntos_Control!F128="","",M6_Puntos_Control!F128))</f>
        <v/>
      </c>
      <c r="AA1124" s="17" t="str">
        <f>IF(M6_Puntos_Control!A128="","","M6 Puntos de control")</f>
        <v/>
      </c>
      <c r="AB1124" s="17" t="str">
        <f>IF(M6_Puntos_Control!A128="","",IF(M6_Puntos_Control!G128="","",M6_Puntos_Control!G128))</f>
        <v/>
      </c>
      <c r="AC1124" s="17" t="str">
        <f>IF(M6_Puntos_Control!A128="","",IF(M6_Puntos_Control!K128="Sí",IF(COUNTIFS(M6_Puntos_Control!$A$9:A128,M6_Puntos_Control!A128,M6_Puntos_Control!$D$9:D128,M6_Puntos_Control!D128,M6_Puntos_Control!$G$9:G128,M6_Puntos_Control!G128,M6_Puntos_Control!$H$9:H128,M6_Puntos_Control!H128,M6_Puntos_Control!$K$9:K128,"Sí")=1,IF(M6_Puntos_Control!M128="","",M6_Puntos_Control!M128),""),""))</f>
        <v/>
      </c>
      <c r="AD1124" s="17" t="str">
        <f>IF(M6_Puntos_Control!A128="","","RD")</f>
        <v/>
      </c>
      <c r="AE1124" s="17" t="str">
        <f>IF(M6_Puntos_Control!A128="","",IF(M6_Puntos_Control!O128="","",M6_Puntos_Control!O128))</f>
        <v/>
      </c>
      <c r="AF1124" s="17" t="str">
        <f>IF(M6_Puntos_Control!A128="","",IF(M6_Puntos_Control!P128="","",M6_Puntos_Control!P128))</f>
        <v/>
      </c>
      <c r="AG1124" s="17" t="str">
        <f>IF(M6_Puntos_Control!A128="","",IF(M6_Puntos_Control!Q128="","",M6_Puntos_Control!Q128))</f>
        <v/>
      </c>
      <c r="AH1124" s="17" t="str">
        <f>IF(M6_Puntos_Control!A128="","",IF(M6_Puntos_Control!I128="","",M6_Puntos_Control!I128))</f>
        <v/>
      </c>
      <c r="AI1124" s="17" t="str">
        <f>IF(M6_Puntos_Control!A128="","","M6_Puntos_Control!128")</f>
        <v/>
      </c>
      <c r="AJ1124" s="17" t="str">
        <f>IF(M6_Puntos_Control!A128="","",IF(M6_Puntos_Control!K128&lt;&gt;"Sí","Punto de comparación",IF(COUNTIFS(M6_Puntos_Control!$A$9:A128,M6_Puntos_Control!A128,M6_Puntos_Control!$D$9:D128,M6_Puntos_Control!D128,M6_Puntos_Control!$G$9:G128,M6_Puntos_Control!G128,M6_Puntos_Control!$H$9:H128,M6_Puntos_Control!H128,M6_Puntos_Control!$K$9:K128,"Sí")=1,IF(M6_Puntos_Control!M128="","Pendiente de resultado","Punto oficial"),"Revisar: varios puntos oficiales")))</f>
        <v/>
      </c>
    </row>
    <row r="1125" spans="1:36" ht="55.5" customHeight="1">
      <c r="A1125" s="6" t="str">
        <f t="array" ref="A1125">IF(1121&gt;$S$1204,"",INDEX($T$5:$AJ$1204,MATCH(1121,$S$5:$S$1204,0),1))</f>
        <v/>
      </c>
      <c r="B1125" s="8" t="str">
        <f t="array" ref="B1125">IF(1121&gt;$S$1204,"",INDEX($T$5:$AJ$1204,MATCH(1121,$S$5:$S$1204,0),2))</f>
        <v/>
      </c>
      <c r="C1125" s="10" t="str">
        <f t="array" ref="C1125">IF(1121&gt;$S$1204,"",INDEX($T$5:$AJ$1204,MATCH(1121,$S$5:$S$1204,0),3))</f>
        <v/>
      </c>
      <c r="D1125" s="8" t="str">
        <f t="array" ref="D1125">IF(1121&gt;$S$1204,"",INDEX($T$5:$AJ$1204,MATCH(1121,$S$5:$S$1204,0),4))</f>
        <v/>
      </c>
      <c r="E1125" s="8" t="str">
        <f t="array" ref="E1125">IF(1121&gt;$S$1204,"",INDEX($T$5:$AJ$1204,MATCH(1121,$S$5:$S$1204,0),5))</f>
        <v/>
      </c>
      <c r="F1125" s="8" t="str">
        <f t="array" ref="F1125">IF(1121&gt;$S$1204,"",INDEX($T$5:$AJ$1204,MATCH(1121,$S$5:$S$1204,0),6))</f>
        <v/>
      </c>
      <c r="G1125" s="8" t="str">
        <f t="array" ref="G1125">IF(1121&gt;$S$1204,"",INDEX($T$5:$AJ$1204,MATCH(1121,$S$5:$S$1204,0),7))</f>
        <v/>
      </c>
      <c r="H1125" s="8" t="str">
        <f t="array" ref="H1125">IF(1121&gt;$S$1204,"",INDEX($T$5:$AJ$1204,MATCH(1121,$S$5:$S$1204,0),8))</f>
        <v/>
      </c>
      <c r="I1125" s="8" t="str">
        <f t="array" ref="I1125">IF(1121&gt;$S$1204,"",INDEX($T$5:$AJ$1204,MATCH(1121,$S$5:$S$1204,0),9))</f>
        <v/>
      </c>
      <c r="J1125" s="14" t="str">
        <f t="array" ref="J1125">IF(1121&gt;$S$1204,"",INDEX($T$5:$AJ$1204,MATCH(1121,$S$5:$S$1204,0),10))</f>
        <v/>
      </c>
      <c r="K1125" s="8" t="str">
        <f t="array" ref="K1125">IF(1121&gt;$S$1204,"",INDEX($T$5:$AJ$1204,MATCH(1121,$S$5:$S$1204,0),11))</f>
        <v/>
      </c>
      <c r="L1125" s="8" t="str">
        <f t="array" ref="L1125">IF(1121&gt;$S$1204,"",INDEX($T$5:$AJ$1204,MATCH(1121,$S$5:$S$1204,0),12))</f>
        <v/>
      </c>
      <c r="M1125" s="8" t="str">
        <f t="array" ref="M1125">IF(1121&gt;$S$1204,"",INDEX($T$5:$AJ$1204,MATCH(1121,$S$5:$S$1204,0),13))</f>
        <v/>
      </c>
      <c r="N1125" s="8" t="str">
        <f t="array" ref="N1125">IF(1121&gt;$S$1204,"",INDEX($T$5:$AJ$1204,MATCH(1121,$S$5:$S$1204,0),14))</f>
        <v/>
      </c>
      <c r="O1125" s="15" t="str">
        <f t="array" ref="O1125">IF(1121&gt;$S$1204,"",INDEX($T$5:$AJ$1204,MATCH(1121,$S$5:$S$1204,0),15))</f>
        <v/>
      </c>
      <c r="P1125" s="8" t="str">
        <f t="array" ref="P1125">IF(1121&gt;$S$1204,"",INDEX($T$5:$AJ$1204,MATCH(1121,$S$5:$S$1204,0),16))</f>
        <v/>
      </c>
      <c r="Q1125" s="8" t="str">
        <f t="array" ref="Q1125">IF(1121&gt;$S$1204,"",INDEX($T$5:$AJ$1204,MATCH(1121,$S$5:$S$1204,0),17))</f>
        <v/>
      </c>
      <c r="R1125" s="17"/>
      <c r="S1125" s="17">
        <f>S1124+IF(M6_Puntos_Control!A129="",0,1)</f>
        <v>0</v>
      </c>
      <c r="T1125" s="17" t="str">
        <f>IF(M6_Puntos_Control!A129="","",IF(M6_Puntos_Control!A129="","",M6_Puntos_Control!A129))</f>
        <v/>
      </c>
      <c r="U1125" s="17" t="str">
        <f>IF(M6_Puntos_Control!A129="","",IF(M6_Puntos_Control!R129="","",M6_Puntos_Control!R129))</f>
        <v/>
      </c>
      <c r="V1125" s="17" t="str">
        <f>IF(M6_Puntos_Control!A129="","",IF(M6_Puntos_Control!D129="","",M6_Puntos_Control!D129))</f>
        <v/>
      </c>
      <c r="W1125" s="17" t="str">
        <f>IF(M6_Puntos_Control!A129="","",IF(M6_Puntos_Control!B129="","",M6_Puntos_Control!B129))</f>
        <v/>
      </c>
      <c r="X1125" s="17" t="str">
        <f>IF(M6_Puntos_Control!A129="","",IF(M6_Puntos_Control!C129="","",M6_Puntos_Control!C129))</f>
        <v/>
      </c>
      <c r="Y1125" s="17" t="str">
        <f>IF(M6_Puntos_Control!A129="","",IF(M6_Puntos_Control!E129="","",M6_Puntos_Control!E129))</f>
        <v/>
      </c>
      <c r="Z1125" s="17" t="str">
        <f>IF(M6_Puntos_Control!A129="","",IF(M6_Puntos_Control!F129="","",M6_Puntos_Control!F129))</f>
        <v/>
      </c>
      <c r="AA1125" s="17" t="str">
        <f>IF(M6_Puntos_Control!A129="","","M6 Puntos de control")</f>
        <v/>
      </c>
      <c r="AB1125" s="17" t="str">
        <f>IF(M6_Puntos_Control!A129="","",IF(M6_Puntos_Control!G129="","",M6_Puntos_Control!G129))</f>
        <v/>
      </c>
      <c r="AC1125" s="17" t="str">
        <f>IF(M6_Puntos_Control!A129="","",IF(M6_Puntos_Control!K129="Sí",IF(COUNTIFS(M6_Puntos_Control!$A$9:A129,M6_Puntos_Control!A129,M6_Puntos_Control!$D$9:D129,M6_Puntos_Control!D129,M6_Puntos_Control!$G$9:G129,M6_Puntos_Control!G129,M6_Puntos_Control!$H$9:H129,M6_Puntos_Control!H129,M6_Puntos_Control!$K$9:K129,"Sí")=1,IF(M6_Puntos_Control!M129="","",M6_Puntos_Control!M129),""),""))</f>
        <v/>
      </c>
      <c r="AD1125" s="17" t="str">
        <f>IF(M6_Puntos_Control!A129="","","RD")</f>
        <v/>
      </c>
      <c r="AE1125" s="17" t="str">
        <f>IF(M6_Puntos_Control!A129="","",IF(M6_Puntos_Control!O129="","",M6_Puntos_Control!O129))</f>
        <v/>
      </c>
      <c r="AF1125" s="17" t="str">
        <f>IF(M6_Puntos_Control!A129="","",IF(M6_Puntos_Control!P129="","",M6_Puntos_Control!P129))</f>
        <v/>
      </c>
      <c r="AG1125" s="17" t="str">
        <f>IF(M6_Puntos_Control!A129="","",IF(M6_Puntos_Control!Q129="","",M6_Puntos_Control!Q129))</f>
        <v/>
      </c>
      <c r="AH1125" s="17" t="str">
        <f>IF(M6_Puntos_Control!A129="","",IF(M6_Puntos_Control!I129="","",M6_Puntos_Control!I129))</f>
        <v/>
      </c>
      <c r="AI1125" s="17" t="str">
        <f>IF(M6_Puntos_Control!A129="","","M6_Puntos_Control!129")</f>
        <v/>
      </c>
      <c r="AJ1125" s="17" t="str">
        <f>IF(M6_Puntos_Control!A129="","",IF(M6_Puntos_Control!K129&lt;&gt;"Sí","Punto de comparación",IF(COUNTIFS(M6_Puntos_Control!$A$9:A129,M6_Puntos_Control!A129,M6_Puntos_Control!$D$9:D129,M6_Puntos_Control!D129,M6_Puntos_Control!$G$9:G129,M6_Puntos_Control!G129,M6_Puntos_Control!$H$9:H129,M6_Puntos_Control!H129,M6_Puntos_Control!$K$9:K129,"Sí")=1,IF(M6_Puntos_Control!M129="","Pendiente de resultado","Punto oficial"),"Revisar: varios puntos oficiales")))</f>
        <v/>
      </c>
    </row>
    <row r="1126" spans="1:36" ht="55.5" customHeight="1">
      <c r="A1126" s="6" t="str">
        <f t="array" ref="A1126">IF(1122&gt;$S$1204,"",INDEX($T$5:$AJ$1204,MATCH(1122,$S$5:$S$1204,0),1))</f>
        <v/>
      </c>
      <c r="B1126" s="8" t="str">
        <f t="array" ref="B1126">IF(1122&gt;$S$1204,"",INDEX($T$5:$AJ$1204,MATCH(1122,$S$5:$S$1204,0),2))</f>
        <v/>
      </c>
      <c r="C1126" s="10" t="str">
        <f t="array" ref="C1126">IF(1122&gt;$S$1204,"",INDEX($T$5:$AJ$1204,MATCH(1122,$S$5:$S$1204,0),3))</f>
        <v/>
      </c>
      <c r="D1126" s="8" t="str">
        <f t="array" ref="D1126">IF(1122&gt;$S$1204,"",INDEX($T$5:$AJ$1204,MATCH(1122,$S$5:$S$1204,0),4))</f>
        <v/>
      </c>
      <c r="E1126" s="8" t="str">
        <f t="array" ref="E1126">IF(1122&gt;$S$1204,"",INDEX($T$5:$AJ$1204,MATCH(1122,$S$5:$S$1204,0),5))</f>
        <v/>
      </c>
      <c r="F1126" s="8" t="str">
        <f t="array" ref="F1126">IF(1122&gt;$S$1204,"",INDEX($T$5:$AJ$1204,MATCH(1122,$S$5:$S$1204,0),6))</f>
        <v/>
      </c>
      <c r="G1126" s="8" t="str">
        <f t="array" ref="G1126">IF(1122&gt;$S$1204,"",INDEX($T$5:$AJ$1204,MATCH(1122,$S$5:$S$1204,0),7))</f>
        <v/>
      </c>
      <c r="H1126" s="8" t="str">
        <f t="array" ref="H1126">IF(1122&gt;$S$1204,"",INDEX($T$5:$AJ$1204,MATCH(1122,$S$5:$S$1204,0),8))</f>
        <v/>
      </c>
      <c r="I1126" s="8" t="str">
        <f t="array" ref="I1126">IF(1122&gt;$S$1204,"",INDEX($T$5:$AJ$1204,MATCH(1122,$S$5:$S$1204,0),9))</f>
        <v/>
      </c>
      <c r="J1126" s="14" t="str">
        <f t="array" ref="J1126">IF(1122&gt;$S$1204,"",INDEX($T$5:$AJ$1204,MATCH(1122,$S$5:$S$1204,0),10))</f>
        <v/>
      </c>
      <c r="K1126" s="8" t="str">
        <f t="array" ref="K1126">IF(1122&gt;$S$1204,"",INDEX($T$5:$AJ$1204,MATCH(1122,$S$5:$S$1204,0),11))</f>
        <v/>
      </c>
      <c r="L1126" s="8" t="str">
        <f t="array" ref="L1126">IF(1122&gt;$S$1204,"",INDEX($T$5:$AJ$1204,MATCH(1122,$S$5:$S$1204,0),12))</f>
        <v/>
      </c>
      <c r="M1126" s="8" t="str">
        <f t="array" ref="M1126">IF(1122&gt;$S$1204,"",INDEX($T$5:$AJ$1204,MATCH(1122,$S$5:$S$1204,0),13))</f>
        <v/>
      </c>
      <c r="N1126" s="8" t="str">
        <f t="array" ref="N1126">IF(1122&gt;$S$1204,"",INDEX($T$5:$AJ$1204,MATCH(1122,$S$5:$S$1204,0),14))</f>
        <v/>
      </c>
      <c r="O1126" s="15" t="str">
        <f t="array" ref="O1126">IF(1122&gt;$S$1204,"",INDEX($T$5:$AJ$1204,MATCH(1122,$S$5:$S$1204,0),15))</f>
        <v/>
      </c>
      <c r="P1126" s="8" t="str">
        <f t="array" ref="P1126">IF(1122&gt;$S$1204,"",INDEX($T$5:$AJ$1204,MATCH(1122,$S$5:$S$1204,0),16))</f>
        <v/>
      </c>
      <c r="Q1126" s="8" t="str">
        <f t="array" ref="Q1126">IF(1122&gt;$S$1204,"",INDEX($T$5:$AJ$1204,MATCH(1122,$S$5:$S$1204,0),17))</f>
        <v/>
      </c>
      <c r="R1126" s="17"/>
      <c r="S1126" s="17">
        <f>S1125+IF(M6_Puntos_Control!A130="",0,1)</f>
        <v>0</v>
      </c>
      <c r="T1126" s="17" t="str">
        <f>IF(M6_Puntos_Control!A130="","",IF(M6_Puntos_Control!A130="","",M6_Puntos_Control!A130))</f>
        <v/>
      </c>
      <c r="U1126" s="17" t="str">
        <f>IF(M6_Puntos_Control!A130="","",IF(M6_Puntos_Control!R130="","",M6_Puntos_Control!R130))</f>
        <v/>
      </c>
      <c r="V1126" s="17" t="str">
        <f>IF(M6_Puntos_Control!A130="","",IF(M6_Puntos_Control!D130="","",M6_Puntos_Control!D130))</f>
        <v/>
      </c>
      <c r="W1126" s="17" t="str">
        <f>IF(M6_Puntos_Control!A130="","",IF(M6_Puntos_Control!B130="","",M6_Puntos_Control!B130))</f>
        <v/>
      </c>
      <c r="X1126" s="17" t="str">
        <f>IF(M6_Puntos_Control!A130="","",IF(M6_Puntos_Control!C130="","",M6_Puntos_Control!C130))</f>
        <v/>
      </c>
      <c r="Y1126" s="17" t="str">
        <f>IF(M6_Puntos_Control!A130="","",IF(M6_Puntos_Control!E130="","",M6_Puntos_Control!E130))</f>
        <v/>
      </c>
      <c r="Z1126" s="17" t="str">
        <f>IF(M6_Puntos_Control!A130="","",IF(M6_Puntos_Control!F130="","",M6_Puntos_Control!F130))</f>
        <v/>
      </c>
      <c r="AA1126" s="17" t="str">
        <f>IF(M6_Puntos_Control!A130="","","M6 Puntos de control")</f>
        <v/>
      </c>
      <c r="AB1126" s="17" t="str">
        <f>IF(M6_Puntos_Control!A130="","",IF(M6_Puntos_Control!G130="","",M6_Puntos_Control!G130))</f>
        <v/>
      </c>
      <c r="AC1126" s="17" t="str">
        <f>IF(M6_Puntos_Control!A130="","",IF(M6_Puntos_Control!K130="Sí",IF(COUNTIFS(M6_Puntos_Control!$A$9:A130,M6_Puntos_Control!A130,M6_Puntos_Control!$D$9:D130,M6_Puntos_Control!D130,M6_Puntos_Control!$G$9:G130,M6_Puntos_Control!G130,M6_Puntos_Control!$H$9:H130,M6_Puntos_Control!H130,M6_Puntos_Control!$K$9:K130,"Sí")=1,IF(M6_Puntos_Control!M130="","",M6_Puntos_Control!M130),""),""))</f>
        <v/>
      </c>
      <c r="AD1126" s="17" t="str">
        <f>IF(M6_Puntos_Control!A130="","","RD")</f>
        <v/>
      </c>
      <c r="AE1126" s="17" t="str">
        <f>IF(M6_Puntos_Control!A130="","",IF(M6_Puntos_Control!O130="","",M6_Puntos_Control!O130))</f>
        <v/>
      </c>
      <c r="AF1126" s="17" t="str">
        <f>IF(M6_Puntos_Control!A130="","",IF(M6_Puntos_Control!P130="","",M6_Puntos_Control!P130))</f>
        <v/>
      </c>
      <c r="AG1126" s="17" t="str">
        <f>IF(M6_Puntos_Control!A130="","",IF(M6_Puntos_Control!Q130="","",M6_Puntos_Control!Q130))</f>
        <v/>
      </c>
      <c r="AH1126" s="17" t="str">
        <f>IF(M6_Puntos_Control!A130="","",IF(M6_Puntos_Control!I130="","",M6_Puntos_Control!I130))</f>
        <v/>
      </c>
      <c r="AI1126" s="17" t="str">
        <f>IF(M6_Puntos_Control!A130="","","M6_Puntos_Control!130")</f>
        <v/>
      </c>
      <c r="AJ1126" s="17" t="str">
        <f>IF(M6_Puntos_Control!A130="","",IF(M6_Puntos_Control!K130&lt;&gt;"Sí","Punto de comparación",IF(COUNTIFS(M6_Puntos_Control!$A$9:A130,M6_Puntos_Control!A130,M6_Puntos_Control!$D$9:D130,M6_Puntos_Control!D130,M6_Puntos_Control!$G$9:G130,M6_Puntos_Control!G130,M6_Puntos_Control!$H$9:H130,M6_Puntos_Control!H130,M6_Puntos_Control!$K$9:K130,"Sí")=1,IF(M6_Puntos_Control!M130="","Pendiente de resultado","Punto oficial"),"Revisar: varios puntos oficiales")))</f>
        <v/>
      </c>
    </row>
    <row r="1127" spans="1:36" ht="55.5" customHeight="1">
      <c r="A1127" s="6" t="str">
        <f t="array" ref="A1127">IF(1123&gt;$S$1204,"",INDEX($T$5:$AJ$1204,MATCH(1123,$S$5:$S$1204,0),1))</f>
        <v/>
      </c>
      <c r="B1127" s="8" t="str">
        <f t="array" ref="B1127">IF(1123&gt;$S$1204,"",INDEX($T$5:$AJ$1204,MATCH(1123,$S$5:$S$1204,0),2))</f>
        <v/>
      </c>
      <c r="C1127" s="10" t="str">
        <f t="array" ref="C1127">IF(1123&gt;$S$1204,"",INDEX($T$5:$AJ$1204,MATCH(1123,$S$5:$S$1204,0),3))</f>
        <v/>
      </c>
      <c r="D1127" s="8" t="str">
        <f t="array" ref="D1127">IF(1123&gt;$S$1204,"",INDEX($T$5:$AJ$1204,MATCH(1123,$S$5:$S$1204,0),4))</f>
        <v/>
      </c>
      <c r="E1127" s="8" t="str">
        <f t="array" ref="E1127">IF(1123&gt;$S$1204,"",INDEX($T$5:$AJ$1204,MATCH(1123,$S$5:$S$1204,0),5))</f>
        <v/>
      </c>
      <c r="F1127" s="8" t="str">
        <f t="array" ref="F1127">IF(1123&gt;$S$1204,"",INDEX($T$5:$AJ$1204,MATCH(1123,$S$5:$S$1204,0),6))</f>
        <v/>
      </c>
      <c r="G1127" s="8" t="str">
        <f t="array" ref="G1127">IF(1123&gt;$S$1204,"",INDEX($T$5:$AJ$1204,MATCH(1123,$S$5:$S$1204,0),7))</f>
        <v/>
      </c>
      <c r="H1127" s="8" t="str">
        <f t="array" ref="H1127">IF(1123&gt;$S$1204,"",INDEX($T$5:$AJ$1204,MATCH(1123,$S$5:$S$1204,0),8))</f>
        <v/>
      </c>
      <c r="I1127" s="8" t="str">
        <f t="array" ref="I1127">IF(1123&gt;$S$1204,"",INDEX($T$5:$AJ$1204,MATCH(1123,$S$5:$S$1204,0),9))</f>
        <v/>
      </c>
      <c r="J1127" s="14" t="str">
        <f t="array" ref="J1127">IF(1123&gt;$S$1204,"",INDEX($T$5:$AJ$1204,MATCH(1123,$S$5:$S$1204,0),10))</f>
        <v/>
      </c>
      <c r="K1127" s="8" t="str">
        <f t="array" ref="K1127">IF(1123&gt;$S$1204,"",INDEX($T$5:$AJ$1204,MATCH(1123,$S$5:$S$1204,0),11))</f>
        <v/>
      </c>
      <c r="L1127" s="8" t="str">
        <f t="array" ref="L1127">IF(1123&gt;$S$1204,"",INDEX($T$5:$AJ$1204,MATCH(1123,$S$5:$S$1204,0),12))</f>
        <v/>
      </c>
      <c r="M1127" s="8" t="str">
        <f t="array" ref="M1127">IF(1123&gt;$S$1204,"",INDEX($T$5:$AJ$1204,MATCH(1123,$S$5:$S$1204,0),13))</f>
        <v/>
      </c>
      <c r="N1127" s="8" t="str">
        <f t="array" ref="N1127">IF(1123&gt;$S$1204,"",INDEX($T$5:$AJ$1204,MATCH(1123,$S$5:$S$1204,0),14))</f>
        <v/>
      </c>
      <c r="O1127" s="15" t="str">
        <f t="array" ref="O1127">IF(1123&gt;$S$1204,"",INDEX($T$5:$AJ$1204,MATCH(1123,$S$5:$S$1204,0),15))</f>
        <v/>
      </c>
      <c r="P1127" s="8" t="str">
        <f t="array" ref="P1127">IF(1123&gt;$S$1204,"",INDEX($T$5:$AJ$1204,MATCH(1123,$S$5:$S$1204,0),16))</f>
        <v/>
      </c>
      <c r="Q1127" s="8" t="str">
        <f t="array" ref="Q1127">IF(1123&gt;$S$1204,"",INDEX($T$5:$AJ$1204,MATCH(1123,$S$5:$S$1204,0),17))</f>
        <v/>
      </c>
      <c r="R1127" s="17"/>
      <c r="S1127" s="17">
        <f>S1126+IF(M6_Puntos_Control!A131="",0,1)</f>
        <v>0</v>
      </c>
      <c r="T1127" s="17" t="str">
        <f>IF(M6_Puntos_Control!A131="","",IF(M6_Puntos_Control!A131="","",M6_Puntos_Control!A131))</f>
        <v/>
      </c>
      <c r="U1127" s="17" t="str">
        <f>IF(M6_Puntos_Control!A131="","",IF(M6_Puntos_Control!R131="","",M6_Puntos_Control!R131))</f>
        <v/>
      </c>
      <c r="V1127" s="17" t="str">
        <f>IF(M6_Puntos_Control!A131="","",IF(M6_Puntos_Control!D131="","",M6_Puntos_Control!D131))</f>
        <v/>
      </c>
      <c r="W1127" s="17" t="str">
        <f>IF(M6_Puntos_Control!A131="","",IF(M6_Puntos_Control!B131="","",M6_Puntos_Control!B131))</f>
        <v/>
      </c>
      <c r="X1127" s="17" t="str">
        <f>IF(M6_Puntos_Control!A131="","",IF(M6_Puntos_Control!C131="","",M6_Puntos_Control!C131))</f>
        <v/>
      </c>
      <c r="Y1127" s="17" t="str">
        <f>IF(M6_Puntos_Control!A131="","",IF(M6_Puntos_Control!E131="","",M6_Puntos_Control!E131))</f>
        <v/>
      </c>
      <c r="Z1127" s="17" t="str">
        <f>IF(M6_Puntos_Control!A131="","",IF(M6_Puntos_Control!F131="","",M6_Puntos_Control!F131))</f>
        <v/>
      </c>
      <c r="AA1127" s="17" t="str">
        <f>IF(M6_Puntos_Control!A131="","","M6 Puntos de control")</f>
        <v/>
      </c>
      <c r="AB1127" s="17" t="str">
        <f>IF(M6_Puntos_Control!A131="","",IF(M6_Puntos_Control!G131="","",M6_Puntos_Control!G131))</f>
        <v/>
      </c>
      <c r="AC1127" s="17" t="str">
        <f>IF(M6_Puntos_Control!A131="","",IF(M6_Puntos_Control!K131="Sí",IF(COUNTIFS(M6_Puntos_Control!$A$9:A131,M6_Puntos_Control!A131,M6_Puntos_Control!$D$9:D131,M6_Puntos_Control!D131,M6_Puntos_Control!$G$9:G131,M6_Puntos_Control!G131,M6_Puntos_Control!$H$9:H131,M6_Puntos_Control!H131,M6_Puntos_Control!$K$9:K131,"Sí")=1,IF(M6_Puntos_Control!M131="","",M6_Puntos_Control!M131),""),""))</f>
        <v/>
      </c>
      <c r="AD1127" s="17" t="str">
        <f>IF(M6_Puntos_Control!A131="","","RD")</f>
        <v/>
      </c>
      <c r="AE1127" s="17" t="str">
        <f>IF(M6_Puntos_Control!A131="","",IF(M6_Puntos_Control!O131="","",M6_Puntos_Control!O131))</f>
        <v/>
      </c>
      <c r="AF1127" s="17" t="str">
        <f>IF(M6_Puntos_Control!A131="","",IF(M6_Puntos_Control!P131="","",M6_Puntos_Control!P131))</f>
        <v/>
      </c>
      <c r="AG1127" s="17" t="str">
        <f>IF(M6_Puntos_Control!A131="","",IF(M6_Puntos_Control!Q131="","",M6_Puntos_Control!Q131))</f>
        <v/>
      </c>
      <c r="AH1127" s="17" t="str">
        <f>IF(M6_Puntos_Control!A131="","",IF(M6_Puntos_Control!I131="","",M6_Puntos_Control!I131))</f>
        <v/>
      </c>
      <c r="AI1127" s="17" t="str">
        <f>IF(M6_Puntos_Control!A131="","","M6_Puntos_Control!131")</f>
        <v/>
      </c>
      <c r="AJ1127" s="17" t="str">
        <f>IF(M6_Puntos_Control!A131="","",IF(M6_Puntos_Control!K131&lt;&gt;"Sí","Punto de comparación",IF(COUNTIFS(M6_Puntos_Control!$A$9:A131,M6_Puntos_Control!A131,M6_Puntos_Control!$D$9:D131,M6_Puntos_Control!D131,M6_Puntos_Control!$G$9:G131,M6_Puntos_Control!G131,M6_Puntos_Control!$H$9:H131,M6_Puntos_Control!H131,M6_Puntos_Control!$K$9:K131,"Sí")=1,IF(M6_Puntos_Control!M131="","Pendiente de resultado","Punto oficial"),"Revisar: varios puntos oficiales")))</f>
        <v/>
      </c>
    </row>
    <row r="1128" spans="1:36" ht="55.5" customHeight="1">
      <c r="A1128" s="6" t="str">
        <f t="array" ref="A1128">IF(1124&gt;$S$1204,"",INDEX($T$5:$AJ$1204,MATCH(1124,$S$5:$S$1204,0),1))</f>
        <v/>
      </c>
      <c r="B1128" s="8" t="str">
        <f t="array" ref="B1128">IF(1124&gt;$S$1204,"",INDEX($T$5:$AJ$1204,MATCH(1124,$S$5:$S$1204,0),2))</f>
        <v/>
      </c>
      <c r="C1128" s="10" t="str">
        <f t="array" ref="C1128">IF(1124&gt;$S$1204,"",INDEX($T$5:$AJ$1204,MATCH(1124,$S$5:$S$1204,0),3))</f>
        <v/>
      </c>
      <c r="D1128" s="8" t="str">
        <f t="array" ref="D1128">IF(1124&gt;$S$1204,"",INDEX($T$5:$AJ$1204,MATCH(1124,$S$5:$S$1204,0),4))</f>
        <v/>
      </c>
      <c r="E1128" s="8" t="str">
        <f t="array" ref="E1128">IF(1124&gt;$S$1204,"",INDEX($T$5:$AJ$1204,MATCH(1124,$S$5:$S$1204,0),5))</f>
        <v/>
      </c>
      <c r="F1128" s="8" t="str">
        <f t="array" ref="F1128">IF(1124&gt;$S$1204,"",INDEX($T$5:$AJ$1204,MATCH(1124,$S$5:$S$1204,0),6))</f>
        <v/>
      </c>
      <c r="G1128" s="8" t="str">
        <f t="array" ref="G1128">IF(1124&gt;$S$1204,"",INDEX($T$5:$AJ$1204,MATCH(1124,$S$5:$S$1204,0),7))</f>
        <v/>
      </c>
      <c r="H1128" s="8" t="str">
        <f t="array" ref="H1128">IF(1124&gt;$S$1204,"",INDEX($T$5:$AJ$1204,MATCH(1124,$S$5:$S$1204,0),8))</f>
        <v/>
      </c>
      <c r="I1128" s="8" t="str">
        <f t="array" ref="I1128">IF(1124&gt;$S$1204,"",INDEX($T$5:$AJ$1204,MATCH(1124,$S$5:$S$1204,0),9))</f>
        <v/>
      </c>
      <c r="J1128" s="14" t="str">
        <f t="array" ref="J1128">IF(1124&gt;$S$1204,"",INDEX($T$5:$AJ$1204,MATCH(1124,$S$5:$S$1204,0),10))</f>
        <v/>
      </c>
      <c r="K1128" s="8" t="str">
        <f t="array" ref="K1128">IF(1124&gt;$S$1204,"",INDEX($T$5:$AJ$1204,MATCH(1124,$S$5:$S$1204,0),11))</f>
        <v/>
      </c>
      <c r="L1128" s="8" t="str">
        <f t="array" ref="L1128">IF(1124&gt;$S$1204,"",INDEX($T$5:$AJ$1204,MATCH(1124,$S$5:$S$1204,0),12))</f>
        <v/>
      </c>
      <c r="M1128" s="8" t="str">
        <f t="array" ref="M1128">IF(1124&gt;$S$1204,"",INDEX($T$5:$AJ$1204,MATCH(1124,$S$5:$S$1204,0),13))</f>
        <v/>
      </c>
      <c r="N1128" s="8" t="str">
        <f t="array" ref="N1128">IF(1124&gt;$S$1204,"",INDEX($T$5:$AJ$1204,MATCH(1124,$S$5:$S$1204,0),14))</f>
        <v/>
      </c>
      <c r="O1128" s="15" t="str">
        <f t="array" ref="O1128">IF(1124&gt;$S$1204,"",INDEX($T$5:$AJ$1204,MATCH(1124,$S$5:$S$1204,0),15))</f>
        <v/>
      </c>
      <c r="P1128" s="8" t="str">
        <f t="array" ref="P1128">IF(1124&gt;$S$1204,"",INDEX($T$5:$AJ$1204,MATCH(1124,$S$5:$S$1204,0),16))</f>
        <v/>
      </c>
      <c r="Q1128" s="8" t="str">
        <f t="array" ref="Q1128">IF(1124&gt;$S$1204,"",INDEX($T$5:$AJ$1204,MATCH(1124,$S$5:$S$1204,0),17))</f>
        <v/>
      </c>
      <c r="R1128" s="17"/>
      <c r="S1128" s="17">
        <f>S1127+IF(M6_Puntos_Control!A132="",0,1)</f>
        <v>0</v>
      </c>
      <c r="T1128" s="17" t="str">
        <f>IF(M6_Puntos_Control!A132="","",IF(M6_Puntos_Control!A132="","",M6_Puntos_Control!A132))</f>
        <v/>
      </c>
      <c r="U1128" s="17" t="str">
        <f>IF(M6_Puntos_Control!A132="","",IF(M6_Puntos_Control!R132="","",M6_Puntos_Control!R132))</f>
        <v/>
      </c>
      <c r="V1128" s="17" t="str">
        <f>IF(M6_Puntos_Control!A132="","",IF(M6_Puntos_Control!D132="","",M6_Puntos_Control!D132))</f>
        <v/>
      </c>
      <c r="W1128" s="17" t="str">
        <f>IF(M6_Puntos_Control!A132="","",IF(M6_Puntos_Control!B132="","",M6_Puntos_Control!B132))</f>
        <v/>
      </c>
      <c r="X1128" s="17" t="str">
        <f>IF(M6_Puntos_Control!A132="","",IF(M6_Puntos_Control!C132="","",M6_Puntos_Control!C132))</f>
        <v/>
      </c>
      <c r="Y1128" s="17" t="str">
        <f>IF(M6_Puntos_Control!A132="","",IF(M6_Puntos_Control!E132="","",M6_Puntos_Control!E132))</f>
        <v/>
      </c>
      <c r="Z1128" s="17" t="str">
        <f>IF(M6_Puntos_Control!A132="","",IF(M6_Puntos_Control!F132="","",M6_Puntos_Control!F132))</f>
        <v/>
      </c>
      <c r="AA1128" s="17" t="str">
        <f>IF(M6_Puntos_Control!A132="","","M6 Puntos de control")</f>
        <v/>
      </c>
      <c r="AB1128" s="17" t="str">
        <f>IF(M6_Puntos_Control!A132="","",IF(M6_Puntos_Control!G132="","",M6_Puntos_Control!G132))</f>
        <v/>
      </c>
      <c r="AC1128" s="17" t="str">
        <f>IF(M6_Puntos_Control!A132="","",IF(M6_Puntos_Control!K132="Sí",IF(COUNTIFS(M6_Puntos_Control!$A$9:A132,M6_Puntos_Control!A132,M6_Puntos_Control!$D$9:D132,M6_Puntos_Control!D132,M6_Puntos_Control!$G$9:G132,M6_Puntos_Control!G132,M6_Puntos_Control!$H$9:H132,M6_Puntos_Control!H132,M6_Puntos_Control!$K$9:K132,"Sí")=1,IF(M6_Puntos_Control!M132="","",M6_Puntos_Control!M132),""),""))</f>
        <v/>
      </c>
      <c r="AD1128" s="17" t="str">
        <f>IF(M6_Puntos_Control!A132="","","RD")</f>
        <v/>
      </c>
      <c r="AE1128" s="17" t="str">
        <f>IF(M6_Puntos_Control!A132="","",IF(M6_Puntos_Control!O132="","",M6_Puntos_Control!O132))</f>
        <v/>
      </c>
      <c r="AF1128" s="17" t="str">
        <f>IF(M6_Puntos_Control!A132="","",IF(M6_Puntos_Control!P132="","",M6_Puntos_Control!P132))</f>
        <v/>
      </c>
      <c r="AG1128" s="17" t="str">
        <f>IF(M6_Puntos_Control!A132="","",IF(M6_Puntos_Control!Q132="","",M6_Puntos_Control!Q132))</f>
        <v/>
      </c>
      <c r="AH1128" s="17" t="str">
        <f>IF(M6_Puntos_Control!A132="","",IF(M6_Puntos_Control!I132="","",M6_Puntos_Control!I132))</f>
        <v/>
      </c>
      <c r="AI1128" s="17" t="str">
        <f>IF(M6_Puntos_Control!A132="","","M6_Puntos_Control!132")</f>
        <v/>
      </c>
      <c r="AJ1128" s="17" t="str">
        <f>IF(M6_Puntos_Control!A132="","",IF(M6_Puntos_Control!K132&lt;&gt;"Sí","Punto de comparación",IF(COUNTIFS(M6_Puntos_Control!$A$9:A132,M6_Puntos_Control!A132,M6_Puntos_Control!$D$9:D132,M6_Puntos_Control!D132,M6_Puntos_Control!$G$9:G132,M6_Puntos_Control!G132,M6_Puntos_Control!$H$9:H132,M6_Puntos_Control!H132,M6_Puntos_Control!$K$9:K132,"Sí")=1,IF(M6_Puntos_Control!M132="","Pendiente de resultado","Punto oficial"),"Revisar: varios puntos oficiales")))</f>
        <v/>
      </c>
    </row>
    <row r="1129" spans="1:36" ht="55.5" customHeight="1">
      <c r="A1129" s="6" t="str">
        <f t="array" ref="A1129">IF(1125&gt;$S$1204,"",INDEX($T$5:$AJ$1204,MATCH(1125,$S$5:$S$1204,0),1))</f>
        <v/>
      </c>
      <c r="B1129" s="8" t="str">
        <f t="array" ref="B1129">IF(1125&gt;$S$1204,"",INDEX($T$5:$AJ$1204,MATCH(1125,$S$5:$S$1204,0),2))</f>
        <v/>
      </c>
      <c r="C1129" s="10" t="str">
        <f t="array" ref="C1129">IF(1125&gt;$S$1204,"",INDEX($T$5:$AJ$1204,MATCH(1125,$S$5:$S$1204,0),3))</f>
        <v/>
      </c>
      <c r="D1129" s="8" t="str">
        <f t="array" ref="D1129">IF(1125&gt;$S$1204,"",INDEX($T$5:$AJ$1204,MATCH(1125,$S$5:$S$1204,0),4))</f>
        <v/>
      </c>
      <c r="E1129" s="8" t="str">
        <f t="array" ref="E1129">IF(1125&gt;$S$1204,"",INDEX($T$5:$AJ$1204,MATCH(1125,$S$5:$S$1204,0),5))</f>
        <v/>
      </c>
      <c r="F1129" s="8" t="str">
        <f t="array" ref="F1129">IF(1125&gt;$S$1204,"",INDEX($T$5:$AJ$1204,MATCH(1125,$S$5:$S$1204,0),6))</f>
        <v/>
      </c>
      <c r="G1129" s="8" t="str">
        <f t="array" ref="G1129">IF(1125&gt;$S$1204,"",INDEX($T$5:$AJ$1204,MATCH(1125,$S$5:$S$1204,0),7))</f>
        <v/>
      </c>
      <c r="H1129" s="8" t="str">
        <f t="array" ref="H1129">IF(1125&gt;$S$1204,"",INDEX($T$5:$AJ$1204,MATCH(1125,$S$5:$S$1204,0),8))</f>
        <v/>
      </c>
      <c r="I1129" s="8" t="str">
        <f t="array" ref="I1129">IF(1125&gt;$S$1204,"",INDEX($T$5:$AJ$1204,MATCH(1125,$S$5:$S$1204,0),9))</f>
        <v/>
      </c>
      <c r="J1129" s="14" t="str">
        <f t="array" ref="J1129">IF(1125&gt;$S$1204,"",INDEX($T$5:$AJ$1204,MATCH(1125,$S$5:$S$1204,0),10))</f>
        <v/>
      </c>
      <c r="K1129" s="8" t="str">
        <f t="array" ref="K1129">IF(1125&gt;$S$1204,"",INDEX($T$5:$AJ$1204,MATCH(1125,$S$5:$S$1204,0),11))</f>
        <v/>
      </c>
      <c r="L1129" s="8" t="str">
        <f t="array" ref="L1129">IF(1125&gt;$S$1204,"",INDEX($T$5:$AJ$1204,MATCH(1125,$S$5:$S$1204,0),12))</f>
        <v/>
      </c>
      <c r="M1129" s="8" t="str">
        <f t="array" ref="M1129">IF(1125&gt;$S$1204,"",INDEX($T$5:$AJ$1204,MATCH(1125,$S$5:$S$1204,0),13))</f>
        <v/>
      </c>
      <c r="N1129" s="8" t="str">
        <f t="array" ref="N1129">IF(1125&gt;$S$1204,"",INDEX($T$5:$AJ$1204,MATCH(1125,$S$5:$S$1204,0),14))</f>
        <v/>
      </c>
      <c r="O1129" s="15" t="str">
        <f t="array" ref="O1129">IF(1125&gt;$S$1204,"",INDEX($T$5:$AJ$1204,MATCH(1125,$S$5:$S$1204,0),15))</f>
        <v/>
      </c>
      <c r="P1129" s="8" t="str">
        <f t="array" ref="P1129">IF(1125&gt;$S$1204,"",INDEX($T$5:$AJ$1204,MATCH(1125,$S$5:$S$1204,0),16))</f>
        <v/>
      </c>
      <c r="Q1129" s="8" t="str">
        <f t="array" ref="Q1129">IF(1125&gt;$S$1204,"",INDEX($T$5:$AJ$1204,MATCH(1125,$S$5:$S$1204,0),17))</f>
        <v/>
      </c>
      <c r="R1129" s="17"/>
      <c r="S1129" s="17">
        <f>S1128+IF(M6_Puntos_Control!A133="",0,1)</f>
        <v>0</v>
      </c>
      <c r="T1129" s="17" t="str">
        <f>IF(M6_Puntos_Control!A133="","",IF(M6_Puntos_Control!A133="","",M6_Puntos_Control!A133))</f>
        <v/>
      </c>
      <c r="U1129" s="17" t="str">
        <f>IF(M6_Puntos_Control!A133="","",IF(M6_Puntos_Control!R133="","",M6_Puntos_Control!R133))</f>
        <v/>
      </c>
      <c r="V1129" s="17" t="str">
        <f>IF(M6_Puntos_Control!A133="","",IF(M6_Puntos_Control!D133="","",M6_Puntos_Control!D133))</f>
        <v/>
      </c>
      <c r="W1129" s="17" t="str">
        <f>IF(M6_Puntos_Control!A133="","",IF(M6_Puntos_Control!B133="","",M6_Puntos_Control!B133))</f>
        <v/>
      </c>
      <c r="X1129" s="17" t="str">
        <f>IF(M6_Puntos_Control!A133="","",IF(M6_Puntos_Control!C133="","",M6_Puntos_Control!C133))</f>
        <v/>
      </c>
      <c r="Y1129" s="17" t="str">
        <f>IF(M6_Puntos_Control!A133="","",IF(M6_Puntos_Control!E133="","",M6_Puntos_Control!E133))</f>
        <v/>
      </c>
      <c r="Z1129" s="17" t="str">
        <f>IF(M6_Puntos_Control!A133="","",IF(M6_Puntos_Control!F133="","",M6_Puntos_Control!F133))</f>
        <v/>
      </c>
      <c r="AA1129" s="17" t="str">
        <f>IF(M6_Puntos_Control!A133="","","M6 Puntos de control")</f>
        <v/>
      </c>
      <c r="AB1129" s="17" t="str">
        <f>IF(M6_Puntos_Control!A133="","",IF(M6_Puntos_Control!G133="","",M6_Puntos_Control!G133))</f>
        <v/>
      </c>
      <c r="AC1129" s="17" t="str">
        <f>IF(M6_Puntos_Control!A133="","",IF(M6_Puntos_Control!K133="Sí",IF(COUNTIFS(M6_Puntos_Control!$A$9:A133,M6_Puntos_Control!A133,M6_Puntos_Control!$D$9:D133,M6_Puntos_Control!D133,M6_Puntos_Control!$G$9:G133,M6_Puntos_Control!G133,M6_Puntos_Control!$H$9:H133,M6_Puntos_Control!H133,M6_Puntos_Control!$K$9:K133,"Sí")=1,IF(M6_Puntos_Control!M133="","",M6_Puntos_Control!M133),""),""))</f>
        <v/>
      </c>
      <c r="AD1129" s="17" t="str">
        <f>IF(M6_Puntos_Control!A133="","","RD")</f>
        <v/>
      </c>
      <c r="AE1129" s="17" t="str">
        <f>IF(M6_Puntos_Control!A133="","",IF(M6_Puntos_Control!O133="","",M6_Puntos_Control!O133))</f>
        <v/>
      </c>
      <c r="AF1129" s="17" t="str">
        <f>IF(M6_Puntos_Control!A133="","",IF(M6_Puntos_Control!P133="","",M6_Puntos_Control!P133))</f>
        <v/>
      </c>
      <c r="AG1129" s="17" t="str">
        <f>IF(M6_Puntos_Control!A133="","",IF(M6_Puntos_Control!Q133="","",M6_Puntos_Control!Q133))</f>
        <v/>
      </c>
      <c r="AH1129" s="17" t="str">
        <f>IF(M6_Puntos_Control!A133="","",IF(M6_Puntos_Control!I133="","",M6_Puntos_Control!I133))</f>
        <v/>
      </c>
      <c r="AI1129" s="17" t="str">
        <f>IF(M6_Puntos_Control!A133="","","M6_Puntos_Control!133")</f>
        <v/>
      </c>
      <c r="AJ1129" s="17" t="str">
        <f>IF(M6_Puntos_Control!A133="","",IF(M6_Puntos_Control!K133&lt;&gt;"Sí","Punto de comparación",IF(COUNTIFS(M6_Puntos_Control!$A$9:A133,M6_Puntos_Control!A133,M6_Puntos_Control!$D$9:D133,M6_Puntos_Control!D133,M6_Puntos_Control!$G$9:G133,M6_Puntos_Control!G133,M6_Puntos_Control!$H$9:H133,M6_Puntos_Control!H133,M6_Puntos_Control!$K$9:K133,"Sí")=1,IF(M6_Puntos_Control!M133="","Pendiente de resultado","Punto oficial"),"Revisar: varios puntos oficiales")))</f>
        <v/>
      </c>
    </row>
    <row r="1130" spans="1:36" ht="55.5" customHeight="1">
      <c r="A1130" s="6" t="str">
        <f t="array" ref="A1130">IF(1126&gt;$S$1204,"",INDEX($T$5:$AJ$1204,MATCH(1126,$S$5:$S$1204,0),1))</f>
        <v/>
      </c>
      <c r="B1130" s="8" t="str">
        <f t="array" ref="B1130">IF(1126&gt;$S$1204,"",INDEX($T$5:$AJ$1204,MATCH(1126,$S$5:$S$1204,0),2))</f>
        <v/>
      </c>
      <c r="C1130" s="10" t="str">
        <f t="array" ref="C1130">IF(1126&gt;$S$1204,"",INDEX($T$5:$AJ$1204,MATCH(1126,$S$5:$S$1204,0),3))</f>
        <v/>
      </c>
      <c r="D1130" s="8" t="str">
        <f t="array" ref="D1130">IF(1126&gt;$S$1204,"",INDEX($T$5:$AJ$1204,MATCH(1126,$S$5:$S$1204,0),4))</f>
        <v/>
      </c>
      <c r="E1130" s="8" t="str">
        <f t="array" ref="E1130">IF(1126&gt;$S$1204,"",INDEX($T$5:$AJ$1204,MATCH(1126,$S$5:$S$1204,0),5))</f>
        <v/>
      </c>
      <c r="F1130" s="8" t="str">
        <f t="array" ref="F1130">IF(1126&gt;$S$1204,"",INDEX($T$5:$AJ$1204,MATCH(1126,$S$5:$S$1204,0),6))</f>
        <v/>
      </c>
      <c r="G1130" s="8" t="str">
        <f t="array" ref="G1130">IF(1126&gt;$S$1204,"",INDEX($T$5:$AJ$1204,MATCH(1126,$S$5:$S$1204,0),7))</f>
        <v/>
      </c>
      <c r="H1130" s="8" t="str">
        <f t="array" ref="H1130">IF(1126&gt;$S$1204,"",INDEX($T$5:$AJ$1204,MATCH(1126,$S$5:$S$1204,0),8))</f>
        <v/>
      </c>
      <c r="I1130" s="8" t="str">
        <f t="array" ref="I1130">IF(1126&gt;$S$1204,"",INDEX($T$5:$AJ$1204,MATCH(1126,$S$5:$S$1204,0),9))</f>
        <v/>
      </c>
      <c r="J1130" s="14" t="str">
        <f t="array" ref="J1130">IF(1126&gt;$S$1204,"",INDEX($T$5:$AJ$1204,MATCH(1126,$S$5:$S$1204,0),10))</f>
        <v/>
      </c>
      <c r="K1130" s="8" t="str">
        <f t="array" ref="K1130">IF(1126&gt;$S$1204,"",INDEX($T$5:$AJ$1204,MATCH(1126,$S$5:$S$1204,0),11))</f>
        <v/>
      </c>
      <c r="L1130" s="8" t="str">
        <f t="array" ref="L1130">IF(1126&gt;$S$1204,"",INDEX($T$5:$AJ$1204,MATCH(1126,$S$5:$S$1204,0),12))</f>
        <v/>
      </c>
      <c r="M1130" s="8" t="str">
        <f t="array" ref="M1130">IF(1126&gt;$S$1204,"",INDEX($T$5:$AJ$1204,MATCH(1126,$S$5:$S$1204,0),13))</f>
        <v/>
      </c>
      <c r="N1130" s="8" t="str">
        <f t="array" ref="N1130">IF(1126&gt;$S$1204,"",INDEX($T$5:$AJ$1204,MATCH(1126,$S$5:$S$1204,0),14))</f>
        <v/>
      </c>
      <c r="O1130" s="15" t="str">
        <f t="array" ref="O1130">IF(1126&gt;$S$1204,"",INDEX($T$5:$AJ$1204,MATCH(1126,$S$5:$S$1204,0),15))</f>
        <v/>
      </c>
      <c r="P1130" s="8" t="str">
        <f t="array" ref="P1130">IF(1126&gt;$S$1204,"",INDEX($T$5:$AJ$1204,MATCH(1126,$S$5:$S$1204,0),16))</f>
        <v/>
      </c>
      <c r="Q1130" s="8" t="str">
        <f t="array" ref="Q1130">IF(1126&gt;$S$1204,"",INDEX($T$5:$AJ$1204,MATCH(1126,$S$5:$S$1204,0),17))</f>
        <v/>
      </c>
      <c r="R1130" s="17"/>
      <c r="S1130" s="17">
        <f>S1129+IF(M6_Puntos_Control!A134="",0,1)</f>
        <v>0</v>
      </c>
      <c r="T1130" s="17" t="str">
        <f>IF(M6_Puntos_Control!A134="","",IF(M6_Puntos_Control!A134="","",M6_Puntos_Control!A134))</f>
        <v/>
      </c>
      <c r="U1130" s="17" t="str">
        <f>IF(M6_Puntos_Control!A134="","",IF(M6_Puntos_Control!R134="","",M6_Puntos_Control!R134))</f>
        <v/>
      </c>
      <c r="V1130" s="17" t="str">
        <f>IF(M6_Puntos_Control!A134="","",IF(M6_Puntos_Control!D134="","",M6_Puntos_Control!D134))</f>
        <v/>
      </c>
      <c r="W1130" s="17" t="str">
        <f>IF(M6_Puntos_Control!A134="","",IF(M6_Puntos_Control!B134="","",M6_Puntos_Control!B134))</f>
        <v/>
      </c>
      <c r="X1130" s="17" t="str">
        <f>IF(M6_Puntos_Control!A134="","",IF(M6_Puntos_Control!C134="","",M6_Puntos_Control!C134))</f>
        <v/>
      </c>
      <c r="Y1130" s="17" t="str">
        <f>IF(M6_Puntos_Control!A134="","",IF(M6_Puntos_Control!E134="","",M6_Puntos_Control!E134))</f>
        <v/>
      </c>
      <c r="Z1130" s="17" t="str">
        <f>IF(M6_Puntos_Control!A134="","",IF(M6_Puntos_Control!F134="","",M6_Puntos_Control!F134))</f>
        <v/>
      </c>
      <c r="AA1130" s="17" t="str">
        <f>IF(M6_Puntos_Control!A134="","","M6 Puntos de control")</f>
        <v/>
      </c>
      <c r="AB1130" s="17" t="str">
        <f>IF(M6_Puntos_Control!A134="","",IF(M6_Puntos_Control!G134="","",M6_Puntos_Control!G134))</f>
        <v/>
      </c>
      <c r="AC1130" s="17" t="str">
        <f>IF(M6_Puntos_Control!A134="","",IF(M6_Puntos_Control!K134="Sí",IF(COUNTIFS(M6_Puntos_Control!$A$9:A134,M6_Puntos_Control!A134,M6_Puntos_Control!$D$9:D134,M6_Puntos_Control!D134,M6_Puntos_Control!$G$9:G134,M6_Puntos_Control!G134,M6_Puntos_Control!$H$9:H134,M6_Puntos_Control!H134,M6_Puntos_Control!$K$9:K134,"Sí")=1,IF(M6_Puntos_Control!M134="","",M6_Puntos_Control!M134),""),""))</f>
        <v/>
      </c>
      <c r="AD1130" s="17" t="str">
        <f>IF(M6_Puntos_Control!A134="","","RD")</f>
        <v/>
      </c>
      <c r="AE1130" s="17" t="str">
        <f>IF(M6_Puntos_Control!A134="","",IF(M6_Puntos_Control!O134="","",M6_Puntos_Control!O134))</f>
        <v/>
      </c>
      <c r="AF1130" s="17" t="str">
        <f>IF(M6_Puntos_Control!A134="","",IF(M6_Puntos_Control!P134="","",M6_Puntos_Control!P134))</f>
        <v/>
      </c>
      <c r="AG1130" s="17" t="str">
        <f>IF(M6_Puntos_Control!A134="","",IF(M6_Puntos_Control!Q134="","",M6_Puntos_Control!Q134))</f>
        <v/>
      </c>
      <c r="AH1130" s="17" t="str">
        <f>IF(M6_Puntos_Control!A134="","",IF(M6_Puntos_Control!I134="","",M6_Puntos_Control!I134))</f>
        <v/>
      </c>
      <c r="AI1130" s="17" t="str">
        <f>IF(M6_Puntos_Control!A134="","","M6_Puntos_Control!134")</f>
        <v/>
      </c>
      <c r="AJ1130" s="17" t="str">
        <f>IF(M6_Puntos_Control!A134="","",IF(M6_Puntos_Control!K134&lt;&gt;"Sí","Punto de comparación",IF(COUNTIFS(M6_Puntos_Control!$A$9:A134,M6_Puntos_Control!A134,M6_Puntos_Control!$D$9:D134,M6_Puntos_Control!D134,M6_Puntos_Control!$G$9:G134,M6_Puntos_Control!G134,M6_Puntos_Control!$H$9:H134,M6_Puntos_Control!H134,M6_Puntos_Control!$K$9:K134,"Sí")=1,IF(M6_Puntos_Control!M134="","Pendiente de resultado","Punto oficial"),"Revisar: varios puntos oficiales")))</f>
        <v/>
      </c>
    </row>
    <row r="1131" spans="1:36" ht="55.5" customHeight="1">
      <c r="A1131" s="6" t="str">
        <f t="array" ref="A1131">IF(1127&gt;$S$1204,"",INDEX($T$5:$AJ$1204,MATCH(1127,$S$5:$S$1204,0),1))</f>
        <v/>
      </c>
      <c r="B1131" s="8" t="str">
        <f t="array" ref="B1131">IF(1127&gt;$S$1204,"",INDEX($T$5:$AJ$1204,MATCH(1127,$S$5:$S$1204,0),2))</f>
        <v/>
      </c>
      <c r="C1131" s="10" t="str">
        <f t="array" ref="C1131">IF(1127&gt;$S$1204,"",INDEX($T$5:$AJ$1204,MATCH(1127,$S$5:$S$1204,0),3))</f>
        <v/>
      </c>
      <c r="D1131" s="8" t="str">
        <f t="array" ref="D1131">IF(1127&gt;$S$1204,"",INDEX($T$5:$AJ$1204,MATCH(1127,$S$5:$S$1204,0),4))</f>
        <v/>
      </c>
      <c r="E1131" s="8" t="str">
        <f t="array" ref="E1131">IF(1127&gt;$S$1204,"",INDEX($T$5:$AJ$1204,MATCH(1127,$S$5:$S$1204,0),5))</f>
        <v/>
      </c>
      <c r="F1131" s="8" t="str">
        <f t="array" ref="F1131">IF(1127&gt;$S$1204,"",INDEX($T$5:$AJ$1204,MATCH(1127,$S$5:$S$1204,0),6))</f>
        <v/>
      </c>
      <c r="G1131" s="8" t="str">
        <f t="array" ref="G1131">IF(1127&gt;$S$1204,"",INDEX($T$5:$AJ$1204,MATCH(1127,$S$5:$S$1204,0),7))</f>
        <v/>
      </c>
      <c r="H1131" s="8" t="str">
        <f t="array" ref="H1131">IF(1127&gt;$S$1204,"",INDEX($T$5:$AJ$1204,MATCH(1127,$S$5:$S$1204,0),8))</f>
        <v/>
      </c>
      <c r="I1131" s="8" t="str">
        <f t="array" ref="I1131">IF(1127&gt;$S$1204,"",INDEX($T$5:$AJ$1204,MATCH(1127,$S$5:$S$1204,0),9))</f>
        <v/>
      </c>
      <c r="J1131" s="14" t="str">
        <f t="array" ref="J1131">IF(1127&gt;$S$1204,"",INDEX($T$5:$AJ$1204,MATCH(1127,$S$5:$S$1204,0),10))</f>
        <v/>
      </c>
      <c r="K1131" s="8" t="str">
        <f t="array" ref="K1131">IF(1127&gt;$S$1204,"",INDEX($T$5:$AJ$1204,MATCH(1127,$S$5:$S$1204,0),11))</f>
        <v/>
      </c>
      <c r="L1131" s="8" t="str">
        <f t="array" ref="L1131">IF(1127&gt;$S$1204,"",INDEX($T$5:$AJ$1204,MATCH(1127,$S$5:$S$1204,0),12))</f>
        <v/>
      </c>
      <c r="M1131" s="8" t="str">
        <f t="array" ref="M1131">IF(1127&gt;$S$1204,"",INDEX($T$5:$AJ$1204,MATCH(1127,$S$5:$S$1204,0),13))</f>
        <v/>
      </c>
      <c r="N1131" s="8" t="str">
        <f t="array" ref="N1131">IF(1127&gt;$S$1204,"",INDEX($T$5:$AJ$1204,MATCH(1127,$S$5:$S$1204,0),14))</f>
        <v/>
      </c>
      <c r="O1131" s="15" t="str">
        <f t="array" ref="O1131">IF(1127&gt;$S$1204,"",INDEX($T$5:$AJ$1204,MATCH(1127,$S$5:$S$1204,0),15))</f>
        <v/>
      </c>
      <c r="P1131" s="8" t="str">
        <f t="array" ref="P1131">IF(1127&gt;$S$1204,"",INDEX($T$5:$AJ$1204,MATCH(1127,$S$5:$S$1204,0),16))</f>
        <v/>
      </c>
      <c r="Q1131" s="8" t="str">
        <f t="array" ref="Q1131">IF(1127&gt;$S$1204,"",INDEX($T$5:$AJ$1204,MATCH(1127,$S$5:$S$1204,0),17))</f>
        <v/>
      </c>
      <c r="R1131" s="17"/>
      <c r="S1131" s="17">
        <f>S1130+IF(M6_Puntos_Control!A135="",0,1)</f>
        <v>0</v>
      </c>
      <c r="T1131" s="17" t="str">
        <f>IF(M6_Puntos_Control!A135="","",IF(M6_Puntos_Control!A135="","",M6_Puntos_Control!A135))</f>
        <v/>
      </c>
      <c r="U1131" s="17" t="str">
        <f>IF(M6_Puntos_Control!A135="","",IF(M6_Puntos_Control!R135="","",M6_Puntos_Control!R135))</f>
        <v/>
      </c>
      <c r="V1131" s="17" t="str">
        <f>IF(M6_Puntos_Control!A135="","",IF(M6_Puntos_Control!D135="","",M6_Puntos_Control!D135))</f>
        <v/>
      </c>
      <c r="W1131" s="17" t="str">
        <f>IF(M6_Puntos_Control!A135="","",IF(M6_Puntos_Control!B135="","",M6_Puntos_Control!B135))</f>
        <v/>
      </c>
      <c r="X1131" s="17" t="str">
        <f>IF(M6_Puntos_Control!A135="","",IF(M6_Puntos_Control!C135="","",M6_Puntos_Control!C135))</f>
        <v/>
      </c>
      <c r="Y1131" s="17" t="str">
        <f>IF(M6_Puntos_Control!A135="","",IF(M6_Puntos_Control!E135="","",M6_Puntos_Control!E135))</f>
        <v/>
      </c>
      <c r="Z1131" s="17" t="str">
        <f>IF(M6_Puntos_Control!A135="","",IF(M6_Puntos_Control!F135="","",M6_Puntos_Control!F135))</f>
        <v/>
      </c>
      <c r="AA1131" s="17" t="str">
        <f>IF(M6_Puntos_Control!A135="","","M6 Puntos de control")</f>
        <v/>
      </c>
      <c r="AB1131" s="17" t="str">
        <f>IF(M6_Puntos_Control!A135="","",IF(M6_Puntos_Control!G135="","",M6_Puntos_Control!G135))</f>
        <v/>
      </c>
      <c r="AC1131" s="17" t="str">
        <f>IF(M6_Puntos_Control!A135="","",IF(M6_Puntos_Control!K135="Sí",IF(COUNTIFS(M6_Puntos_Control!$A$9:A135,M6_Puntos_Control!A135,M6_Puntos_Control!$D$9:D135,M6_Puntos_Control!D135,M6_Puntos_Control!$G$9:G135,M6_Puntos_Control!G135,M6_Puntos_Control!$H$9:H135,M6_Puntos_Control!H135,M6_Puntos_Control!$K$9:K135,"Sí")=1,IF(M6_Puntos_Control!M135="","",M6_Puntos_Control!M135),""),""))</f>
        <v/>
      </c>
      <c r="AD1131" s="17" t="str">
        <f>IF(M6_Puntos_Control!A135="","","RD")</f>
        <v/>
      </c>
      <c r="AE1131" s="17" t="str">
        <f>IF(M6_Puntos_Control!A135="","",IF(M6_Puntos_Control!O135="","",M6_Puntos_Control!O135))</f>
        <v/>
      </c>
      <c r="AF1131" s="17" t="str">
        <f>IF(M6_Puntos_Control!A135="","",IF(M6_Puntos_Control!P135="","",M6_Puntos_Control!P135))</f>
        <v/>
      </c>
      <c r="AG1131" s="17" t="str">
        <f>IF(M6_Puntos_Control!A135="","",IF(M6_Puntos_Control!Q135="","",M6_Puntos_Control!Q135))</f>
        <v/>
      </c>
      <c r="AH1131" s="17" t="str">
        <f>IF(M6_Puntos_Control!A135="","",IF(M6_Puntos_Control!I135="","",M6_Puntos_Control!I135))</f>
        <v/>
      </c>
      <c r="AI1131" s="17" t="str">
        <f>IF(M6_Puntos_Control!A135="","","M6_Puntos_Control!135")</f>
        <v/>
      </c>
      <c r="AJ1131" s="17" t="str">
        <f>IF(M6_Puntos_Control!A135="","",IF(M6_Puntos_Control!K135&lt;&gt;"Sí","Punto de comparación",IF(COUNTIFS(M6_Puntos_Control!$A$9:A135,M6_Puntos_Control!A135,M6_Puntos_Control!$D$9:D135,M6_Puntos_Control!D135,M6_Puntos_Control!$G$9:G135,M6_Puntos_Control!G135,M6_Puntos_Control!$H$9:H135,M6_Puntos_Control!H135,M6_Puntos_Control!$K$9:K135,"Sí")=1,IF(M6_Puntos_Control!M135="","Pendiente de resultado","Punto oficial"),"Revisar: varios puntos oficiales")))</f>
        <v/>
      </c>
    </row>
    <row r="1132" spans="1:36" ht="55.5" customHeight="1">
      <c r="A1132" s="6" t="str">
        <f t="array" ref="A1132">IF(1128&gt;$S$1204,"",INDEX($T$5:$AJ$1204,MATCH(1128,$S$5:$S$1204,0),1))</f>
        <v/>
      </c>
      <c r="B1132" s="8" t="str">
        <f t="array" ref="B1132">IF(1128&gt;$S$1204,"",INDEX($T$5:$AJ$1204,MATCH(1128,$S$5:$S$1204,0),2))</f>
        <v/>
      </c>
      <c r="C1132" s="10" t="str">
        <f t="array" ref="C1132">IF(1128&gt;$S$1204,"",INDEX($T$5:$AJ$1204,MATCH(1128,$S$5:$S$1204,0),3))</f>
        <v/>
      </c>
      <c r="D1132" s="8" t="str">
        <f t="array" ref="D1132">IF(1128&gt;$S$1204,"",INDEX($T$5:$AJ$1204,MATCH(1128,$S$5:$S$1204,0),4))</f>
        <v/>
      </c>
      <c r="E1132" s="8" t="str">
        <f t="array" ref="E1132">IF(1128&gt;$S$1204,"",INDEX($T$5:$AJ$1204,MATCH(1128,$S$5:$S$1204,0),5))</f>
        <v/>
      </c>
      <c r="F1132" s="8" t="str">
        <f t="array" ref="F1132">IF(1128&gt;$S$1204,"",INDEX($T$5:$AJ$1204,MATCH(1128,$S$5:$S$1204,0),6))</f>
        <v/>
      </c>
      <c r="G1132" s="8" t="str">
        <f t="array" ref="G1132">IF(1128&gt;$S$1204,"",INDEX($T$5:$AJ$1204,MATCH(1128,$S$5:$S$1204,0),7))</f>
        <v/>
      </c>
      <c r="H1132" s="8" t="str">
        <f t="array" ref="H1132">IF(1128&gt;$S$1204,"",INDEX($T$5:$AJ$1204,MATCH(1128,$S$5:$S$1204,0),8))</f>
        <v/>
      </c>
      <c r="I1132" s="8" t="str">
        <f t="array" ref="I1132">IF(1128&gt;$S$1204,"",INDEX($T$5:$AJ$1204,MATCH(1128,$S$5:$S$1204,0),9))</f>
        <v/>
      </c>
      <c r="J1132" s="14" t="str">
        <f t="array" ref="J1132">IF(1128&gt;$S$1204,"",INDEX($T$5:$AJ$1204,MATCH(1128,$S$5:$S$1204,0),10))</f>
        <v/>
      </c>
      <c r="K1132" s="8" t="str">
        <f t="array" ref="K1132">IF(1128&gt;$S$1204,"",INDEX($T$5:$AJ$1204,MATCH(1128,$S$5:$S$1204,0),11))</f>
        <v/>
      </c>
      <c r="L1132" s="8" t="str">
        <f t="array" ref="L1132">IF(1128&gt;$S$1204,"",INDEX($T$5:$AJ$1204,MATCH(1128,$S$5:$S$1204,0),12))</f>
        <v/>
      </c>
      <c r="M1132" s="8" t="str">
        <f t="array" ref="M1132">IF(1128&gt;$S$1204,"",INDEX($T$5:$AJ$1204,MATCH(1128,$S$5:$S$1204,0),13))</f>
        <v/>
      </c>
      <c r="N1132" s="8" t="str">
        <f t="array" ref="N1132">IF(1128&gt;$S$1204,"",INDEX($T$5:$AJ$1204,MATCH(1128,$S$5:$S$1204,0),14))</f>
        <v/>
      </c>
      <c r="O1132" s="15" t="str">
        <f t="array" ref="O1132">IF(1128&gt;$S$1204,"",INDEX($T$5:$AJ$1204,MATCH(1128,$S$5:$S$1204,0),15))</f>
        <v/>
      </c>
      <c r="P1132" s="8" t="str">
        <f t="array" ref="P1132">IF(1128&gt;$S$1204,"",INDEX($T$5:$AJ$1204,MATCH(1128,$S$5:$S$1204,0),16))</f>
        <v/>
      </c>
      <c r="Q1132" s="8" t="str">
        <f t="array" ref="Q1132">IF(1128&gt;$S$1204,"",INDEX($T$5:$AJ$1204,MATCH(1128,$S$5:$S$1204,0),17))</f>
        <v/>
      </c>
      <c r="R1132" s="17"/>
      <c r="S1132" s="17">
        <f>S1131+IF(M6_Puntos_Control!A136="",0,1)</f>
        <v>0</v>
      </c>
      <c r="T1132" s="17" t="str">
        <f>IF(M6_Puntos_Control!A136="","",IF(M6_Puntos_Control!A136="","",M6_Puntos_Control!A136))</f>
        <v/>
      </c>
      <c r="U1132" s="17" t="str">
        <f>IF(M6_Puntos_Control!A136="","",IF(M6_Puntos_Control!R136="","",M6_Puntos_Control!R136))</f>
        <v/>
      </c>
      <c r="V1132" s="17" t="str">
        <f>IF(M6_Puntos_Control!A136="","",IF(M6_Puntos_Control!D136="","",M6_Puntos_Control!D136))</f>
        <v/>
      </c>
      <c r="W1132" s="17" t="str">
        <f>IF(M6_Puntos_Control!A136="","",IF(M6_Puntos_Control!B136="","",M6_Puntos_Control!B136))</f>
        <v/>
      </c>
      <c r="X1132" s="17" t="str">
        <f>IF(M6_Puntos_Control!A136="","",IF(M6_Puntos_Control!C136="","",M6_Puntos_Control!C136))</f>
        <v/>
      </c>
      <c r="Y1132" s="17" t="str">
        <f>IF(M6_Puntos_Control!A136="","",IF(M6_Puntos_Control!E136="","",M6_Puntos_Control!E136))</f>
        <v/>
      </c>
      <c r="Z1132" s="17" t="str">
        <f>IF(M6_Puntos_Control!A136="","",IF(M6_Puntos_Control!F136="","",M6_Puntos_Control!F136))</f>
        <v/>
      </c>
      <c r="AA1132" s="17" t="str">
        <f>IF(M6_Puntos_Control!A136="","","M6 Puntos de control")</f>
        <v/>
      </c>
      <c r="AB1132" s="17" t="str">
        <f>IF(M6_Puntos_Control!A136="","",IF(M6_Puntos_Control!G136="","",M6_Puntos_Control!G136))</f>
        <v/>
      </c>
      <c r="AC1132" s="17" t="str">
        <f>IF(M6_Puntos_Control!A136="","",IF(M6_Puntos_Control!K136="Sí",IF(COUNTIFS(M6_Puntos_Control!$A$9:A136,M6_Puntos_Control!A136,M6_Puntos_Control!$D$9:D136,M6_Puntos_Control!D136,M6_Puntos_Control!$G$9:G136,M6_Puntos_Control!G136,M6_Puntos_Control!$H$9:H136,M6_Puntos_Control!H136,M6_Puntos_Control!$K$9:K136,"Sí")=1,IF(M6_Puntos_Control!M136="","",M6_Puntos_Control!M136),""),""))</f>
        <v/>
      </c>
      <c r="AD1132" s="17" t="str">
        <f>IF(M6_Puntos_Control!A136="","","RD")</f>
        <v/>
      </c>
      <c r="AE1132" s="17" t="str">
        <f>IF(M6_Puntos_Control!A136="","",IF(M6_Puntos_Control!O136="","",M6_Puntos_Control!O136))</f>
        <v/>
      </c>
      <c r="AF1132" s="17" t="str">
        <f>IF(M6_Puntos_Control!A136="","",IF(M6_Puntos_Control!P136="","",M6_Puntos_Control!P136))</f>
        <v/>
      </c>
      <c r="AG1132" s="17" t="str">
        <f>IF(M6_Puntos_Control!A136="","",IF(M6_Puntos_Control!Q136="","",M6_Puntos_Control!Q136))</f>
        <v/>
      </c>
      <c r="AH1132" s="17" t="str">
        <f>IF(M6_Puntos_Control!A136="","",IF(M6_Puntos_Control!I136="","",M6_Puntos_Control!I136))</f>
        <v/>
      </c>
      <c r="AI1132" s="17" t="str">
        <f>IF(M6_Puntos_Control!A136="","","M6_Puntos_Control!136")</f>
        <v/>
      </c>
      <c r="AJ1132" s="17" t="str">
        <f>IF(M6_Puntos_Control!A136="","",IF(M6_Puntos_Control!K136&lt;&gt;"Sí","Punto de comparación",IF(COUNTIFS(M6_Puntos_Control!$A$9:A136,M6_Puntos_Control!A136,M6_Puntos_Control!$D$9:D136,M6_Puntos_Control!D136,M6_Puntos_Control!$G$9:G136,M6_Puntos_Control!G136,M6_Puntos_Control!$H$9:H136,M6_Puntos_Control!H136,M6_Puntos_Control!$K$9:K136,"Sí")=1,IF(M6_Puntos_Control!M136="","Pendiente de resultado","Punto oficial"),"Revisar: varios puntos oficiales")))</f>
        <v/>
      </c>
    </row>
    <row r="1133" spans="1:36" ht="55.5" customHeight="1">
      <c r="A1133" s="6" t="str">
        <f t="array" ref="A1133">IF(1129&gt;$S$1204,"",INDEX($T$5:$AJ$1204,MATCH(1129,$S$5:$S$1204,0),1))</f>
        <v/>
      </c>
      <c r="B1133" s="8" t="str">
        <f t="array" ref="B1133">IF(1129&gt;$S$1204,"",INDEX($T$5:$AJ$1204,MATCH(1129,$S$5:$S$1204,0),2))</f>
        <v/>
      </c>
      <c r="C1133" s="10" t="str">
        <f t="array" ref="C1133">IF(1129&gt;$S$1204,"",INDEX($T$5:$AJ$1204,MATCH(1129,$S$5:$S$1204,0),3))</f>
        <v/>
      </c>
      <c r="D1133" s="8" t="str">
        <f t="array" ref="D1133">IF(1129&gt;$S$1204,"",INDEX($T$5:$AJ$1204,MATCH(1129,$S$5:$S$1204,0),4))</f>
        <v/>
      </c>
      <c r="E1133" s="8" t="str">
        <f t="array" ref="E1133">IF(1129&gt;$S$1204,"",INDEX($T$5:$AJ$1204,MATCH(1129,$S$5:$S$1204,0),5))</f>
        <v/>
      </c>
      <c r="F1133" s="8" t="str">
        <f t="array" ref="F1133">IF(1129&gt;$S$1204,"",INDEX($T$5:$AJ$1204,MATCH(1129,$S$5:$S$1204,0),6))</f>
        <v/>
      </c>
      <c r="G1133" s="8" t="str">
        <f t="array" ref="G1133">IF(1129&gt;$S$1204,"",INDEX($T$5:$AJ$1204,MATCH(1129,$S$5:$S$1204,0),7))</f>
        <v/>
      </c>
      <c r="H1133" s="8" t="str">
        <f t="array" ref="H1133">IF(1129&gt;$S$1204,"",INDEX($T$5:$AJ$1204,MATCH(1129,$S$5:$S$1204,0),8))</f>
        <v/>
      </c>
      <c r="I1133" s="8" t="str">
        <f t="array" ref="I1133">IF(1129&gt;$S$1204,"",INDEX($T$5:$AJ$1204,MATCH(1129,$S$5:$S$1204,0),9))</f>
        <v/>
      </c>
      <c r="J1133" s="14" t="str">
        <f t="array" ref="J1133">IF(1129&gt;$S$1204,"",INDEX($T$5:$AJ$1204,MATCH(1129,$S$5:$S$1204,0),10))</f>
        <v/>
      </c>
      <c r="K1133" s="8" t="str">
        <f t="array" ref="K1133">IF(1129&gt;$S$1204,"",INDEX($T$5:$AJ$1204,MATCH(1129,$S$5:$S$1204,0),11))</f>
        <v/>
      </c>
      <c r="L1133" s="8" t="str">
        <f t="array" ref="L1133">IF(1129&gt;$S$1204,"",INDEX($T$5:$AJ$1204,MATCH(1129,$S$5:$S$1204,0),12))</f>
        <v/>
      </c>
      <c r="M1133" s="8" t="str">
        <f t="array" ref="M1133">IF(1129&gt;$S$1204,"",INDEX($T$5:$AJ$1204,MATCH(1129,$S$5:$S$1204,0),13))</f>
        <v/>
      </c>
      <c r="N1133" s="8" t="str">
        <f t="array" ref="N1133">IF(1129&gt;$S$1204,"",INDEX($T$5:$AJ$1204,MATCH(1129,$S$5:$S$1204,0),14))</f>
        <v/>
      </c>
      <c r="O1133" s="15" t="str">
        <f t="array" ref="O1133">IF(1129&gt;$S$1204,"",INDEX($T$5:$AJ$1204,MATCH(1129,$S$5:$S$1204,0),15))</f>
        <v/>
      </c>
      <c r="P1133" s="8" t="str">
        <f t="array" ref="P1133">IF(1129&gt;$S$1204,"",INDEX($T$5:$AJ$1204,MATCH(1129,$S$5:$S$1204,0),16))</f>
        <v/>
      </c>
      <c r="Q1133" s="8" t="str">
        <f t="array" ref="Q1133">IF(1129&gt;$S$1204,"",INDEX($T$5:$AJ$1204,MATCH(1129,$S$5:$S$1204,0),17))</f>
        <v/>
      </c>
      <c r="R1133" s="17"/>
      <c r="S1133" s="17">
        <f>S1132+IF(M6_Puntos_Control!A137="",0,1)</f>
        <v>0</v>
      </c>
      <c r="T1133" s="17" t="str">
        <f>IF(M6_Puntos_Control!A137="","",IF(M6_Puntos_Control!A137="","",M6_Puntos_Control!A137))</f>
        <v/>
      </c>
      <c r="U1133" s="17" t="str">
        <f>IF(M6_Puntos_Control!A137="","",IF(M6_Puntos_Control!R137="","",M6_Puntos_Control!R137))</f>
        <v/>
      </c>
      <c r="V1133" s="17" t="str">
        <f>IF(M6_Puntos_Control!A137="","",IF(M6_Puntos_Control!D137="","",M6_Puntos_Control!D137))</f>
        <v/>
      </c>
      <c r="W1133" s="17" t="str">
        <f>IF(M6_Puntos_Control!A137="","",IF(M6_Puntos_Control!B137="","",M6_Puntos_Control!B137))</f>
        <v/>
      </c>
      <c r="X1133" s="17" t="str">
        <f>IF(M6_Puntos_Control!A137="","",IF(M6_Puntos_Control!C137="","",M6_Puntos_Control!C137))</f>
        <v/>
      </c>
      <c r="Y1133" s="17" t="str">
        <f>IF(M6_Puntos_Control!A137="","",IF(M6_Puntos_Control!E137="","",M6_Puntos_Control!E137))</f>
        <v/>
      </c>
      <c r="Z1133" s="17" t="str">
        <f>IF(M6_Puntos_Control!A137="","",IF(M6_Puntos_Control!F137="","",M6_Puntos_Control!F137))</f>
        <v/>
      </c>
      <c r="AA1133" s="17" t="str">
        <f>IF(M6_Puntos_Control!A137="","","M6 Puntos de control")</f>
        <v/>
      </c>
      <c r="AB1133" s="17" t="str">
        <f>IF(M6_Puntos_Control!A137="","",IF(M6_Puntos_Control!G137="","",M6_Puntos_Control!G137))</f>
        <v/>
      </c>
      <c r="AC1133" s="17" t="str">
        <f>IF(M6_Puntos_Control!A137="","",IF(M6_Puntos_Control!K137="Sí",IF(COUNTIFS(M6_Puntos_Control!$A$9:A137,M6_Puntos_Control!A137,M6_Puntos_Control!$D$9:D137,M6_Puntos_Control!D137,M6_Puntos_Control!$G$9:G137,M6_Puntos_Control!G137,M6_Puntos_Control!$H$9:H137,M6_Puntos_Control!H137,M6_Puntos_Control!$K$9:K137,"Sí")=1,IF(M6_Puntos_Control!M137="","",M6_Puntos_Control!M137),""),""))</f>
        <v/>
      </c>
      <c r="AD1133" s="17" t="str">
        <f>IF(M6_Puntos_Control!A137="","","RD")</f>
        <v/>
      </c>
      <c r="AE1133" s="17" t="str">
        <f>IF(M6_Puntos_Control!A137="","",IF(M6_Puntos_Control!O137="","",M6_Puntos_Control!O137))</f>
        <v/>
      </c>
      <c r="AF1133" s="17" t="str">
        <f>IF(M6_Puntos_Control!A137="","",IF(M6_Puntos_Control!P137="","",M6_Puntos_Control!P137))</f>
        <v/>
      </c>
      <c r="AG1133" s="17" t="str">
        <f>IF(M6_Puntos_Control!A137="","",IF(M6_Puntos_Control!Q137="","",M6_Puntos_Control!Q137))</f>
        <v/>
      </c>
      <c r="AH1133" s="17" t="str">
        <f>IF(M6_Puntos_Control!A137="","",IF(M6_Puntos_Control!I137="","",M6_Puntos_Control!I137))</f>
        <v/>
      </c>
      <c r="AI1133" s="17" t="str">
        <f>IF(M6_Puntos_Control!A137="","","M6_Puntos_Control!137")</f>
        <v/>
      </c>
      <c r="AJ1133" s="17" t="str">
        <f>IF(M6_Puntos_Control!A137="","",IF(M6_Puntos_Control!K137&lt;&gt;"Sí","Punto de comparación",IF(COUNTIFS(M6_Puntos_Control!$A$9:A137,M6_Puntos_Control!A137,M6_Puntos_Control!$D$9:D137,M6_Puntos_Control!D137,M6_Puntos_Control!$G$9:G137,M6_Puntos_Control!G137,M6_Puntos_Control!$H$9:H137,M6_Puntos_Control!H137,M6_Puntos_Control!$K$9:K137,"Sí")=1,IF(M6_Puntos_Control!M137="","Pendiente de resultado","Punto oficial"),"Revisar: varios puntos oficiales")))</f>
        <v/>
      </c>
    </row>
    <row r="1134" spans="1:36" ht="55.5" customHeight="1">
      <c r="A1134" s="6" t="str">
        <f t="array" ref="A1134">IF(1130&gt;$S$1204,"",INDEX($T$5:$AJ$1204,MATCH(1130,$S$5:$S$1204,0),1))</f>
        <v/>
      </c>
      <c r="B1134" s="8" t="str">
        <f t="array" ref="B1134">IF(1130&gt;$S$1204,"",INDEX($T$5:$AJ$1204,MATCH(1130,$S$5:$S$1204,0),2))</f>
        <v/>
      </c>
      <c r="C1134" s="10" t="str">
        <f t="array" ref="C1134">IF(1130&gt;$S$1204,"",INDEX($T$5:$AJ$1204,MATCH(1130,$S$5:$S$1204,0),3))</f>
        <v/>
      </c>
      <c r="D1134" s="8" t="str">
        <f t="array" ref="D1134">IF(1130&gt;$S$1204,"",INDEX($T$5:$AJ$1204,MATCH(1130,$S$5:$S$1204,0),4))</f>
        <v/>
      </c>
      <c r="E1134" s="8" t="str">
        <f t="array" ref="E1134">IF(1130&gt;$S$1204,"",INDEX($T$5:$AJ$1204,MATCH(1130,$S$5:$S$1204,0),5))</f>
        <v/>
      </c>
      <c r="F1134" s="8" t="str">
        <f t="array" ref="F1134">IF(1130&gt;$S$1204,"",INDEX($T$5:$AJ$1204,MATCH(1130,$S$5:$S$1204,0),6))</f>
        <v/>
      </c>
      <c r="G1134" s="8" t="str">
        <f t="array" ref="G1134">IF(1130&gt;$S$1204,"",INDEX($T$5:$AJ$1204,MATCH(1130,$S$5:$S$1204,0),7))</f>
        <v/>
      </c>
      <c r="H1134" s="8" t="str">
        <f t="array" ref="H1134">IF(1130&gt;$S$1204,"",INDEX($T$5:$AJ$1204,MATCH(1130,$S$5:$S$1204,0),8))</f>
        <v/>
      </c>
      <c r="I1134" s="8" t="str">
        <f t="array" ref="I1134">IF(1130&gt;$S$1204,"",INDEX($T$5:$AJ$1204,MATCH(1130,$S$5:$S$1204,0),9))</f>
        <v/>
      </c>
      <c r="J1134" s="14" t="str">
        <f t="array" ref="J1134">IF(1130&gt;$S$1204,"",INDEX($T$5:$AJ$1204,MATCH(1130,$S$5:$S$1204,0),10))</f>
        <v/>
      </c>
      <c r="K1134" s="8" t="str">
        <f t="array" ref="K1134">IF(1130&gt;$S$1204,"",INDEX($T$5:$AJ$1204,MATCH(1130,$S$5:$S$1204,0),11))</f>
        <v/>
      </c>
      <c r="L1134" s="8" t="str">
        <f t="array" ref="L1134">IF(1130&gt;$S$1204,"",INDEX($T$5:$AJ$1204,MATCH(1130,$S$5:$S$1204,0),12))</f>
        <v/>
      </c>
      <c r="M1134" s="8" t="str">
        <f t="array" ref="M1134">IF(1130&gt;$S$1204,"",INDEX($T$5:$AJ$1204,MATCH(1130,$S$5:$S$1204,0),13))</f>
        <v/>
      </c>
      <c r="N1134" s="8" t="str">
        <f t="array" ref="N1134">IF(1130&gt;$S$1204,"",INDEX($T$5:$AJ$1204,MATCH(1130,$S$5:$S$1204,0),14))</f>
        <v/>
      </c>
      <c r="O1134" s="15" t="str">
        <f t="array" ref="O1134">IF(1130&gt;$S$1204,"",INDEX($T$5:$AJ$1204,MATCH(1130,$S$5:$S$1204,0),15))</f>
        <v/>
      </c>
      <c r="P1134" s="8" t="str">
        <f t="array" ref="P1134">IF(1130&gt;$S$1204,"",INDEX($T$5:$AJ$1204,MATCH(1130,$S$5:$S$1204,0),16))</f>
        <v/>
      </c>
      <c r="Q1134" s="8" t="str">
        <f t="array" ref="Q1134">IF(1130&gt;$S$1204,"",INDEX($T$5:$AJ$1204,MATCH(1130,$S$5:$S$1204,0),17))</f>
        <v/>
      </c>
      <c r="R1134" s="17"/>
      <c r="S1134" s="17">
        <f>S1133+IF(M6_Puntos_Control!A138="",0,1)</f>
        <v>0</v>
      </c>
      <c r="T1134" s="17" t="str">
        <f>IF(M6_Puntos_Control!A138="","",IF(M6_Puntos_Control!A138="","",M6_Puntos_Control!A138))</f>
        <v/>
      </c>
      <c r="U1134" s="17" t="str">
        <f>IF(M6_Puntos_Control!A138="","",IF(M6_Puntos_Control!R138="","",M6_Puntos_Control!R138))</f>
        <v/>
      </c>
      <c r="V1134" s="17" t="str">
        <f>IF(M6_Puntos_Control!A138="","",IF(M6_Puntos_Control!D138="","",M6_Puntos_Control!D138))</f>
        <v/>
      </c>
      <c r="W1134" s="17" t="str">
        <f>IF(M6_Puntos_Control!A138="","",IF(M6_Puntos_Control!B138="","",M6_Puntos_Control!B138))</f>
        <v/>
      </c>
      <c r="X1134" s="17" t="str">
        <f>IF(M6_Puntos_Control!A138="","",IF(M6_Puntos_Control!C138="","",M6_Puntos_Control!C138))</f>
        <v/>
      </c>
      <c r="Y1134" s="17" t="str">
        <f>IF(M6_Puntos_Control!A138="","",IF(M6_Puntos_Control!E138="","",M6_Puntos_Control!E138))</f>
        <v/>
      </c>
      <c r="Z1134" s="17" t="str">
        <f>IF(M6_Puntos_Control!A138="","",IF(M6_Puntos_Control!F138="","",M6_Puntos_Control!F138))</f>
        <v/>
      </c>
      <c r="AA1134" s="17" t="str">
        <f>IF(M6_Puntos_Control!A138="","","M6 Puntos de control")</f>
        <v/>
      </c>
      <c r="AB1134" s="17" t="str">
        <f>IF(M6_Puntos_Control!A138="","",IF(M6_Puntos_Control!G138="","",M6_Puntos_Control!G138))</f>
        <v/>
      </c>
      <c r="AC1134" s="17" t="str">
        <f>IF(M6_Puntos_Control!A138="","",IF(M6_Puntos_Control!K138="Sí",IF(COUNTIFS(M6_Puntos_Control!$A$9:A138,M6_Puntos_Control!A138,M6_Puntos_Control!$D$9:D138,M6_Puntos_Control!D138,M6_Puntos_Control!$G$9:G138,M6_Puntos_Control!G138,M6_Puntos_Control!$H$9:H138,M6_Puntos_Control!H138,M6_Puntos_Control!$K$9:K138,"Sí")=1,IF(M6_Puntos_Control!M138="","",M6_Puntos_Control!M138),""),""))</f>
        <v/>
      </c>
      <c r="AD1134" s="17" t="str">
        <f>IF(M6_Puntos_Control!A138="","","RD")</f>
        <v/>
      </c>
      <c r="AE1134" s="17" t="str">
        <f>IF(M6_Puntos_Control!A138="","",IF(M6_Puntos_Control!O138="","",M6_Puntos_Control!O138))</f>
        <v/>
      </c>
      <c r="AF1134" s="17" t="str">
        <f>IF(M6_Puntos_Control!A138="","",IF(M6_Puntos_Control!P138="","",M6_Puntos_Control!P138))</f>
        <v/>
      </c>
      <c r="AG1134" s="17" t="str">
        <f>IF(M6_Puntos_Control!A138="","",IF(M6_Puntos_Control!Q138="","",M6_Puntos_Control!Q138))</f>
        <v/>
      </c>
      <c r="AH1134" s="17" t="str">
        <f>IF(M6_Puntos_Control!A138="","",IF(M6_Puntos_Control!I138="","",M6_Puntos_Control!I138))</f>
        <v/>
      </c>
      <c r="AI1134" s="17" t="str">
        <f>IF(M6_Puntos_Control!A138="","","M6_Puntos_Control!138")</f>
        <v/>
      </c>
      <c r="AJ1134" s="17" t="str">
        <f>IF(M6_Puntos_Control!A138="","",IF(M6_Puntos_Control!K138&lt;&gt;"Sí","Punto de comparación",IF(COUNTIFS(M6_Puntos_Control!$A$9:A138,M6_Puntos_Control!A138,M6_Puntos_Control!$D$9:D138,M6_Puntos_Control!D138,M6_Puntos_Control!$G$9:G138,M6_Puntos_Control!G138,M6_Puntos_Control!$H$9:H138,M6_Puntos_Control!H138,M6_Puntos_Control!$K$9:K138,"Sí")=1,IF(M6_Puntos_Control!M138="","Pendiente de resultado","Punto oficial"),"Revisar: varios puntos oficiales")))</f>
        <v/>
      </c>
    </row>
    <row r="1135" spans="1:36" ht="55.5" customHeight="1">
      <c r="A1135" s="6" t="str">
        <f t="array" ref="A1135">IF(1131&gt;$S$1204,"",INDEX($T$5:$AJ$1204,MATCH(1131,$S$5:$S$1204,0),1))</f>
        <v/>
      </c>
      <c r="B1135" s="8" t="str">
        <f t="array" ref="B1135">IF(1131&gt;$S$1204,"",INDEX($T$5:$AJ$1204,MATCH(1131,$S$5:$S$1204,0),2))</f>
        <v/>
      </c>
      <c r="C1135" s="10" t="str">
        <f t="array" ref="C1135">IF(1131&gt;$S$1204,"",INDEX($T$5:$AJ$1204,MATCH(1131,$S$5:$S$1204,0),3))</f>
        <v/>
      </c>
      <c r="D1135" s="8" t="str">
        <f t="array" ref="D1135">IF(1131&gt;$S$1204,"",INDEX($T$5:$AJ$1204,MATCH(1131,$S$5:$S$1204,0),4))</f>
        <v/>
      </c>
      <c r="E1135" s="8" t="str">
        <f t="array" ref="E1135">IF(1131&gt;$S$1204,"",INDEX($T$5:$AJ$1204,MATCH(1131,$S$5:$S$1204,0),5))</f>
        <v/>
      </c>
      <c r="F1135" s="8" t="str">
        <f t="array" ref="F1135">IF(1131&gt;$S$1204,"",INDEX($T$5:$AJ$1204,MATCH(1131,$S$5:$S$1204,0),6))</f>
        <v/>
      </c>
      <c r="G1135" s="8" t="str">
        <f t="array" ref="G1135">IF(1131&gt;$S$1204,"",INDEX($T$5:$AJ$1204,MATCH(1131,$S$5:$S$1204,0),7))</f>
        <v/>
      </c>
      <c r="H1135" s="8" t="str">
        <f t="array" ref="H1135">IF(1131&gt;$S$1204,"",INDEX($T$5:$AJ$1204,MATCH(1131,$S$5:$S$1204,0),8))</f>
        <v/>
      </c>
      <c r="I1135" s="8" t="str">
        <f t="array" ref="I1135">IF(1131&gt;$S$1204,"",INDEX($T$5:$AJ$1204,MATCH(1131,$S$5:$S$1204,0),9))</f>
        <v/>
      </c>
      <c r="J1135" s="14" t="str">
        <f t="array" ref="J1135">IF(1131&gt;$S$1204,"",INDEX($T$5:$AJ$1204,MATCH(1131,$S$5:$S$1204,0),10))</f>
        <v/>
      </c>
      <c r="K1135" s="8" t="str">
        <f t="array" ref="K1135">IF(1131&gt;$S$1204,"",INDEX($T$5:$AJ$1204,MATCH(1131,$S$5:$S$1204,0),11))</f>
        <v/>
      </c>
      <c r="L1135" s="8" t="str">
        <f t="array" ref="L1135">IF(1131&gt;$S$1204,"",INDEX($T$5:$AJ$1204,MATCH(1131,$S$5:$S$1204,0),12))</f>
        <v/>
      </c>
      <c r="M1135" s="8" t="str">
        <f t="array" ref="M1135">IF(1131&gt;$S$1204,"",INDEX($T$5:$AJ$1204,MATCH(1131,$S$5:$S$1204,0),13))</f>
        <v/>
      </c>
      <c r="N1135" s="8" t="str">
        <f t="array" ref="N1135">IF(1131&gt;$S$1204,"",INDEX($T$5:$AJ$1204,MATCH(1131,$S$5:$S$1204,0),14))</f>
        <v/>
      </c>
      <c r="O1135" s="15" t="str">
        <f t="array" ref="O1135">IF(1131&gt;$S$1204,"",INDEX($T$5:$AJ$1204,MATCH(1131,$S$5:$S$1204,0),15))</f>
        <v/>
      </c>
      <c r="P1135" s="8" t="str">
        <f t="array" ref="P1135">IF(1131&gt;$S$1204,"",INDEX($T$5:$AJ$1204,MATCH(1131,$S$5:$S$1204,0),16))</f>
        <v/>
      </c>
      <c r="Q1135" s="8" t="str">
        <f t="array" ref="Q1135">IF(1131&gt;$S$1204,"",INDEX($T$5:$AJ$1204,MATCH(1131,$S$5:$S$1204,0),17))</f>
        <v/>
      </c>
      <c r="R1135" s="17"/>
      <c r="S1135" s="17">
        <f>S1134+IF(M6_Puntos_Control!A139="",0,1)</f>
        <v>0</v>
      </c>
      <c r="T1135" s="17" t="str">
        <f>IF(M6_Puntos_Control!A139="","",IF(M6_Puntos_Control!A139="","",M6_Puntos_Control!A139))</f>
        <v/>
      </c>
      <c r="U1135" s="17" t="str">
        <f>IF(M6_Puntos_Control!A139="","",IF(M6_Puntos_Control!R139="","",M6_Puntos_Control!R139))</f>
        <v/>
      </c>
      <c r="V1135" s="17" t="str">
        <f>IF(M6_Puntos_Control!A139="","",IF(M6_Puntos_Control!D139="","",M6_Puntos_Control!D139))</f>
        <v/>
      </c>
      <c r="W1135" s="17" t="str">
        <f>IF(M6_Puntos_Control!A139="","",IF(M6_Puntos_Control!B139="","",M6_Puntos_Control!B139))</f>
        <v/>
      </c>
      <c r="X1135" s="17" t="str">
        <f>IF(M6_Puntos_Control!A139="","",IF(M6_Puntos_Control!C139="","",M6_Puntos_Control!C139))</f>
        <v/>
      </c>
      <c r="Y1135" s="17" t="str">
        <f>IF(M6_Puntos_Control!A139="","",IF(M6_Puntos_Control!E139="","",M6_Puntos_Control!E139))</f>
        <v/>
      </c>
      <c r="Z1135" s="17" t="str">
        <f>IF(M6_Puntos_Control!A139="","",IF(M6_Puntos_Control!F139="","",M6_Puntos_Control!F139))</f>
        <v/>
      </c>
      <c r="AA1135" s="17" t="str">
        <f>IF(M6_Puntos_Control!A139="","","M6 Puntos de control")</f>
        <v/>
      </c>
      <c r="AB1135" s="17" t="str">
        <f>IF(M6_Puntos_Control!A139="","",IF(M6_Puntos_Control!G139="","",M6_Puntos_Control!G139))</f>
        <v/>
      </c>
      <c r="AC1135" s="17" t="str">
        <f>IF(M6_Puntos_Control!A139="","",IF(M6_Puntos_Control!K139="Sí",IF(COUNTIFS(M6_Puntos_Control!$A$9:A139,M6_Puntos_Control!A139,M6_Puntos_Control!$D$9:D139,M6_Puntos_Control!D139,M6_Puntos_Control!$G$9:G139,M6_Puntos_Control!G139,M6_Puntos_Control!$H$9:H139,M6_Puntos_Control!H139,M6_Puntos_Control!$K$9:K139,"Sí")=1,IF(M6_Puntos_Control!M139="","",M6_Puntos_Control!M139),""),""))</f>
        <v/>
      </c>
      <c r="AD1135" s="17" t="str">
        <f>IF(M6_Puntos_Control!A139="","","RD")</f>
        <v/>
      </c>
      <c r="AE1135" s="17" t="str">
        <f>IF(M6_Puntos_Control!A139="","",IF(M6_Puntos_Control!O139="","",M6_Puntos_Control!O139))</f>
        <v/>
      </c>
      <c r="AF1135" s="17" t="str">
        <f>IF(M6_Puntos_Control!A139="","",IF(M6_Puntos_Control!P139="","",M6_Puntos_Control!P139))</f>
        <v/>
      </c>
      <c r="AG1135" s="17" t="str">
        <f>IF(M6_Puntos_Control!A139="","",IF(M6_Puntos_Control!Q139="","",M6_Puntos_Control!Q139))</f>
        <v/>
      </c>
      <c r="AH1135" s="17" t="str">
        <f>IF(M6_Puntos_Control!A139="","",IF(M6_Puntos_Control!I139="","",M6_Puntos_Control!I139))</f>
        <v/>
      </c>
      <c r="AI1135" s="17" t="str">
        <f>IF(M6_Puntos_Control!A139="","","M6_Puntos_Control!139")</f>
        <v/>
      </c>
      <c r="AJ1135" s="17" t="str">
        <f>IF(M6_Puntos_Control!A139="","",IF(M6_Puntos_Control!K139&lt;&gt;"Sí","Punto de comparación",IF(COUNTIFS(M6_Puntos_Control!$A$9:A139,M6_Puntos_Control!A139,M6_Puntos_Control!$D$9:D139,M6_Puntos_Control!D139,M6_Puntos_Control!$G$9:G139,M6_Puntos_Control!G139,M6_Puntos_Control!$H$9:H139,M6_Puntos_Control!H139,M6_Puntos_Control!$K$9:K139,"Sí")=1,IF(M6_Puntos_Control!M139="","Pendiente de resultado","Punto oficial"),"Revisar: varios puntos oficiales")))</f>
        <v/>
      </c>
    </row>
    <row r="1136" spans="1:36" ht="55.5" customHeight="1">
      <c r="A1136" s="6" t="str">
        <f t="array" ref="A1136">IF(1132&gt;$S$1204,"",INDEX($T$5:$AJ$1204,MATCH(1132,$S$5:$S$1204,0),1))</f>
        <v/>
      </c>
      <c r="B1136" s="8" t="str">
        <f t="array" ref="B1136">IF(1132&gt;$S$1204,"",INDEX($T$5:$AJ$1204,MATCH(1132,$S$5:$S$1204,0),2))</f>
        <v/>
      </c>
      <c r="C1136" s="10" t="str">
        <f t="array" ref="C1136">IF(1132&gt;$S$1204,"",INDEX($T$5:$AJ$1204,MATCH(1132,$S$5:$S$1204,0),3))</f>
        <v/>
      </c>
      <c r="D1136" s="8" t="str">
        <f t="array" ref="D1136">IF(1132&gt;$S$1204,"",INDEX($T$5:$AJ$1204,MATCH(1132,$S$5:$S$1204,0),4))</f>
        <v/>
      </c>
      <c r="E1136" s="8" t="str">
        <f t="array" ref="E1136">IF(1132&gt;$S$1204,"",INDEX($T$5:$AJ$1204,MATCH(1132,$S$5:$S$1204,0),5))</f>
        <v/>
      </c>
      <c r="F1136" s="8" t="str">
        <f t="array" ref="F1136">IF(1132&gt;$S$1204,"",INDEX($T$5:$AJ$1204,MATCH(1132,$S$5:$S$1204,0),6))</f>
        <v/>
      </c>
      <c r="G1136" s="8" t="str">
        <f t="array" ref="G1136">IF(1132&gt;$S$1204,"",INDEX($T$5:$AJ$1204,MATCH(1132,$S$5:$S$1204,0),7))</f>
        <v/>
      </c>
      <c r="H1136" s="8" t="str">
        <f t="array" ref="H1136">IF(1132&gt;$S$1204,"",INDEX($T$5:$AJ$1204,MATCH(1132,$S$5:$S$1204,0),8))</f>
        <v/>
      </c>
      <c r="I1136" s="8" t="str">
        <f t="array" ref="I1136">IF(1132&gt;$S$1204,"",INDEX($T$5:$AJ$1204,MATCH(1132,$S$5:$S$1204,0),9))</f>
        <v/>
      </c>
      <c r="J1136" s="14" t="str">
        <f t="array" ref="J1136">IF(1132&gt;$S$1204,"",INDEX($T$5:$AJ$1204,MATCH(1132,$S$5:$S$1204,0),10))</f>
        <v/>
      </c>
      <c r="K1136" s="8" t="str">
        <f t="array" ref="K1136">IF(1132&gt;$S$1204,"",INDEX($T$5:$AJ$1204,MATCH(1132,$S$5:$S$1204,0),11))</f>
        <v/>
      </c>
      <c r="L1136" s="8" t="str">
        <f t="array" ref="L1136">IF(1132&gt;$S$1204,"",INDEX($T$5:$AJ$1204,MATCH(1132,$S$5:$S$1204,0),12))</f>
        <v/>
      </c>
      <c r="M1136" s="8" t="str">
        <f t="array" ref="M1136">IF(1132&gt;$S$1204,"",INDEX($T$5:$AJ$1204,MATCH(1132,$S$5:$S$1204,0),13))</f>
        <v/>
      </c>
      <c r="N1136" s="8" t="str">
        <f t="array" ref="N1136">IF(1132&gt;$S$1204,"",INDEX($T$5:$AJ$1204,MATCH(1132,$S$5:$S$1204,0),14))</f>
        <v/>
      </c>
      <c r="O1136" s="15" t="str">
        <f t="array" ref="O1136">IF(1132&gt;$S$1204,"",INDEX($T$5:$AJ$1204,MATCH(1132,$S$5:$S$1204,0),15))</f>
        <v/>
      </c>
      <c r="P1136" s="8" t="str">
        <f t="array" ref="P1136">IF(1132&gt;$S$1204,"",INDEX($T$5:$AJ$1204,MATCH(1132,$S$5:$S$1204,0),16))</f>
        <v/>
      </c>
      <c r="Q1136" s="8" t="str">
        <f t="array" ref="Q1136">IF(1132&gt;$S$1204,"",INDEX($T$5:$AJ$1204,MATCH(1132,$S$5:$S$1204,0),17))</f>
        <v/>
      </c>
      <c r="R1136" s="17"/>
      <c r="S1136" s="17">
        <f>S1135+IF(M6_Puntos_Control!A140="",0,1)</f>
        <v>0</v>
      </c>
      <c r="T1136" s="17" t="str">
        <f>IF(M6_Puntos_Control!A140="","",IF(M6_Puntos_Control!A140="","",M6_Puntos_Control!A140))</f>
        <v/>
      </c>
      <c r="U1136" s="17" t="str">
        <f>IF(M6_Puntos_Control!A140="","",IF(M6_Puntos_Control!R140="","",M6_Puntos_Control!R140))</f>
        <v/>
      </c>
      <c r="V1136" s="17" t="str">
        <f>IF(M6_Puntos_Control!A140="","",IF(M6_Puntos_Control!D140="","",M6_Puntos_Control!D140))</f>
        <v/>
      </c>
      <c r="W1136" s="17" t="str">
        <f>IF(M6_Puntos_Control!A140="","",IF(M6_Puntos_Control!B140="","",M6_Puntos_Control!B140))</f>
        <v/>
      </c>
      <c r="X1136" s="17" t="str">
        <f>IF(M6_Puntos_Control!A140="","",IF(M6_Puntos_Control!C140="","",M6_Puntos_Control!C140))</f>
        <v/>
      </c>
      <c r="Y1136" s="17" t="str">
        <f>IF(M6_Puntos_Control!A140="","",IF(M6_Puntos_Control!E140="","",M6_Puntos_Control!E140))</f>
        <v/>
      </c>
      <c r="Z1136" s="17" t="str">
        <f>IF(M6_Puntos_Control!A140="","",IF(M6_Puntos_Control!F140="","",M6_Puntos_Control!F140))</f>
        <v/>
      </c>
      <c r="AA1136" s="17" t="str">
        <f>IF(M6_Puntos_Control!A140="","","M6 Puntos de control")</f>
        <v/>
      </c>
      <c r="AB1136" s="17" t="str">
        <f>IF(M6_Puntos_Control!A140="","",IF(M6_Puntos_Control!G140="","",M6_Puntos_Control!G140))</f>
        <v/>
      </c>
      <c r="AC1136" s="17" t="str">
        <f>IF(M6_Puntos_Control!A140="","",IF(M6_Puntos_Control!K140="Sí",IF(COUNTIFS(M6_Puntos_Control!$A$9:A140,M6_Puntos_Control!A140,M6_Puntos_Control!$D$9:D140,M6_Puntos_Control!D140,M6_Puntos_Control!$G$9:G140,M6_Puntos_Control!G140,M6_Puntos_Control!$H$9:H140,M6_Puntos_Control!H140,M6_Puntos_Control!$K$9:K140,"Sí")=1,IF(M6_Puntos_Control!M140="","",M6_Puntos_Control!M140),""),""))</f>
        <v/>
      </c>
      <c r="AD1136" s="17" t="str">
        <f>IF(M6_Puntos_Control!A140="","","RD")</f>
        <v/>
      </c>
      <c r="AE1136" s="17" t="str">
        <f>IF(M6_Puntos_Control!A140="","",IF(M6_Puntos_Control!O140="","",M6_Puntos_Control!O140))</f>
        <v/>
      </c>
      <c r="AF1136" s="17" t="str">
        <f>IF(M6_Puntos_Control!A140="","",IF(M6_Puntos_Control!P140="","",M6_Puntos_Control!P140))</f>
        <v/>
      </c>
      <c r="AG1136" s="17" t="str">
        <f>IF(M6_Puntos_Control!A140="","",IF(M6_Puntos_Control!Q140="","",M6_Puntos_Control!Q140))</f>
        <v/>
      </c>
      <c r="AH1136" s="17" t="str">
        <f>IF(M6_Puntos_Control!A140="","",IF(M6_Puntos_Control!I140="","",M6_Puntos_Control!I140))</f>
        <v/>
      </c>
      <c r="AI1136" s="17" t="str">
        <f>IF(M6_Puntos_Control!A140="","","M6_Puntos_Control!140")</f>
        <v/>
      </c>
      <c r="AJ1136" s="17" t="str">
        <f>IF(M6_Puntos_Control!A140="","",IF(M6_Puntos_Control!K140&lt;&gt;"Sí","Punto de comparación",IF(COUNTIFS(M6_Puntos_Control!$A$9:A140,M6_Puntos_Control!A140,M6_Puntos_Control!$D$9:D140,M6_Puntos_Control!D140,M6_Puntos_Control!$G$9:G140,M6_Puntos_Control!G140,M6_Puntos_Control!$H$9:H140,M6_Puntos_Control!H140,M6_Puntos_Control!$K$9:K140,"Sí")=1,IF(M6_Puntos_Control!M140="","Pendiente de resultado","Punto oficial"),"Revisar: varios puntos oficiales")))</f>
        <v/>
      </c>
    </row>
    <row r="1137" spans="1:36" ht="55.5" customHeight="1">
      <c r="A1137" s="6" t="str">
        <f t="array" ref="A1137">IF(1133&gt;$S$1204,"",INDEX($T$5:$AJ$1204,MATCH(1133,$S$5:$S$1204,0),1))</f>
        <v/>
      </c>
      <c r="B1137" s="8" t="str">
        <f t="array" ref="B1137">IF(1133&gt;$S$1204,"",INDEX($T$5:$AJ$1204,MATCH(1133,$S$5:$S$1204,0),2))</f>
        <v/>
      </c>
      <c r="C1137" s="10" t="str">
        <f t="array" ref="C1137">IF(1133&gt;$S$1204,"",INDEX($T$5:$AJ$1204,MATCH(1133,$S$5:$S$1204,0),3))</f>
        <v/>
      </c>
      <c r="D1137" s="8" t="str">
        <f t="array" ref="D1137">IF(1133&gt;$S$1204,"",INDEX($T$5:$AJ$1204,MATCH(1133,$S$5:$S$1204,0),4))</f>
        <v/>
      </c>
      <c r="E1137" s="8" t="str">
        <f t="array" ref="E1137">IF(1133&gt;$S$1204,"",INDEX($T$5:$AJ$1204,MATCH(1133,$S$5:$S$1204,0),5))</f>
        <v/>
      </c>
      <c r="F1137" s="8" t="str">
        <f t="array" ref="F1137">IF(1133&gt;$S$1204,"",INDEX($T$5:$AJ$1204,MATCH(1133,$S$5:$S$1204,0),6))</f>
        <v/>
      </c>
      <c r="G1137" s="8" t="str">
        <f t="array" ref="G1137">IF(1133&gt;$S$1204,"",INDEX($T$5:$AJ$1204,MATCH(1133,$S$5:$S$1204,0),7))</f>
        <v/>
      </c>
      <c r="H1137" s="8" t="str">
        <f t="array" ref="H1137">IF(1133&gt;$S$1204,"",INDEX($T$5:$AJ$1204,MATCH(1133,$S$5:$S$1204,0),8))</f>
        <v/>
      </c>
      <c r="I1137" s="8" t="str">
        <f t="array" ref="I1137">IF(1133&gt;$S$1204,"",INDEX($T$5:$AJ$1204,MATCH(1133,$S$5:$S$1204,0),9))</f>
        <v/>
      </c>
      <c r="J1137" s="14" t="str">
        <f t="array" ref="J1137">IF(1133&gt;$S$1204,"",INDEX($T$5:$AJ$1204,MATCH(1133,$S$5:$S$1204,0),10))</f>
        <v/>
      </c>
      <c r="K1137" s="8" t="str">
        <f t="array" ref="K1137">IF(1133&gt;$S$1204,"",INDEX($T$5:$AJ$1204,MATCH(1133,$S$5:$S$1204,0),11))</f>
        <v/>
      </c>
      <c r="L1137" s="8" t="str">
        <f t="array" ref="L1137">IF(1133&gt;$S$1204,"",INDEX($T$5:$AJ$1204,MATCH(1133,$S$5:$S$1204,0),12))</f>
        <v/>
      </c>
      <c r="M1137" s="8" t="str">
        <f t="array" ref="M1137">IF(1133&gt;$S$1204,"",INDEX($T$5:$AJ$1204,MATCH(1133,$S$5:$S$1204,0),13))</f>
        <v/>
      </c>
      <c r="N1137" s="8" t="str">
        <f t="array" ref="N1137">IF(1133&gt;$S$1204,"",INDEX($T$5:$AJ$1204,MATCH(1133,$S$5:$S$1204,0),14))</f>
        <v/>
      </c>
      <c r="O1137" s="15" t="str">
        <f t="array" ref="O1137">IF(1133&gt;$S$1204,"",INDEX($T$5:$AJ$1204,MATCH(1133,$S$5:$S$1204,0),15))</f>
        <v/>
      </c>
      <c r="P1137" s="8" t="str">
        <f t="array" ref="P1137">IF(1133&gt;$S$1204,"",INDEX($T$5:$AJ$1204,MATCH(1133,$S$5:$S$1204,0),16))</f>
        <v/>
      </c>
      <c r="Q1137" s="8" t="str">
        <f t="array" ref="Q1137">IF(1133&gt;$S$1204,"",INDEX($T$5:$AJ$1204,MATCH(1133,$S$5:$S$1204,0),17))</f>
        <v/>
      </c>
      <c r="R1137" s="17"/>
      <c r="S1137" s="17">
        <f>S1136+IF(M6_Puntos_Control!A141="",0,1)</f>
        <v>0</v>
      </c>
      <c r="T1137" s="17" t="str">
        <f>IF(M6_Puntos_Control!A141="","",IF(M6_Puntos_Control!A141="","",M6_Puntos_Control!A141))</f>
        <v/>
      </c>
      <c r="U1137" s="17" t="str">
        <f>IF(M6_Puntos_Control!A141="","",IF(M6_Puntos_Control!R141="","",M6_Puntos_Control!R141))</f>
        <v/>
      </c>
      <c r="V1137" s="17" t="str">
        <f>IF(M6_Puntos_Control!A141="","",IF(M6_Puntos_Control!D141="","",M6_Puntos_Control!D141))</f>
        <v/>
      </c>
      <c r="W1137" s="17" t="str">
        <f>IF(M6_Puntos_Control!A141="","",IF(M6_Puntos_Control!B141="","",M6_Puntos_Control!B141))</f>
        <v/>
      </c>
      <c r="X1137" s="17" t="str">
        <f>IF(M6_Puntos_Control!A141="","",IF(M6_Puntos_Control!C141="","",M6_Puntos_Control!C141))</f>
        <v/>
      </c>
      <c r="Y1137" s="17" t="str">
        <f>IF(M6_Puntos_Control!A141="","",IF(M6_Puntos_Control!E141="","",M6_Puntos_Control!E141))</f>
        <v/>
      </c>
      <c r="Z1137" s="17" t="str">
        <f>IF(M6_Puntos_Control!A141="","",IF(M6_Puntos_Control!F141="","",M6_Puntos_Control!F141))</f>
        <v/>
      </c>
      <c r="AA1137" s="17" t="str">
        <f>IF(M6_Puntos_Control!A141="","","M6 Puntos de control")</f>
        <v/>
      </c>
      <c r="AB1137" s="17" t="str">
        <f>IF(M6_Puntos_Control!A141="","",IF(M6_Puntos_Control!G141="","",M6_Puntos_Control!G141))</f>
        <v/>
      </c>
      <c r="AC1137" s="17" t="str">
        <f>IF(M6_Puntos_Control!A141="","",IF(M6_Puntos_Control!K141="Sí",IF(COUNTIFS(M6_Puntos_Control!$A$9:A141,M6_Puntos_Control!A141,M6_Puntos_Control!$D$9:D141,M6_Puntos_Control!D141,M6_Puntos_Control!$G$9:G141,M6_Puntos_Control!G141,M6_Puntos_Control!$H$9:H141,M6_Puntos_Control!H141,M6_Puntos_Control!$K$9:K141,"Sí")=1,IF(M6_Puntos_Control!M141="","",M6_Puntos_Control!M141),""),""))</f>
        <v/>
      </c>
      <c r="AD1137" s="17" t="str">
        <f>IF(M6_Puntos_Control!A141="","","RD")</f>
        <v/>
      </c>
      <c r="AE1137" s="17" t="str">
        <f>IF(M6_Puntos_Control!A141="","",IF(M6_Puntos_Control!O141="","",M6_Puntos_Control!O141))</f>
        <v/>
      </c>
      <c r="AF1137" s="17" t="str">
        <f>IF(M6_Puntos_Control!A141="","",IF(M6_Puntos_Control!P141="","",M6_Puntos_Control!P141))</f>
        <v/>
      </c>
      <c r="AG1137" s="17" t="str">
        <f>IF(M6_Puntos_Control!A141="","",IF(M6_Puntos_Control!Q141="","",M6_Puntos_Control!Q141))</f>
        <v/>
      </c>
      <c r="AH1137" s="17" t="str">
        <f>IF(M6_Puntos_Control!A141="","",IF(M6_Puntos_Control!I141="","",M6_Puntos_Control!I141))</f>
        <v/>
      </c>
      <c r="AI1137" s="17" t="str">
        <f>IF(M6_Puntos_Control!A141="","","M6_Puntos_Control!141")</f>
        <v/>
      </c>
      <c r="AJ1137" s="17" t="str">
        <f>IF(M6_Puntos_Control!A141="","",IF(M6_Puntos_Control!K141&lt;&gt;"Sí","Punto de comparación",IF(COUNTIFS(M6_Puntos_Control!$A$9:A141,M6_Puntos_Control!A141,M6_Puntos_Control!$D$9:D141,M6_Puntos_Control!D141,M6_Puntos_Control!$G$9:G141,M6_Puntos_Control!G141,M6_Puntos_Control!$H$9:H141,M6_Puntos_Control!H141,M6_Puntos_Control!$K$9:K141,"Sí")=1,IF(M6_Puntos_Control!M141="","Pendiente de resultado","Punto oficial"),"Revisar: varios puntos oficiales")))</f>
        <v/>
      </c>
    </row>
    <row r="1138" spans="1:36" ht="55.5" customHeight="1">
      <c r="A1138" s="6" t="str">
        <f t="array" ref="A1138">IF(1134&gt;$S$1204,"",INDEX($T$5:$AJ$1204,MATCH(1134,$S$5:$S$1204,0),1))</f>
        <v/>
      </c>
      <c r="B1138" s="8" t="str">
        <f t="array" ref="B1138">IF(1134&gt;$S$1204,"",INDEX($T$5:$AJ$1204,MATCH(1134,$S$5:$S$1204,0),2))</f>
        <v/>
      </c>
      <c r="C1138" s="10" t="str">
        <f t="array" ref="C1138">IF(1134&gt;$S$1204,"",INDEX($T$5:$AJ$1204,MATCH(1134,$S$5:$S$1204,0),3))</f>
        <v/>
      </c>
      <c r="D1138" s="8" t="str">
        <f t="array" ref="D1138">IF(1134&gt;$S$1204,"",INDEX($T$5:$AJ$1204,MATCH(1134,$S$5:$S$1204,0),4))</f>
        <v/>
      </c>
      <c r="E1138" s="8" t="str">
        <f t="array" ref="E1138">IF(1134&gt;$S$1204,"",INDEX($T$5:$AJ$1204,MATCH(1134,$S$5:$S$1204,0),5))</f>
        <v/>
      </c>
      <c r="F1138" s="8" t="str">
        <f t="array" ref="F1138">IF(1134&gt;$S$1204,"",INDEX($T$5:$AJ$1204,MATCH(1134,$S$5:$S$1204,0),6))</f>
        <v/>
      </c>
      <c r="G1138" s="8" t="str">
        <f t="array" ref="G1138">IF(1134&gt;$S$1204,"",INDEX($T$5:$AJ$1204,MATCH(1134,$S$5:$S$1204,0),7))</f>
        <v/>
      </c>
      <c r="H1138" s="8" t="str">
        <f t="array" ref="H1138">IF(1134&gt;$S$1204,"",INDEX($T$5:$AJ$1204,MATCH(1134,$S$5:$S$1204,0),8))</f>
        <v/>
      </c>
      <c r="I1138" s="8" t="str">
        <f t="array" ref="I1138">IF(1134&gt;$S$1204,"",INDEX($T$5:$AJ$1204,MATCH(1134,$S$5:$S$1204,0),9))</f>
        <v/>
      </c>
      <c r="J1138" s="14" t="str">
        <f t="array" ref="J1138">IF(1134&gt;$S$1204,"",INDEX($T$5:$AJ$1204,MATCH(1134,$S$5:$S$1204,0),10))</f>
        <v/>
      </c>
      <c r="K1138" s="8" t="str">
        <f t="array" ref="K1138">IF(1134&gt;$S$1204,"",INDEX($T$5:$AJ$1204,MATCH(1134,$S$5:$S$1204,0),11))</f>
        <v/>
      </c>
      <c r="L1138" s="8" t="str">
        <f t="array" ref="L1138">IF(1134&gt;$S$1204,"",INDEX($T$5:$AJ$1204,MATCH(1134,$S$5:$S$1204,0),12))</f>
        <v/>
      </c>
      <c r="M1138" s="8" t="str">
        <f t="array" ref="M1138">IF(1134&gt;$S$1204,"",INDEX($T$5:$AJ$1204,MATCH(1134,$S$5:$S$1204,0),13))</f>
        <v/>
      </c>
      <c r="N1138" s="8" t="str">
        <f t="array" ref="N1138">IF(1134&gt;$S$1204,"",INDEX($T$5:$AJ$1204,MATCH(1134,$S$5:$S$1204,0),14))</f>
        <v/>
      </c>
      <c r="O1138" s="15" t="str">
        <f t="array" ref="O1138">IF(1134&gt;$S$1204,"",INDEX($T$5:$AJ$1204,MATCH(1134,$S$5:$S$1204,0),15))</f>
        <v/>
      </c>
      <c r="P1138" s="8" t="str">
        <f t="array" ref="P1138">IF(1134&gt;$S$1204,"",INDEX($T$5:$AJ$1204,MATCH(1134,$S$5:$S$1204,0),16))</f>
        <v/>
      </c>
      <c r="Q1138" s="8" t="str">
        <f t="array" ref="Q1138">IF(1134&gt;$S$1204,"",INDEX($T$5:$AJ$1204,MATCH(1134,$S$5:$S$1204,0),17))</f>
        <v/>
      </c>
      <c r="R1138" s="17"/>
      <c r="S1138" s="17">
        <f>S1137+IF(M6_Puntos_Control!A142="",0,1)</f>
        <v>0</v>
      </c>
      <c r="T1138" s="17" t="str">
        <f>IF(M6_Puntos_Control!A142="","",IF(M6_Puntos_Control!A142="","",M6_Puntos_Control!A142))</f>
        <v/>
      </c>
      <c r="U1138" s="17" t="str">
        <f>IF(M6_Puntos_Control!A142="","",IF(M6_Puntos_Control!R142="","",M6_Puntos_Control!R142))</f>
        <v/>
      </c>
      <c r="V1138" s="17" t="str">
        <f>IF(M6_Puntos_Control!A142="","",IF(M6_Puntos_Control!D142="","",M6_Puntos_Control!D142))</f>
        <v/>
      </c>
      <c r="W1138" s="17" t="str">
        <f>IF(M6_Puntos_Control!A142="","",IF(M6_Puntos_Control!B142="","",M6_Puntos_Control!B142))</f>
        <v/>
      </c>
      <c r="X1138" s="17" t="str">
        <f>IF(M6_Puntos_Control!A142="","",IF(M6_Puntos_Control!C142="","",M6_Puntos_Control!C142))</f>
        <v/>
      </c>
      <c r="Y1138" s="17" t="str">
        <f>IF(M6_Puntos_Control!A142="","",IF(M6_Puntos_Control!E142="","",M6_Puntos_Control!E142))</f>
        <v/>
      </c>
      <c r="Z1138" s="17" t="str">
        <f>IF(M6_Puntos_Control!A142="","",IF(M6_Puntos_Control!F142="","",M6_Puntos_Control!F142))</f>
        <v/>
      </c>
      <c r="AA1138" s="17" t="str">
        <f>IF(M6_Puntos_Control!A142="","","M6 Puntos de control")</f>
        <v/>
      </c>
      <c r="AB1138" s="17" t="str">
        <f>IF(M6_Puntos_Control!A142="","",IF(M6_Puntos_Control!G142="","",M6_Puntos_Control!G142))</f>
        <v/>
      </c>
      <c r="AC1138" s="17" t="str">
        <f>IF(M6_Puntos_Control!A142="","",IF(M6_Puntos_Control!K142="Sí",IF(COUNTIFS(M6_Puntos_Control!$A$9:A142,M6_Puntos_Control!A142,M6_Puntos_Control!$D$9:D142,M6_Puntos_Control!D142,M6_Puntos_Control!$G$9:G142,M6_Puntos_Control!G142,M6_Puntos_Control!$H$9:H142,M6_Puntos_Control!H142,M6_Puntos_Control!$K$9:K142,"Sí")=1,IF(M6_Puntos_Control!M142="","",M6_Puntos_Control!M142),""),""))</f>
        <v/>
      </c>
      <c r="AD1138" s="17" t="str">
        <f>IF(M6_Puntos_Control!A142="","","RD")</f>
        <v/>
      </c>
      <c r="AE1138" s="17" t="str">
        <f>IF(M6_Puntos_Control!A142="","",IF(M6_Puntos_Control!O142="","",M6_Puntos_Control!O142))</f>
        <v/>
      </c>
      <c r="AF1138" s="17" t="str">
        <f>IF(M6_Puntos_Control!A142="","",IF(M6_Puntos_Control!P142="","",M6_Puntos_Control!P142))</f>
        <v/>
      </c>
      <c r="AG1138" s="17" t="str">
        <f>IF(M6_Puntos_Control!A142="","",IF(M6_Puntos_Control!Q142="","",M6_Puntos_Control!Q142))</f>
        <v/>
      </c>
      <c r="AH1138" s="17" t="str">
        <f>IF(M6_Puntos_Control!A142="","",IF(M6_Puntos_Control!I142="","",M6_Puntos_Control!I142))</f>
        <v/>
      </c>
      <c r="AI1138" s="17" t="str">
        <f>IF(M6_Puntos_Control!A142="","","M6_Puntos_Control!142")</f>
        <v/>
      </c>
      <c r="AJ1138" s="17" t="str">
        <f>IF(M6_Puntos_Control!A142="","",IF(M6_Puntos_Control!K142&lt;&gt;"Sí","Punto de comparación",IF(COUNTIFS(M6_Puntos_Control!$A$9:A142,M6_Puntos_Control!A142,M6_Puntos_Control!$D$9:D142,M6_Puntos_Control!D142,M6_Puntos_Control!$G$9:G142,M6_Puntos_Control!G142,M6_Puntos_Control!$H$9:H142,M6_Puntos_Control!H142,M6_Puntos_Control!$K$9:K142,"Sí")=1,IF(M6_Puntos_Control!M142="","Pendiente de resultado","Punto oficial"),"Revisar: varios puntos oficiales")))</f>
        <v/>
      </c>
    </row>
    <row r="1139" spans="1:36" ht="55.5" customHeight="1">
      <c r="A1139" s="6" t="str">
        <f t="array" ref="A1139">IF(1135&gt;$S$1204,"",INDEX($T$5:$AJ$1204,MATCH(1135,$S$5:$S$1204,0),1))</f>
        <v/>
      </c>
      <c r="B1139" s="8" t="str">
        <f t="array" ref="B1139">IF(1135&gt;$S$1204,"",INDEX($T$5:$AJ$1204,MATCH(1135,$S$5:$S$1204,0),2))</f>
        <v/>
      </c>
      <c r="C1139" s="10" t="str">
        <f t="array" ref="C1139">IF(1135&gt;$S$1204,"",INDEX($T$5:$AJ$1204,MATCH(1135,$S$5:$S$1204,0),3))</f>
        <v/>
      </c>
      <c r="D1139" s="8" t="str">
        <f t="array" ref="D1139">IF(1135&gt;$S$1204,"",INDEX($T$5:$AJ$1204,MATCH(1135,$S$5:$S$1204,0),4))</f>
        <v/>
      </c>
      <c r="E1139" s="8" t="str">
        <f t="array" ref="E1139">IF(1135&gt;$S$1204,"",INDEX($T$5:$AJ$1204,MATCH(1135,$S$5:$S$1204,0),5))</f>
        <v/>
      </c>
      <c r="F1139" s="8" t="str">
        <f t="array" ref="F1139">IF(1135&gt;$S$1204,"",INDEX($T$5:$AJ$1204,MATCH(1135,$S$5:$S$1204,0),6))</f>
        <v/>
      </c>
      <c r="G1139" s="8" t="str">
        <f t="array" ref="G1139">IF(1135&gt;$S$1204,"",INDEX($T$5:$AJ$1204,MATCH(1135,$S$5:$S$1204,0),7))</f>
        <v/>
      </c>
      <c r="H1139" s="8" t="str">
        <f t="array" ref="H1139">IF(1135&gt;$S$1204,"",INDEX($T$5:$AJ$1204,MATCH(1135,$S$5:$S$1204,0),8))</f>
        <v/>
      </c>
      <c r="I1139" s="8" t="str">
        <f t="array" ref="I1139">IF(1135&gt;$S$1204,"",INDEX($T$5:$AJ$1204,MATCH(1135,$S$5:$S$1204,0),9))</f>
        <v/>
      </c>
      <c r="J1139" s="14" t="str">
        <f t="array" ref="J1139">IF(1135&gt;$S$1204,"",INDEX($T$5:$AJ$1204,MATCH(1135,$S$5:$S$1204,0),10))</f>
        <v/>
      </c>
      <c r="K1139" s="8" t="str">
        <f t="array" ref="K1139">IF(1135&gt;$S$1204,"",INDEX($T$5:$AJ$1204,MATCH(1135,$S$5:$S$1204,0),11))</f>
        <v/>
      </c>
      <c r="L1139" s="8" t="str">
        <f t="array" ref="L1139">IF(1135&gt;$S$1204,"",INDEX($T$5:$AJ$1204,MATCH(1135,$S$5:$S$1204,0),12))</f>
        <v/>
      </c>
      <c r="M1139" s="8" t="str">
        <f t="array" ref="M1139">IF(1135&gt;$S$1204,"",INDEX($T$5:$AJ$1204,MATCH(1135,$S$5:$S$1204,0),13))</f>
        <v/>
      </c>
      <c r="N1139" s="8" t="str">
        <f t="array" ref="N1139">IF(1135&gt;$S$1204,"",INDEX($T$5:$AJ$1204,MATCH(1135,$S$5:$S$1204,0),14))</f>
        <v/>
      </c>
      <c r="O1139" s="15" t="str">
        <f t="array" ref="O1139">IF(1135&gt;$S$1204,"",INDEX($T$5:$AJ$1204,MATCH(1135,$S$5:$S$1204,0),15))</f>
        <v/>
      </c>
      <c r="P1139" s="8" t="str">
        <f t="array" ref="P1139">IF(1135&gt;$S$1204,"",INDEX($T$5:$AJ$1204,MATCH(1135,$S$5:$S$1204,0),16))</f>
        <v/>
      </c>
      <c r="Q1139" s="8" t="str">
        <f t="array" ref="Q1139">IF(1135&gt;$S$1204,"",INDEX($T$5:$AJ$1204,MATCH(1135,$S$5:$S$1204,0),17))</f>
        <v/>
      </c>
      <c r="R1139" s="17"/>
      <c r="S1139" s="17">
        <f>S1138+IF(M6_Puntos_Control!A143="",0,1)</f>
        <v>0</v>
      </c>
      <c r="T1139" s="17" t="str">
        <f>IF(M6_Puntos_Control!A143="","",IF(M6_Puntos_Control!A143="","",M6_Puntos_Control!A143))</f>
        <v/>
      </c>
      <c r="U1139" s="17" t="str">
        <f>IF(M6_Puntos_Control!A143="","",IF(M6_Puntos_Control!R143="","",M6_Puntos_Control!R143))</f>
        <v/>
      </c>
      <c r="V1139" s="17" t="str">
        <f>IF(M6_Puntos_Control!A143="","",IF(M6_Puntos_Control!D143="","",M6_Puntos_Control!D143))</f>
        <v/>
      </c>
      <c r="W1139" s="17" t="str">
        <f>IF(M6_Puntos_Control!A143="","",IF(M6_Puntos_Control!B143="","",M6_Puntos_Control!B143))</f>
        <v/>
      </c>
      <c r="X1139" s="17" t="str">
        <f>IF(M6_Puntos_Control!A143="","",IF(M6_Puntos_Control!C143="","",M6_Puntos_Control!C143))</f>
        <v/>
      </c>
      <c r="Y1139" s="17" t="str">
        <f>IF(M6_Puntos_Control!A143="","",IF(M6_Puntos_Control!E143="","",M6_Puntos_Control!E143))</f>
        <v/>
      </c>
      <c r="Z1139" s="17" t="str">
        <f>IF(M6_Puntos_Control!A143="","",IF(M6_Puntos_Control!F143="","",M6_Puntos_Control!F143))</f>
        <v/>
      </c>
      <c r="AA1139" s="17" t="str">
        <f>IF(M6_Puntos_Control!A143="","","M6 Puntos de control")</f>
        <v/>
      </c>
      <c r="AB1139" s="17" t="str">
        <f>IF(M6_Puntos_Control!A143="","",IF(M6_Puntos_Control!G143="","",M6_Puntos_Control!G143))</f>
        <v/>
      </c>
      <c r="AC1139" s="17" t="str">
        <f>IF(M6_Puntos_Control!A143="","",IF(M6_Puntos_Control!K143="Sí",IF(COUNTIFS(M6_Puntos_Control!$A$9:A143,M6_Puntos_Control!A143,M6_Puntos_Control!$D$9:D143,M6_Puntos_Control!D143,M6_Puntos_Control!$G$9:G143,M6_Puntos_Control!G143,M6_Puntos_Control!$H$9:H143,M6_Puntos_Control!H143,M6_Puntos_Control!$K$9:K143,"Sí")=1,IF(M6_Puntos_Control!M143="","",M6_Puntos_Control!M143),""),""))</f>
        <v/>
      </c>
      <c r="AD1139" s="17" t="str">
        <f>IF(M6_Puntos_Control!A143="","","RD")</f>
        <v/>
      </c>
      <c r="AE1139" s="17" t="str">
        <f>IF(M6_Puntos_Control!A143="","",IF(M6_Puntos_Control!O143="","",M6_Puntos_Control!O143))</f>
        <v/>
      </c>
      <c r="AF1139" s="17" t="str">
        <f>IF(M6_Puntos_Control!A143="","",IF(M6_Puntos_Control!P143="","",M6_Puntos_Control!P143))</f>
        <v/>
      </c>
      <c r="AG1139" s="17" t="str">
        <f>IF(M6_Puntos_Control!A143="","",IF(M6_Puntos_Control!Q143="","",M6_Puntos_Control!Q143))</f>
        <v/>
      </c>
      <c r="AH1139" s="17" t="str">
        <f>IF(M6_Puntos_Control!A143="","",IF(M6_Puntos_Control!I143="","",M6_Puntos_Control!I143))</f>
        <v/>
      </c>
      <c r="AI1139" s="17" t="str">
        <f>IF(M6_Puntos_Control!A143="","","M6_Puntos_Control!143")</f>
        <v/>
      </c>
      <c r="AJ1139" s="17" t="str">
        <f>IF(M6_Puntos_Control!A143="","",IF(M6_Puntos_Control!K143&lt;&gt;"Sí","Punto de comparación",IF(COUNTIFS(M6_Puntos_Control!$A$9:A143,M6_Puntos_Control!A143,M6_Puntos_Control!$D$9:D143,M6_Puntos_Control!D143,M6_Puntos_Control!$G$9:G143,M6_Puntos_Control!G143,M6_Puntos_Control!$H$9:H143,M6_Puntos_Control!H143,M6_Puntos_Control!$K$9:K143,"Sí")=1,IF(M6_Puntos_Control!M143="","Pendiente de resultado","Punto oficial"),"Revisar: varios puntos oficiales")))</f>
        <v/>
      </c>
    </row>
    <row r="1140" spans="1:36" ht="55.5" customHeight="1">
      <c r="A1140" s="6" t="str">
        <f t="array" ref="A1140">IF(1136&gt;$S$1204,"",INDEX($T$5:$AJ$1204,MATCH(1136,$S$5:$S$1204,0),1))</f>
        <v/>
      </c>
      <c r="B1140" s="8" t="str">
        <f t="array" ref="B1140">IF(1136&gt;$S$1204,"",INDEX($T$5:$AJ$1204,MATCH(1136,$S$5:$S$1204,0),2))</f>
        <v/>
      </c>
      <c r="C1140" s="10" t="str">
        <f t="array" ref="C1140">IF(1136&gt;$S$1204,"",INDEX($T$5:$AJ$1204,MATCH(1136,$S$5:$S$1204,0),3))</f>
        <v/>
      </c>
      <c r="D1140" s="8" t="str">
        <f t="array" ref="D1140">IF(1136&gt;$S$1204,"",INDEX($T$5:$AJ$1204,MATCH(1136,$S$5:$S$1204,0),4))</f>
        <v/>
      </c>
      <c r="E1140" s="8" t="str">
        <f t="array" ref="E1140">IF(1136&gt;$S$1204,"",INDEX($T$5:$AJ$1204,MATCH(1136,$S$5:$S$1204,0),5))</f>
        <v/>
      </c>
      <c r="F1140" s="8" t="str">
        <f t="array" ref="F1140">IF(1136&gt;$S$1204,"",INDEX($T$5:$AJ$1204,MATCH(1136,$S$5:$S$1204,0),6))</f>
        <v/>
      </c>
      <c r="G1140" s="8" t="str">
        <f t="array" ref="G1140">IF(1136&gt;$S$1204,"",INDEX($T$5:$AJ$1204,MATCH(1136,$S$5:$S$1204,0),7))</f>
        <v/>
      </c>
      <c r="H1140" s="8" t="str">
        <f t="array" ref="H1140">IF(1136&gt;$S$1204,"",INDEX($T$5:$AJ$1204,MATCH(1136,$S$5:$S$1204,0),8))</f>
        <v/>
      </c>
      <c r="I1140" s="8" t="str">
        <f t="array" ref="I1140">IF(1136&gt;$S$1204,"",INDEX($T$5:$AJ$1204,MATCH(1136,$S$5:$S$1204,0),9))</f>
        <v/>
      </c>
      <c r="J1140" s="14" t="str">
        <f t="array" ref="J1140">IF(1136&gt;$S$1204,"",INDEX($T$5:$AJ$1204,MATCH(1136,$S$5:$S$1204,0),10))</f>
        <v/>
      </c>
      <c r="K1140" s="8" t="str">
        <f t="array" ref="K1140">IF(1136&gt;$S$1204,"",INDEX($T$5:$AJ$1204,MATCH(1136,$S$5:$S$1204,0),11))</f>
        <v/>
      </c>
      <c r="L1140" s="8" t="str">
        <f t="array" ref="L1140">IF(1136&gt;$S$1204,"",INDEX($T$5:$AJ$1204,MATCH(1136,$S$5:$S$1204,0),12))</f>
        <v/>
      </c>
      <c r="M1140" s="8" t="str">
        <f t="array" ref="M1140">IF(1136&gt;$S$1204,"",INDEX($T$5:$AJ$1204,MATCH(1136,$S$5:$S$1204,0),13))</f>
        <v/>
      </c>
      <c r="N1140" s="8" t="str">
        <f t="array" ref="N1140">IF(1136&gt;$S$1204,"",INDEX($T$5:$AJ$1204,MATCH(1136,$S$5:$S$1204,0),14))</f>
        <v/>
      </c>
      <c r="O1140" s="15" t="str">
        <f t="array" ref="O1140">IF(1136&gt;$S$1204,"",INDEX($T$5:$AJ$1204,MATCH(1136,$S$5:$S$1204,0),15))</f>
        <v/>
      </c>
      <c r="P1140" s="8" t="str">
        <f t="array" ref="P1140">IF(1136&gt;$S$1204,"",INDEX($T$5:$AJ$1204,MATCH(1136,$S$5:$S$1204,0),16))</f>
        <v/>
      </c>
      <c r="Q1140" s="8" t="str">
        <f t="array" ref="Q1140">IF(1136&gt;$S$1204,"",INDEX($T$5:$AJ$1204,MATCH(1136,$S$5:$S$1204,0),17))</f>
        <v/>
      </c>
      <c r="R1140" s="17"/>
      <c r="S1140" s="17">
        <f>S1139+IF(M6_Puntos_Control!A144="",0,1)</f>
        <v>0</v>
      </c>
      <c r="T1140" s="17" t="str">
        <f>IF(M6_Puntos_Control!A144="","",IF(M6_Puntos_Control!A144="","",M6_Puntos_Control!A144))</f>
        <v/>
      </c>
      <c r="U1140" s="17" t="str">
        <f>IF(M6_Puntos_Control!A144="","",IF(M6_Puntos_Control!R144="","",M6_Puntos_Control!R144))</f>
        <v/>
      </c>
      <c r="V1140" s="17" t="str">
        <f>IF(M6_Puntos_Control!A144="","",IF(M6_Puntos_Control!D144="","",M6_Puntos_Control!D144))</f>
        <v/>
      </c>
      <c r="W1140" s="17" t="str">
        <f>IF(M6_Puntos_Control!A144="","",IF(M6_Puntos_Control!B144="","",M6_Puntos_Control!B144))</f>
        <v/>
      </c>
      <c r="X1140" s="17" t="str">
        <f>IF(M6_Puntos_Control!A144="","",IF(M6_Puntos_Control!C144="","",M6_Puntos_Control!C144))</f>
        <v/>
      </c>
      <c r="Y1140" s="17" t="str">
        <f>IF(M6_Puntos_Control!A144="","",IF(M6_Puntos_Control!E144="","",M6_Puntos_Control!E144))</f>
        <v/>
      </c>
      <c r="Z1140" s="17" t="str">
        <f>IF(M6_Puntos_Control!A144="","",IF(M6_Puntos_Control!F144="","",M6_Puntos_Control!F144))</f>
        <v/>
      </c>
      <c r="AA1140" s="17" t="str">
        <f>IF(M6_Puntos_Control!A144="","","M6 Puntos de control")</f>
        <v/>
      </c>
      <c r="AB1140" s="17" t="str">
        <f>IF(M6_Puntos_Control!A144="","",IF(M6_Puntos_Control!G144="","",M6_Puntos_Control!G144))</f>
        <v/>
      </c>
      <c r="AC1140" s="17" t="str">
        <f>IF(M6_Puntos_Control!A144="","",IF(M6_Puntos_Control!K144="Sí",IF(COUNTIFS(M6_Puntos_Control!$A$9:A144,M6_Puntos_Control!A144,M6_Puntos_Control!$D$9:D144,M6_Puntos_Control!D144,M6_Puntos_Control!$G$9:G144,M6_Puntos_Control!G144,M6_Puntos_Control!$H$9:H144,M6_Puntos_Control!H144,M6_Puntos_Control!$K$9:K144,"Sí")=1,IF(M6_Puntos_Control!M144="","",M6_Puntos_Control!M144),""),""))</f>
        <v/>
      </c>
      <c r="AD1140" s="17" t="str">
        <f>IF(M6_Puntos_Control!A144="","","RD")</f>
        <v/>
      </c>
      <c r="AE1140" s="17" t="str">
        <f>IF(M6_Puntos_Control!A144="","",IF(M6_Puntos_Control!O144="","",M6_Puntos_Control!O144))</f>
        <v/>
      </c>
      <c r="AF1140" s="17" t="str">
        <f>IF(M6_Puntos_Control!A144="","",IF(M6_Puntos_Control!P144="","",M6_Puntos_Control!P144))</f>
        <v/>
      </c>
      <c r="AG1140" s="17" t="str">
        <f>IF(M6_Puntos_Control!A144="","",IF(M6_Puntos_Control!Q144="","",M6_Puntos_Control!Q144))</f>
        <v/>
      </c>
      <c r="AH1140" s="17" t="str">
        <f>IF(M6_Puntos_Control!A144="","",IF(M6_Puntos_Control!I144="","",M6_Puntos_Control!I144))</f>
        <v/>
      </c>
      <c r="AI1140" s="17" t="str">
        <f>IF(M6_Puntos_Control!A144="","","M6_Puntos_Control!144")</f>
        <v/>
      </c>
      <c r="AJ1140" s="17" t="str">
        <f>IF(M6_Puntos_Control!A144="","",IF(M6_Puntos_Control!K144&lt;&gt;"Sí","Punto de comparación",IF(COUNTIFS(M6_Puntos_Control!$A$9:A144,M6_Puntos_Control!A144,M6_Puntos_Control!$D$9:D144,M6_Puntos_Control!D144,M6_Puntos_Control!$G$9:G144,M6_Puntos_Control!G144,M6_Puntos_Control!$H$9:H144,M6_Puntos_Control!H144,M6_Puntos_Control!$K$9:K144,"Sí")=1,IF(M6_Puntos_Control!M144="","Pendiente de resultado","Punto oficial"),"Revisar: varios puntos oficiales")))</f>
        <v/>
      </c>
    </row>
    <row r="1141" spans="1:36" ht="55.5" customHeight="1">
      <c r="A1141" s="6" t="str">
        <f t="array" ref="A1141">IF(1137&gt;$S$1204,"",INDEX($T$5:$AJ$1204,MATCH(1137,$S$5:$S$1204,0),1))</f>
        <v/>
      </c>
      <c r="B1141" s="8" t="str">
        <f t="array" ref="B1141">IF(1137&gt;$S$1204,"",INDEX($T$5:$AJ$1204,MATCH(1137,$S$5:$S$1204,0),2))</f>
        <v/>
      </c>
      <c r="C1141" s="10" t="str">
        <f t="array" ref="C1141">IF(1137&gt;$S$1204,"",INDEX($T$5:$AJ$1204,MATCH(1137,$S$5:$S$1204,0),3))</f>
        <v/>
      </c>
      <c r="D1141" s="8" t="str">
        <f t="array" ref="D1141">IF(1137&gt;$S$1204,"",INDEX($T$5:$AJ$1204,MATCH(1137,$S$5:$S$1204,0),4))</f>
        <v/>
      </c>
      <c r="E1141" s="8" t="str">
        <f t="array" ref="E1141">IF(1137&gt;$S$1204,"",INDEX($T$5:$AJ$1204,MATCH(1137,$S$5:$S$1204,0),5))</f>
        <v/>
      </c>
      <c r="F1141" s="8" t="str">
        <f t="array" ref="F1141">IF(1137&gt;$S$1204,"",INDEX($T$5:$AJ$1204,MATCH(1137,$S$5:$S$1204,0),6))</f>
        <v/>
      </c>
      <c r="G1141" s="8" t="str">
        <f t="array" ref="G1141">IF(1137&gt;$S$1204,"",INDEX($T$5:$AJ$1204,MATCH(1137,$S$5:$S$1204,0),7))</f>
        <v/>
      </c>
      <c r="H1141" s="8" t="str">
        <f t="array" ref="H1141">IF(1137&gt;$S$1204,"",INDEX($T$5:$AJ$1204,MATCH(1137,$S$5:$S$1204,0),8))</f>
        <v/>
      </c>
      <c r="I1141" s="8" t="str">
        <f t="array" ref="I1141">IF(1137&gt;$S$1204,"",INDEX($T$5:$AJ$1204,MATCH(1137,$S$5:$S$1204,0),9))</f>
        <v/>
      </c>
      <c r="J1141" s="14" t="str">
        <f t="array" ref="J1141">IF(1137&gt;$S$1204,"",INDEX($T$5:$AJ$1204,MATCH(1137,$S$5:$S$1204,0),10))</f>
        <v/>
      </c>
      <c r="K1141" s="8" t="str">
        <f t="array" ref="K1141">IF(1137&gt;$S$1204,"",INDEX($T$5:$AJ$1204,MATCH(1137,$S$5:$S$1204,0),11))</f>
        <v/>
      </c>
      <c r="L1141" s="8" t="str">
        <f t="array" ref="L1141">IF(1137&gt;$S$1204,"",INDEX($T$5:$AJ$1204,MATCH(1137,$S$5:$S$1204,0),12))</f>
        <v/>
      </c>
      <c r="M1141" s="8" t="str">
        <f t="array" ref="M1141">IF(1137&gt;$S$1204,"",INDEX($T$5:$AJ$1204,MATCH(1137,$S$5:$S$1204,0),13))</f>
        <v/>
      </c>
      <c r="N1141" s="8" t="str">
        <f t="array" ref="N1141">IF(1137&gt;$S$1204,"",INDEX($T$5:$AJ$1204,MATCH(1137,$S$5:$S$1204,0),14))</f>
        <v/>
      </c>
      <c r="O1141" s="15" t="str">
        <f t="array" ref="O1141">IF(1137&gt;$S$1204,"",INDEX($T$5:$AJ$1204,MATCH(1137,$S$5:$S$1204,0),15))</f>
        <v/>
      </c>
      <c r="P1141" s="8" t="str">
        <f t="array" ref="P1141">IF(1137&gt;$S$1204,"",INDEX($T$5:$AJ$1204,MATCH(1137,$S$5:$S$1204,0),16))</f>
        <v/>
      </c>
      <c r="Q1141" s="8" t="str">
        <f t="array" ref="Q1141">IF(1137&gt;$S$1204,"",INDEX($T$5:$AJ$1204,MATCH(1137,$S$5:$S$1204,0),17))</f>
        <v/>
      </c>
      <c r="R1141" s="17"/>
      <c r="S1141" s="17">
        <f>S1140+IF(M6_Puntos_Control!A145="",0,1)</f>
        <v>0</v>
      </c>
      <c r="T1141" s="17" t="str">
        <f>IF(M6_Puntos_Control!A145="","",IF(M6_Puntos_Control!A145="","",M6_Puntos_Control!A145))</f>
        <v/>
      </c>
      <c r="U1141" s="17" t="str">
        <f>IF(M6_Puntos_Control!A145="","",IF(M6_Puntos_Control!R145="","",M6_Puntos_Control!R145))</f>
        <v/>
      </c>
      <c r="V1141" s="17" t="str">
        <f>IF(M6_Puntos_Control!A145="","",IF(M6_Puntos_Control!D145="","",M6_Puntos_Control!D145))</f>
        <v/>
      </c>
      <c r="W1141" s="17" t="str">
        <f>IF(M6_Puntos_Control!A145="","",IF(M6_Puntos_Control!B145="","",M6_Puntos_Control!B145))</f>
        <v/>
      </c>
      <c r="X1141" s="17" t="str">
        <f>IF(M6_Puntos_Control!A145="","",IF(M6_Puntos_Control!C145="","",M6_Puntos_Control!C145))</f>
        <v/>
      </c>
      <c r="Y1141" s="17" t="str">
        <f>IF(M6_Puntos_Control!A145="","",IF(M6_Puntos_Control!E145="","",M6_Puntos_Control!E145))</f>
        <v/>
      </c>
      <c r="Z1141" s="17" t="str">
        <f>IF(M6_Puntos_Control!A145="","",IF(M6_Puntos_Control!F145="","",M6_Puntos_Control!F145))</f>
        <v/>
      </c>
      <c r="AA1141" s="17" t="str">
        <f>IF(M6_Puntos_Control!A145="","","M6 Puntos de control")</f>
        <v/>
      </c>
      <c r="AB1141" s="17" t="str">
        <f>IF(M6_Puntos_Control!A145="","",IF(M6_Puntos_Control!G145="","",M6_Puntos_Control!G145))</f>
        <v/>
      </c>
      <c r="AC1141" s="17" t="str">
        <f>IF(M6_Puntos_Control!A145="","",IF(M6_Puntos_Control!K145="Sí",IF(COUNTIFS(M6_Puntos_Control!$A$9:A145,M6_Puntos_Control!A145,M6_Puntos_Control!$D$9:D145,M6_Puntos_Control!D145,M6_Puntos_Control!$G$9:G145,M6_Puntos_Control!G145,M6_Puntos_Control!$H$9:H145,M6_Puntos_Control!H145,M6_Puntos_Control!$K$9:K145,"Sí")=1,IF(M6_Puntos_Control!M145="","",M6_Puntos_Control!M145),""),""))</f>
        <v/>
      </c>
      <c r="AD1141" s="17" t="str">
        <f>IF(M6_Puntos_Control!A145="","","RD")</f>
        <v/>
      </c>
      <c r="AE1141" s="17" t="str">
        <f>IF(M6_Puntos_Control!A145="","",IF(M6_Puntos_Control!O145="","",M6_Puntos_Control!O145))</f>
        <v/>
      </c>
      <c r="AF1141" s="17" t="str">
        <f>IF(M6_Puntos_Control!A145="","",IF(M6_Puntos_Control!P145="","",M6_Puntos_Control!P145))</f>
        <v/>
      </c>
      <c r="AG1141" s="17" t="str">
        <f>IF(M6_Puntos_Control!A145="","",IF(M6_Puntos_Control!Q145="","",M6_Puntos_Control!Q145))</f>
        <v/>
      </c>
      <c r="AH1141" s="17" t="str">
        <f>IF(M6_Puntos_Control!A145="","",IF(M6_Puntos_Control!I145="","",M6_Puntos_Control!I145))</f>
        <v/>
      </c>
      <c r="AI1141" s="17" t="str">
        <f>IF(M6_Puntos_Control!A145="","","M6_Puntos_Control!145")</f>
        <v/>
      </c>
      <c r="AJ1141" s="17" t="str">
        <f>IF(M6_Puntos_Control!A145="","",IF(M6_Puntos_Control!K145&lt;&gt;"Sí","Punto de comparación",IF(COUNTIFS(M6_Puntos_Control!$A$9:A145,M6_Puntos_Control!A145,M6_Puntos_Control!$D$9:D145,M6_Puntos_Control!D145,M6_Puntos_Control!$G$9:G145,M6_Puntos_Control!G145,M6_Puntos_Control!$H$9:H145,M6_Puntos_Control!H145,M6_Puntos_Control!$K$9:K145,"Sí")=1,IF(M6_Puntos_Control!M145="","Pendiente de resultado","Punto oficial"),"Revisar: varios puntos oficiales")))</f>
        <v/>
      </c>
    </row>
    <row r="1142" spans="1:36" ht="55.5" customHeight="1">
      <c r="A1142" s="6" t="str">
        <f t="array" ref="A1142">IF(1138&gt;$S$1204,"",INDEX($T$5:$AJ$1204,MATCH(1138,$S$5:$S$1204,0),1))</f>
        <v/>
      </c>
      <c r="B1142" s="8" t="str">
        <f t="array" ref="B1142">IF(1138&gt;$S$1204,"",INDEX($T$5:$AJ$1204,MATCH(1138,$S$5:$S$1204,0),2))</f>
        <v/>
      </c>
      <c r="C1142" s="10" t="str">
        <f t="array" ref="C1142">IF(1138&gt;$S$1204,"",INDEX($T$5:$AJ$1204,MATCH(1138,$S$5:$S$1204,0),3))</f>
        <v/>
      </c>
      <c r="D1142" s="8" t="str">
        <f t="array" ref="D1142">IF(1138&gt;$S$1204,"",INDEX($T$5:$AJ$1204,MATCH(1138,$S$5:$S$1204,0),4))</f>
        <v/>
      </c>
      <c r="E1142" s="8" t="str">
        <f t="array" ref="E1142">IF(1138&gt;$S$1204,"",INDEX($T$5:$AJ$1204,MATCH(1138,$S$5:$S$1204,0),5))</f>
        <v/>
      </c>
      <c r="F1142" s="8" t="str">
        <f t="array" ref="F1142">IF(1138&gt;$S$1204,"",INDEX($T$5:$AJ$1204,MATCH(1138,$S$5:$S$1204,0),6))</f>
        <v/>
      </c>
      <c r="G1142" s="8" t="str">
        <f t="array" ref="G1142">IF(1138&gt;$S$1204,"",INDEX($T$5:$AJ$1204,MATCH(1138,$S$5:$S$1204,0),7))</f>
        <v/>
      </c>
      <c r="H1142" s="8" t="str">
        <f t="array" ref="H1142">IF(1138&gt;$S$1204,"",INDEX($T$5:$AJ$1204,MATCH(1138,$S$5:$S$1204,0),8))</f>
        <v/>
      </c>
      <c r="I1142" s="8" t="str">
        <f t="array" ref="I1142">IF(1138&gt;$S$1204,"",INDEX($T$5:$AJ$1204,MATCH(1138,$S$5:$S$1204,0),9))</f>
        <v/>
      </c>
      <c r="J1142" s="14" t="str">
        <f t="array" ref="J1142">IF(1138&gt;$S$1204,"",INDEX($T$5:$AJ$1204,MATCH(1138,$S$5:$S$1204,0),10))</f>
        <v/>
      </c>
      <c r="K1142" s="8" t="str">
        <f t="array" ref="K1142">IF(1138&gt;$S$1204,"",INDEX($T$5:$AJ$1204,MATCH(1138,$S$5:$S$1204,0),11))</f>
        <v/>
      </c>
      <c r="L1142" s="8" t="str">
        <f t="array" ref="L1142">IF(1138&gt;$S$1204,"",INDEX($T$5:$AJ$1204,MATCH(1138,$S$5:$S$1204,0),12))</f>
        <v/>
      </c>
      <c r="M1142" s="8" t="str">
        <f t="array" ref="M1142">IF(1138&gt;$S$1204,"",INDEX($T$5:$AJ$1204,MATCH(1138,$S$5:$S$1204,0),13))</f>
        <v/>
      </c>
      <c r="N1142" s="8" t="str">
        <f t="array" ref="N1142">IF(1138&gt;$S$1204,"",INDEX($T$5:$AJ$1204,MATCH(1138,$S$5:$S$1204,0),14))</f>
        <v/>
      </c>
      <c r="O1142" s="15" t="str">
        <f t="array" ref="O1142">IF(1138&gt;$S$1204,"",INDEX($T$5:$AJ$1204,MATCH(1138,$S$5:$S$1204,0),15))</f>
        <v/>
      </c>
      <c r="P1142" s="8" t="str">
        <f t="array" ref="P1142">IF(1138&gt;$S$1204,"",INDEX($T$5:$AJ$1204,MATCH(1138,$S$5:$S$1204,0),16))</f>
        <v/>
      </c>
      <c r="Q1142" s="8" t="str">
        <f t="array" ref="Q1142">IF(1138&gt;$S$1204,"",INDEX($T$5:$AJ$1204,MATCH(1138,$S$5:$S$1204,0),17))</f>
        <v/>
      </c>
      <c r="R1142" s="17"/>
      <c r="S1142" s="17">
        <f>S1141+IF(M6_Puntos_Control!A146="",0,1)</f>
        <v>0</v>
      </c>
      <c r="T1142" s="17" t="str">
        <f>IF(M6_Puntos_Control!A146="","",IF(M6_Puntos_Control!A146="","",M6_Puntos_Control!A146))</f>
        <v/>
      </c>
      <c r="U1142" s="17" t="str">
        <f>IF(M6_Puntos_Control!A146="","",IF(M6_Puntos_Control!R146="","",M6_Puntos_Control!R146))</f>
        <v/>
      </c>
      <c r="V1142" s="17" t="str">
        <f>IF(M6_Puntos_Control!A146="","",IF(M6_Puntos_Control!D146="","",M6_Puntos_Control!D146))</f>
        <v/>
      </c>
      <c r="W1142" s="17" t="str">
        <f>IF(M6_Puntos_Control!A146="","",IF(M6_Puntos_Control!B146="","",M6_Puntos_Control!B146))</f>
        <v/>
      </c>
      <c r="X1142" s="17" t="str">
        <f>IF(M6_Puntos_Control!A146="","",IF(M6_Puntos_Control!C146="","",M6_Puntos_Control!C146))</f>
        <v/>
      </c>
      <c r="Y1142" s="17" t="str">
        <f>IF(M6_Puntos_Control!A146="","",IF(M6_Puntos_Control!E146="","",M6_Puntos_Control!E146))</f>
        <v/>
      </c>
      <c r="Z1142" s="17" t="str">
        <f>IF(M6_Puntos_Control!A146="","",IF(M6_Puntos_Control!F146="","",M6_Puntos_Control!F146))</f>
        <v/>
      </c>
      <c r="AA1142" s="17" t="str">
        <f>IF(M6_Puntos_Control!A146="","","M6 Puntos de control")</f>
        <v/>
      </c>
      <c r="AB1142" s="17" t="str">
        <f>IF(M6_Puntos_Control!A146="","",IF(M6_Puntos_Control!G146="","",M6_Puntos_Control!G146))</f>
        <v/>
      </c>
      <c r="AC1142" s="17" t="str">
        <f>IF(M6_Puntos_Control!A146="","",IF(M6_Puntos_Control!K146="Sí",IF(COUNTIFS(M6_Puntos_Control!$A$9:A146,M6_Puntos_Control!A146,M6_Puntos_Control!$D$9:D146,M6_Puntos_Control!D146,M6_Puntos_Control!$G$9:G146,M6_Puntos_Control!G146,M6_Puntos_Control!$H$9:H146,M6_Puntos_Control!H146,M6_Puntos_Control!$K$9:K146,"Sí")=1,IF(M6_Puntos_Control!M146="","",M6_Puntos_Control!M146),""),""))</f>
        <v/>
      </c>
      <c r="AD1142" s="17" t="str">
        <f>IF(M6_Puntos_Control!A146="","","RD")</f>
        <v/>
      </c>
      <c r="AE1142" s="17" t="str">
        <f>IF(M6_Puntos_Control!A146="","",IF(M6_Puntos_Control!O146="","",M6_Puntos_Control!O146))</f>
        <v/>
      </c>
      <c r="AF1142" s="17" t="str">
        <f>IF(M6_Puntos_Control!A146="","",IF(M6_Puntos_Control!P146="","",M6_Puntos_Control!P146))</f>
        <v/>
      </c>
      <c r="AG1142" s="17" t="str">
        <f>IF(M6_Puntos_Control!A146="","",IF(M6_Puntos_Control!Q146="","",M6_Puntos_Control!Q146))</f>
        <v/>
      </c>
      <c r="AH1142" s="17" t="str">
        <f>IF(M6_Puntos_Control!A146="","",IF(M6_Puntos_Control!I146="","",M6_Puntos_Control!I146))</f>
        <v/>
      </c>
      <c r="AI1142" s="17" t="str">
        <f>IF(M6_Puntos_Control!A146="","","M6_Puntos_Control!146")</f>
        <v/>
      </c>
      <c r="AJ1142" s="17" t="str">
        <f>IF(M6_Puntos_Control!A146="","",IF(M6_Puntos_Control!K146&lt;&gt;"Sí","Punto de comparación",IF(COUNTIFS(M6_Puntos_Control!$A$9:A146,M6_Puntos_Control!A146,M6_Puntos_Control!$D$9:D146,M6_Puntos_Control!D146,M6_Puntos_Control!$G$9:G146,M6_Puntos_Control!G146,M6_Puntos_Control!$H$9:H146,M6_Puntos_Control!H146,M6_Puntos_Control!$K$9:K146,"Sí")=1,IF(M6_Puntos_Control!M146="","Pendiente de resultado","Punto oficial"),"Revisar: varios puntos oficiales")))</f>
        <v/>
      </c>
    </row>
    <row r="1143" spans="1:36" ht="55.5" customHeight="1">
      <c r="A1143" s="6" t="str">
        <f t="array" ref="A1143">IF(1139&gt;$S$1204,"",INDEX($T$5:$AJ$1204,MATCH(1139,$S$5:$S$1204,0),1))</f>
        <v/>
      </c>
      <c r="B1143" s="8" t="str">
        <f t="array" ref="B1143">IF(1139&gt;$S$1204,"",INDEX($T$5:$AJ$1204,MATCH(1139,$S$5:$S$1204,0),2))</f>
        <v/>
      </c>
      <c r="C1143" s="10" t="str">
        <f t="array" ref="C1143">IF(1139&gt;$S$1204,"",INDEX($T$5:$AJ$1204,MATCH(1139,$S$5:$S$1204,0),3))</f>
        <v/>
      </c>
      <c r="D1143" s="8" t="str">
        <f t="array" ref="D1143">IF(1139&gt;$S$1204,"",INDEX($T$5:$AJ$1204,MATCH(1139,$S$5:$S$1204,0),4))</f>
        <v/>
      </c>
      <c r="E1143" s="8" t="str">
        <f t="array" ref="E1143">IF(1139&gt;$S$1204,"",INDEX($T$5:$AJ$1204,MATCH(1139,$S$5:$S$1204,0),5))</f>
        <v/>
      </c>
      <c r="F1143" s="8" t="str">
        <f t="array" ref="F1143">IF(1139&gt;$S$1204,"",INDEX($T$5:$AJ$1204,MATCH(1139,$S$5:$S$1204,0),6))</f>
        <v/>
      </c>
      <c r="G1143" s="8" t="str">
        <f t="array" ref="G1143">IF(1139&gt;$S$1204,"",INDEX($T$5:$AJ$1204,MATCH(1139,$S$5:$S$1204,0),7))</f>
        <v/>
      </c>
      <c r="H1143" s="8" t="str">
        <f t="array" ref="H1143">IF(1139&gt;$S$1204,"",INDEX($T$5:$AJ$1204,MATCH(1139,$S$5:$S$1204,0),8))</f>
        <v/>
      </c>
      <c r="I1143" s="8" t="str">
        <f t="array" ref="I1143">IF(1139&gt;$S$1204,"",INDEX($T$5:$AJ$1204,MATCH(1139,$S$5:$S$1204,0),9))</f>
        <v/>
      </c>
      <c r="J1143" s="14" t="str">
        <f t="array" ref="J1143">IF(1139&gt;$S$1204,"",INDEX($T$5:$AJ$1204,MATCH(1139,$S$5:$S$1204,0),10))</f>
        <v/>
      </c>
      <c r="K1143" s="8" t="str">
        <f t="array" ref="K1143">IF(1139&gt;$S$1204,"",INDEX($T$5:$AJ$1204,MATCH(1139,$S$5:$S$1204,0),11))</f>
        <v/>
      </c>
      <c r="L1143" s="8" t="str">
        <f t="array" ref="L1143">IF(1139&gt;$S$1204,"",INDEX($T$5:$AJ$1204,MATCH(1139,$S$5:$S$1204,0),12))</f>
        <v/>
      </c>
      <c r="M1143" s="8" t="str">
        <f t="array" ref="M1143">IF(1139&gt;$S$1204,"",INDEX($T$5:$AJ$1204,MATCH(1139,$S$5:$S$1204,0),13))</f>
        <v/>
      </c>
      <c r="N1143" s="8" t="str">
        <f t="array" ref="N1143">IF(1139&gt;$S$1204,"",INDEX($T$5:$AJ$1204,MATCH(1139,$S$5:$S$1204,0),14))</f>
        <v/>
      </c>
      <c r="O1143" s="15" t="str">
        <f t="array" ref="O1143">IF(1139&gt;$S$1204,"",INDEX($T$5:$AJ$1204,MATCH(1139,$S$5:$S$1204,0),15))</f>
        <v/>
      </c>
      <c r="P1143" s="8" t="str">
        <f t="array" ref="P1143">IF(1139&gt;$S$1204,"",INDEX($T$5:$AJ$1204,MATCH(1139,$S$5:$S$1204,0),16))</f>
        <v/>
      </c>
      <c r="Q1143" s="8" t="str">
        <f t="array" ref="Q1143">IF(1139&gt;$S$1204,"",INDEX($T$5:$AJ$1204,MATCH(1139,$S$5:$S$1204,0),17))</f>
        <v/>
      </c>
      <c r="R1143" s="17"/>
      <c r="S1143" s="17">
        <f>S1142+IF(M6_Puntos_Control!A147="",0,1)</f>
        <v>0</v>
      </c>
      <c r="T1143" s="17" t="str">
        <f>IF(M6_Puntos_Control!A147="","",IF(M6_Puntos_Control!A147="","",M6_Puntos_Control!A147))</f>
        <v/>
      </c>
      <c r="U1143" s="17" t="str">
        <f>IF(M6_Puntos_Control!A147="","",IF(M6_Puntos_Control!R147="","",M6_Puntos_Control!R147))</f>
        <v/>
      </c>
      <c r="V1143" s="17" t="str">
        <f>IF(M6_Puntos_Control!A147="","",IF(M6_Puntos_Control!D147="","",M6_Puntos_Control!D147))</f>
        <v/>
      </c>
      <c r="W1143" s="17" t="str">
        <f>IF(M6_Puntos_Control!A147="","",IF(M6_Puntos_Control!B147="","",M6_Puntos_Control!B147))</f>
        <v/>
      </c>
      <c r="X1143" s="17" t="str">
        <f>IF(M6_Puntos_Control!A147="","",IF(M6_Puntos_Control!C147="","",M6_Puntos_Control!C147))</f>
        <v/>
      </c>
      <c r="Y1143" s="17" t="str">
        <f>IF(M6_Puntos_Control!A147="","",IF(M6_Puntos_Control!E147="","",M6_Puntos_Control!E147))</f>
        <v/>
      </c>
      <c r="Z1143" s="17" t="str">
        <f>IF(M6_Puntos_Control!A147="","",IF(M6_Puntos_Control!F147="","",M6_Puntos_Control!F147))</f>
        <v/>
      </c>
      <c r="AA1143" s="17" t="str">
        <f>IF(M6_Puntos_Control!A147="","","M6 Puntos de control")</f>
        <v/>
      </c>
      <c r="AB1143" s="17" t="str">
        <f>IF(M6_Puntos_Control!A147="","",IF(M6_Puntos_Control!G147="","",M6_Puntos_Control!G147))</f>
        <v/>
      </c>
      <c r="AC1143" s="17" t="str">
        <f>IF(M6_Puntos_Control!A147="","",IF(M6_Puntos_Control!K147="Sí",IF(COUNTIFS(M6_Puntos_Control!$A$9:A147,M6_Puntos_Control!A147,M6_Puntos_Control!$D$9:D147,M6_Puntos_Control!D147,M6_Puntos_Control!$G$9:G147,M6_Puntos_Control!G147,M6_Puntos_Control!$H$9:H147,M6_Puntos_Control!H147,M6_Puntos_Control!$K$9:K147,"Sí")=1,IF(M6_Puntos_Control!M147="","",M6_Puntos_Control!M147),""),""))</f>
        <v/>
      </c>
      <c r="AD1143" s="17" t="str">
        <f>IF(M6_Puntos_Control!A147="","","RD")</f>
        <v/>
      </c>
      <c r="AE1143" s="17" t="str">
        <f>IF(M6_Puntos_Control!A147="","",IF(M6_Puntos_Control!O147="","",M6_Puntos_Control!O147))</f>
        <v/>
      </c>
      <c r="AF1143" s="17" t="str">
        <f>IF(M6_Puntos_Control!A147="","",IF(M6_Puntos_Control!P147="","",M6_Puntos_Control!P147))</f>
        <v/>
      </c>
      <c r="AG1143" s="17" t="str">
        <f>IF(M6_Puntos_Control!A147="","",IF(M6_Puntos_Control!Q147="","",M6_Puntos_Control!Q147))</f>
        <v/>
      </c>
      <c r="AH1143" s="17" t="str">
        <f>IF(M6_Puntos_Control!A147="","",IF(M6_Puntos_Control!I147="","",M6_Puntos_Control!I147))</f>
        <v/>
      </c>
      <c r="AI1143" s="17" t="str">
        <f>IF(M6_Puntos_Control!A147="","","M6_Puntos_Control!147")</f>
        <v/>
      </c>
      <c r="AJ1143" s="17" t="str">
        <f>IF(M6_Puntos_Control!A147="","",IF(M6_Puntos_Control!K147&lt;&gt;"Sí","Punto de comparación",IF(COUNTIFS(M6_Puntos_Control!$A$9:A147,M6_Puntos_Control!A147,M6_Puntos_Control!$D$9:D147,M6_Puntos_Control!D147,M6_Puntos_Control!$G$9:G147,M6_Puntos_Control!G147,M6_Puntos_Control!$H$9:H147,M6_Puntos_Control!H147,M6_Puntos_Control!$K$9:K147,"Sí")=1,IF(M6_Puntos_Control!M147="","Pendiente de resultado","Punto oficial"),"Revisar: varios puntos oficiales")))</f>
        <v/>
      </c>
    </row>
    <row r="1144" spans="1:36" ht="55.5" customHeight="1">
      <c r="A1144" s="6" t="str">
        <f t="array" ref="A1144">IF(1140&gt;$S$1204,"",INDEX($T$5:$AJ$1204,MATCH(1140,$S$5:$S$1204,0),1))</f>
        <v/>
      </c>
      <c r="B1144" s="8" t="str">
        <f t="array" ref="B1144">IF(1140&gt;$S$1204,"",INDEX($T$5:$AJ$1204,MATCH(1140,$S$5:$S$1204,0),2))</f>
        <v/>
      </c>
      <c r="C1144" s="10" t="str">
        <f t="array" ref="C1144">IF(1140&gt;$S$1204,"",INDEX($T$5:$AJ$1204,MATCH(1140,$S$5:$S$1204,0),3))</f>
        <v/>
      </c>
      <c r="D1144" s="8" t="str">
        <f t="array" ref="D1144">IF(1140&gt;$S$1204,"",INDEX($T$5:$AJ$1204,MATCH(1140,$S$5:$S$1204,0),4))</f>
        <v/>
      </c>
      <c r="E1144" s="8" t="str">
        <f t="array" ref="E1144">IF(1140&gt;$S$1204,"",INDEX($T$5:$AJ$1204,MATCH(1140,$S$5:$S$1204,0),5))</f>
        <v/>
      </c>
      <c r="F1144" s="8" t="str">
        <f t="array" ref="F1144">IF(1140&gt;$S$1204,"",INDEX($T$5:$AJ$1204,MATCH(1140,$S$5:$S$1204,0),6))</f>
        <v/>
      </c>
      <c r="G1144" s="8" t="str">
        <f t="array" ref="G1144">IF(1140&gt;$S$1204,"",INDEX($T$5:$AJ$1204,MATCH(1140,$S$5:$S$1204,0),7))</f>
        <v/>
      </c>
      <c r="H1144" s="8" t="str">
        <f t="array" ref="H1144">IF(1140&gt;$S$1204,"",INDEX($T$5:$AJ$1204,MATCH(1140,$S$5:$S$1204,0),8))</f>
        <v/>
      </c>
      <c r="I1144" s="8" t="str">
        <f t="array" ref="I1144">IF(1140&gt;$S$1204,"",INDEX($T$5:$AJ$1204,MATCH(1140,$S$5:$S$1204,0),9))</f>
        <v/>
      </c>
      <c r="J1144" s="14" t="str">
        <f t="array" ref="J1144">IF(1140&gt;$S$1204,"",INDEX($T$5:$AJ$1204,MATCH(1140,$S$5:$S$1204,0),10))</f>
        <v/>
      </c>
      <c r="K1144" s="8" t="str">
        <f t="array" ref="K1144">IF(1140&gt;$S$1204,"",INDEX($T$5:$AJ$1204,MATCH(1140,$S$5:$S$1204,0),11))</f>
        <v/>
      </c>
      <c r="L1144" s="8" t="str">
        <f t="array" ref="L1144">IF(1140&gt;$S$1204,"",INDEX($T$5:$AJ$1204,MATCH(1140,$S$5:$S$1204,0),12))</f>
        <v/>
      </c>
      <c r="M1144" s="8" t="str">
        <f t="array" ref="M1144">IF(1140&gt;$S$1204,"",INDEX($T$5:$AJ$1204,MATCH(1140,$S$5:$S$1204,0),13))</f>
        <v/>
      </c>
      <c r="N1144" s="8" t="str">
        <f t="array" ref="N1144">IF(1140&gt;$S$1204,"",INDEX($T$5:$AJ$1204,MATCH(1140,$S$5:$S$1204,0),14))</f>
        <v/>
      </c>
      <c r="O1144" s="15" t="str">
        <f t="array" ref="O1144">IF(1140&gt;$S$1204,"",INDEX($T$5:$AJ$1204,MATCH(1140,$S$5:$S$1204,0),15))</f>
        <v/>
      </c>
      <c r="P1144" s="8" t="str">
        <f t="array" ref="P1144">IF(1140&gt;$S$1204,"",INDEX($T$5:$AJ$1204,MATCH(1140,$S$5:$S$1204,0),16))</f>
        <v/>
      </c>
      <c r="Q1144" s="8" t="str">
        <f t="array" ref="Q1144">IF(1140&gt;$S$1204,"",INDEX($T$5:$AJ$1204,MATCH(1140,$S$5:$S$1204,0),17))</f>
        <v/>
      </c>
      <c r="R1144" s="17"/>
      <c r="S1144" s="17">
        <f>S1143+IF(M6_Puntos_Control!A148="",0,1)</f>
        <v>0</v>
      </c>
      <c r="T1144" s="17" t="str">
        <f>IF(M6_Puntos_Control!A148="","",IF(M6_Puntos_Control!A148="","",M6_Puntos_Control!A148))</f>
        <v/>
      </c>
      <c r="U1144" s="17" t="str">
        <f>IF(M6_Puntos_Control!A148="","",IF(M6_Puntos_Control!R148="","",M6_Puntos_Control!R148))</f>
        <v/>
      </c>
      <c r="V1144" s="17" t="str">
        <f>IF(M6_Puntos_Control!A148="","",IF(M6_Puntos_Control!D148="","",M6_Puntos_Control!D148))</f>
        <v/>
      </c>
      <c r="W1144" s="17" t="str">
        <f>IF(M6_Puntos_Control!A148="","",IF(M6_Puntos_Control!B148="","",M6_Puntos_Control!B148))</f>
        <v/>
      </c>
      <c r="X1144" s="17" t="str">
        <f>IF(M6_Puntos_Control!A148="","",IF(M6_Puntos_Control!C148="","",M6_Puntos_Control!C148))</f>
        <v/>
      </c>
      <c r="Y1144" s="17" t="str">
        <f>IF(M6_Puntos_Control!A148="","",IF(M6_Puntos_Control!E148="","",M6_Puntos_Control!E148))</f>
        <v/>
      </c>
      <c r="Z1144" s="17" t="str">
        <f>IF(M6_Puntos_Control!A148="","",IF(M6_Puntos_Control!F148="","",M6_Puntos_Control!F148))</f>
        <v/>
      </c>
      <c r="AA1144" s="17" t="str">
        <f>IF(M6_Puntos_Control!A148="","","M6 Puntos de control")</f>
        <v/>
      </c>
      <c r="AB1144" s="17" t="str">
        <f>IF(M6_Puntos_Control!A148="","",IF(M6_Puntos_Control!G148="","",M6_Puntos_Control!G148))</f>
        <v/>
      </c>
      <c r="AC1144" s="17" t="str">
        <f>IF(M6_Puntos_Control!A148="","",IF(M6_Puntos_Control!K148="Sí",IF(COUNTIFS(M6_Puntos_Control!$A$9:A148,M6_Puntos_Control!A148,M6_Puntos_Control!$D$9:D148,M6_Puntos_Control!D148,M6_Puntos_Control!$G$9:G148,M6_Puntos_Control!G148,M6_Puntos_Control!$H$9:H148,M6_Puntos_Control!H148,M6_Puntos_Control!$K$9:K148,"Sí")=1,IF(M6_Puntos_Control!M148="","",M6_Puntos_Control!M148),""),""))</f>
        <v/>
      </c>
      <c r="AD1144" s="17" t="str">
        <f>IF(M6_Puntos_Control!A148="","","RD")</f>
        <v/>
      </c>
      <c r="AE1144" s="17" t="str">
        <f>IF(M6_Puntos_Control!A148="","",IF(M6_Puntos_Control!O148="","",M6_Puntos_Control!O148))</f>
        <v/>
      </c>
      <c r="AF1144" s="17" t="str">
        <f>IF(M6_Puntos_Control!A148="","",IF(M6_Puntos_Control!P148="","",M6_Puntos_Control!P148))</f>
        <v/>
      </c>
      <c r="AG1144" s="17" t="str">
        <f>IF(M6_Puntos_Control!A148="","",IF(M6_Puntos_Control!Q148="","",M6_Puntos_Control!Q148))</f>
        <v/>
      </c>
      <c r="AH1144" s="17" t="str">
        <f>IF(M6_Puntos_Control!A148="","",IF(M6_Puntos_Control!I148="","",M6_Puntos_Control!I148))</f>
        <v/>
      </c>
      <c r="AI1144" s="17" t="str">
        <f>IF(M6_Puntos_Control!A148="","","M6_Puntos_Control!148")</f>
        <v/>
      </c>
      <c r="AJ1144" s="17" t="str">
        <f>IF(M6_Puntos_Control!A148="","",IF(M6_Puntos_Control!K148&lt;&gt;"Sí","Punto de comparación",IF(COUNTIFS(M6_Puntos_Control!$A$9:A148,M6_Puntos_Control!A148,M6_Puntos_Control!$D$9:D148,M6_Puntos_Control!D148,M6_Puntos_Control!$G$9:G148,M6_Puntos_Control!G148,M6_Puntos_Control!$H$9:H148,M6_Puntos_Control!H148,M6_Puntos_Control!$K$9:K148,"Sí")=1,IF(M6_Puntos_Control!M148="","Pendiente de resultado","Punto oficial"),"Revisar: varios puntos oficiales")))</f>
        <v/>
      </c>
    </row>
    <row r="1145" spans="1:36" ht="55.5" customHeight="1">
      <c r="A1145" s="6" t="str">
        <f t="array" ref="A1145">IF(1141&gt;$S$1204,"",INDEX($T$5:$AJ$1204,MATCH(1141,$S$5:$S$1204,0),1))</f>
        <v/>
      </c>
      <c r="B1145" s="8" t="str">
        <f t="array" ref="B1145">IF(1141&gt;$S$1204,"",INDEX($T$5:$AJ$1204,MATCH(1141,$S$5:$S$1204,0),2))</f>
        <v/>
      </c>
      <c r="C1145" s="10" t="str">
        <f t="array" ref="C1145">IF(1141&gt;$S$1204,"",INDEX($T$5:$AJ$1204,MATCH(1141,$S$5:$S$1204,0),3))</f>
        <v/>
      </c>
      <c r="D1145" s="8" t="str">
        <f t="array" ref="D1145">IF(1141&gt;$S$1204,"",INDEX($T$5:$AJ$1204,MATCH(1141,$S$5:$S$1204,0),4))</f>
        <v/>
      </c>
      <c r="E1145" s="8" t="str">
        <f t="array" ref="E1145">IF(1141&gt;$S$1204,"",INDEX($T$5:$AJ$1204,MATCH(1141,$S$5:$S$1204,0),5))</f>
        <v/>
      </c>
      <c r="F1145" s="8" t="str">
        <f t="array" ref="F1145">IF(1141&gt;$S$1204,"",INDEX($T$5:$AJ$1204,MATCH(1141,$S$5:$S$1204,0),6))</f>
        <v/>
      </c>
      <c r="G1145" s="8" t="str">
        <f t="array" ref="G1145">IF(1141&gt;$S$1204,"",INDEX($T$5:$AJ$1204,MATCH(1141,$S$5:$S$1204,0),7))</f>
        <v/>
      </c>
      <c r="H1145" s="8" t="str">
        <f t="array" ref="H1145">IF(1141&gt;$S$1204,"",INDEX($T$5:$AJ$1204,MATCH(1141,$S$5:$S$1204,0),8))</f>
        <v/>
      </c>
      <c r="I1145" s="8" t="str">
        <f t="array" ref="I1145">IF(1141&gt;$S$1204,"",INDEX($T$5:$AJ$1204,MATCH(1141,$S$5:$S$1204,0),9))</f>
        <v/>
      </c>
      <c r="J1145" s="14" t="str">
        <f t="array" ref="J1145">IF(1141&gt;$S$1204,"",INDEX($T$5:$AJ$1204,MATCH(1141,$S$5:$S$1204,0),10))</f>
        <v/>
      </c>
      <c r="K1145" s="8" t="str">
        <f t="array" ref="K1145">IF(1141&gt;$S$1204,"",INDEX($T$5:$AJ$1204,MATCH(1141,$S$5:$S$1204,0),11))</f>
        <v/>
      </c>
      <c r="L1145" s="8" t="str">
        <f t="array" ref="L1145">IF(1141&gt;$S$1204,"",INDEX($T$5:$AJ$1204,MATCH(1141,$S$5:$S$1204,0),12))</f>
        <v/>
      </c>
      <c r="M1145" s="8" t="str">
        <f t="array" ref="M1145">IF(1141&gt;$S$1204,"",INDEX($T$5:$AJ$1204,MATCH(1141,$S$5:$S$1204,0),13))</f>
        <v/>
      </c>
      <c r="N1145" s="8" t="str">
        <f t="array" ref="N1145">IF(1141&gt;$S$1204,"",INDEX($T$5:$AJ$1204,MATCH(1141,$S$5:$S$1204,0),14))</f>
        <v/>
      </c>
      <c r="O1145" s="15" t="str">
        <f t="array" ref="O1145">IF(1141&gt;$S$1204,"",INDEX($T$5:$AJ$1204,MATCH(1141,$S$5:$S$1204,0),15))</f>
        <v/>
      </c>
      <c r="P1145" s="8" t="str">
        <f t="array" ref="P1145">IF(1141&gt;$S$1204,"",INDEX($T$5:$AJ$1204,MATCH(1141,$S$5:$S$1204,0),16))</f>
        <v/>
      </c>
      <c r="Q1145" s="8" t="str">
        <f t="array" ref="Q1145">IF(1141&gt;$S$1204,"",INDEX($T$5:$AJ$1204,MATCH(1141,$S$5:$S$1204,0),17))</f>
        <v/>
      </c>
      <c r="R1145" s="17"/>
      <c r="S1145" s="17">
        <f>S1144+IF(M6_Puntos_Control!A149="",0,1)</f>
        <v>0</v>
      </c>
      <c r="T1145" s="17" t="str">
        <f>IF(M6_Puntos_Control!A149="","",IF(M6_Puntos_Control!A149="","",M6_Puntos_Control!A149))</f>
        <v/>
      </c>
      <c r="U1145" s="17" t="str">
        <f>IF(M6_Puntos_Control!A149="","",IF(M6_Puntos_Control!R149="","",M6_Puntos_Control!R149))</f>
        <v/>
      </c>
      <c r="V1145" s="17" t="str">
        <f>IF(M6_Puntos_Control!A149="","",IF(M6_Puntos_Control!D149="","",M6_Puntos_Control!D149))</f>
        <v/>
      </c>
      <c r="W1145" s="17" t="str">
        <f>IF(M6_Puntos_Control!A149="","",IF(M6_Puntos_Control!B149="","",M6_Puntos_Control!B149))</f>
        <v/>
      </c>
      <c r="X1145" s="17" t="str">
        <f>IF(M6_Puntos_Control!A149="","",IF(M6_Puntos_Control!C149="","",M6_Puntos_Control!C149))</f>
        <v/>
      </c>
      <c r="Y1145" s="17" t="str">
        <f>IF(M6_Puntos_Control!A149="","",IF(M6_Puntos_Control!E149="","",M6_Puntos_Control!E149))</f>
        <v/>
      </c>
      <c r="Z1145" s="17" t="str">
        <f>IF(M6_Puntos_Control!A149="","",IF(M6_Puntos_Control!F149="","",M6_Puntos_Control!F149))</f>
        <v/>
      </c>
      <c r="AA1145" s="17" t="str">
        <f>IF(M6_Puntos_Control!A149="","","M6 Puntos de control")</f>
        <v/>
      </c>
      <c r="AB1145" s="17" t="str">
        <f>IF(M6_Puntos_Control!A149="","",IF(M6_Puntos_Control!G149="","",M6_Puntos_Control!G149))</f>
        <v/>
      </c>
      <c r="AC1145" s="17" t="str">
        <f>IF(M6_Puntos_Control!A149="","",IF(M6_Puntos_Control!K149="Sí",IF(COUNTIFS(M6_Puntos_Control!$A$9:A149,M6_Puntos_Control!A149,M6_Puntos_Control!$D$9:D149,M6_Puntos_Control!D149,M6_Puntos_Control!$G$9:G149,M6_Puntos_Control!G149,M6_Puntos_Control!$H$9:H149,M6_Puntos_Control!H149,M6_Puntos_Control!$K$9:K149,"Sí")=1,IF(M6_Puntos_Control!M149="","",M6_Puntos_Control!M149),""),""))</f>
        <v/>
      </c>
      <c r="AD1145" s="17" t="str">
        <f>IF(M6_Puntos_Control!A149="","","RD")</f>
        <v/>
      </c>
      <c r="AE1145" s="17" t="str">
        <f>IF(M6_Puntos_Control!A149="","",IF(M6_Puntos_Control!O149="","",M6_Puntos_Control!O149))</f>
        <v/>
      </c>
      <c r="AF1145" s="17" t="str">
        <f>IF(M6_Puntos_Control!A149="","",IF(M6_Puntos_Control!P149="","",M6_Puntos_Control!P149))</f>
        <v/>
      </c>
      <c r="AG1145" s="17" t="str">
        <f>IF(M6_Puntos_Control!A149="","",IF(M6_Puntos_Control!Q149="","",M6_Puntos_Control!Q149))</f>
        <v/>
      </c>
      <c r="AH1145" s="17" t="str">
        <f>IF(M6_Puntos_Control!A149="","",IF(M6_Puntos_Control!I149="","",M6_Puntos_Control!I149))</f>
        <v/>
      </c>
      <c r="AI1145" s="17" t="str">
        <f>IF(M6_Puntos_Control!A149="","","M6_Puntos_Control!149")</f>
        <v/>
      </c>
      <c r="AJ1145" s="17" t="str">
        <f>IF(M6_Puntos_Control!A149="","",IF(M6_Puntos_Control!K149&lt;&gt;"Sí","Punto de comparación",IF(COUNTIFS(M6_Puntos_Control!$A$9:A149,M6_Puntos_Control!A149,M6_Puntos_Control!$D$9:D149,M6_Puntos_Control!D149,M6_Puntos_Control!$G$9:G149,M6_Puntos_Control!G149,M6_Puntos_Control!$H$9:H149,M6_Puntos_Control!H149,M6_Puntos_Control!$K$9:K149,"Sí")=1,IF(M6_Puntos_Control!M149="","Pendiente de resultado","Punto oficial"),"Revisar: varios puntos oficiales")))</f>
        <v/>
      </c>
    </row>
    <row r="1146" spans="1:36" ht="55.5" customHeight="1">
      <c r="A1146" s="6" t="str">
        <f t="array" ref="A1146">IF(1142&gt;$S$1204,"",INDEX($T$5:$AJ$1204,MATCH(1142,$S$5:$S$1204,0),1))</f>
        <v/>
      </c>
      <c r="B1146" s="8" t="str">
        <f t="array" ref="B1146">IF(1142&gt;$S$1204,"",INDEX($T$5:$AJ$1204,MATCH(1142,$S$5:$S$1204,0),2))</f>
        <v/>
      </c>
      <c r="C1146" s="10" t="str">
        <f t="array" ref="C1146">IF(1142&gt;$S$1204,"",INDEX($T$5:$AJ$1204,MATCH(1142,$S$5:$S$1204,0),3))</f>
        <v/>
      </c>
      <c r="D1146" s="8" t="str">
        <f t="array" ref="D1146">IF(1142&gt;$S$1204,"",INDEX($T$5:$AJ$1204,MATCH(1142,$S$5:$S$1204,0),4))</f>
        <v/>
      </c>
      <c r="E1146" s="8" t="str">
        <f t="array" ref="E1146">IF(1142&gt;$S$1204,"",INDEX($T$5:$AJ$1204,MATCH(1142,$S$5:$S$1204,0),5))</f>
        <v/>
      </c>
      <c r="F1146" s="8" t="str">
        <f t="array" ref="F1146">IF(1142&gt;$S$1204,"",INDEX($T$5:$AJ$1204,MATCH(1142,$S$5:$S$1204,0),6))</f>
        <v/>
      </c>
      <c r="G1146" s="8" t="str">
        <f t="array" ref="G1146">IF(1142&gt;$S$1204,"",INDEX($T$5:$AJ$1204,MATCH(1142,$S$5:$S$1204,0),7))</f>
        <v/>
      </c>
      <c r="H1146" s="8" t="str">
        <f t="array" ref="H1146">IF(1142&gt;$S$1204,"",INDEX($T$5:$AJ$1204,MATCH(1142,$S$5:$S$1204,0),8))</f>
        <v/>
      </c>
      <c r="I1146" s="8" t="str">
        <f t="array" ref="I1146">IF(1142&gt;$S$1204,"",INDEX($T$5:$AJ$1204,MATCH(1142,$S$5:$S$1204,0),9))</f>
        <v/>
      </c>
      <c r="J1146" s="14" t="str">
        <f t="array" ref="J1146">IF(1142&gt;$S$1204,"",INDEX($T$5:$AJ$1204,MATCH(1142,$S$5:$S$1204,0),10))</f>
        <v/>
      </c>
      <c r="K1146" s="8" t="str">
        <f t="array" ref="K1146">IF(1142&gt;$S$1204,"",INDEX($T$5:$AJ$1204,MATCH(1142,$S$5:$S$1204,0),11))</f>
        <v/>
      </c>
      <c r="L1146" s="8" t="str">
        <f t="array" ref="L1146">IF(1142&gt;$S$1204,"",INDEX($T$5:$AJ$1204,MATCH(1142,$S$5:$S$1204,0),12))</f>
        <v/>
      </c>
      <c r="M1146" s="8" t="str">
        <f t="array" ref="M1146">IF(1142&gt;$S$1204,"",INDEX($T$5:$AJ$1204,MATCH(1142,$S$5:$S$1204,0),13))</f>
        <v/>
      </c>
      <c r="N1146" s="8" t="str">
        <f t="array" ref="N1146">IF(1142&gt;$S$1204,"",INDEX($T$5:$AJ$1204,MATCH(1142,$S$5:$S$1204,0),14))</f>
        <v/>
      </c>
      <c r="O1146" s="15" t="str">
        <f t="array" ref="O1146">IF(1142&gt;$S$1204,"",INDEX($T$5:$AJ$1204,MATCH(1142,$S$5:$S$1204,0),15))</f>
        <v/>
      </c>
      <c r="P1146" s="8" t="str">
        <f t="array" ref="P1146">IF(1142&gt;$S$1204,"",INDEX($T$5:$AJ$1204,MATCH(1142,$S$5:$S$1204,0),16))</f>
        <v/>
      </c>
      <c r="Q1146" s="8" t="str">
        <f t="array" ref="Q1146">IF(1142&gt;$S$1204,"",INDEX($T$5:$AJ$1204,MATCH(1142,$S$5:$S$1204,0),17))</f>
        <v/>
      </c>
      <c r="R1146" s="17"/>
      <c r="S1146" s="17">
        <f>S1145+IF(M6_Puntos_Control!A150="",0,1)</f>
        <v>0</v>
      </c>
      <c r="T1146" s="17" t="str">
        <f>IF(M6_Puntos_Control!A150="","",IF(M6_Puntos_Control!A150="","",M6_Puntos_Control!A150))</f>
        <v/>
      </c>
      <c r="U1146" s="17" t="str">
        <f>IF(M6_Puntos_Control!A150="","",IF(M6_Puntos_Control!R150="","",M6_Puntos_Control!R150))</f>
        <v/>
      </c>
      <c r="V1146" s="17" t="str">
        <f>IF(M6_Puntos_Control!A150="","",IF(M6_Puntos_Control!D150="","",M6_Puntos_Control!D150))</f>
        <v/>
      </c>
      <c r="W1146" s="17" t="str">
        <f>IF(M6_Puntos_Control!A150="","",IF(M6_Puntos_Control!B150="","",M6_Puntos_Control!B150))</f>
        <v/>
      </c>
      <c r="X1146" s="17" t="str">
        <f>IF(M6_Puntos_Control!A150="","",IF(M6_Puntos_Control!C150="","",M6_Puntos_Control!C150))</f>
        <v/>
      </c>
      <c r="Y1146" s="17" t="str">
        <f>IF(M6_Puntos_Control!A150="","",IF(M6_Puntos_Control!E150="","",M6_Puntos_Control!E150))</f>
        <v/>
      </c>
      <c r="Z1146" s="17" t="str">
        <f>IF(M6_Puntos_Control!A150="","",IF(M6_Puntos_Control!F150="","",M6_Puntos_Control!F150))</f>
        <v/>
      </c>
      <c r="AA1146" s="17" t="str">
        <f>IF(M6_Puntos_Control!A150="","","M6 Puntos de control")</f>
        <v/>
      </c>
      <c r="AB1146" s="17" t="str">
        <f>IF(M6_Puntos_Control!A150="","",IF(M6_Puntos_Control!G150="","",M6_Puntos_Control!G150))</f>
        <v/>
      </c>
      <c r="AC1146" s="17" t="str">
        <f>IF(M6_Puntos_Control!A150="","",IF(M6_Puntos_Control!K150="Sí",IF(COUNTIFS(M6_Puntos_Control!$A$9:A150,M6_Puntos_Control!A150,M6_Puntos_Control!$D$9:D150,M6_Puntos_Control!D150,M6_Puntos_Control!$G$9:G150,M6_Puntos_Control!G150,M6_Puntos_Control!$H$9:H150,M6_Puntos_Control!H150,M6_Puntos_Control!$K$9:K150,"Sí")=1,IF(M6_Puntos_Control!M150="","",M6_Puntos_Control!M150),""),""))</f>
        <v/>
      </c>
      <c r="AD1146" s="17" t="str">
        <f>IF(M6_Puntos_Control!A150="","","RD")</f>
        <v/>
      </c>
      <c r="AE1146" s="17" t="str">
        <f>IF(M6_Puntos_Control!A150="","",IF(M6_Puntos_Control!O150="","",M6_Puntos_Control!O150))</f>
        <v/>
      </c>
      <c r="AF1146" s="17" t="str">
        <f>IF(M6_Puntos_Control!A150="","",IF(M6_Puntos_Control!P150="","",M6_Puntos_Control!P150))</f>
        <v/>
      </c>
      <c r="AG1146" s="17" t="str">
        <f>IF(M6_Puntos_Control!A150="","",IF(M6_Puntos_Control!Q150="","",M6_Puntos_Control!Q150))</f>
        <v/>
      </c>
      <c r="AH1146" s="17" t="str">
        <f>IF(M6_Puntos_Control!A150="","",IF(M6_Puntos_Control!I150="","",M6_Puntos_Control!I150))</f>
        <v/>
      </c>
      <c r="AI1146" s="17" t="str">
        <f>IF(M6_Puntos_Control!A150="","","M6_Puntos_Control!150")</f>
        <v/>
      </c>
      <c r="AJ1146" s="17" t="str">
        <f>IF(M6_Puntos_Control!A150="","",IF(M6_Puntos_Control!K150&lt;&gt;"Sí","Punto de comparación",IF(COUNTIFS(M6_Puntos_Control!$A$9:A150,M6_Puntos_Control!A150,M6_Puntos_Control!$D$9:D150,M6_Puntos_Control!D150,M6_Puntos_Control!$G$9:G150,M6_Puntos_Control!G150,M6_Puntos_Control!$H$9:H150,M6_Puntos_Control!H150,M6_Puntos_Control!$K$9:K150,"Sí")=1,IF(M6_Puntos_Control!M150="","Pendiente de resultado","Punto oficial"),"Revisar: varios puntos oficiales")))</f>
        <v/>
      </c>
    </row>
    <row r="1147" spans="1:36" ht="55.5" customHeight="1">
      <c r="A1147" s="6" t="str">
        <f t="array" ref="A1147">IF(1143&gt;$S$1204,"",INDEX($T$5:$AJ$1204,MATCH(1143,$S$5:$S$1204,0),1))</f>
        <v/>
      </c>
      <c r="B1147" s="8" t="str">
        <f t="array" ref="B1147">IF(1143&gt;$S$1204,"",INDEX($T$5:$AJ$1204,MATCH(1143,$S$5:$S$1204,0),2))</f>
        <v/>
      </c>
      <c r="C1147" s="10" t="str">
        <f t="array" ref="C1147">IF(1143&gt;$S$1204,"",INDEX($T$5:$AJ$1204,MATCH(1143,$S$5:$S$1204,0),3))</f>
        <v/>
      </c>
      <c r="D1147" s="8" t="str">
        <f t="array" ref="D1147">IF(1143&gt;$S$1204,"",INDEX($T$5:$AJ$1204,MATCH(1143,$S$5:$S$1204,0),4))</f>
        <v/>
      </c>
      <c r="E1147" s="8" t="str">
        <f t="array" ref="E1147">IF(1143&gt;$S$1204,"",INDEX($T$5:$AJ$1204,MATCH(1143,$S$5:$S$1204,0),5))</f>
        <v/>
      </c>
      <c r="F1147" s="8" t="str">
        <f t="array" ref="F1147">IF(1143&gt;$S$1204,"",INDEX($T$5:$AJ$1204,MATCH(1143,$S$5:$S$1204,0),6))</f>
        <v/>
      </c>
      <c r="G1147" s="8" t="str">
        <f t="array" ref="G1147">IF(1143&gt;$S$1204,"",INDEX($T$5:$AJ$1204,MATCH(1143,$S$5:$S$1204,0),7))</f>
        <v/>
      </c>
      <c r="H1147" s="8" t="str">
        <f t="array" ref="H1147">IF(1143&gt;$S$1204,"",INDEX($T$5:$AJ$1204,MATCH(1143,$S$5:$S$1204,0),8))</f>
        <v/>
      </c>
      <c r="I1147" s="8" t="str">
        <f t="array" ref="I1147">IF(1143&gt;$S$1204,"",INDEX($T$5:$AJ$1204,MATCH(1143,$S$5:$S$1204,0),9))</f>
        <v/>
      </c>
      <c r="J1147" s="14" t="str">
        <f t="array" ref="J1147">IF(1143&gt;$S$1204,"",INDEX($T$5:$AJ$1204,MATCH(1143,$S$5:$S$1204,0),10))</f>
        <v/>
      </c>
      <c r="K1147" s="8" t="str">
        <f t="array" ref="K1147">IF(1143&gt;$S$1204,"",INDEX($T$5:$AJ$1204,MATCH(1143,$S$5:$S$1204,0),11))</f>
        <v/>
      </c>
      <c r="L1147" s="8" t="str">
        <f t="array" ref="L1147">IF(1143&gt;$S$1204,"",INDEX($T$5:$AJ$1204,MATCH(1143,$S$5:$S$1204,0),12))</f>
        <v/>
      </c>
      <c r="M1147" s="8" t="str">
        <f t="array" ref="M1147">IF(1143&gt;$S$1204,"",INDEX($T$5:$AJ$1204,MATCH(1143,$S$5:$S$1204,0),13))</f>
        <v/>
      </c>
      <c r="N1147" s="8" t="str">
        <f t="array" ref="N1147">IF(1143&gt;$S$1204,"",INDEX($T$5:$AJ$1204,MATCH(1143,$S$5:$S$1204,0),14))</f>
        <v/>
      </c>
      <c r="O1147" s="15" t="str">
        <f t="array" ref="O1147">IF(1143&gt;$S$1204,"",INDEX($T$5:$AJ$1204,MATCH(1143,$S$5:$S$1204,0),15))</f>
        <v/>
      </c>
      <c r="P1147" s="8" t="str">
        <f t="array" ref="P1147">IF(1143&gt;$S$1204,"",INDEX($T$5:$AJ$1204,MATCH(1143,$S$5:$S$1204,0),16))</f>
        <v/>
      </c>
      <c r="Q1147" s="8" t="str">
        <f t="array" ref="Q1147">IF(1143&gt;$S$1204,"",INDEX($T$5:$AJ$1204,MATCH(1143,$S$5:$S$1204,0),17))</f>
        <v/>
      </c>
      <c r="R1147" s="17"/>
      <c r="S1147" s="17">
        <f>S1146+IF(M6_Puntos_Control!A151="",0,1)</f>
        <v>0</v>
      </c>
      <c r="T1147" s="17" t="str">
        <f>IF(M6_Puntos_Control!A151="","",IF(M6_Puntos_Control!A151="","",M6_Puntos_Control!A151))</f>
        <v/>
      </c>
      <c r="U1147" s="17" t="str">
        <f>IF(M6_Puntos_Control!A151="","",IF(M6_Puntos_Control!R151="","",M6_Puntos_Control!R151))</f>
        <v/>
      </c>
      <c r="V1147" s="17" t="str">
        <f>IF(M6_Puntos_Control!A151="","",IF(M6_Puntos_Control!D151="","",M6_Puntos_Control!D151))</f>
        <v/>
      </c>
      <c r="W1147" s="17" t="str">
        <f>IF(M6_Puntos_Control!A151="","",IF(M6_Puntos_Control!B151="","",M6_Puntos_Control!B151))</f>
        <v/>
      </c>
      <c r="X1147" s="17" t="str">
        <f>IF(M6_Puntos_Control!A151="","",IF(M6_Puntos_Control!C151="","",M6_Puntos_Control!C151))</f>
        <v/>
      </c>
      <c r="Y1147" s="17" t="str">
        <f>IF(M6_Puntos_Control!A151="","",IF(M6_Puntos_Control!E151="","",M6_Puntos_Control!E151))</f>
        <v/>
      </c>
      <c r="Z1147" s="17" t="str">
        <f>IF(M6_Puntos_Control!A151="","",IF(M6_Puntos_Control!F151="","",M6_Puntos_Control!F151))</f>
        <v/>
      </c>
      <c r="AA1147" s="17" t="str">
        <f>IF(M6_Puntos_Control!A151="","","M6 Puntos de control")</f>
        <v/>
      </c>
      <c r="AB1147" s="17" t="str">
        <f>IF(M6_Puntos_Control!A151="","",IF(M6_Puntos_Control!G151="","",M6_Puntos_Control!G151))</f>
        <v/>
      </c>
      <c r="AC1147" s="17" t="str">
        <f>IF(M6_Puntos_Control!A151="","",IF(M6_Puntos_Control!K151="Sí",IF(COUNTIFS(M6_Puntos_Control!$A$9:A151,M6_Puntos_Control!A151,M6_Puntos_Control!$D$9:D151,M6_Puntos_Control!D151,M6_Puntos_Control!$G$9:G151,M6_Puntos_Control!G151,M6_Puntos_Control!$H$9:H151,M6_Puntos_Control!H151,M6_Puntos_Control!$K$9:K151,"Sí")=1,IF(M6_Puntos_Control!M151="","",M6_Puntos_Control!M151),""),""))</f>
        <v/>
      </c>
      <c r="AD1147" s="17" t="str">
        <f>IF(M6_Puntos_Control!A151="","","RD")</f>
        <v/>
      </c>
      <c r="AE1147" s="17" t="str">
        <f>IF(M6_Puntos_Control!A151="","",IF(M6_Puntos_Control!O151="","",M6_Puntos_Control!O151))</f>
        <v/>
      </c>
      <c r="AF1147" s="17" t="str">
        <f>IF(M6_Puntos_Control!A151="","",IF(M6_Puntos_Control!P151="","",M6_Puntos_Control!P151))</f>
        <v/>
      </c>
      <c r="AG1147" s="17" t="str">
        <f>IF(M6_Puntos_Control!A151="","",IF(M6_Puntos_Control!Q151="","",M6_Puntos_Control!Q151))</f>
        <v/>
      </c>
      <c r="AH1147" s="17" t="str">
        <f>IF(M6_Puntos_Control!A151="","",IF(M6_Puntos_Control!I151="","",M6_Puntos_Control!I151))</f>
        <v/>
      </c>
      <c r="AI1147" s="17" t="str">
        <f>IF(M6_Puntos_Control!A151="","","M6_Puntos_Control!151")</f>
        <v/>
      </c>
      <c r="AJ1147" s="17" t="str">
        <f>IF(M6_Puntos_Control!A151="","",IF(M6_Puntos_Control!K151&lt;&gt;"Sí","Punto de comparación",IF(COUNTIFS(M6_Puntos_Control!$A$9:A151,M6_Puntos_Control!A151,M6_Puntos_Control!$D$9:D151,M6_Puntos_Control!D151,M6_Puntos_Control!$G$9:G151,M6_Puntos_Control!G151,M6_Puntos_Control!$H$9:H151,M6_Puntos_Control!H151,M6_Puntos_Control!$K$9:K151,"Sí")=1,IF(M6_Puntos_Control!M151="","Pendiente de resultado","Punto oficial"),"Revisar: varios puntos oficiales")))</f>
        <v/>
      </c>
    </row>
    <row r="1148" spans="1:36" ht="55.5" customHeight="1">
      <c r="A1148" s="6" t="str">
        <f t="array" ref="A1148">IF(1144&gt;$S$1204,"",INDEX($T$5:$AJ$1204,MATCH(1144,$S$5:$S$1204,0),1))</f>
        <v/>
      </c>
      <c r="B1148" s="8" t="str">
        <f t="array" ref="B1148">IF(1144&gt;$S$1204,"",INDEX($T$5:$AJ$1204,MATCH(1144,$S$5:$S$1204,0),2))</f>
        <v/>
      </c>
      <c r="C1148" s="10" t="str">
        <f t="array" ref="C1148">IF(1144&gt;$S$1204,"",INDEX($T$5:$AJ$1204,MATCH(1144,$S$5:$S$1204,0),3))</f>
        <v/>
      </c>
      <c r="D1148" s="8" t="str">
        <f t="array" ref="D1148">IF(1144&gt;$S$1204,"",INDEX($T$5:$AJ$1204,MATCH(1144,$S$5:$S$1204,0),4))</f>
        <v/>
      </c>
      <c r="E1148" s="8" t="str">
        <f t="array" ref="E1148">IF(1144&gt;$S$1204,"",INDEX($T$5:$AJ$1204,MATCH(1144,$S$5:$S$1204,0),5))</f>
        <v/>
      </c>
      <c r="F1148" s="8" t="str">
        <f t="array" ref="F1148">IF(1144&gt;$S$1204,"",INDEX($T$5:$AJ$1204,MATCH(1144,$S$5:$S$1204,0),6))</f>
        <v/>
      </c>
      <c r="G1148" s="8" t="str">
        <f t="array" ref="G1148">IF(1144&gt;$S$1204,"",INDEX($T$5:$AJ$1204,MATCH(1144,$S$5:$S$1204,0),7))</f>
        <v/>
      </c>
      <c r="H1148" s="8" t="str">
        <f t="array" ref="H1148">IF(1144&gt;$S$1204,"",INDEX($T$5:$AJ$1204,MATCH(1144,$S$5:$S$1204,0),8))</f>
        <v/>
      </c>
      <c r="I1148" s="8" t="str">
        <f t="array" ref="I1148">IF(1144&gt;$S$1204,"",INDEX($T$5:$AJ$1204,MATCH(1144,$S$5:$S$1204,0),9))</f>
        <v/>
      </c>
      <c r="J1148" s="14" t="str">
        <f t="array" ref="J1148">IF(1144&gt;$S$1204,"",INDEX($T$5:$AJ$1204,MATCH(1144,$S$5:$S$1204,0),10))</f>
        <v/>
      </c>
      <c r="K1148" s="8" t="str">
        <f t="array" ref="K1148">IF(1144&gt;$S$1204,"",INDEX($T$5:$AJ$1204,MATCH(1144,$S$5:$S$1204,0),11))</f>
        <v/>
      </c>
      <c r="L1148" s="8" t="str">
        <f t="array" ref="L1148">IF(1144&gt;$S$1204,"",INDEX($T$5:$AJ$1204,MATCH(1144,$S$5:$S$1204,0),12))</f>
        <v/>
      </c>
      <c r="M1148" s="8" t="str">
        <f t="array" ref="M1148">IF(1144&gt;$S$1204,"",INDEX($T$5:$AJ$1204,MATCH(1144,$S$5:$S$1204,0),13))</f>
        <v/>
      </c>
      <c r="N1148" s="8" t="str">
        <f t="array" ref="N1148">IF(1144&gt;$S$1204,"",INDEX($T$5:$AJ$1204,MATCH(1144,$S$5:$S$1204,0),14))</f>
        <v/>
      </c>
      <c r="O1148" s="15" t="str">
        <f t="array" ref="O1148">IF(1144&gt;$S$1204,"",INDEX($T$5:$AJ$1204,MATCH(1144,$S$5:$S$1204,0),15))</f>
        <v/>
      </c>
      <c r="P1148" s="8" t="str">
        <f t="array" ref="P1148">IF(1144&gt;$S$1204,"",INDEX($T$5:$AJ$1204,MATCH(1144,$S$5:$S$1204,0),16))</f>
        <v/>
      </c>
      <c r="Q1148" s="8" t="str">
        <f t="array" ref="Q1148">IF(1144&gt;$S$1204,"",INDEX($T$5:$AJ$1204,MATCH(1144,$S$5:$S$1204,0),17))</f>
        <v/>
      </c>
      <c r="R1148" s="17"/>
      <c r="S1148" s="17">
        <f>S1147+IF(M6_Puntos_Control!A152="",0,1)</f>
        <v>0</v>
      </c>
      <c r="T1148" s="17" t="str">
        <f>IF(M6_Puntos_Control!A152="","",IF(M6_Puntos_Control!A152="","",M6_Puntos_Control!A152))</f>
        <v/>
      </c>
      <c r="U1148" s="17" t="str">
        <f>IF(M6_Puntos_Control!A152="","",IF(M6_Puntos_Control!R152="","",M6_Puntos_Control!R152))</f>
        <v/>
      </c>
      <c r="V1148" s="17" t="str">
        <f>IF(M6_Puntos_Control!A152="","",IF(M6_Puntos_Control!D152="","",M6_Puntos_Control!D152))</f>
        <v/>
      </c>
      <c r="W1148" s="17" t="str">
        <f>IF(M6_Puntos_Control!A152="","",IF(M6_Puntos_Control!B152="","",M6_Puntos_Control!B152))</f>
        <v/>
      </c>
      <c r="X1148" s="17" t="str">
        <f>IF(M6_Puntos_Control!A152="","",IF(M6_Puntos_Control!C152="","",M6_Puntos_Control!C152))</f>
        <v/>
      </c>
      <c r="Y1148" s="17" t="str">
        <f>IF(M6_Puntos_Control!A152="","",IF(M6_Puntos_Control!E152="","",M6_Puntos_Control!E152))</f>
        <v/>
      </c>
      <c r="Z1148" s="17" t="str">
        <f>IF(M6_Puntos_Control!A152="","",IF(M6_Puntos_Control!F152="","",M6_Puntos_Control!F152))</f>
        <v/>
      </c>
      <c r="AA1148" s="17" t="str">
        <f>IF(M6_Puntos_Control!A152="","","M6 Puntos de control")</f>
        <v/>
      </c>
      <c r="AB1148" s="17" t="str">
        <f>IF(M6_Puntos_Control!A152="","",IF(M6_Puntos_Control!G152="","",M6_Puntos_Control!G152))</f>
        <v/>
      </c>
      <c r="AC1148" s="17" t="str">
        <f>IF(M6_Puntos_Control!A152="","",IF(M6_Puntos_Control!K152="Sí",IF(COUNTIFS(M6_Puntos_Control!$A$9:A152,M6_Puntos_Control!A152,M6_Puntos_Control!$D$9:D152,M6_Puntos_Control!D152,M6_Puntos_Control!$G$9:G152,M6_Puntos_Control!G152,M6_Puntos_Control!$H$9:H152,M6_Puntos_Control!H152,M6_Puntos_Control!$K$9:K152,"Sí")=1,IF(M6_Puntos_Control!M152="","",M6_Puntos_Control!M152),""),""))</f>
        <v/>
      </c>
      <c r="AD1148" s="17" t="str">
        <f>IF(M6_Puntos_Control!A152="","","RD")</f>
        <v/>
      </c>
      <c r="AE1148" s="17" t="str">
        <f>IF(M6_Puntos_Control!A152="","",IF(M6_Puntos_Control!O152="","",M6_Puntos_Control!O152))</f>
        <v/>
      </c>
      <c r="AF1148" s="17" t="str">
        <f>IF(M6_Puntos_Control!A152="","",IF(M6_Puntos_Control!P152="","",M6_Puntos_Control!P152))</f>
        <v/>
      </c>
      <c r="AG1148" s="17" t="str">
        <f>IF(M6_Puntos_Control!A152="","",IF(M6_Puntos_Control!Q152="","",M6_Puntos_Control!Q152))</f>
        <v/>
      </c>
      <c r="AH1148" s="17" t="str">
        <f>IF(M6_Puntos_Control!A152="","",IF(M6_Puntos_Control!I152="","",M6_Puntos_Control!I152))</f>
        <v/>
      </c>
      <c r="AI1148" s="17" t="str">
        <f>IF(M6_Puntos_Control!A152="","","M6_Puntos_Control!152")</f>
        <v/>
      </c>
      <c r="AJ1148" s="17" t="str">
        <f>IF(M6_Puntos_Control!A152="","",IF(M6_Puntos_Control!K152&lt;&gt;"Sí","Punto de comparación",IF(COUNTIFS(M6_Puntos_Control!$A$9:A152,M6_Puntos_Control!A152,M6_Puntos_Control!$D$9:D152,M6_Puntos_Control!D152,M6_Puntos_Control!$G$9:G152,M6_Puntos_Control!G152,M6_Puntos_Control!$H$9:H152,M6_Puntos_Control!H152,M6_Puntos_Control!$K$9:K152,"Sí")=1,IF(M6_Puntos_Control!M152="","Pendiente de resultado","Punto oficial"),"Revisar: varios puntos oficiales")))</f>
        <v/>
      </c>
    </row>
    <row r="1149" spans="1:36" ht="55.5" customHeight="1">
      <c r="A1149" s="6" t="str">
        <f t="array" ref="A1149">IF(1145&gt;$S$1204,"",INDEX($T$5:$AJ$1204,MATCH(1145,$S$5:$S$1204,0),1))</f>
        <v/>
      </c>
      <c r="B1149" s="8" t="str">
        <f t="array" ref="B1149">IF(1145&gt;$S$1204,"",INDEX($T$5:$AJ$1204,MATCH(1145,$S$5:$S$1204,0),2))</f>
        <v/>
      </c>
      <c r="C1149" s="10" t="str">
        <f t="array" ref="C1149">IF(1145&gt;$S$1204,"",INDEX($T$5:$AJ$1204,MATCH(1145,$S$5:$S$1204,0),3))</f>
        <v/>
      </c>
      <c r="D1149" s="8" t="str">
        <f t="array" ref="D1149">IF(1145&gt;$S$1204,"",INDEX($T$5:$AJ$1204,MATCH(1145,$S$5:$S$1204,0),4))</f>
        <v/>
      </c>
      <c r="E1149" s="8" t="str">
        <f t="array" ref="E1149">IF(1145&gt;$S$1204,"",INDEX($T$5:$AJ$1204,MATCH(1145,$S$5:$S$1204,0),5))</f>
        <v/>
      </c>
      <c r="F1149" s="8" t="str">
        <f t="array" ref="F1149">IF(1145&gt;$S$1204,"",INDEX($T$5:$AJ$1204,MATCH(1145,$S$5:$S$1204,0),6))</f>
        <v/>
      </c>
      <c r="G1149" s="8" t="str">
        <f t="array" ref="G1149">IF(1145&gt;$S$1204,"",INDEX($T$5:$AJ$1204,MATCH(1145,$S$5:$S$1204,0),7))</f>
        <v/>
      </c>
      <c r="H1149" s="8" t="str">
        <f t="array" ref="H1149">IF(1145&gt;$S$1204,"",INDEX($T$5:$AJ$1204,MATCH(1145,$S$5:$S$1204,0),8))</f>
        <v/>
      </c>
      <c r="I1149" s="8" t="str">
        <f t="array" ref="I1149">IF(1145&gt;$S$1204,"",INDEX($T$5:$AJ$1204,MATCH(1145,$S$5:$S$1204,0),9))</f>
        <v/>
      </c>
      <c r="J1149" s="14" t="str">
        <f t="array" ref="J1149">IF(1145&gt;$S$1204,"",INDEX($T$5:$AJ$1204,MATCH(1145,$S$5:$S$1204,0),10))</f>
        <v/>
      </c>
      <c r="K1149" s="8" t="str">
        <f t="array" ref="K1149">IF(1145&gt;$S$1204,"",INDEX($T$5:$AJ$1204,MATCH(1145,$S$5:$S$1204,0),11))</f>
        <v/>
      </c>
      <c r="L1149" s="8" t="str">
        <f t="array" ref="L1149">IF(1145&gt;$S$1204,"",INDEX($T$5:$AJ$1204,MATCH(1145,$S$5:$S$1204,0),12))</f>
        <v/>
      </c>
      <c r="M1149" s="8" t="str">
        <f t="array" ref="M1149">IF(1145&gt;$S$1204,"",INDEX($T$5:$AJ$1204,MATCH(1145,$S$5:$S$1204,0),13))</f>
        <v/>
      </c>
      <c r="N1149" s="8" t="str">
        <f t="array" ref="N1149">IF(1145&gt;$S$1204,"",INDEX($T$5:$AJ$1204,MATCH(1145,$S$5:$S$1204,0),14))</f>
        <v/>
      </c>
      <c r="O1149" s="15" t="str">
        <f t="array" ref="O1149">IF(1145&gt;$S$1204,"",INDEX($T$5:$AJ$1204,MATCH(1145,$S$5:$S$1204,0),15))</f>
        <v/>
      </c>
      <c r="P1149" s="8" t="str">
        <f t="array" ref="P1149">IF(1145&gt;$S$1204,"",INDEX($T$5:$AJ$1204,MATCH(1145,$S$5:$S$1204,0),16))</f>
        <v/>
      </c>
      <c r="Q1149" s="8" t="str">
        <f t="array" ref="Q1149">IF(1145&gt;$S$1204,"",INDEX($T$5:$AJ$1204,MATCH(1145,$S$5:$S$1204,0),17))</f>
        <v/>
      </c>
      <c r="R1149" s="17"/>
      <c r="S1149" s="17">
        <f>S1148+IF(M6_Puntos_Control!A153="",0,1)</f>
        <v>0</v>
      </c>
      <c r="T1149" s="17" t="str">
        <f>IF(M6_Puntos_Control!A153="","",IF(M6_Puntos_Control!A153="","",M6_Puntos_Control!A153))</f>
        <v/>
      </c>
      <c r="U1149" s="17" t="str">
        <f>IF(M6_Puntos_Control!A153="","",IF(M6_Puntos_Control!R153="","",M6_Puntos_Control!R153))</f>
        <v/>
      </c>
      <c r="V1149" s="17" t="str">
        <f>IF(M6_Puntos_Control!A153="","",IF(M6_Puntos_Control!D153="","",M6_Puntos_Control!D153))</f>
        <v/>
      </c>
      <c r="W1149" s="17" t="str">
        <f>IF(M6_Puntos_Control!A153="","",IF(M6_Puntos_Control!B153="","",M6_Puntos_Control!B153))</f>
        <v/>
      </c>
      <c r="X1149" s="17" t="str">
        <f>IF(M6_Puntos_Control!A153="","",IF(M6_Puntos_Control!C153="","",M6_Puntos_Control!C153))</f>
        <v/>
      </c>
      <c r="Y1149" s="17" t="str">
        <f>IF(M6_Puntos_Control!A153="","",IF(M6_Puntos_Control!E153="","",M6_Puntos_Control!E153))</f>
        <v/>
      </c>
      <c r="Z1149" s="17" t="str">
        <f>IF(M6_Puntos_Control!A153="","",IF(M6_Puntos_Control!F153="","",M6_Puntos_Control!F153))</f>
        <v/>
      </c>
      <c r="AA1149" s="17" t="str">
        <f>IF(M6_Puntos_Control!A153="","","M6 Puntos de control")</f>
        <v/>
      </c>
      <c r="AB1149" s="17" t="str">
        <f>IF(M6_Puntos_Control!A153="","",IF(M6_Puntos_Control!G153="","",M6_Puntos_Control!G153))</f>
        <v/>
      </c>
      <c r="AC1149" s="17" t="str">
        <f>IF(M6_Puntos_Control!A153="","",IF(M6_Puntos_Control!K153="Sí",IF(COUNTIFS(M6_Puntos_Control!$A$9:A153,M6_Puntos_Control!A153,M6_Puntos_Control!$D$9:D153,M6_Puntos_Control!D153,M6_Puntos_Control!$G$9:G153,M6_Puntos_Control!G153,M6_Puntos_Control!$H$9:H153,M6_Puntos_Control!H153,M6_Puntos_Control!$K$9:K153,"Sí")=1,IF(M6_Puntos_Control!M153="","",M6_Puntos_Control!M153),""),""))</f>
        <v/>
      </c>
      <c r="AD1149" s="17" t="str">
        <f>IF(M6_Puntos_Control!A153="","","RD")</f>
        <v/>
      </c>
      <c r="AE1149" s="17" t="str">
        <f>IF(M6_Puntos_Control!A153="","",IF(M6_Puntos_Control!O153="","",M6_Puntos_Control!O153))</f>
        <v/>
      </c>
      <c r="AF1149" s="17" t="str">
        <f>IF(M6_Puntos_Control!A153="","",IF(M6_Puntos_Control!P153="","",M6_Puntos_Control!P153))</f>
        <v/>
      </c>
      <c r="AG1149" s="17" t="str">
        <f>IF(M6_Puntos_Control!A153="","",IF(M6_Puntos_Control!Q153="","",M6_Puntos_Control!Q153))</f>
        <v/>
      </c>
      <c r="AH1149" s="17" t="str">
        <f>IF(M6_Puntos_Control!A153="","",IF(M6_Puntos_Control!I153="","",M6_Puntos_Control!I153))</f>
        <v/>
      </c>
      <c r="AI1149" s="17" t="str">
        <f>IF(M6_Puntos_Control!A153="","","M6_Puntos_Control!153")</f>
        <v/>
      </c>
      <c r="AJ1149" s="17" t="str">
        <f>IF(M6_Puntos_Control!A153="","",IF(M6_Puntos_Control!K153&lt;&gt;"Sí","Punto de comparación",IF(COUNTIFS(M6_Puntos_Control!$A$9:A153,M6_Puntos_Control!A153,M6_Puntos_Control!$D$9:D153,M6_Puntos_Control!D153,M6_Puntos_Control!$G$9:G153,M6_Puntos_Control!G153,M6_Puntos_Control!$H$9:H153,M6_Puntos_Control!H153,M6_Puntos_Control!$K$9:K153,"Sí")=1,IF(M6_Puntos_Control!M153="","Pendiente de resultado","Punto oficial"),"Revisar: varios puntos oficiales")))</f>
        <v/>
      </c>
    </row>
    <row r="1150" spans="1:36" ht="55.5" customHeight="1">
      <c r="A1150" s="6" t="str">
        <f t="array" ref="A1150">IF(1146&gt;$S$1204,"",INDEX($T$5:$AJ$1204,MATCH(1146,$S$5:$S$1204,0),1))</f>
        <v/>
      </c>
      <c r="B1150" s="8" t="str">
        <f t="array" ref="B1150">IF(1146&gt;$S$1204,"",INDEX($T$5:$AJ$1204,MATCH(1146,$S$5:$S$1204,0),2))</f>
        <v/>
      </c>
      <c r="C1150" s="10" t="str">
        <f t="array" ref="C1150">IF(1146&gt;$S$1204,"",INDEX($T$5:$AJ$1204,MATCH(1146,$S$5:$S$1204,0),3))</f>
        <v/>
      </c>
      <c r="D1150" s="8" t="str">
        <f t="array" ref="D1150">IF(1146&gt;$S$1204,"",INDEX($T$5:$AJ$1204,MATCH(1146,$S$5:$S$1204,0),4))</f>
        <v/>
      </c>
      <c r="E1150" s="8" t="str">
        <f t="array" ref="E1150">IF(1146&gt;$S$1204,"",INDEX($T$5:$AJ$1204,MATCH(1146,$S$5:$S$1204,0),5))</f>
        <v/>
      </c>
      <c r="F1150" s="8" t="str">
        <f t="array" ref="F1150">IF(1146&gt;$S$1204,"",INDEX($T$5:$AJ$1204,MATCH(1146,$S$5:$S$1204,0),6))</f>
        <v/>
      </c>
      <c r="G1150" s="8" t="str">
        <f t="array" ref="G1150">IF(1146&gt;$S$1204,"",INDEX($T$5:$AJ$1204,MATCH(1146,$S$5:$S$1204,0),7))</f>
        <v/>
      </c>
      <c r="H1150" s="8" t="str">
        <f t="array" ref="H1150">IF(1146&gt;$S$1204,"",INDEX($T$5:$AJ$1204,MATCH(1146,$S$5:$S$1204,0),8))</f>
        <v/>
      </c>
      <c r="I1150" s="8" t="str">
        <f t="array" ref="I1150">IF(1146&gt;$S$1204,"",INDEX($T$5:$AJ$1204,MATCH(1146,$S$5:$S$1204,0),9))</f>
        <v/>
      </c>
      <c r="J1150" s="14" t="str">
        <f t="array" ref="J1150">IF(1146&gt;$S$1204,"",INDEX($T$5:$AJ$1204,MATCH(1146,$S$5:$S$1204,0),10))</f>
        <v/>
      </c>
      <c r="K1150" s="8" t="str">
        <f t="array" ref="K1150">IF(1146&gt;$S$1204,"",INDEX($T$5:$AJ$1204,MATCH(1146,$S$5:$S$1204,0),11))</f>
        <v/>
      </c>
      <c r="L1150" s="8" t="str">
        <f t="array" ref="L1150">IF(1146&gt;$S$1204,"",INDEX($T$5:$AJ$1204,MATCH(1146,$S$5:$S$1204,0),12))</f>
        <v/>
      </c>
      <c r="M1150" s="8" t="str">
        <f t="array" ref="M1150">IF(1146&gt;$S$1204,"",INDEX($T$5:$AJ$1204,MATCH(1146,$S$5:$S$1204,0),13))</f>
        <v/>
      </c>
      <c r="N1150" s="8" t="str">
        <f t="array" ref="N1150">IF(1146&gt;$S$1204,"",INDEX($T$5:$AJ$1204,MATCH(1146,$S$5:$S$1204,0),14))</f>
        <v/>
      </c>
      <c r="O1150" s="15" t="str">
        <f t="array" ref="O1150">IF(1146&gt;$S$1204,"",INDEX($T$5:$AJ$1204,MATCH(1146,$S$5:$S$1204,0),15))</f>
        <v/>
      </c>
      <c r="P1150" s="8" t="str">
        <f t="array" ref="P1150">IF(1146&gt;$S$1204,"",INDEX($T$5:$AJ$1204,MATCH(1146,$S$5:$S$1204,0),16))</f>
        <v/>
      </c>
      <c r="Q1150" s="8" t="str">
        <f t="array" ref="Q1150">IF(1146&gt;$S$1204,"",INDEX($T$5:$AJ$1204,MATCH(1146,$S$5:$S$1204,0),17))</f>
        <v/>
      </c>
      <c r="R1150" s="17"/>
      <c r="S1150" s="17">
        <f>S1149+IF(M6_Puntos_Control!A154="",0,1)</f>
        <v>0</v>
      </c>
      <c r="T1150" s="17" t="str">
        <f>IF(M6_Puntos_Control!A154="","",IF(M6_Puntos_Control!A154="","",M6_Puntos_Control!A154))</f>
        <v/>
      </c>
      <c r="U1150" s="17" t="str">
        <f>IF(M6_Puntos_Control!A154="","",IF(M6_Puntos_Control!R154="","",M6_Puntos_Control!R154))</f>
        <v/>
      </c>
      <c r="V1150" s="17" t="str">
        <f>IF(M6_Puntos_Control!A154="","",IF(M6_Puntos_Control!D154="","",M6_Puntos_Control!D154))</f>
        <v/>
      </c>
      <c r="W1150" s="17" t="str">
        <f>IF(M6_Puntos_Control!A154="","",IF(M6_Puntos_Control!B154="","",M6_Puntos_Control!B154))</f>
        <v/>
      </c>
      <c r="X1150" s="17" t="str">
        <f>IF(M6_Puntos_Control!A154="","",IF(M6_Puntos_Control!C154="","",M6_Puntos_Control!C154))</f>
        <v/>
      </c>
      <c r="Y1150" s="17" t="str">
        <f>IF(M6_Puntos_Control!A154="","",IF(M6_Puntos_Control!E154="","",M6_Puntos_Control!E154))</f>
        <v/>
      </c>
      <c r="Z1150" s="17" t="str">
        <f>IF(M6_Puntos_Control!A154="","",IF(M6_Puntos_Control!F154="","",M6_Puntos_Control!F154))</f>
        <v/>
      </c>
      <c r="AA1150" s="17" t="str">
        <f>IF(M6_Puntos_Control!A154="","","M6 Puntos de control")</f>
        <v/>
      </c>
      <c r="AB1150" s="17" t="str">
        <f>IF(M6_Puntos_Control!A154="","",IF(M6_Puntos_Control!G154="","",M6_Puntos_Control!G154))</f>
        <v/>
      </c>
      <c r="AC1150" s="17" t="str">
        <f>IF(M6_Puntos_Control!A154="","",IF(M6_Puntos_Control!K154="Sí",IF(COUNTIFS(M6_Puntos_Control!$A$9:A154,M6_Puntos_Control!A154,M6_Puntos_Control!$D$9:D154,M6_Puntos_Control!D154,M6_Puntos_Control!$G$9:G154,M6_Puntos_Control!G154,M6_Puntos_Control!$H$9:H154,M6_Puntos_Control!H154,M6_Puntos_Control!$K$9:K154,"Sí")=1,IF(M6_Puntos_Control!M154="","",M6_Puntos_Control!M154),""),""))</f>
        <v/>
      </c>
      <c r="AD1150" s="17" t="str">
        <f>IF(M6_Puntos_Control!A154="","","RD")</f>
        <v/>
      </c>
      <c r="AE1150" s="17" t="str">
        <f>IF(M6_Puntos_Control!A154="","",IF(M6_Puntos_Control!O154="","",M6_Puntos_Control!O154))</f>
        <v/>
      </c>
      <c r="AF1150" s="17" t="str">
        <f>IF(M6_Puntos_Control!A154="","",IF(M6_Puntos_Control!P154="","",M6_Puntos_Control!P154))</f>
        <v/>
      </c>
      <c r="AG1150" s="17" t="str">
        <f>IF(M6_Puntos_Control!A154="","",IF(M6_Puntos_Control!Q154="","",M6_Puntos_Control!Q154))</f>
        <v/>
      </c>
      <c r="AH1150" s="17" t="str">
        <f>IF(M6_Puntos_Control!A154="","",IF(M6_Puntos_Control!I154="","",M6_Puntos_Control!I154))</f>
        <v/>
      </c>
      <c r="AI1150" s="17" t="str">
        <f>IF(M6_Puntos_Control!A154="","","M6_Puntos_Control!154")</f>
        <v/>
      </c>
      <c r="AJ1150" s="17" t="str">
        <f>IF(M6_Puntos_Control!A154="","",IF(M6_Puntos_Control!K154&lt;&gt;"Sí","Punto de comparación",IF(COUNTIFS(M6_Puntos_Control!$A$9:A154,M6_Puntos_Control!A154,M6_Puntos_Control!$D$9:D154,M6_Puntos_Control!D154,M6_Puntos_Control!$G$9:G154,M6_Puntos_Control!G154,M6_Puntos_Control!$H$9:H154,M6_Puntos_Control!H154,M6_Puntos_Control!$K$9:K154,"Sí")=1,IF(M6_Puntos_Control!M154="","Pendiente de resultado","Punto oficial"),"Revisar: varios puntos oficiales")))</f>
        <v/>
      </c>
    </row>
    <row r="1151" spans="1:36" ht="55.5" customHeight="1">
      <c r="A1151" s="6" t="str">
        <f t="array" ref="A1151">IF(1147&gt;$S$1204,"",INDEX($T$5:$AJ$1204,MATCH(1147,$S$5:$S$1204,0),1))</f>
        <v/>
      </c>
      <c r="B1151" s="8" t="str">
        <f t="array" ref="B1151">IF(1147&gt;$S$1204,"",INDEX($T$5:$AJ$1204,MATCH(1147,$S$5:$S$1204,0),2))</f>
        <v/>
      </c>
      <c r="C1151" s="10" t="str">
        <f t="array" ref="C1151">IF(1147&gt;$S$1204,"",INDEX($T$5:$AJ$1204,MATCH(1147,$S$5:$S$1204,0),3))</f>
        <v/>
      </c>
      <c r="D1151" s="8" t="str">
        <f t="array" ref="D1151">IF(1147&gt;$S$1204,"",INDEX($T$5:$AJ$1204,MATCH(1147,$S$5:$S$1204,0),4))</f>
        <v/>
      </c>
      <c r="E1151" s="8" t="str">
        <f t="array" ref="E1151">IF(1147&gt;$S$1204,"",INDEX($T$5:$AJ$1204,MATCH(1147,$S$5:$S$1204,0),5))</f>
        <v/>
      </c>
      <c r="F1151" s="8" t="str">
        <f t="array" ref="F1151">IF(1147&gt;$S$1204,"",INDEX($T$5:$AJ$1204,MATCH(1147,$S$5:$S$1204,0),6))</f>
        <v/>
      </c>
      <c r="G1151" s="8" t="str">
        <f t="array" ref="G1151">IF(1147&gt;$S$1204,"",INDEX($T$5:$AJ$1204,MATCH(1147,$S$5:$S$1204,0),7))</f>
        <v/>
      </c>
      <c r="H1151" s="8" t="str">
        <f t="array" ref="H1151">IF(1147&gt;$S$1204,"",INDEX($T$5:$AJ$1204,MATCH(1147,$S$5:$S$1204,0),8))</f>
        <v/>
      </c>
      <c r="I1151" s="8" t="str">
        <f t="array" ref="I1151">IF(1147&gt;$S$1204,"",INDEX($T$5:$AJ$1204,MATCH(1147,$S$5:$S$1204,0),9))</f>
        <v/>
      </c>
      <c r="J1151" s="14" t="str">
        <f t="array" ref="J1151">IF(1147&gt;$S$1204,"",INDEX($T$5:$AJ$1204,MATCH(1147,$S$5:$S$1204,0),10))</f>
        <v/>
      </c>
      <c r="K1151" s="8" t="str">
        <f t="array" ref="K1151">IF(1147&gt;$S$1204,"",INDEX($T$5:$AJ$1204,MATCH(1147,$S$5:$S$1204,0),11))</f>
        <v/>
      </c>
      <c r="L1151" s="8" t="str">
        <f t="array" ref="L1151">IF(1147&gt;$S$1204,"",INDEX($T$5:$AJ$1204,MATCH(1147,$S$5:$S$1204,0),12))</f>
        <v/>
      </c>
      <c r="M1151" s="8" t="str">
        <f t="array" ref="M1151">IF(1147&gt;$S$1204,"",INDEX($T$5:$AJ$1204,MATCH(1147,$S$5:$S$1204,0),13))</f>
        <v/>
      </c>
      <c r="N1151" s="8" t="str">
        <f t="array" ref="N1151">IF(1147&gt;$S$1204,"",INDEX($T$5:$AJ$1204,MATCH(1147,$S$5:$S$1204,0),14))</f>
        <v/>
      </c>
      <c r="O1151" s="15" t="str">
        <f t="array" ref="O1151">IF(1147&gt;$S$1204,"",INDEX($T$5:$AJ$1204,MATCH(1147,$S$5:$S$1204,0),15))</f>
        <v/>
      </c>
      <c r="P1151" s="8" t="str">
        <f t="array" ref="P1151">IF(1147&gt;$S$1204,"",INDEX($T$5:$AJ$1204,MATCH(1147,$S$5:$S$1204,0),16))</f>
        <v/>
      </c>
      <c r="Q1151" s="8" t="str">
        <f t="array" ref="Q1151">IF(1147&gt;$S$1204,"",INDEX($T$5:$AJ$1204,MATCH(1147,$S$5:$S$1204,0),17))</f>
        <v/>
      </c>
      <c r="R1151" s="17"/>
      <c r="S1151" s="17">
        <f>S1150+IF(M6_Puntos_Control!A155="",0,1)</f>
        <v>0</v>
      </c>
      <c r="T1151" s="17" t="str">
        <f>IF(M6_Puntos_Control!A155="","",IF(M6_Puntos_Control!A155="","",M6_Puntos_Control!A155))</f>
        <v/>
      </c>
      <c r="U1151" s="17" t="str">
        <f>IF(M6_Puntos_Control!A155="","",IF(M6_Puntos_Control!R155="","",M6_Puntos_Control!R155))</f>
        <v/>
      </c>
      <c r="V1151" s="17" t="str">
        <f>IF(M6_Puntos_Control!A155="","",IF(M6_Puntos_Control!D155="","",M6_Puntos_Control!D155))</f>
        <v/>
      </c>
      <c r="W1151" s="17" t="str">
        <f>IF(M6_Puntos_Control!A155="","",IF(M6_Puntos_Control!B155="","",M6_Puntos_Control!B155))</f>
        <v/>
      </c>
      <c r="X1151" s="17" t="str">
        <f>IF(M6_Puntos_Control!A155="","",IF(M6_Puntos_Control!C155="","",M6_Puntos_Control!C155))</f>
        <v/>
      </c>
      <c r="Y1151" s="17" t="str">
        <f>IF(M6_Puntos_Control!A155="","",IF(M6_Puntos_Control!E155="","",M6_Puntos_Control!E155))</f>
        <v/>
      </c>
      <c r="Z1151" s="17" t="str">
        <f>IF(M6_Puntos_Control!A155="","",IF(M6_Puntos_Control!F155="","",M6_Puntos_Control!F155))</f>
        <v/>
      </c>
      <c r="AA1151" s="17" t="str">
        <f>IF(M6_Puntos_Control!A155="","","M6 Puntos de control")</f>
        <v/>
      </c>
      <c r="AB1151" s="17" t="str">
        <f>IF(M6_Puntos_Control!A155="","",IF(M6_Puntos_Control!G155="","",M6_Puntos_Control!G155))</f>
        <v/>
      </c>
      <c r="AC1151" s="17" t="str">
        <f>IF(M6_Puntos_Control!A155="","",IF(M6_Puntos_Control!K155="Sí",IF(COUNTIFS(M6_Puntos_Control!$A$9:A155,M6_Puntos_Control!A155,M6_Puntos_Control!$D$9:D155,M6_Puntos_Control!D155,M6_Puntos_Control!$G$9:G155,M6_Puntos_Control!G155,M6_Puntos_Control!$H$9:H155,M6_Puntos_Control!H155,M6_Puntos_Control!$K$9:K155,"Sí")=1,IF(M6_Puntos_Control!M155="","",M6_Puntos_Control!M155),""),""))</f>
        <v/>
      </c>
      <c r="AD1151" s="17" t="str">
        <f>IF(M6_Puntos_Control!A155="","","RD")</f>
        <v/>
      </c>
      <c r="AE1151" s="17" t="str">
        <f>IF(M6_Puntos_Control!A155="","",IF(M6_Puntos_Control!O155="","",M6_Puntos_Control!O155))</f>
        <v/>
      </c>
      <c r="AF1151" s="17" t="str">
        <f>IF(M6_Puntos_Control!A155="","",IF(M6_Puntos_Control!P155="","",M6_Puntos_Control!P155))</f>
        <v/>
      </c>
      <c r="AG1151" s="17" t="str">
        <f>IF(M6_Puntos_Control!A155="","",IF(M6_Puntos_Control!Q155="","",M6_Puntos_Control!Q155))</f>
        <v/>
      </c>
      <c r="AH1151" s="17" t="str">
        <f>IF(M6_Puntos_Control!A155="","",IF(M6_Puntos_Control!I155="","",M6_Puntos_Control!I155))</f>
        <v/>
      </c>
      <c r="AI1151" s="17" t="str">
        <f>IF(M6_Puntos_Control!A155="","","M6_Puntos_Control!155")</f>
        <v/>
      </c>
      <c r="AJ1151" s="17" t="str">
        <f>IF(M6_Puntos_Control!A155="","",IF(M6_Puntos_Control!K155&lt;&gt;"Sí","Punto de comparación",IF(COUNTIFS(M6_Puntos_Control!$A$9:A155,M6_Puntos_Control!A155,M6_Puntos_Control!$D$9:D155,M6_Puntos_Control!D155,M6_Puntos_Control!$G$9:G155,M6_Puntos_Control!G155,M6_Puntos_Control!$H$9:H155,M6_Puntos_Control!H155,M6_Puntos_Control!$K$9:K155,"Sí")=1,IF(M6_Puntos_Control!M155="","Pendiente de resultado","Punto oficial"),"Revisar: varios puntos oficiales")))</f>
        <v/>
      </c>
    </row>
    <row r="1152" spans="1:36" ht="55.5" customHeight="1">
      <c r="A1152" s="6" t="str">
        <f t="array" ref="A1152">IF(1148&gt;$S$1204,"",INDEX($T$5:$AJ$1204,MATCH(1148,$S$5:$S$1204,0),1))</f>
        <v/>
      </c>
      <c r="B1152" s="8" t="str">
        <f t="array" ref="B1152">IF(1148&gt;$S$1204,"",INDEX($T$5:$AJ$1204,MATCH(1148,$S$5:$S$1204,0),2))</f>
        <v/>
      </c>
      <c r="C1152" s="10" t="str">
        <f t="array" ref="C1152">IF(1148&gt;$S$1204,"",INDEX($T$5:$AJ$1204,MATCH(1148,$S$5:$S$1204,0),3))</f>
        <v/>
      </c>
      <c r="D1152" s="8" t="str">
        <f t="array" ref="D1152">IF(1148&gt;$S$1204,"",INDEX($T$5:$AJ$1204,MATCH(1148,$S$5:$S$1204,0),4))</f>
        <v/>
      </c>
      <c r="E1152" s="8" t="str">
        <f t="array" ref="E1152">IF(1148&gt;$S$1204,"",INDEX($T$5:$AJ$1204,MATCH(1148,$S$5:$S$1204,0),5))</f>
        <v/>
      </c>
      <c r="F1152" s="8" t="str">
        <f t="array" ref="F1152">IF(1148&gt;$S$1204,"",INDEX($T$5:$AJ$1204,MATCH(1148,$S$5:$S$1204,0),6))</f>
        <v/>
      </c>
      <c r="G1152" s="8" t="str">
        <f t="array" ref="G1152">IF(1148&gt;$S$1204,"",INDEX($T$5:$AJ$1204,MATCH(1148,$S$5:$S$1204,0),7))</f>
        <v/>
      </c>
      <c r="H1152" s="8" t="str">
        <f t="array" ref="H1152">IF(1148&gt;$S$1204,"",INDEX($T$5:$AJ$1204,MATCH(1148,$S$5:$S$1204,0),8))</f>
        <v/>
      </c>
      <c r="I1152" s="8" t="str">
        <f t="array" ref="I1152">IF(1148&gt;$S$1204,"",INDEX($T$5:$AJ$1204,MATCH(1148,$S$5:$S$1204,0),9))</f>
        <v/>
      </c>
      <c r="J1152" s="14" t="str">
        <f t="array" ref="J1152">IF(1148&gt;$S$1204,"",INDEX($T$5:$AJ$1204,MATCH(1148,$S$5:$S$1204,0),10))</f>
        <v/>
      </c>
      <c r="K1152" s="8" t="str">
        <f t="array" ref="K1152">IF(1148&gt;$S$1204,"",INDEX($T$5:$AJ$1204,MATCH(1148,$S$5:$S$1204,0),11))</f>
        <v/>
      </c>
      <c r="L1152" s="8" t="str">
        <f t="array" ref="L1152">IF(1148&gt;$S$1204,"",INDEX($T$5:$AJ$1204,MATCH(1148,$S$5:$S$1204,0),12))</f>
        <v/>
      </c>
      <c r="M1152" s="8" t="str">
        <f t="array" ref="M1152">IF(1148&gt;$S$1204,"",INDEX($T$5:$AJ$1204,MATCH(1148,$S$5:$S$1204,0),13))</f>
        <v/>
      </c>
      <c r="N1152" s="8" t="str">
        <f t="array" ref="N1152">IF(1148&gt;$S$1204,"",INDEX($T$5:$AJ$1204,MATCH(1148,$S$5:$S$1204,0),14))</f>
        <v/>
      </c>
      <c r="O1152" s="15" t="str">
        <f t="array" ref="O1152">IF(1148&gt;$S$1204,"",INDEX($T$5:$AJ$1204,MATCH(1148,$S$5:$S$1204,0),15))</f>
        <v/>
      </c>
      <c r="P1152" s="8" t="str">
        <f t="array" ref="P1152">IF(1148&gt;$S$1204,"",INDEX($T$5:$AJ$1204,MATCH(1148,$S$5:$S$1204,0),16))</f>
        <v/>
      </c>
      <c r="Q1152" s="8" t="str">
        <f t="array" ref="Q1152">IF(1148&gt;$S$1204,"",INDEX($T$5:$AJ$1204,MATCH(1148,$S$5:$S$1204,0),17))</f>
        <v/>
      </c>
      <c r="R1152" s="17"/>
      <c r="S1152" s="17">
        <f>S1151+IF(M6_Puntos_Control!A156="",0,1)</f>
        <v>0</v>
      </c>
      <c r="T1152" s="17" t="str">
        <f>IF(M6_Puntos_Control!A156="","",IF(M6_Puntos_Control!A156="","",M6_Puntos_Control!A156))</f>
        <v/>
      </c>
      <c r="U1152" s="17" t="str">
        <f>IF(M6_Puntos_Control!A156="","",IF(M6_Puntos_Control!R156="","",M6_Puntos_Control!R156))</f>
        <v/>
      </c>
      <c r="V1152" s="17" t="str">
        <f>IF(M6_Puntos_Control!A156="","",IF(M6_Puntos_Control!D156="","",M6_Puntos_Control!D156))</f>
        <v/>
      </c>
      <c r="W1152" s="17" t="str">
        <f>IF(M6_Puntos_Control!A156="","",IF(M6_Puntos_Control!B156="","",M6_Puntos_Control!B156))</f>
        <v/>
      </c>
      <c r="X1152" s="17" t="str">
        <f>IF(M6_Puntos_Control!A156="","",IF(M6_Puntos_Control!C156="","",M6_Puntos_Control!C156))</f>
        <v/>
      </c>
      <c r="Y1152" s="17" t="str">
        <f>IF(M6_Puntos_Control!A156="","",IF(M6_Puntos_Control!E156="","",M6_Puntos_Control!E156))</f>
        <v/>
      </c>
      <c r="Z1152" s="17" t="str">
        <f>IF(M6_Puntos_Control!A156="","",IF(M6_Puntos_Control!F156="","",M6_Puntos_Control!F156))</f>
        <v/>
      </c>
      <c r="AA1152" s="17" t="str">
        <f>IF(M6_Puntos_Control!A156="","","M6 Puntos de control")</f>
        <v/>
      </c>
      <c r="AB1152" s="17" t="str">
        <f>IF(M6_Puntos_Control!A156="","",IF(M6_Puntos_Control!G156="","",M6_Puntos_Control!G156))</f>
        <v/>
      </c>
      <c r="AC1152" s="17" t="str">
        <f>IF(M6_Puntos_Control!A156="","",IF(M6_Puntos_Control!K156="Sí",IF(COUNTIFS(M6_Puntos_Control!$A$9:A156,M6_Puntos_Control!A156,M6_Puntos_Control!$D$9:D156,M6_Puntos_Control!D156,M6_Puntos_Control!$G$9:G156,M6_Puntos_Control!G156,M6_Puntos_Control!$H$9:H156,M6_Puntos_Control!H156,M6_Puntos_Control!$K$9:K156,"Sí")=1,IF(M6_Puntos_Control!M156="","",M6_Puntos_Control!M156),""),""))</f>
        <v/>
      </c>
      <c r="AD1152" s="17" t="str">
        <f>IF(M6_Puntos_Control!A156="","","RD")</f>
        <v/>
      </c>
      <c r="AE1152" s="17" t="str">
        <f>IF(M6_Puntos_Control!A156="","",IF(M6_Puntos_Control!O156="","",M6_Puntos_Control!O156))</f>
        <v/>
      </c>
      <c r="AF1152" s="17" t="str">
        <f>IF(M6_Puntos_Control!A156="","",IF(M6_Puntos_Control!P156="","",M6_Puntos_Control!P156))</f>
        <v/>
      </c>
      <c r="AG1152" s="17" t="str">
        <f>IF(M6_Puntos_Control!A156="","",IF(M6_Puntos_Control!Q156="","",M6_Puntos_Control!Q156))</f>
        <v/>
      </c>
      <c r="AH1152" s="17" t="str">
        <f>IF(M6_Puntos_Control!A156="","",IF(M6_Puntos_Control!I156="","",M6_Puntos_Control!I156))</f>
        <v/>
      </c>
      <c r="AI1152" s="17" t="str">
        <f>IF(M6_Puntos_Control!A156="","","M6_Puntos_Control!156")</f>
        <v/>
      </c>
      <c r="AJ1152" s="17" t="str">
        <f>IF(M6_Puntos_Control!A156="","",IF(M6_Puntos_Control!K156&lt;&gt;"Sí","Punto de comparación",IF(COUNTIFS(M6_Puntos_Control!$A$9:A156,M6_Puntos_Control!A156,M6_Puntos_Control!$D$9:D156,M6_Puntos_Control!D156,M6_Puntos_Control!$G$9:G156,M6_Puntos_Control!G156,M6_Puntos_Control!$H$9:H156,M6_Puntos_Control!H156,M6_Puntos_Control!$K$9:K156,"Sí")=1,IF(M6_Puntos_Control!M156="","Pendiente de resultado","Punto oficial"),"Revisar: varios puntos oficiales")))</f>
        <v/>
      </c>
    </row>
    <row r="1153" spans="1:36" ht="55.5" customHeight="1">
      <c r="A1153" s="6" t="str">
        <f t="array" ref="A1153">IF(1149&gt;$S$1204,"",INDEX($T$5:$AJ$1204,MATCH(1149,$S$5:$S$1204,0),1))</f>
        <v/>
      </c>
      <c r="B1153" s="8" t="str">
        <f t="array" ref="B1153">IF(1149&gt;$S$1204,"",INDEX($T$5:$AJ$1204,MATCH(1149,$S$5:$S$1204,0),2))</f>
        <v/>
      </c>
      <c r="C1153" s="10" t="str">
        <f t="array" ref="C1153">IF(1149&gt;$S$1204,"",INDEX($T$5:$AJ$1204,MATCH(1149,$S$5:$S$1204,0),3))</f>
        <v/>
      </c>
      <c r="D1153" s="8" t="str">
        <f t="array" ref="D1153">IF(1149&gt;$S$1204,"",INDEX($T$5:$AJ$1204,MATCH(1149,$S$5:$S$1204,0),4))</f>
        <v/>
      </c>
      <c r="E1153" s="8" t="str">
        <f t="array" ref="E1153">IF(1149&gt;$S$1204,"",INDEX($T$5:$AJ$1204,MATCH(1149,$S$5:$S$1204,0),5))</f>
        <v/>
      </c>
      <c r="F1153" s="8" t="str">
        <f t="array" ref="F1153">IF(1149&gt;$S$1204,"",INDEX($T$5:$AJ$1204,MATCH(1149,$S$5:$S$1204,0),6))</f>
        <v/>
      </c>
      <c r="G1153" s="8" t="str">
        <f t="array" ref="G1153">IF(1149&gt;$S$1204,"",INDEX($T$5:$AJ$1204,MATCH(1149,$S$5:$S$1204,0),7))</f>
        <v/>
      </c>
      <c r="H1153" s="8" t="str">
        <f t="array" ref="H1153">IF(1149&gt;$S$1204,"",INDEX($T$5:$AJ$1204,MATCH(1149,$S$5:$S$1204,0),8))</f>
        <v/>
      </c>
      <c r="I1153" s="8" t="str">
        <f t="array" ref="I1153">IF(1149&gt;$S$1204,"",INDEX($T$5:$AJ$1204,MATCH(1149,$S$5:$S$1204,0),9))</f>
        <v/>
      </c>
      <c r="J1153" s="14" t="str">
        <f t="array" ref="J1153">IF(1149&gt;$S$1204,"",INDEX($T$5:$AJ$1204,MATCH(1149,$S$5:$S$1204,0),10))</f>
        <v/>
      </c>
      <c r="K1153" s="8" t="str">
        <f t="array" ref="K1153">IF(1149&gt;$S$1204,"",INDEX($T$5:$AJ$1204,MATCH(1149,$S$5:$S$1204,0),11))</f>
        <v/>
      </c>
      <c r="L1153" s="8" t="str">
        <f t="array" ref="L1153">IF(1149&gt;$S$1204,"",INDEX($T$5:$AJ$1204,MATCH(1149,$S$5:$S$1204,0),12))</f>
        <v/>
      </c>
      <c r="M1153" s="8" t="str">
        <f t="array" ref="M1153">IF(1149&gt;$S$1204,"",INDEX($T$5:$AJ$1204,MATCH(1149,$S$5:$S$1204,0),13))</f>
        <v/>
      </c>
      <c r="N1153" s="8" t="str">
        <f t="array" ref="N1153">IF(1149&gt;$S$1204,"",INDEX($T$5:$AJ$1204,MATCH(1149,$S$5:$S$1204,0),14))</f>
        <v/>
      </c>
      <c r="O1153" s="15" t="str">
        <f t="array" ref="O1153">IF(1149&gt;$S$1204,"",INDEX($T$5:$AJ$1204,MATCH(1149,$S$5:$S$1204,0),15))</f>
        <v/>
      </c>
      <c r="P1153" s="8" t="str">
        <f t="array" ref="P1153">IF(1149&gt;$S$1204,"",INDEX($T$5:$AJ$1204,MATCH(1149,$S$5:$S$1204,0),16))</f>
        <v/>
      </c>
      <c r="Q1153" s="8" t="str">
        <f t="array" ref="Q1153">IF(1149&gt;$S$1204,"",INDEX($T$5:$AJ$1204,MATCH(1149,$S$5:$S$1204,0),17))</f>
        <v/>
      </c>
      <c r="R1153" s="17"/>
      <c r="S1153" s="17">
        <f>S1152+IF(M6_Puntos_Control!A157="",0,1)</f>
        <v>0</v>
      </c>
      <c r="T1153" s="17" t="str">
        <f>IF(M6_Puntos_Control!A157="","",IF(M6_Puntos_Control!A157="","",M6_Puntos_Control!A157))</f>
        <v/>
      </c>
      <c r="U1153" s="17" t="str">
        <f>IF(M6_Puntos_Control!A157="","",IF(M6_Puntos_Control!R157="","",M6_Puntos_Control!R157))</f>
        <v/>
      </c>
      <c r="V1153" s="17" t="str">
        <f>IF(M6_Puntos_Control!A157="","",IF(M6_Puntos_Control!D157="","",M6_Puntos_Control!D157))</f>
        <v/>
      </c>
      <c r="W1153" s="17" t="str">
        <f>IF(M6_Puntos_Control!A157="","",IF(M6_Puntos_Control!B157="","",M6_Puntos_Control!B157))</f>
        <v/>
      </c>
      <c r="X1153" s="17" t="str">
        <f>IF(M6_Puntos_Control!A157="","",IF(M6_Puntos_Control!C157="","",M6_Puntos_Control!C157))</f>
        <v/>
      </c>
      <c r="Y1153" s="17" t="str">
        <f>IF(M6_Puntos_Control!A157="","",IF(M6_Puntos_Control!E157="","",M6_Puntos_Control!E157))</f>
        <v/>
      </c>
      <c r="Z1153" s="17" t="str">
        <f>IF(M6_Puntos_Control!A157="","",IF(M6_Puntos_Control!F157="","",M6_Puntos_Control!F157))</f>
        <v/>
      </c>
      <c r="AA1153" s="17" t="str">
        <f>IF(M6_Puntos_Control!A157="","","M6 Puntos de control")</f>
        <v/>
      </c>
      <c r="AB1153" s="17" t="str">
        <f>IF(M6_Puntos_Control!A157="","",IF(M6_Puntos_Control!G157="","",M6_Puntos_Control!G157))</f>
        <v/>
      </c>
      <c r="AC1153" s="17" t="str">
        <f>IF(M6_Puntos_Control!A157="","",IF(M6_Puntos_Control!K157="Sí",IF(COUNTIFS(M6_Puntos_Control!$A$9:A157,M6_Puntos_Control!A157,M6_Puntos_Control!$D$9:D157,M6_Puntos_Control!D157,M6_Puntos_Control!$G$9:G157,M6_Puntos_Control!G157,M6_Puntos_Control!$H$9:H157,M6_Puntos_Control!H157,M6_Puntos_Control!$K$9:K157,"Sí")=1,IF(M6_Puntos_Control!M157="","",M6_Puntos_Control!M157),""),""))</f>
        <v/>
      </c>
      <c r="AD1153" s="17" t="str">
        <f>IF(M6_Puntos_Control!A157="","","RD")</f>
        <v/>
      </c>
      <c r="AE1153" s="17" t="str">
        <f>IF(M6_Puntos_Control!A157="","",IF(M6_Puntos_Control!O157="","",M6_Puntos_Control!O157))</f>
        <v/>
      </c>
      <c r="AF1153" s="17" t="str">
        <f>IF(M6_Puntos_Control!A157="","",IF(M6_Puntos_Control!P157="","",M6_Puntos_Control!P157))</f>
        <v/>
      </c>
      <c r="AG1153" s="17" t="str">
        <f>IF(M6_Puntos_Control!A157="","",IF(M6_Puntos_Control!Q157="","",M6_Puntos_Control!Q157))</f>
        <v/>
      </c>
      <c r="AH1153" s="17" t="str">
        <f>IF(M6_Puntos_Control!A157="","",IF(M6_Puntos_Control!I157="","",M6_Puntos_Control!I157))</f>
        <v/>
      </c>
      <c r="AI1153" s="17" t="str">
        <f>IF(M6_Puntos_Control!A157="","","M6_Puntos_Control!157")</f>
        <v/>
      </c>
      <c r="AJ1153" s="17" t="str">
        <f>IF(M6_Puntos_Control!A157="","",IF(M6_Puntos_Control!K157&lt;&gt;"Sí","Punto de comparación",IF(COUNTIFS(M6_Puntos_Control!$A$9:A157,M6_Puntos_Control!A157,M6_Puntos_Control!$D$9:D157,M6_Puntos_Control!D157,M6_Puntos_Control!$G$9:G157,M6_Puntos_Control!G157,M6_Puntos_Control!$H$9:H157,M6_Puntos_Control!H157,M6_Puntos_Control!$K$9:K157,"Sí")=1,IF(M6_Puntos_Control!M157="","Pendiente de resultado","Punto oficial"),"Revisar: varios puntos oficiales")))</f>
        <v/>
      </c>
    </row>
    <row r="1154" spans="1:36" ht="55.5" customHeight="1">
      <c r="A1154" s="6" t="str">
        <f t="array" ref="A1154">IF(1150&gt;$S$1204,"",INDEX($T$5:$AJ$1204,MATCH(1150,$S$5:$S$1204,0),1))</f>
        <v/>
      </c>
      <c r="B1154" s="8" t="str">
        <f t="array" ref="B1154">IF(1150&gt;$S$1204,"",INDEX($T$5:$AJ$1204,MATCH(1150,$S$5:$S$1204,0),2))</f>
        <v/>
      </c>
      <c r="C1154" s="10" t="str">
        <f t="array" ref="C1154">IF(1150&gt;$S$1204,"",INDEX($T$5:$AJ$1204,MATCH(1150,$S$5:$S$1204,0),3))</f>
        <v/>
      </c>
      <c r="D1154" s="8" t="str">
        <f t="array" ref="D1154">IF(1150&gt;$S$1204,"",INDEX($T$5:$AJ$1204,MATCH(1150,$S$5:$S$1204,0),4))</f>
        <v/>
      </c>
      <c r="E1154" s="8" t="str">
        <f t="array" ref="E1154">IF(1150&gt;$S$1204,"",INDEX($T$5:$AJ$1204,MATCH(1150,$S$5:$S$1204,0),5))</f>
        <v/>
      </c>
      <c r="F1154" s="8" t="str">
        <f t="array" ref="F1154">IF(1150&gt;$S$1204,"",INDEX($T$5:$AJ$1204,MATCH(1150,$S$5:$S$1204,0),6))</f>
        <v/>
      </c>
      <c r="G1154" s="8" t="str">
        <f t="array" ref="G1154">IF(1150&gt;$S$1204,"",INDEX($T$5:$AJ$1204,MATCH(1150,$S$5:$S$1204,0),7))</f>
        <v/>
      </c>
      <c r="H1154" s="8" t="str">
        <f t="array" ref="H1154">IF(1150&gt;$S$1204,"",INDEX($T$5:$AJ$1204,MATCH(1150,$S$5:$S$1204,0),8))</f>
        <v/>
      </c>
      <c r="I1154" s="8" t="str">
        <f t="array" ref="I1154">IF(1150&gt;$S$1204,"",INDEX($T$5:$AJ$1204,MATCH(1150,$S$5:$S$1204,0),9))</f>
        <v/>
      </c>
      <c r="J1154" s="14" t="str">
        <f t="array" ref="J1154">IF(1150&gt;$S$1204,"",INDEX($T$5:$AJ$1204,MATCH(1150,$S$5:$S$1204,0),10))</f>
        <v/>
      </c>
      <c r="K1154" s="8" t="str">
        <f t="array" ref="K1154">IF(1150&gt;$S$1204,"",INDEX($T$5:$AJ$1204,MATCH(1150,$S$5:$S$1204,0),11))</f>
        <v/>
      </c>
      <c r="L1154" s="8" t="str">
        <f t="array" ref="L1154">IF(1150&gt;$S$1204,"",INDEX($T$5:$AJ$1204,MATCH(1150,$S$5:$S$1204,0),12))</f>
        <v/>
      </c>
      <c r="M1154" s="8" t="str">
        <f t="array" ref="M1154">IF(1150&gt;$S$1204,"",INDEX($T$5:$AJ$1204,MATCH(1150,$S$5:$S$1204,0),13))</f>
        <v/>
      </c>
      <c r="N1154" s="8" t="str">
        <f t="array" ref="N1154">IF(1150&gt;$S$1204,"",INDEX($T$5:$AJ$1204,MATCH(1150,$S$5:$S$1204,0),14))</f>
        <v/>
      </c>
      <c r="O1154" s="15" t="str">
        <f t="array" ref="O1154">IF(1150&gt;$S$1204,"",INDEX($T$5:$AJ$1204,MATCH(1150,$S$5:$S$1204,0),15))</f>
        <v/>
      </c>
      <c r="P1154" s="8" t="str">
        <f t="array" ref="P1154">IF(1150&gt;$S$1204,"",INDEX($T$5:$AJ$1204,MATCH(1150,$S$5:$S$1204,0),16))</f>
        <v/>
      </c>
      <c r="Q1154" s="8" t="str">
        <f t="array" ref="Q1154">IF(1150&gt;$S$1204,"",INDEX($T$5:$AJ$1204,MATCH(1150,$S$5:$S$1204,0),17))</f>
        <v/>
      </c>
      <c r="R1154" s="17"/>
      <c r="S1154" s="17">
        <f>S1153+IF(M6_Puntos_Control!A158="",0,1)</f>
        <v>0</v>
      </c>
      <c r="T1154" s="17" t="str">
        <f>IF(M6_Puntos_Control!A158="","",IF(M6_Puntos_Control!A158="","",M6_Puntos_Control!A158))</f>
        <v/>
      </c>
      <c r="U1154" s="17" t="str">
        <f>IF(M6_Puntos_Control!A158="","",IF(M6_Puntos_Control!R158="","",M6_Puntos_Control!R158))</f>
        <v/>
      </c>
      <c r="V1154" s="17" t="str">
        <f>IF(M6_Puntos_Control!A158="","",IF(M6_Puntos_Control!D158="","",M6_Puntos_Control!D158))</f>
        <v/>
      </c>
      <c r="W1154" s="17" t="str">
        <f>IF(M6_Puntos_Control!A158="","",IF(M6_Puntos_Control!B158="","",M6_Puntos_Control!B158))</f>
        <v/>
      </c>
      <c r="X1154" s="17" t="str">
        <f>IF(M6_Puntos_Control!A158="","",IF(M6_Puntos_Control!C158="","",M6_Puntos_Control!C158))</f>
        <v/>
      </c>
      <c r="Y1154" s="17" t="str">
        <f>IF(M6_Puntos_Control!A158="","",IF(M6_Puntos_Control!E158="","",M6_Puntos_Control!E158))</f>
        <v/>
      </c>
      <c r="Z1154" s="17" t="str">
        <f>IF(M6_Puntos_Control!A158="","",IF(M6_Puntos_Control!F158="","",M6_Puntos_Control!F158))</f>
        <v/>
      </c>
      <c r="AA1154" s="17" t="str">
        <f>IF(M6_Puntos_Control!A158="","","M6 Puntos de control")</f>
        <v/>
      </c>
      <c r="AB1154" s="17" t="str">
        <f>IF(M6_Puntos_Control!A158="","",IF(M6_Puntos_Control!G158="","",M6_Puntos_Control!G158))</f>
        <v/>
      </c>
      <c r="AC1154" s="17" t="str">
        <f>IF(M6_Puntos_Control!A158="","",IF(M6_Puntos_Control!K158="Sí",IF(COUNTIFS(M6_Puntos_Control!$A$9:A158,M6_Puntos_Control!A158,M6_Puntos_Control!$D$9:D158,M6_Puntos_Control!D158,M6_Puntos_Control!$G$9:G158,M6_Puntos_Control!G158,M6_Puntos_Control!$H$9:H158,M6_Puntos_Control!H158,M6_Puntos_Control!$K$9:K158,"Sí")=1,IF(M6_Puntos_Control!M158="","",M6_Puntos_Control!M158),""),""))</f>
        <v/>
      </c>
      <c r="AD1154" s="17" t="str">
        <f>IF(M6_Puntos_Control!A158="","","RD")</f>
        <v/>
      </c>
      <c r="AE1154" s="17" t="str">
        <f>IF(M6_Puntos_Control!A158="","",IF(M6_Puntos_Control!O158="","",M6_Puntos_Control!O158))</f>
        <v/>
      </c>
      <c r="AF1154" s="17" t="str">
        <f>IF(M6_Puntos_Control!A158="","",IF(M6_Puntos_Control!P158="","",M6_Puntos_Control!P158))</f>
        <v/>
      </c>
      <c r="AG1154" s="17" t="str">
        <f>IF(M6_Puntos_Control!A158="","",IF(M6_Puntos_Control!Q158="","",M6_Puntos_Control!Q158))</f>
        <v/>
      </c>
      <c r="AH1154" s="17" t="str">
        <f>IF(M6_Puntos_Control!A158="","",IF(M6_Puntos_Control!I158="","",M6_Puntos_Control!I158))</f>
        <v/>
      </c>
      <c r="AI1154" s="17" t="str">
        <f>IF(M6_Puntos_Control!A158="","","M6_Puntos_Control!158")</f>
        <v/>
      </c>
      <c r="AJ1154" s="17" t="str">
        <f>IF(M6_Puntos_Control!A158="","",IF(M6_Puntos_Control!K158&lt;&gt;"Sí","Punto de comparación",IF(COUNTIFS(M6_Puntos_Control!$A$9:A158,M6_Puntos_Control!A158,M6_Puntos_Control!$D$9:D158,M6_Puntos_Control!D158,M6_Puntos_Control!$G$9:G158,M6_Puntos_Control!G158,M6_Puntos_Control!$H$9:H158,M6_Puntos_Control!H158,M6_Puntos_Control!$K$9:K158,"Sí")=1,IF(M6_Puntos_Control!M158="","Pendiente de resultado","Punto oficial"),"Revisar: varios puntos oficiales")))</f>
        <v/>
      </c>
    </row>
    <row r="1155" spans="1:36" ht="55.5" customHeight="1">
      <c r="A1155" s="6" t="str">
        <f t="array" ref="A1155">IF(1151&gt;$S$1204,"",INDEX($T$5:$AJ$1204,MATCH(1151,$S$5:$S$1204,0),1))</f>
        <v/>
      </c>
      <c r="B1155" s="8" t="str">
        <f t="array" ref="B1155">IF(1151&gt;$S$1204,"",INDEX($T$5:$AJ$1204,MATCH(1151,$S$5:$S$1204,0),2))</f>
        <v/>
      </c>
      <c r="C1155" s="10" t="str">
        <f t="array" ref="C1155">IF(1151&gt;$S$1204,"",INDEX($T$5:$AJ$1204,MATCH(1151,$S$5:$S$1204,0),3))</f>
        <v/>
      </c>
      <c r="D1155" s="8" t="str">
        <f t="array" ref="D1155">IF(1151&gt;$S$1204,"",INDEX($T$5:$AJ$1204,MATCH(1151,$S$5:$S$1204,0),4))</f>
        <v/>
      </c>
      <c r="E1155" s="8" t="str">
        <f t="array" ref="E1155">IF(1151&gt;$S$1204,"",INDEX($T$5:$AJ$1204,MATCH(1151,$S$5:$S$1204,0),5))</f>
        <v/>
      </c>
      <c r="F1155" s="8" t="str">
        <f t="array" ref="F1155">IF(1151&gt;$S$1204,"",INDEX($T$5:$AJ$1204,MATCH(1151,$S$5:$S$1204,0),6))</f>
        <v/>
      </c>
      <c r="G1155" s="8" t="str">
        <f t="array" ref="G1155">IF(1151&gt;$S$1204,"",INDEX($T$5:$AJ$1204,MATCH(1151,$S$5:$S$1204,0),7))</f>
        <v/>
      </c>
      <c r="H1155" s="8" t="str">
        <f t="array" ref="H1155">IF(1151&gt;$S$1204,"",INDEX($T$5:$AJ$1204,MATCH(1151,$S$5:$S$1204,0),8))</f>
        <v/>
      </c>
      <c r="I1155" s="8" t="str">
        <f t="array" ref="I1155">IF(1151&gt;$S$1204,"",INDEX($T$5:$AJ$1204,MATCH(1151,$S$5:$S$1204,0),9))</f>
        <v/>
      </c>
      <c r="J1155" s="14" t="str">
        <f t="array" ref="J1155">IF(1151&gt;$S$1204,"",INDEX($T$5:$AJ$1204,MATCH(1151,$S$5:$S$1204,0),10))</f>
        <v/>
      </c>
      <c r="K1155" s="8" t="str">
        <f t="array" ref="K1155">IF(1151&gt;$S$1204,"",INDEX($T$5:$AJ$1204,MATCH(1151,$S$5:$S$1204,0),11))</f>
        <v/>
      </c>
      <c r="L1155" s="8" t="str">
        <f t="array" ref="L1155">IF(1151&gt;$S$1204,"",INDEX($T$5:$AJ$1204,MATCH(1151,$S$5:$S$1204,0),12))</f>
        <v/>
      </c>
      <c r="M1155" s="8" t="str">
        <f t="array" ref="M1155">IF(1151&gt;$S$1204,"",INDEX($T$5:$AJ$1204,MATCH(1151,$S$5:$S$1204,0),13))</f>
        <v/>
      </c>
      <c r="N1155" s="8" t="str">
        <f t="array" ref="N1155">IF(1151&gt;$S$1204,"",INDEX($T$5:$AJ$1204,MATCH(1151,$S$5:$S$1204,0),14))</f>
        <v/>
      </c>
      <c r="O1155" s="15" t="str">
        <f t="array" ref="O1155">IF(1151&gt;$S$1204,"",INDEX($T$5:$AJ$1204,MATCH(1151,$S$5:$S$1204,0),15))</f>
        <v/>
      </c>
      <c r="P1155" s="8" t="str">
        <f t="array" ref="P1155">IF(1151&gt;$S$1204,"",INDEX($T$5:$AJ$1204,MATCH(1151,$S$5:$S$1204,0),16))</f>
        <v/>
      </c>
      <c r="Q1155" s="8" t="str">
        <f t="array" ref="Q1155">IF(1151&gt;$S$1204,"",INDEX($T$5:$AJ$1204,MATCH(1151,$S$5:$S$1204,0),17))</f>
        <v/>
      </c>
      <c r="R1155" s="17"/>
      <c r="S1155" s="17">
        <f>S1154+IF(M6_Puntos_Control!A159="",0,1)</f>
        <v>0</v>
      </c>
      <c r="T1155" s="17" t="str">
        <f>IF(M6_Puntos_Control!A159="","",IF(M6_Puntos_Control!A159="","",M6_Puntos_Control!A159))</f>
        <v/>
      </c>
      <c r="U1155" s="17" t="str">
        <f>IF(M6_Puntos_Control!A159="","",IF(M6_Puntos_Control!R159="","",M6_Puntos_Control!R159))</f>
        <v/>
      </c>
      <c r="V1155" s="17" t="str">
        <f>IF(M6_Puntos_Control!A159="","",IF(M6_Puntos_Control!D159="","",M6_Puntos_Control!D159))</f>
        <v/>
      </c>
      <c r="W1155" s="17" t="str">
        <f>IF(M6_Puntos_Control!A159="","",IF(M6_Puntos_Control!B159="","",M6_Puntos_Control!B159))</f>
        <v/>
      </c>
      <c r="X1155" s="17" t="str">
        <f>IF(M6_Puntos_Control!A159="","",IF(M6_Puntos_Control!C159="","",M6_Puntos_Control!C159))</f>
        <v/>
      </c>
      <c r="Y1155" s="17" t="str">
        <f>IF(M6_Puntos_Control!A159="","",IF(M6_Puntos_Control!E159="","",M6_Puntos_Control!E159))</f>
        <v/>
      </c>
      <c r="Z1155" s="17" t="str">
        <f>IF(M6_Puntos_Control!A159="","",IF(M6_Puntos_Control!F159="","",M6_Puntos_Control!F159))</f>
        <v/>
      </c>
      <c r="AA1155" s="17" t="str">
        <f>IF(M6_Puntos_Control!A159="","","M6 Puntos de control")</f>
        <v/>
      </c>
      <c r="AB1155" s="17" t="str">
        <f>IF(M6_Puntos_Control!A159="","",IF(M6_Puntos_Control!G159="","",M6_Puntos_Control!G159))</f>
        <v/>
      </c>
      <c r="AC1155" s="17" t="str">
        <f>IF(M6_Puntos_Control!A159="","",IF(M6_Puntos_Control!K159="Sí",IF(COUNTIFS(M6_Puntos_Control!$A$9:A159,M6_Puntos_Control!A159,M6_Puntos_Control!$D$9:D159,M6_Puntos_Control!D159,M6_Puntos_Control!$G$9:G159,M6_Puntos_Control!G159,M6_Puntos_Control!$H$9:H159,M6_Puntos_Control!H159,M6_Puntos_Control!$K$9:K159,"Sí")=1,IF(M6_Puntos_Control!M159="","",M6_Puntos_Control!M159),""),""))</f>
        <v/>
      </c>
      <c r="AD1155" s="17" t="str">
        <f>IF(M6_Puntos_Control!A159="","","RD")</f>
        <v/>
      </c>
      <c r="AE1155" s="17" t="str">
        <f>IF(M6_Puntos_Control!A159="","",IF(M6_Puntos_Control!O159="","",M6_Puntos_Control!O159))</f>
        <v/>
      </c>
      <c r="AF1155" s="17" t="str">
        <f>IF(M6_Puntos_Control!A159="","",IF(M6_Puntos_Control!P159="","",M6_Puntos_Control!P159))</f>
        <v/>
      </c>
      <c r="AG1155" s="17" t="str">
        <f>IF(M6_Puntos_Control!A159="","",IF(M6_Puntos_Control!Q159="","",M6_Puntos_Control!Q159))</f>
        <v/>
      </c>
      <c r="AH1155" s="17" t="str">
        <f>IF(M6_Puntos_Control!A159="","",IF(M6_Puntos_Control!I159="","",M6_Puntos_Control!I159))</f>
        <v/>
      </c>
      <c r="AI1155" s="17" t="str">
        <f>IF(M6_Puntos_Control!A159="","","M6_Puntos_Control!159")</f>
        <v/>
      </c>
      <c r="AJ1155" s="17" t="str">
        <f>IF(M6_Puntos_Control!A159="","",IF(M6_Puntos_Control!K159&lt;&gt;"Sí","Punto de comparación",IF(COUNTIFS(M6_Puntos_Control!$A$9:A159,M6_Puntos_Control!A159,M6_Puntos_Control!$D$9:D159,M6_Puntos_Control!D159,M6_Puntos_Control!$G$9:G159,M6_Puntos_Control!G159,M6_Puntos_Control!$H$9:H159,M6_Puntos_Control!H159,M6_Puntos_Control!$K$9:K159,"Sí")=1,IF(M6_Puntos_Control!M159="","Pendiente de resultado","Punto oficial"),"Revisar: varios puntos oficiales")))</f>
        <v/>
      </c>
    </row>
    <row r="1156" spans="1:36" ht="55.5" customHeight="1">
      <c r="A1156" s="6" t="str">
        <f t="array" ref="A1156">IF(1152&gt;$S$1204,"",INDEX($T$5:$AJ$1204,MATCH(1152,$S$5:$S$1204,0),1))</f>
        <v/>
      </c>
      <c r="B1156" s="8" t="str">
        <f t="array" ref="B1156">IF(1152&gt;$S$1204,"",INDEX($T$5:$AJ$1204,MATCH(1152,$S$5:$S$1204,0),2))</f>
        <v/>
      </c>
      <c r="C1156" s="10" t="str">
        <f t="array" ref="C1156">IF(1152&gt;$S$1204,"",INDEX($T$5:$AJ$1204,MATCH(1152,$S$5:$S$1204,0),3))</f>
        <v/>
      </c>
      <c r="D1156" s="8" t="str">
        <f t="array" ref="D1156">IF(1152&gt;$S$1204,"",INDEX($T$5:$AJ$1204,MATCH(1152,$S$5:$S$1204,0),4))</f>
        <v/>
      </c>
      <c r="E1156" s="8" t="str">
        <f t="array" ref="E1156">IF(1152&gt;$S$1204,"",INDEX($T$5:$AJ$1204,MATCH(1152,$S$5:$S$1204,0),5))</f>
        <v/>
      </c>
      <c r="F1156" s="8" t="str">
        <f t="array" ref="F1156">IF(1152&gt;$S$1204,"",INDEX($T$5:$AJ$1204,MATCH(1152,$S$5:$S$1204,0),6))</f>
        <v/>
      </c>
      <c r="G1156" s="8" t="str">
        <f t="array" ref="G1156">IF(1152&gt;$S$1204,"",INDEX($T$5:$AJ$1204,MATCH(1152,$S$5:$S$1204,0),7))</f>
        <v/>
      </c>
      <c r="H1156" s="8" t="str">
        <f t="array" ref="H1156">IF(1152&gt;$S$1204,"",INDEX($T$5:$AJ$1204,MATCH(1152,$S$5:$S$1204,0),8))</f>
        <v/>
      </c>
      <c r="I1156" s="8" t="str">
        <f t="array" ref="I1156">IF(1152&gt;$S$1204,"",INDEX($T$5:$AJ$1204,MATCH(1152,$S$5:$S$1204,0),9))</f>
        <v/>
      </c>
      <c r="J1156" s="14" t="str">
        <f t="array" ref="J1156">IF(1152&gt;$S$1204,"",INDEX($T$5:$AJ$1204,MATCH(1152,$S$5:$S$1204,0),10))</f>
        <v/>
      </c>
      <c r="K1156" s="8" t="str">
        <f t="array" ref="K1156">IF(1152&gt;$S$1204,"",INDEX($T$5:$AJ$1204,MATCH(1152,$S$5:$S$1204,0),11))</f>
        <v/>
      </c>
      <c r="L1156" s="8" t="str">
        <f t="array" ref="L1156">IF(1152&gt;$S$1204,"",INDEX($T$5:$AJ$1204,MATCH(1152,$S$5:$S$1204,0),12))</f>
        <v/>
      </c>
      <c r="M1156" s="8" t="str">
        <f t="array" ref="M1156">IF(1152&gt;$S$1204,"",INDEX($T$5:$AJ$1204,MATCH(1152,$S$5:$S$1204,0),13))</f>
        <v/>
      </c>
      <c r="N1156" s="8" t="str">
        <f t="array" ref="N1156">IF(1152&gt;$S$1204,"",INDEX($T$5:$AJ$1204,MATCH(1152,$S$5:$S$1204,0),14))</f>
        <v/>
      </c>
      <c r="O1156" s="15" t="str">
        <f t="array" ref="O1156">IF(1152&gt;$S$1204,"",INDEX($T$5:$AJ$1204,MATCH(1152,$S$5:$S$1204,0),15))</f>
        <v/>
      </c>
      <c r="P1156" s="8" t="str">
        <f t="array" ref="P1156">IF(1152&gt;$S$1204,"",INDEX($T$5:$AJ$1204,MATCH(1152,$S$5:$S$1204,0),16))</f>
        <v/>
      </c>
      <c r="Q1156" s="8" t="str">
        <f t="array" ref="Q1156">IF(1152&gt;$S$1204,"",INDEX($T$5:$AJ$1204,MATCH(1152,$S$5:$S$1204,0),17))</f>
        <v/>
      </c>
      <c r="R1156" s="17"/>
      <c r="S1156" s="17">
        <f>S1155+IF(M6_Puntos_Control!A160="",0,1)</f>
        <v>0</v>
      </c>
      <c r="T1156" s="17" t="str">
        <f>IF(M6_Puntos_Control!A160="","",IF(M6_Puntos_Control!A160="","",M6_Puntos_Control!A160))</f>
        <v/>
      </c>
      <c r="U1156" s="17" t="str">
        <f>IF(M6_Puntos_Control!A160="","",IF(M6_Puntos_Control!R160="","",M6_Puntos_Control!R160))</f>
        <v/>
      </c>
      <c r="V1156" s="17" t="str">
        <f>IF(M6_Puntos_Control!A160="","",IF(M6_Puntos_Control!D160="","",M6_Puntos_Control!D160))</f>
        <v/>
      </c>
      <c r="W1156" s="17" t="str">
        <f>IF(M6_Puntos_Control!A160="","",IF(M6_Puntos_Control!B160="","",M6_Puntos_Control!B160))</f>
        <v/>
      </c>
      <c r="X1156" s="17" t="str">
        <f>IF(M6_Puntos_Control!A160="","",IF(M6_Puntos_Control!C160="","",M6_Puntos_Control!C160))</f>
        <v/>
      </c>
      <c r="Y1156" s="17" t="str">
        <f>IF(M6_Puntos_Control!A160="","",IF(M6_Puntos_Control!E160="","",M6_Puntos_Control!E160))</f>
        <v/>
      </c>
      <c r="Z1156" s="17" t="str">
        <f>IF(M6_Puntos_Control!A160="","",IF(M6_Puntos_Control!F160="","",M6_Puntos_Control!F160))</f>
        <v/>
      </c>
      <c r="AA1156" s="17" t="str">
        <f>IF(M6_Puntos_Control!A160="","","M6 Puntos de control")</f>
        <v/>
      </c>
      <c r="AB1156" s="17" t="str">
        <f>IF(M6_Puntos_Control!A160="","",IF(M6_Puntos_Control!G160="","",M6_Puntos_Control!G160))</f>
        <v/>
      </c>
      <c r="AC1156" s="17" t="str">
        <f>IF(M6_Puntos_Control!A160="","",IF(M6_Puntos_Control!K160="Sí",IF(COUNTIFS(M6_Puntos_Control!$A$9:A160,M6_Puntos_Control!A160,M6_Puntos_Control!$D$9:D160,M6_Puntos_Control!D160,M6_Puntos_Control!$G$9:G160,M6_Puntos_Control!G160,M6_Puntos_Control!$H$9:H160,M6_Puntos_Control!H160,M6_Puntos_Control!$K$9:K160,"Sí")=1,IF(M6_Puntos_Control!M160="","",M6_Puntos_Control!M160),""),""))</f>
        <v/>
      </c>
      <c r="AD1156" s="17" t="str">
        <f>IF(M6_Puntos_Control!A160="","","RD")</f>
        <v/>
      </c>
      <c r="AE1156" s="17" t="str">
        <f>IF(M6_Puntos_Control!A160="","",IF(M6_Puntos_Control!O160="","",M6_Puntos_Control!O160))</f>
        <v/>
      </c>
      <c r="AF1156" s="17" t="str">
        <f>IF(M6_Puntos_Control!A160="","",IF(M6_Puntos_Control!P160="","",M6_Puntos_Control!P160))</f>
        <v/>
      </c>
      <c r="AG1156" s="17" t="str">
        <f>IF(M6_Puntos_Control!A160="","",IF(M6_Puntos_Control!Q160="","",M6_Puntos_Control!Q160))</f>
        <v/>
      </c>
      <c r="AH1156" s="17" t="str">
        <f>IF(M6_Puntos_Control!A160="","",IF(M6_Puntos_Control!I160="","",M6_Puntos_Control!I160))</f>
        <v/>
      </c>
      <c r="AI1156" s="17" t="str">
        <f>IF(M6_Puntos_Control!A160="","","M6_Puntos_Control!160")</f>
        <v/>
      </c>
      <c r="AJ1156" s="17" t="str">
        <f>IF(M6_Puntos_Control!A160="","",IF(M6_Puntos_Control!K160&lt;&gt;"Sí","Punto de comparación",IF(COUNTIFS(M6_Puntos_Control!$A$9:A160,M6_Puntos_Control!A160,M6_Puntos_Control!$D$9:D160,M6_Puntos_Control!D160,M6_Puntos_Control!$G$9:G160,M6_Puntos_Control!G160,M6_Puntos_Control!$H$9:H160,M6_Puntos_Control!H160,M6_Puntos_Control!$K$9:K160,"Sí")=1,IF(M6_Puntos_Control!M160="","Pendiente de resultado","Punto oficial"),"Revisar: varios puntos oficiales")))</f>
        <v/>
      </c>
    </row>
    <row r="1157" spans="1:36" ht="55.5" customHeight="1">
      <c r="A1157" s="6" t="str">
        <f t="array" ref="A1157">IF(1153&gt;$S$1204,"",INDEX($T$5:$AJ$1204,MATCH(1153,$S$5:$S$1204,0),1))</f>
        <v/>
      </c>
      <c r="B1157" s="8" t="str">
        <f t="array" ref="B1157">IF(1153&gt;$S$1204,"",INDEX($T$5:$AJ$1204,MATCH(1153,$S$5:$S$1204,0),2))</f>
        <v/>
      </c>
      <c r="C1157" s="10" t="str">
        <f t="array" ref="C1157">IF(1153&gt;$S$1204,"",INDEX($T$5:$AJ$1204,MATCH(1153,$S$5:$S$1204,0),3))</f>
        <v/>
      </c>
      <c r="D1157" s="8" t="str">
        <f t="array" ref="D1157">IF(1153&gt;$S$1204,"",INDEX($T$5:$AJ$1204,MATCH(1153,$S$5:$S$1204,0),4))</f>
        <v/>
      </c>
      <c r="E1157" s="8" t="str">
        <f t="array" ref="E1157">IF(1153&gt;$S$1204,"",INDEX($T$5:$AJ$1204,MATCH(1153,$S$5:$S$1204,0),5))</f>
        <v/>
      </c>
      <c r="F1157" s="8" t="str">
        <f t="array" ref="F1157">IF(1153&gt;$S$1204,"",INDEX($T$5:$AJ$1204,MATCH(1153,$S$5:$S$1204,0),6))</f>
        <v/>
      </c>
      <c r="G1157" s="8" t="str">
        <f t="array" ref="G1157">IF(1153&gt;$S$1204,"",INDEX($T$5:$AJ$1204,MATCH(1153,$S$5:$S$1204,0),7))</f>
        <v/>
      </c>
      <c r="H1157" s="8" t="str">
        <f t="array" ref="H1157">IF(1153&gt;$S$1204,"",INDEX($T$5:$AJ$1204,MATCH(1153,$S$5:$S$1204,0),8))</f>
        <v/>
      </c>
      <c r="I1157" s="8" t="str">
        <f t="array" ref="I1157">IF(1153&gt;$S$1204,"",INDEX($T$5:$AJ$1204,MATCH(1153,$S$5:$S$1204,0),9))</f>
        <v/>
      </c>
      <c r="J1157" s="14" t="str">
        <f t="array" ref="J1157">IF(1153&gt;$S$1204,"",INDEX($T$5:$AJ$1204,MATCH(1153,$S$5:$S$1204,0),10))</f>
        <v/>
      </c>
      <c r="K1157" s="8" t="str">
        <f t="array" ref="K1157">IF(1153&gt;$S$1204,"",INDEX($T$5:$AJ$1204,MATCH(1153,$S$5:$S$1204,0),11))</f>
        <v/>
      </c>
      <c r="L1157" s="8" t="str">
        <f t="array" ref="L1157">IF(1153&gt;$S$1204,"",INDEX($T$5:$AJ$1204,MATCH(1153,$S$5:$S$1204,0),12))</f>
        <v/>
      </c>
      <c r="M1157" s="8" t="str">
        <f t="array" ref="M1157">IF(1153&gt;$S$1204,"",INDEX($T$5:$AJ$1204,MATCH(1153,$S$5:$S$1204,0),13))</f>
        <v/>
      </c>
      <c r="N1157" s="8" t="str">
        <f t="array" ref="N1157">IF(1153&gt;$S$1204,"",INDEX($T$5:$AJ$1204,MATCH(1153,$S$5:$S$1204,0),14))</f>
        <v/>
      </c>
      <c r="O1157" s="15" t="str">
        <f t="array" ref="O1157">IF(1153&gt;$S$1204,"",INDEX($T$5:$AJ$1204,MATCH(1153,$S$5:$S$1204,0),15))</f>
        <v/>
      </c>
      <c r="P1157" s="8" t="str">
        <f t="array" ref="P1157">IF(1153&gt;$S$1204,"",INDEX($T$5:$AJ$1204,MATCH(1153,$S$5:$S$1204,0),16))</f>
        <v/>
      </c>
      <c r="Q1157" s="8" t="str">
        <f t="array" ref="Q1157">IF(1153&gt;$S$1204,"",INDEX($T$5:$AJ$1204,MATCH(1153,$S$5:$S$1204,0),17))</f>
        <v/>
      </c>
      <c r="R1157" s="17"/>
      <c r="S1157" s="17">
        <f>S1156+IF(M6_Puntos_Control!A161="",0,1)</f>
        <v>0</v>
      </c>
      <c r="T1157" s="17" t="str">
        <f>IF(M6_Puntos_Control!A161="","",IF(M6_Puntos_Control!A161="","",M6_Puntos_Control!A161))</f>
        <v/>
      </c>
      <c r="U1157" s="17" t="str">
        <f>IF(M6_Puntos_Control!A161="","",IF(M6_Puntos_Control!R161="","",M6_Puntos_Control!R161))</f>
        <v/>
      </c>
      <c r="V1157" s="17" t="str">
        <f>IF(M6_Puntos_Control!A161="","",IF(M6_Puntos_Control!D161="","",M6_Puntos_Control!D161))</f>
        <v/>
      </c>
      <c r="W1157" s="17" t="str">
        <f>IF(M6_Puntos_Control!A161="","",IF(M6_Puntos_Control!B161="","",M6_Puntos_Control!B161))</f>
        <v/>
      </c>
      <c r="X1157" s="17" t="str">
        <f>IF(M6_Puntos_Control!A161="","",IF(M6_Puntos_Control!C161="","",M6_Puntos_Control!C161))</f>
        <v/>
      </c>
      <c r="Y1157" s="17" t="str">
        <f>IF(M6_Puntos_Control!A161="","",IF(M6_Puntos_Control!E161="","",M6_Puntos_Control!E161))</f>
        <v/>
      </c>
      <c r="Z1157" s="17" t="str">
        <f>IF(M6_Puntos_Control!A161="","",IF(M6_Puntos_Control!F161="","",M6_Puntos_Control!F161))</f>
        <v/>
      </c>
      <c r="AA1157" s="17" t="str">
        <f>IF(M6_Puntos_Control!A161="","","M6 Puntos de control")</f>
        <v/>
      </c>
      <c r="AB1157" s="17" t="str">
        <f>IF(M6_Puntos_Control!A161="","",IF(M6_Puntos_Control!G161="","",M6_Puntos_Control!G161))</f>
        <v/>
      </c>
      <c r="AC1157" s="17" t="str">
        <f>IF(M6_Puntos_Control!A161="","",IF(M6_Puntos_Control!K161="Sí",IF(COUNTIFS(M6_Puntos_Control!$A$9:A161,M6_Puntos_Control!A161,M6_Puntos_Control!$D$9:D161,M6_Puntos_Control!D161,M6_Puntos_Control!$G$9:G161,M6_Puntos_Control!G161,M6_Puntos_Control!$H$9:H161,M6_Puntos_Control!H161,M6_Puntos_Control!$K$9:K161,"Sí")=1,IF(M6_Puntos_Control!M161="","",M6_Puntos_Control!M161),""),""))</f>
        <v/>
      </c>
      <c r="AD1157" s="17" t="str">
        <f>IF(M6_Puntos_Control!A161="","","RD")</f>
        <v/>
      </c>
      <c r="AE1157" s="17" t="str">
        <f>IF(M6_Puntos_Control!A161="","",IF(M6_Puntos_Control!O161="","",M6_Puntos_Control!O161))</f>
        <v/>
      </c>
      <c r="AF1157" s="17" t="str">
        <f>IF(M6_Puntos_Control!A161="","",IF(M6_Puntos_Control!P161="","",M6_Puntos_Control!P161))</f>
        <v/>
      </c>
      <c r="AG1157" s="17" t="str">
        <f>IF(M6_Puntos_Control!A161="","",IF(M6_Puntos_Control!Q161="","",M6_Puntos_Control!Q161))</f>
        <v/>
      </c>
      <c r="AH1157" s="17" t="str">
        <f>IF(M6_Puntos_Control!A161="","",IF(M6_Puntos_Control!I161="","",M6_Puntos_Control!I161))</f>
        <v/>
      </c>
      <c r="AI1157" s="17" t="str">
        <f>IF(M6_Puntos_Control!A161="","","M6_Puntos_Control!161")</f>
        <v/>
      </c>
      <c r="AJ1157" s="17" t="str">
        <f>IF(M6_Puntos_Control!A161="","",IF(M6_Puntos_Control!K161&lt;&gt;"Sí","Punto de comparación",IF(COUNTIFS(M6_Puntos_Control!$A$9:A161,M6_Puntos_Control!A161,M6_Puntos_Control!$D$9:D161,M6_Puntos_Control!D161,M6_Puntos_Control!$G$9:G161,M6_Puntos_Control!G161,M6_Puntos_Control!$H$9:H161,M6_Puntos_Control!H161,M6_Puntos_Control!$K$9:K161,"Sí")=1,IF(M6_Puntos_Control!M161="","Pendiente de resultado","Punto oficial"),"Revisar: varios puntos oficiales")))</f>
        <v/>
      </c>
    </row>
    <row r="1158" spans="1:36" ht="55.5" customHeight="1">
      <c r="A1158" s="6" t="str">
        <f t="array" ref="A1158">IF(1154&gt;$S$1204,"",INDEX($T$5:$AJ$1204,MATCH(1154,$S$5:$S$1204,0),1))</f>
        <v/>
      </c>
      <c r="B1158" s="8" t="str">
        <f t="array" ref="B1158">IF(1154&gt;$S$1204,"",INDEX($T$5:$AJ$1204,MATCH(1154,$S$5:$S$1204,0),2))</f>
        <v/>
      </c>
      <c r="C1158" s="10" t="str">
        <f t="array" ref="C1158">IF(1154&gt;$S$1204,"",INDEX($T$5:$AJ$1204,MATCH(1154,$S$5:$S$1204,0),3))</f>
        <v/>
      </c>
      <c r="D1158" s="8" t="str">
        <f t="array" ref="D1158">IF(1154&gt;$S$1204,"",INDEX($T$5:$AJ$1204,MATCH(1154,$S$5:$S$1204,0),4))</f>
        <v/>
      </c>
      <c r="E1158" s="8" t="str">
        <f t="array" ref="E1158">IF(1154&gt;$S$1204,"",INDEX($T$5:$AJ$1204,MATCH(1154,$S$5:$S$1204,0),5))</f>
        <v/>
      </c>
      <c r="F1158" s="8" t="str">
        <f t="array" ref="F1158">IF(1154&gt;$S$1204,"",INDEX($T$5:$AJ$1204,MATCH(1154,$S$5:$S$1204,0),6))</f>
        <v/>
      </c>
      <c r="G1158" s="8" t="str">
        <f t="array" ref="G1158">IF(1154&gt;$S$1204,"",INDEX($T$5:$AJ$1204,MATCH(1154,$S$5:$S$1204,0),7))</f>
        <v/>
      </c>
      <c r="H1158" s="8" t="str">
        <f t="array" ref="H1158">IF(1154&gt;$S$1204,"",INDEX($T$5:$AJ$1204,MATCH(1154,$S$5:$S$1204,0),8))</f>
        <v/>
      </c>
      <c r="I1158" s="8" t="str">
        <f t="array" ref="I1158">IF(1154&gt;$S$1204,"",INDEX($T$5:$AJ$1204,MATCH(1154,$S$5:$S$1204,0),9))</f>
        <v/>
      </c>
      <c r="J1158" s="14" t="str">
        <f t="array" ref="J1158">IF(1154&gt;$S$1204,"",INDEX($T$5:$AJ$1204,MATCH(1154,$S$5:$S$1204,0),10))</f>
        <v/>
      </c>
      <c r="K1158" s="8" t="str">
        <f t="array" ref="K1158">IF(1154&gt;$S$1204,"",INDEX($T$5:$AJ$1204,MATCH(1154,$S$5:$S$1204,0),11))</f>
        <v/>
      </c>
      <c r="L1158" s="8" t="str">
        <f t="array" ref="L1158">IF(1154&gt;$S$1204,"",INDEX($T$5:$AJ$1204,MATCH(1154,$S$5:$S$1204,0),12))</f>
        <v/>
      </c>
      <c r="M1158" s="8" t="str">
        <f t="array" ref="M1158">IF(1154&gt;$S$1204,"",INDEX($T$5:$AJ$1204,MATCH(1154,$S$5:$S$1204,0),13))</f>
        <v/>
      </c>
      <c r="N1158" s="8" t="str">
        <f t="array" ref="N1158">IF(1154&gt;$S$1204,"",INDEX($T$5:$AJ$1204,MATCH(1154,$S$5:$S$1204,0),14))</f>
        <v/>
      </c>
      <c r="O1158" s="15" t="str">
        <f t="array" ref="O1158">IF(1154&gt;$S$1204,"",INDEX($T$5:$AJ$1204,MATCH(1154,$S$5:$S$1204,0),15))</f>
        <v/>
      </c>
      <c r="P1158" s="8" t="str">
        <f t="array" ref="P1158">IF(1154&gt;$S$1204,"",INDEX($T$5:$AJ$1204,MATCH(1154,$S$5:$S$1204,0),16))</f>
        <v/>
      </c>
      <c r="Q1158" s="8" t="str">
        <f t="array" ref="Q1158">IF(1154&gt;$S$1204,"",INDEX($T$5:$AJ$1204,MATCH(1154,$S$5:$S$1204,0),17))</f>
        <v/>
      </c>
      <c r="R1158" s="17"/>
      <c r="S1158" s="17">
        <f>S1157+IF(M6_Puntos_Control!A162="",0,1)</f>
        <v>0</v>
      </c>
      <c r="T1158" s="17" t="str">
        <f>IF(M6_Puntos_Control!A162="","",IF(M6_Puntos_Control!A162="","",M6_Puntos_Control!A162))</f>
        <v/>
      </c>
      <c r="U1158" s="17" t="str">
        <f>IF(M6_Puntos_Control!A162="","",IF(M6_Puntos_Control!R162="","",M6_Puntos_Control!R162))</f>
        <v/>
      </c>
      <c r="V1158" s="17" t="str">
        <f>IF(M6_Puntos_Control!A162="","",IF(M6_Puntos_Control!D162="","",M6_Puntos_Control!D162))</f>
        <v/>
      </c>
      <c r="W1158" s="17" t="str">
        <f>IF(M6_Puntos_Control!A162="","",IF(M6_Puntos_Control!B162="","",M6_Puntos_Control!B162))</f>
        <v/>
      </c>
      <c r="X1158" s="17" t="str">
        <f>IF(M6_Puntos_Control!A162="","",IF(M6_Puntos_Control!C162="","",M6_Puntos_Control!C162))</f>
        <v/>
      </c>
      <c r="Y1158" s="17" t="str">
        <f>IF(M6_Puntos_Control!A162="","",IF(M6_Puntos_Control!E162="","",M6_Puntos_Control!E162))</f>
        <v/>
      </c>
      <c r="Z1158" s="17" t="str">
        <f>IF(M6_Puntos_Control!A162="","",IF(M6_Puntos_Control!F162="","",M6_Puntos_Control!F162))</f>
        <v/>
      </c>
      <c r="AA1158" s="17" t="str">
        <f>IF(M6_Puntos_Control!A162="","","M6 Puntos de control")</f>
        <v/>
      </c>
      <c r="AB1158" s="17" t="str">
        <f>IF(M6_Puntos_Control!A162="","",IF(M6_Puntos_Control!G162="","",M6_Puntos_Control!G162))</f>
        <v/>
      </c>
      <c r="AC1158" s="17" t="str">
        <f>IF(M6_Puntos_Control!A162="","",IF(M6_Puntos_Control!K162="Sí",IF(COUNTIFS(M6_Puntos_Control!$A$9:A162,M6_Puntos_Control!A162,M6_Puntos_Control!$D$9:D162,M6_Puntos_Control!D162,M6_Puntos_Control!$G$9:G162,M6_Puntos_Control!G162,M6_Puntos_Control!$H$9:H162,M6_Puntos_Control!H162,M6_Puntos_Control!$K$9:K162,"Sí")=1,IF(M6_Puntos_Control!M162="","",M6_Puntos_Control!M162),""),""))</f>
        <v/>
      </c>
      <c r="AD1158" s="17" t="str">
        <f>IF(M6_Puntos_Control!A162="","","RD")</f>
        <v/>
      </c>
      <c r="AE1158" s="17" t="str">
        <f>IF(M6_Puntos_Control!A162="","",IF(M6_Puntos_Control!O162="","",M6_Puntos_Control!O162))</f>
        <v/>
      </c>
      <c r="AF1158" s="17" t="str">
        <f>IF(M6_Puntos_Control!A162="","",IF(M6_Puntos_Control!P162="","",M6_Puntos_Control!P162))</f>
        <v/>
      </c>
      <c r="AG1158" s="17" t="str">
        <f>IF(M6_Puntos_Control!A162="","",IF(M6_Puntos_Control!Q162="","",M6_Puntos_Control!Q162))</f>
        <v/>
      </c>
      <c r="AH1158" s="17" t="str">
        <f>IF(M6_Puntos_Control!A162="","",IF(M6_Puntos_Control!I162="","",M6_Puntos_Control!I162))</f>
        <v/>
      </c>
      <c r="AI1158" s="17" t="str">
        <f>IF(M6_Puntos_Control!A162="","","M6_Puntos_Control!162")</f>
        <v/>
      </c>
      <c r="AJ1158" s="17" t="str">
        <f>IF(M6_Puntos_Control!A162="","",IF(M6_Puntos_Control!K162&lt;&gt;"Sí","Punto de comparación",IF(COUNTIFS(M6_Puntos_Control!$A$9:A162,M6_Puntos_Control!A162,M6_Puntos_Control!$D$9:D162,M6_Puntos_Control!D162,M6_Puntos_Control!$G$9:G162,M6_Puntos_Control!G162,M6_Puntos_Control!$H$9:H162,M6_Puntos_Control!H162,M6_Puntos_Control!$K$9:K162,"Sí")=1,IF(M6_Puntos_Control!M162="","Pendiente de resultado","Punto oficial"),"Revisar: varios puntos oficiales")))</f>
        <v/>
      </c>
    </row>
    <row r="1159" spans="1:36" ht="55.5" customHeight="1">
      <c r="A1159" s="6" t="str">
        <f t="array" ref="A1159">IF(1155&gt;$S$1204,"",INDEX($T$5:$AJ$1204,MATCH(1155,$S$5:$S$1204,0),1))</f>
        <v/>
      </c>
      <c r="B1159" s="8" t="str">
        <f t="array" ref="B1159">IF(1155&gt;$S$1204,"",INDEX($T$5:$AJ$1204,MATCH(1155,$S$5:$S$1204,0),2))</f>
        <v/>
      </c>
      <c r="C1159" s="10" t="str">
        <f t="array" ref="C1159">IF(1155&gt;$S$1204,"",INDEX($T$5:$AJ$1204,MATCH(1155,$S$5:$S$1204,0),3))</f>
        <v/>
      </c>
      <c r="D1159" s="8" t="str">
        <f t="array" ref="D1159">IF(1155&gt;$S$1204,"",INDEX($T$5:$AJ$1204,MATCH(1155,$S$5:$S$1204,0),4))</f>
        <v/>
      </c>
      <c r="E1159" s="8" t="str">
        <f t="array" ref="E1159">IF(1155&gt;$S$1204,"",INDEX($T$5:$AJ$1204,MATCH(1155,$S$5:$S$1204,0),5))</f>
        <v/>
      </c>
      <c r="F1159" s="8" t="str">
        <f t="array" ref="F1159">IF(1155&gt;$S$1204,"",INDEX($T$5:$AJ$1204,MATCH(1155,$S$5:$S$1204,0),6))</f>
        <v/>
      </c>
      <c r="G1159" s="8" t="str">
        <f t="array" ref="G1159">IF(1155&gt;$S$1204,"",INDEX($T$5:$AJ$1204,MATCH(1155,$S$5:$S$1204,0),7))</f>
        <v/>
      </c>
      <c r="H1159" s="8" t="str">
        <f t="array" ref="H1159">IF(1155&gt;$S$1204,"",INDEX($T$5:$AJ$1204,MATCH(1155,$S$5:$S$1204,0),8))</f>
        <v/>
      </c>
      <c r="I1159" s="8" t="str">
        <f t="array" ref="I1159">IF(1155&gt;$S$1204,"",INDEX($T$5:$AJ$1204,MATCH(1155,$S$5:$S$1204,0),9))</f>
        <v/>
      </c>
      <c r="J1159" s="14" t="str">
        <f t="array" ref="J1159">IF(1155&gt;$S$1204,"",INDEX($T$5:$AJ$1204,MATCH(1155,$S$5:$S$1204,0),10))</f>
        <v/>
      </c>
      <c r="K1159" s="8" t="str">
        <f t="array" ref="K1159">IF(1155&gt;$S$1204,"",INDEX($T$5:$AJ$1204,MATCH(1155,$S$5:$S$1204,0),11))</f>
        <v/>
      </c>
      <c r="L1159" s="8" t="str">
        <f t="array" ref="L1159">IF(1155&gt;$S$1204,"",INDEX($T$5:$AJ$1204,MATCH(1155,$S$5:$S$1204,0),12))</f>
        <v/>
      </c>
      <c r="M1159" s="8" t="str">
        <f t="array" ref="M1159">IF(1155&gt;$S$1204,"",INDEX($T$5:$AJ$1204,MATCH(1155,$S$5:$S$1204,0),13))</f>
        <v/>
      </c>
      <c r="N1159" s="8" t="str">
        <f t="array" ref="N1159">IF(1155&gt;$S$1204,"",INDEX($T$5:$AJ$1204,MATCH(1155,$S$5:$S$1204,0),14))</f>
        <v/>
      </c>
      <c r="O1159" s="15" t="str">
        <f t="array" ref="O1159">IF(1155&gt;$S$1204,"",INDEX($T$5:$AJ$1204,MATCH(1155,$S$5:$S$1204,0),15))</f>
        <v/>
      </c>
      <c r="P1159" s="8" t="str">
        <f t="array" ref="P1159">IF(1155&gt;$S$1204,"",INDEX($T$5:$AJ$1204,MATCH(1155,$S$5:$S$1204,0),16))</f>
        <v/>
      </c>
      <c r="Q1159" s="8" t="str">
        <f t="array" ref="Q1159">IF(1155&gt;$S$1204,"",INDEX($T$5:$AJ$1204,MATCH(1155,$S$5:$S$1204,0),17))</f>
        <v/>
      </c>
      <c r="R1159" s="17"/>
      <c r="S1159" s="17">
        <f>S1158+IF(M6_Puntos_Control!A163="",0,1)</f>
        <v>0</v>
      </c>
      <c r="T1159" s="17" t="str">
        <f>IF(M6_Puntos_Control!A163="","",IF(M6_Puntos_Control!A163="","",M6_Puntos_Control!A163))</f>
        <v/>
      </c>
      <c r="U1159" s="17" t="str">
        <f>IF(M6_Puntos_Control!A163="","",IF(M6_Puntos_Control!R163="","",M6_Puntos_Control!R163))</f>
        <v/>
      </c>
      <c r="V1159" s="17" t="str">
        <f>IF(M6_Puntos_Control!A163="","",IF(M6_Puntos_Control!D163="","",M6_Puntos_Control!D163))</f>
        <v/>
      </c>
      <c r="W1159" s="17" t="str">
        <f>IF(M6_Puntos_Control!A163="","",IF(M6_Puntos_Control!B163="","",M6_Puntos_Control!B163))</f>
        <v/>
      </c>
      <c r="X1159" s="17" t="str">
        <f>IF(M6_Puntos_Control!A163="","",IF(M6_Puntos_Control!C163="","",M6_Puntos_Control!C163))</f>
        <v/>
      </c>
      <c r="Y1159" s="17" t="str">
        <f>IF(M6_Puntos_Control!A163="","",IF(M6_Puntos_Control!E163="","",M6_Puntos_Control!E163))</f>
        <v/>
      </c>
      <c r="Z1159" s="17" t="str">
        <f>IF(M6_Puntos_Control!A163="","",IF(M6_Puntos_Control!F163="","",M6_Puntos_Control!F163))</f>
        <v/>
      </c>
      <c r="AA1159" s="17" t="str">
        <f>IF(M6_Puntos_Control!A163="","","M6 Puntos de control")</f>
        <v/>
      </c>
      <c r="AB1159" s="17" t="str">
        <f>IF(M6_Puntos_Control!A163="","",IF(M6_Puntos_Control!G163="","",M6_Puntos_Control!G163))</f>
        <v/>
      </c>
      <c r="AC1159" s="17" t="str">
        <f>IF(M6_Puntos_Control!A163="","",IF(M6_Puntos_Control!K163="Sí",IF(COUNTIFS(M6_Puntos_Control!$A$9:A163,M6_Puntos_Control!A163,M6_Puntos_Control!$D$9:D163,M6_Puntos_Control!D163,M6_Puntos_Control!$G$9:G163,M6_Puntos_Control!G163,M6_Puntos_Control!$H$9:H163,M6_Puntos_Control!H163,M6_Puntos_Control!$K$9:K163,"Sí")=1,IF(M6_Puntos_Control!M163="","",M6_Puntos_Control!M163),""),""))</f>
        <v/>
      </c>
      <c r="AD1159" s="17" t="str">
        <f>IF(M6_Puntos_Control!A163="","","RD")</f>
        <v/>
      </c>
      <c r="AE1159" s="17" t="str">
        <f>IF(M6_Puntos_Control!A163="","",IF(M6_Puntos_Control!O163="","",M6_Puntos_Control!O163))</f>
        <v/>
      </c>
      <c r="AF1159" s="17" t="str">
        <f>IF(M6_Puntos_Control!A163="","",IF(M6_Puntos_Control!P163="","",M6_Puntos_Control!P163))</f>
        <v/>
      </c>
      <c r="AG1159" s="17" t="str">
        <f>IF(M6_Puntos_Control!A163="","",IF(M6_Puntos_Control!Q163="","",M6_Puntos_Control!Q163))</f>
        <v/>
      </c>
      <c r="AH1159" s="17" t="str">
        <f>IF(M6_Puntos_Control!A163="","",IF(M6_Puntos_Control!I163="","",M6_Puntos_Control!I163))</f>
        <v/>
      </c>
      <c r="AI1159" s="17" t="str">
        <f>IF(M6_Puntos_Control!A163="","","M6_Puntos_Control!163")</f>
        <v/>
      </c>
      <c r="AJ1159" s="17" t="str">
        <f>IF(M6_Puntos_Control!A163="","",IF(M6_Puntos_Control!K163&lt;&gt;"Sí","Punto de comparación",IF(COUNTIFS(M6_Puntos_Control!$A$9:A163,M6_Puntos_Control!A163,M6_Puntos_Control!$D$9:D163,M6_Puntos_Control!D163,M6_Puntos_Control!$G$9:G163,M6_Puntos_Control!G163,M6_Puntos_Control!$H$9:H163,M6_Puntos_Control!H163,M6_Puntos_Control!$K$9:K163,"Sí")=1,IF(M6_Puntos_Control!M163="","Pendiente de resultado","Punto oficial"),"Revisar: varios puntos oficiales")))</f>
        <v/>
      </c>
    </row>
    <row r="1160" spans="1:36" ht="55.5" customHeight="1">
      <c r="A1160" s="6" t="str">
        <f t="array" ref="A1160">IF(1156&gt;$S$1204,"",INDEX($T$5:$AJ$1204,MATCH(1156,$S$5:$S$1204,0),1))</f>
        <v/>
      </c>
      <c r="B1160" s="8" t="str">
        <f t="array" ref="B1160">IF(1156&gt;$S$1204,"",INDEX($T$5:$AJ$1204,MATCH(1156,$S$5:$S$1204,0),2))</f>
        <v/>
      </c>
      <c r="C1160" s="10" t="str">
        <f t="array" ref="C1160">IF(1156&gt;$S$1204,"",INDEX($T$5:$AJ$1204,MATCH(1156,$S$5:$S$1204,0),3))</f>
        <v/>
      </c>
      <c r="D1160" s="8" t="str">
        <f t="array" ref="D1160">IF(1156&gt;$S$1204,"",INDEX($T$5:$AJ$1204,MATCH(1156,$S$5:$S$1204,0),4))</f>
        <v/>
      </c>
      <c r="E1160" s="8" t="str">
        <f t="array" ref="E1160">IF(1156&gt;$S$1204,"",INDEX($T$5:$AJ$1204,MATCH(1156,$S$5:$S$1204,0),5))</f>
        <v/>
      </c>
      <c r="F1160" s="8" t="str">
        <f t="array" ref="F1160">IF(1156&gt;$S$1204,"",INDEX($T$5:$AJ$1204,MATCH(1156,$S$5:$S$1204,0),6))</f>
        <v/>
      </c>
      <c r="G1160" s="8" t="str">
        <f t="array" ref="G1160">IF(1156&gt;$S$1204,"",INDEX($T$5:$AJ$1204,MATCH(1156,$S$5:$S$1204,0),7))</f>
        <v/>
      </c>
      <c r="H1160" s="8" t="str">
        <f t="array" ref="H1160">IF(1156&gt;$S$1204,"",INDEX($T$5:$AJ$1204,MATCH(1156,$S$5:$S$1204,0),8))</f>
        <v/>
      </c>
      <c r="I1160" s="8" t="str">
        <f t="array" ref="I1160">IF(1156&gt;$S$1204,"",INDEX($T$5:$AJ$1204,MATCH(1156,$S$5:$S$1204,0),9))</f>
        <v/>
      </c>
      <c r="J1160" s="14" t="str">
        <f t="array" ref="J1160">IF(1156&gt;$S$1204,"",INDEX($T$5:$AJ$1204,MATCH(1156,$S$5:$S$1204,0),10))</f>
        <v/>
      </c>
      <c r="K1160" s="8" t="str">
        <f t="array" ref="K1160">IF(1156&gt;$S$1204,"",INDEX($T$5:$AJ$1204,MATCH(1156,$S$5:$S$1204,0),11))</f>
        <v/>
      </c>
      <c r="L1160" s="8" t="str">
        <f t="array" ref="L1160">IF(1156&gt;$S$1204,"",INDEX($T$5:$AJ$1204,MATCH(1156,$S$5:$S$1204,0),12))</f>
        <v/>
      </c>
      <c r="M1160" s="8" t="str">
        <f t="array" ref="M1160">IF(1156&gt;$S$1204,"",INDEX($T$5:$AJ$1204,MATCH(1156,$S$5:$S$1204,0),13))</f>
        <v/>
      </c>
      <c r="N1160" s="8" t="str">
        <f t="array" ref="N1160">IF(1156&gt;$S$1204,"",INDEX($T$5:$AJ$1204,MATCH(1156,$S$5:$S$1204,0),14))</f>
        <v/>
      </c>
      <c r="O1160" s="15" t="str">
        <f t="array" ref="O1160">IF(1156&gt;$S$1204,"",INDEX($T$5:$AJ$1204,MATCH(1156,$S$5:$S$1204,0),15))</f>
        <v/>
      </c>
      <c r="P1160" s="8" t="str">
        <f t="array" ref="P1160">IF(1156&gt;$S$1204,"",INDEX($T$5:$AJ$1204,MATCH(1156,$S$5:$S$1204,0),16))</f>
        <v/>
      </c>
      <c r="Q1160" s="8" t="str">
        <f t="array" ref="Q1160">IF(1156&gt;$S$1204,"",INDEX($T$5:$AJ$1204,MATCH(1156,$S$5:$S$1204,0),17))</f>
        <v/>
      </c>
      <c r="R1160" s="17"/>
      <c r="S1160" s="17">
        <f>S1159+IF(M6_Puntos_Control!A164="",0,1)</f>
        <v>0</v>
      </c>
      <c r="T1160" s="17" t="str">
        <f>IF(M6_Puntos_Control!A164="","",IF(M6_Puntos_Control!A164="","",M6_Puntos_Control!A164))</f>
        <v/>
      </c>
      <c r="U1160" s="17" t="str">
        <f>IF(M6_Puntos_Control!A164="","",IF(M6_Puntos_Control!R164="","",M6_Puntos_Control!R164))</f>
        <v/>
      </c>
      <c r="V1160" s="17" t="str">
        <f>IF(M6_Puntos_Control!A164="","",IF(M6_Puntos_Control!D164="","",M6_Puntos_Control!D164))</f>
        <v/>
      </c>
      <c r="W1160" s="17" t="str">
        <f>IF(M6_Puntos_Control!A164="","",IF(M6_Puntos_Control!B164="","",M6_Puntos_Control!B164))</f>
        <v/>
      </c>
      <c r="X1160" s="17" t="str">
        <f>IF(M6_Puntos_Control!A164="","",IF(M6_Puntos_Control!C164="","",M6_Puntos_Control!C164))</f>
        <v/>
      </c>
      <c r="Y1160" s="17" t="str">
        <f>IF(M6_Puntos_Control!A164="","",IF(M6_Puntos_Control!E164="","",M6_Puntos_Control!E164))</f>
        <v/>
      </c>
      <c r="Z1160" s="17" t="str">
        <f>IF(M6_Puntos_Control!A164="","",IF(M6_Puntos_Control!F164="","",M6_Puntos_Control!F164))</f>
        <v/>
      </c>
      <c r="AA1160" s="17" t="str">
        <f>IF(M6_Puntos_Control!A164="","","M6 Puntos de control")</f>
        <v/>
      </c>
      <c r="AB1160" s="17" t="str">
        <f>IF(M6_Puntos_Control!A164="","",IF(M6_Puntos_Control!G164="","",M6_Puntos_Control!G164))</f>
        <v/>
      </c>
      <c r="AC1160" s="17" t="str">
        <f>IF(M6_Puntos_Control!A164="","",IF(M6_Puntos_Control!K164="Sí",IF(COUNTIFS(M6_Puntos_Control!$A$9:A164,M6_Puntos_Control!A164,M6_Puntos_Control!$D$9:D164,M6_Puntos_Control!D164,M6_Puntos_Control!$G$9:G164,M6_Puntos_Control!G164,M6_Puntos_Control!$H$9:H164,M6_Puntos_Control!H164,M6_Puntos_Control!$K$9:K164,"Sí")=1,IF(M6_Puntos_Control!M164="","",M6_Puntos_Control!M164),""),""))</f>
        <v/>
      </c>
      <c r="AD1160" s="17" t="str">
        <f>IF(M6_Puntos_Control!A164="","","RD")</f>
        <v/>
      </c>
      <c r="AE1160" s="17" t="str">
        <f>IF(M6_Puntos_Control!A164="","",IF(M6_Puntos_Control!O164="","",M6_Puntos_Control!O164))</f>
        <v/>
      </c>
      <c r="AF1160" s="17" t="str">
        <f>IF(M6_Puntos_Control!A164="","",IF(M6_Puntos_Control!P164="","",M6_Puntos_Control!P164))</f>
        <v/>
      </c>
      <c r="AG1160" s="17" t="str">
        <f>IF(M6_Puntos_Control!A164="","",IF(M6_Puntos_Control!Q164="","",M6_Puntos_Control!Q164))</f>
        <v/>
      </c>
      <c r="AH1160" s="17" t="str">
        <f>IF(M6_Puntos_Control!A164="","",IF(M6_Puntos_Control!I164="","",M6_Puntos_Control!I164))</f>
        <v/>
      </c>
      <c r="AI1160" s="17" t="str">
        <f>IF(M6_Puntos_Control!A164="","","M6_Puntos_Control!164")</f>
        <v/>
      </c>
      <c r="AJ1160" s="17" t="str">
        <f>IF(M6_Puntos_Control!A164="","",IF(M6_Puntos_Control!K164&lt;&gt;"Sí","Punto de comparación",IF(COUNTIFS(M6_Puntos_Control!$A$9:A164,M6_Puntos_Control!A164,M6_Puntos_Control!$D$9:D164,M6_Puntos_Control!D164,M6_Puntos_Control!$G$9:G164,M6_Puntos_Control!G164,M6_Puntos_Control!$H$9:H164,M6_Puntos_Control!H164,M6_Puntos_Control!$K$9:K164,"Sí")=1,IF(M6_Puntos_Control!M164="","Pendiente de resultado","Punto oficial"),"Revisar: varios puntos oficiales")))</f>
        <v/>
      </c>
    </row>
    <row r="1161" spans="1:36" ht="55.5" customHeight="1">
      <c r="A1161" s="6" t="str">
        <f t="array" ref="A1161">IF(1157&gt;$S$1204,"",INDEX($T$5:$AJ$1204,MATCH(1157,$S$5:$S$1204,0),1))</f>
        <v/>
      </c>
      <c r="B1161" s="8" t="str">
        <f t="array" ref="B1161">IF(1157&gt;$S$1204,"",INDEX($T$5:$AJ$1204,MATCH(1157,$S$5:$S$1204,0),2))</f>
        <v/>
      </c>
      <c r="C1161" s="10" t="str">
        <f t="array" ref="C1161">IF(1157&gt;$S$1204,"",INDEX($T$5:$AJ$1204,MATCH(1157,$S$5:$S$1204,0),3))</f>
        <v/>
      </c>
      <c r="D1161" s="8" t="str">
        <f t="array" ref="D1161">IF(1157&gt;$S$1204,"",INDEX($T$5:$AJ$1204,MATCH(1157,$S$5:$S$1204,0),4))</f>
        <v/>
      </c>
      <c r="E1161" s="8" t="str">
        <f t="array" ref="E1161">IF(1157&gt;$S$1204,"",INDEX($T$5:$AJ$1204,MATCH(1157,$S$5:$S$1204,0),5))</f>
        <v/>
      </c>
      <c r="F1161" s="8" t="str">
        <f t="array" ref="F1161">IF(1157&gt;$S$1204,"",INDEX($T$5:$AJ$1204,MATCH(1157,$S$5:$S$1204,0),6))</f>
        <v/>
      </c>
      <c r="G1161" s="8" t="str">
        <f t="array" ref="G1161">IF(1157&gt;$S$1204,"",INDEX($T$5:$AJ$1204,MATCH(1157,$S$5:$S$1204,0),7))</f>
        <v/>
      </c>
      <c r="H1161" s="8" t="str">
        <f t="array" ref="H1161">IF(1157&gt;$S$1204,"",INDEX($T$5:$AJ$1204,MATCH(1157,$S$5:$S$1204,0),8))</f>
        <v/>
      </c>
      <c r="I1161" s="8" t="str">
        <f t="array" ref="I1161">IF(1157&gt;$S$1204,"",INDEX($T$5:$AJ$1204,MATCH(1157,$S$5:$S$1204,0),9))</f>
        <v/>
      </c>
      <c r="J1161" s="14" t="str">
        <f t="array" ref="J1161">IF(1157&gt;$S$1204,"",INDEX($T$5:$AJ$1204,MATCH(1157,$S$5:$S$1204,0),10))</f>
        <v/>
      </c>
      <c r="K1161" s="8" t="str">
        <f t="array" ref="K1161">IF(1157&gt;$S$1204,"",INDEX($T$5:$AJ$1204,MATCH(1157,$S$5:$S$1204,0),11))</f>
        <v/>
      </c>
      <c r="L1161" s="8" t="str">
        <f t="array" ref="L1161">IF(1157&gt;$S$1204,"",INDEX($T$5:$AJ$1204,MATCH(1157,$S$5:$S$1204,0),12))</f>
        <v/>
      </c>
      <c r="M1161" s="8" t="str">
        <f t="array" ref="M1161">IF(1157&gt;$S$1204,"",INDEX($T$5:$AJ$1204,MATCH(1157,$S$5:$S$1204,0),13))</f>
        <v/>
      </c>
      <c r="N1161" s="8" t="str">
        <f t="array" ref="N1161">IF(1157&gt;$S$1204,"",INDEX($T$5:$AJ$1204,MATCH(1157,$S$5:$S$1204,0),14))</f>
        <v/>
      </c>
      <c r="O1161" s="15" t="str">
        <f t="array" ref="O1161">IF(1157&gt;$S$1204,"",INDEX($T$5:$AJ$1204,MATCH(1157,$S$5:$S$1204,0),15))</f>
        <v/>
      </c>
      <c r="P1161" s="8" t="str">
        <f t="array" ref="P1161">IF(1157&gt;$S$1204,"",INDEX($T$5:$AJ$1204,MATCH(1157,$S$5:$S$1204,0),16))</f>
        <v/>
      </c>
      <c r="Q1161" s="8" t="str">
        <f t="array" ref="Q1161">IF(1157&gt;$S$1204,"",INDEX($T$5:$AJ$1204,MATCH(1157,$S$5:$S$1204,0),17))</f>
        <v/>
      </c>
      <c r="R1161" s="17"/>
      <c r="S1161" s="17">
        <f>S1160+IF(M6_Puntos_Control!A165="",0,1)</f>
        <v>0</v>
      </c>
      <c r="T1161" s="17" t="str">
        <f>IF(M6_Puntos_Control!A165="","",IF(M6_Puntos_Control!A165="","",M6_Puntos_Control!A165))</f>
        <v/>
      </c>
      <c r="U1161" s="17" t="str">
        <f>IF(M6_Puntos_Control!A165="","",IF(M6_Puntos_Control!R165="","",M6_Puntos_Control!R165))</f>
        <v/>
      </c>
      <c r="V1161" s="17" t="str">
        <f>IF(M6_Puntos_Control!A165="","",IF(M6_Puntos_Control!D165="","",M6_Puntos_Control!D165))</f>
        <v/>
      </c>
      <c r="W1161" s="17" t="str">
        <f>IF(M6_Puntos_Control!A165="","",IF(M6_Puntos_Control!B165="","",M6_Puntos_Control!B165))</f>
        <v/>
      </c>
      <c r="X1161" s="17" t="str">
        <f>IF(M6_Puntos_Control!A165="","",IF(M6_Puntos_Control!C165="","",M6_Puntos_Control!C165))</f>
        <v/>
      </c>
      <c r="Y1161" s="17" t="str">
        <f>IF(M6_Puntos_Control!A165="","",IF(M6_Puntos_Control!E165="","",M6_Puntos_Control!E165))</f>
        <v/>
      </c>
      <c r="Z1161" s="17" t="str">
        <f>IF(M6_Puntos_Control!A165="","",IF(M6_Puntos_Control!F165="","",M6_Puntos_Control!F165))</f>
        <v/>
      </c>
      <c r="AA1161" s="17" t="str">
        <f>IF(M6_Puntos_Control!A165="","","M6 Puntos de control")</f>
        <v/>
      </c>
      <c r="AB1161" s="17" t="str">
        <f>IF(M6_Puntos_Control!A165="","",IF(M6_Puntos_Control!G165="","",M6_Puntos_Control!G165))</f>
        <v/>
      </c>
      <c r="AC1161" s="17" t="str">
        <f>IF(M6_Puntos_Control!A165="","",IF(M6_Puntos_Control!K165="Sí",IF(COUNTIFS(M6_Puntos_Control!$A$9:A165,M6_Puntos_Control!A165,M6_Puntos_Control!$D$9:D165,M6_Puntos_Control!D165,M6_Puntos_Control!$G$9:G165,M6_Puntos_Control!G165,M6_Puntos_Control!$H$9:H165,M6_Puntos_Control!H165,M6_Puntos_Control!$K$9:K165,"Sí")=1,IF(M6_Puntos_Control!M165="","",M6_Puntos_Control!M165),""),""))</f>
        <v/>
      </c>
      <c r="AD1161" s="17" t="str">
        <f>IF(M6_Puntos_Control!A165="","","RD")</f>
        <v/>
      </c>
      <c r="AE1161" s="17" t="str">
        <f>IF(M6_Puntos_Control!A165="","",IF(M6_Puntos_Control!O165="","",M6_Puntos_Control!O165))</f>
        <v/>
      </c>
      <c r="AF1161" s="17" t="str">
        <f>IF(M6_Puntos_Control!A165="","",IF(M6_Puntos_Control!P165="","",M6_Puntos_Control!P165))</f>
        <v/>
      </c>
      <c r="AG1161" s="17" t="str">
        <f>IF(M6_Puntos_Control!A165="","",IF(M6_Puntos_Control!Q165="","",M6_Puntos_Control!Q165))</f>
        <v/>
      </c>
      <c r="AH1161" s="17" t="str">
        <f>IF(M6_Puntos_Control!A165="","",IF(M6_Puntos_Control!I165="","",M6_Puntos_Control!I165))</f>
        <v/>
      </c>
      <c r="AI1161" s="17" t="str">
        <f>IF(M6_Puntos_Control!A165="","","M6_Puntos_Control!165")</f>
        <v/>
      </c>
      <c r="AJ1161" s="17" t="str">
        <f>IF(M6_Puntos_Control!A165="","",IF(M6_Puntos_Control!K165&lt;&gt;"Sí","Punto de comparación",IF(COUNTIFS(M6_Puntos_Control!$A$9:A165,M6_Puntos_Control!A165,M6_Puntos_Control!$D$9:D165,M6_Puntos_Control!D165,M6_Puntos_Control!$G$9:G165,M6_Puntos_Control!G165,M6_Puntos_Control!$H$9:H165,M6_Puntos_Control!H165,M6_Puntos_Control!$K$9:K165,"Sí")=1,IF(M6_Puntos_Control!M165="","Pendiente de resultado","Punto oficial"),"Revisar: varios puntos oficiales")))</f>
        <v/>
      </c>
    </row>
    <row r="1162" spans="1:36" ht="55.5" customHeight="1">
      <c r="A1162" s="6" t="str">
        <f t="array" ref="A1162">IF(1158&gt;$S$1204,"",INDEX($T$5:$AJ$1204,MATCH(1158,$S$5:$S$1204,0),1))</f>
        <v/>
      </c>
      <c r="B1162" s="8" t="str">
        <f t="array" ref="B1162">IF(1158&gt;$S$1204,"",INDEX($T$5:$AJ$1204,MATCH(1158,$S$5:$S$1204,0),2))</f>
        <v/>
      </c>
      <c r="C1162" s="10" t="str">
        <f t="array" ref="C1162">IF(1158&gt;$S$1204,"",INDEX($T$5:$AJ$1204,MATCH(1158,$S$5:$S$1204,0),3))</f>
        <v/>
      </c>
      <c r="D1162" s="8" t="str">
        <f t="array" ref="D1162">IF(1158&gt;$S$1204,"",INDEX($T$5:$AJ$1204,MATCH(1158,$S$5:$S$1204,0),4))</f>
        <v/>
      </c>
      <c r="E1162" s="8" t="str">
        <f t="array" ref="E1162">IF(1158&gt;$S$1204,"",INDEX($T$5:$AJ$1204,MATCH(1158,$S$5:$S$1204,0),5))</f>
        <v/>
      </c>
      <c r="F1162" s="8" t="str">
        <f t="array" ref="F1162">IF(1158&gt;$S$1204,"",INDEX($T$5:$AJ$1204,MATCH(1158,$S$5:$S$1204,0),6))</f>
        <v/>
      </c>
      <c r="G1162" s="8" t="str">
        <f t="array" ref="G1162">IF(1158&gt;$S$1204,"",INDEX($T$5:$AJ$1204,MATCH(1158,$S$5:$S$1204,0),7))</f>
        <v/>
      </c>
      <c r="H1162" s="8" t="str">
        <f t="array" ref="H1162">IF(1158&gt;$S$1204,"",INDEX($T$5:$AJ$1204,MATCH(1158,$S$5:$S$1204,0),8))</f>
        <v/>
      </c>
      <c r="I1162" s="8" t="str">
        <f t="array" ref="I1162">IF(1158&gt;$S$1204,"",INDEX($T$5:$AJ$1204,MATCH(1158,$S$5:$S$1204,0),9))</f>
        <v/>
      </c>
      <c r="J1162" s="14" t="str">
        <f t="array" ref="J1162">IF(1158&gt;$S$1204,"",INDEX($T$5:$AJ$1204,MATCH(1158,$S$5:$S$1204,0),10))</f>
        <v/>
      </c>
      <c r="K1162" s="8" t="str">
        <f t="array" ref="K1162">IF(1158&gt;$S$1204,"",INDEX($T$5:$AJ$1204,MATCH(1158,$S$5:$S$1204,0),11))</f>
        <v/>
      </c>
      <c r="L1162" s="8" t="str">
        <f t="array" ref="L1162">IF(1158&gt;$S$1204,"",INDEX($T$5:$AJ$1204,MATCH(1158,$S$5:$S$1204,0),12))</f>
        <v/>
      </c>
      <c r="M1162" s="8" t="str">
        <f t="array" ref="M1162">IF(1158&gt;$S$1204,"",INDEX($T$5:$AJ$1204,MATCH(1158,$S$5:$S$1204,0),13))</f>
        <v/>
      </c>
      <c r="N1162" s="8" t="str">
        <f t="array" ref="N1162">IF(1158&gt;$S$1204,"",INDEX($T$5:$AJ$1204,MATCH(1158,$S$5:$S$1204,0),14))</f>
        <v/>
      </c>
      <c r="O1162" s="15" t="str">
        <f t="array" ref="O1162">IF(1158&gt;$S$1204,"",INDEX($T$5:$AJ$1204,MATCH(1158,$S$5:$S$1204,0),15))</f>
        <v/>
      </c>
      <c r="P1162" s="8" t="str">
        <f t="array" ref="P1162">IF(1158&gt;$S$1204,"",INDEX($T$5:$AJ$1204,MATCH(1158,$S$5:$S$1204,0),16))</f>
        <v/>
      </c>
      <c r="Q1162" s="8" t="str">
        <f t="array" ref="Q1162">IF(1158&gt;$S$1204,"",INDEX($T$5:$AJ$1204,MATCH(1158,$S$5:$S$1204,0),17))</f>
        <v/>
      </c>
      <c r="R1162" s="17"/>
      <c r="S1162" s="17">
        <f>S1161+IF(M6_Puntos_Control!A166="",0,1)</f>
        <v>0</v>
      </c>
      <c r="T1162" s="17" t="str">
        <f>IF(M6_Puntos_Control!A166="","",IF(M6_Puntos_Control!A166="","",M6_Puntos_Control!A166))</f>
        <v/>
      </c>
      <c r="U1162" s="17" t="str">
        <f>IF(M6_Puntos_Control!A166="","",IF(M6_Puntos_Control!R166="","",M6_Puntos_Control!R166))</f>
        <v/>
      </c>
      <c r="V1162" s="17" t="str">
        <f>IF(M6_Puntos_Control!A166="","",IF(M6_Puntos_Control!D166="","",M6_Puntos_Control!D166))</f>
        <v/>
      </c>
      <c r="W1162" s="17" t="str">
        <f>IF(M6_Puntos_Control!A166="","",IF(M6_Puntos_Control!B166="","",M6_Puntos_Control!B166))</f>
        <v/>
      </c>
      <c r="X1162" s="17" t="str">
        <f>IF(M6_Puntos_Control!A166="","",IF(M6_Puntos_Control!C166="","",M6_Puntos_Control!C166))</f>
        <v/>
      </c>
      <c r="Y1162" s="17" t="str">
        <f>IF(M6_Puntos_Control!A166="","",IF(M6_Puntos_Control!E166="","",M6_Puntos_Control!E166))</f>
        <v/>
      </c>
      <c r="Z1162" s="17" t="str">
        <f>IF(M6_Puntos_Control!A166="","",IF(M6_Puntos_Control!F166="","",M6_Puntos_Control!F166))</f>
        <v/>
      </c>
      <c r="AA1162" s="17" t="str">
        <f>IF(M6_Puntos_Control!A166="","","M6 Puntos de control")</f>
        <v/>
      </c>
      <c r="AB1162" s="17" t="str">
        <f>IF(M6_Puntos_Control!A166="","",IF(M6_Puntos_Control!G166="","",M6_Puntos_Control!G166))</f>
        <v/>
      </c>
      <c r="AC1162" s="17" t="str">
        <f>IF(M6_Puntos_Control!A166="","",IF(M6_Puntos_Control!K166="Sí",IF(COUNTIFS(M6_Puntos_Control!$A$9:A166,M6_Puntos_Control!A166,M6_Puntos_Control!$D$9:D166,M6_Puntos_Control!D166,M6_Puntos_Control!$G$9:G166,M6_Puntos_Control!G166,M6_Puntos_Control!$H$9:H166,M6_Puntos_Control!H166,M6_Puntos_Control!$K$9:K166,"Sí")=1,IF(M6_Puntos_Control!M166="","",M6_Puntos_Control!M166),""),""))</f>
        <v/>
      </c>
      <c r="AD1162" s="17" t="str">
        <f>IF(M6_Puntos_Control!A166="","","RD")</f>
        <v/>
      </c>
      <c r="AE1162" s="17" t="str">
        <f>IF(M6_Puntos_Control!A166="","",IF(M6_Puntos_Control!O166="","",M6_Puntos_Control!O166))</f>
        <v/>
      </c>
      <c r="AF1162" s="17" t="str">
        <f>IF(M6_Puntos_Control!A166="","",IF(M6_Puntos_Control!P166="","",M6_Puntos_Control!P166))</f>
        <v/>
      </c>
      <c r="AG1162" s="17" t="str">
        <f>IF(M6_Puntos_Control!A166="","",IF(M6_Puntos_Control!Q166="","",M6_Puntos_Control!Q166))</f>
        <v/>
      </c>
      <c r="AH1162" s="17" t="str">
        <f>IF(M6_Puntos_Control!A166="","",IF(M6_Puntos_Control!I166="","",M6_Puntos_Control!I166))</f>
        <v/>
      </c>
      <c r="AI1162" s="17" t="str">
        <f>IF(M6_Puntos_Control!A166="","","M6_Puntos_Control!166")</f>
        <v/>
      </c>
      <c r="AJ1162" s="17" t="str">
        <f>IF(M6_Puntos_Control!A166="","",IF(M6_Puntos_Control!K166&lt;&gt;"Sí","Punto de comparación",IF(COUNTIFS(M6_Puntos_Control!$A$9:A166,M6_Puntos_Control!A166,M6_Puntos_Control!$D$9:D166,M6_Puntos_Control!D166,M6_Puntos_Control!$G$9:G166,M6_Puntos_Control!G166,M6_Puntos_Control!$H$9:H166,M6_Puntos_Control!H166,M6_Puntos_Control!$K$9:K166,"Sí")=1,IF(M6_Puntos_Control!M166="","Pendiente de resultado","Punto oficial"),"Revisar: varios puntos oficiales")))</f>
        <v/>
      </c>
    </row>
    <row r="1163" spans="1:36" ht="55.5" customHeight="1">
      <c r="A1163" s="6" t="str">
        <f t="array" ref="A1163">IF(1159&gt;$S$1204,"",INDEX($T$5:$AJ$1204,MATCH(1159,$S$5:$S$1204,0),1))</f>
        <v/>
      </c>
      <c r="B1163" s="8" t="str">
        <f t="array" ref="B1163">IF(1159&gt;$S$1204,"",INDEX($T$5:$AJ$1204,MATCH(1159,$S$5:$S$1204,0),2))</f>
        <v/>
      </c>
      <c r="C1163" s="10" t="str">
        <f t="array" ref="C1163">IF(1159&gt;$S$1204,"",INDEX($T$5:$AJ$1204,MATCH(1159,$S$5:$S$1204,0),3))</f>
        <v/>
      </c>
      <c r="D1163" s="8" t="str">
        <f t="array" ref="D1163">IF(1159&gt;$S$1204,"",INDEX($T$5:$AJ$1204,MATCH(1159,$S$5:$S$1204,0),4))</f>
        <v/>
      </c>
      <c r="E1163" s="8" t="str">
        <f t="array" ref="E1163">IF(1159&gt;$S$1204,"",INDEX($T$5:$AJ$1204,MATCH(1159,$S$5:$S$1204,0),5))</f>
        <v/>
      </c>
      <c r="F1163" s="8" t="str">
        <f t="array" ref="F1163">IF(1159&gt;$S$1204,"",INDEX($T$5:$AJ$1204,MATCH(1159,$S$5:$S$1204,0),6))</f>
        <v/>
      </c>
      <c r="G1163" s="8" t="str">
        <f t="array" ref="G1163">IF(1159&gt;$S$1204,"",INDEX($T$5:$AJ$1204,MATCH(1159,$S$5:$S$1204,0),7))</f>
        <v/>
      </c>
      <c r="H1163" s="8" t="str">
        <f t="array" ref="H1163">IF(1159&gt;$S$1204,"",INDEX($T$5:$AJ$1204,MATCH(1159,$S$5:$S$1204,0),8))</f>
        <v/>
      </c>
      <c r="I1163" s="8" t="str">
        <f t="array" ref="I1163">IF(1159&gt;$S$1204,"",INDEX($T$5:$AJ$1204,MATCH(1159,$S$5:$S$1204,0),9))</f>
        <v/>
      </c>
      <c r="J1163" s="14" t="str">
        <f t="array" ref="J1163">IF(1159&gt;$S$1204,"",INDEX($T$5:$AJ$1204,MATCH(1159,$S$5:$S$1204,0),10))</f>
        <v/>
      </c>
      <c r="K1163" s="8" t="str">
        <f t="array" ref="K1163">IF(1159&gt;$S$1204,"",INDEX($T$5:$AJ$1204,MATCH(1159,$S$5:$S$1204,0),11))</f>
        <v/>
      </c>
      <c r="L1163" s="8" t="str">
        <f t="array" ref="L1163">IF(1159&gt;$S$1204,"",INDEX($T$5:$AJ$1204,MATCH(1159,$S$5:$S$1204,0),12))</f>
        <v/>
      </c>
      <c r="M1163" s="8" t="str">
        <f t="array" ref="M1163">IF(1159&gt;$S$1204,"",INDEX($T$5:$AJ$1204,MATCH(1159,$S$5:$S$1204,0),13))</f>
        <v/>
      </c>
      <c r="N1163" s="8" t="str">
        <f t="array" ref="N1163">IF(1159&gt;$S$1204,"",INDEX($T$5:$AJ$1204,MATCH(1159,$S$5:$S$1204,0),14))</f>
        <v/>
      </c>
      <c r="O1163" s="15" t="str">
        <f t="array" ref="O1163">IF(1159&gt;$S$1204,"",INDEX($T$5:$AJ$1204,MATCH(1159,$S$5:$S$1204,0),15))</f>
        <v/>
      </c>
      <c r="P1163" s="8" t="str">
        <f t="array" ref="P1163">IF(1159&gt;$S$1204,"",INDEX($T$5:$AJ$1204,MATCH(1159,$S$5:$S$1204,0),16))</f>
        <v/>
      </c>
      <c r="Q1163" s="8" t="str">
        <f t="array" ref="Q1163">IF(1159&gt;$S$1204,"",INDEX($T$5:$AJ$1204,MATCH(1159,$S$5:$S$1204,0),17))</f>
        <v/>
      </c>
      <c r="R1163" s="17"/>
      <c r="S1163" s="17">
        <f>S1162+IF(M6_Puntos_Control!A167="",0,1)</f>
        <v>0</v>
      </c>
      <c r="T1163" s="17" t="str">
        <f>IF(M6_Puntos_Control!A167="","",IF(M6_Puntos_Control!A167="","",M6_Puntos_Control!A167))</f>
        <v/>
      </c>
      <c r="U1163" s="17" t="str">
        <f>IF(M6_Puntos_Control!A167="","",IF(M6_Puntos_Control!R167="","",M6_Puntos_Control!R167))</f>
        <v/>
      </c>
      <c r="V1163" s="17" t="str">
        <f>IF(M6_Puntos_Control!A167="","",IF(M6_Puntos_Control!D167="","",M6_Puntos_Control!D167))</f>
        <v/>
      </c>
      <c r="W1163" s="17" t="str">
        <f>IF(M6_Puntos_Control!A167="","",IF(M6_Puntos_Control!B167="","",M6_Puntos_Control!B167))</f>
        <v/>
      </c>
      <c r="X1163" s="17" t="str">
        <f>IF(M6_Puntos_Control!A167="","",IF(M6_Puntos_Control!C167="","",M6_Puntos_Control!C167))</f>
        <v/>
      </c>
      <c r="Y1163" s="17" t="str">
        <f>IF(M6_Puntos_Control!A167="","",IF(M6_Puntos_Control!E167="","",M6_Puntos_Control!E167))</f>
        <v/>
      </c>
      <c r="Z1163" s="17" t="str">
        <f>IF(M6_Puntos_Control!A167="","",IF(M6_Puntos_Control!F167="","",M6_Puntos_Control!F167))</f>
        <v/>
      </c>
      <c r="AA1163" s="17" t="str">
        <f>IF(M6_Puntos_Control!A167="","","M6 Puntos de control")</f>
        <v/>
      </c>
      <c r="AB1163" s="17" t="str">
        <f>IF(M6_Puntos_Control!A167="","",IF(M6_Puntos_Control!G167="","",M6_Puntos_Control!G167))</f>
        <v/>
      </c>
      <c r="AC1163" s="17" t="str">
        <f>IF(M6_Puntos_Control!A167="","",IF(M6_Puntos_Control!K167="Sí",IF(COUNTIFS(M6_Puntos_Control!$A$9:A167,M6_Puntos_Control!A167,M6_Puntos_Control!$D$9:D167,M6_Puntos_Control!D167,M6_Puntos_Control!$G$9:G167,M6_Puntos_Control!G167,M6_Puntos_Control!$H$9:H167,M6_Puntos_Control!H167,M6_Puntos_Control!$K$9:K167,"Sí")=1,IF(M6_Puntos_Control!M167="","",M6_Puntos_Control!M167),""),""))</f>
        <v/>
      </c>
      <c r="AD1163" s="17" t="str">
        <f>IF(M6_Puntos_Control!A167="","","RD")</f>
        <v/>
      </c>
      <c r="AE1163" s="17" t="str">
        <f>IF(M6_Puntos_Control!A167="","",IF(M6_Puntos_Control!O167="","",M6_Puntos_Control!O167))</f>
        <v/>
      </c>
      <c r="AF1163" s="17" t="str">
        <f>IF(M6_Puntos_Control!A167="","",IF(M6_Puntos_Control!P167="","",M6_Puntos_Control!P167))</f>
        <v/>
      </c>
      <c r="AG1163" s="17" t="str">
        <f>IF(M6_Puntos_Control!A167="","",IF(M6_Puntos_Control!Q167="","",M6_Puntos_Control!Q167))</f>
        <v/>
      </c>
      <c r="AH1163" s="17" t="str">
        <f>IF(M6_Puntos_Control!A167="","",IF(M6_Puntos_Control!I167="","",M6_Puntos_Control!I167))</f>
        <v/>
      </c>
      <c r="AI1163" s="17" t="str">
        <f>IF(M6_Puntos_Control!A167="","","M6_Puntos_Control!167")</f>
        <v/>
      </c>
      <c r="AJ1163" s="17" t="str">
        <f>IF(M6_Puntos_Control!A167="","",IF(M6_Puntos_Control!K167&lt;&gt;"Sí","Punto de comparación",IF(COUNTIFS(M6_Puntos_Control!$A$9:A167,M6_Puntos_Control!A167,M6_Puntos_Control!$D$9:D167,M6_Puntos_Control!D167,M6_Puntos_Control!$G$9:G167,M6_Puntos_Control!G167,M6_Puntos_Control!$H$9:H167,M6_Puntos_Control!H167,M6_Puntos_Control!$K$9:K167,"Sí")=1,IF(M6_Puntos_Control!M167="","Pendiente de resultado","Punto oficial"),"Revisar: varios puntos oficiales")))</f>
        <v/>
      </c>
    </row>
    <row r="1164" spans="1:36" ht="55.5" customHeight="1">
      <c r="A1164" s="6" t="str">
        <f t="array" ref="A1164">IF(1160&gt;$S$1204,"",INDEX($T$5:$AJ$1204,MATCH(1160,$S$5:$S$1204,0),1))</f>
        <v/>
      </c>
      <c r="B1164" s="8" t="str">
        <f t="array" ref="B1164">IF(1160&gt;$S$1204,"",INDEX($T$5:$AJ$1204,MATCH(1160,$S$5:$S$1204,0),2))</f>
        <v/>
      </c>
      <c r="C1164" s="10" t="str">
        <f t="array" ref="C1164">IF(1160&gt;$S$1204,"",INDEX($T$5:$AJ$1204,MATCH(1160,$S$5:$S$1204,0),3))</f>
        <v/>
      </c>
      <c r="D1164" s="8" t="str">
        <f t="array" ref="D1164">IF(1160&gt;$S$1204,"",INDEX($T$5:$AJ$1204,MATCH(1160,$S$5:$S$1204,0),4))</f>
        <v/>
      </c>
      <c r="E1164" s="8" t="str">
        <f t="array" ref="E1164">IF(1160&gt;$S$1204,"",INDEX($T$5:$AJ$1204,MATCH(1160,$S$5:$S$1204,0),5))</f>
        <v/>
      </c>
      <c r="F1164" s="8" t="str">
        <f t="array" ref="F1164">IF(1160&gt;$S$1204,"",INDEX($T$5:$AJ$1204,MATCH(1160,$S$5:$S$1204,0),6))</f>
        <v/>
      </c>
      <c r="G1164" s="8" t="str">
        <f t="array" ref="G1164">IF(1160&gt;$S$1204,"",INDEX($T$5:$AJ$1204,MATCH(1160,$S$5:$S$1204,0),7))</f>
        <v/>
      </c>
      <c r="H1164" s="8" t="str">
        <f t="array" ref="H1164">IF(1160&gt;$S$1204,"",INDEX($T$5:$AJ$1204,MATCH(1160,$S$5:$S$1204,0),8))</f>
        <v/>
      </c>
      <c r="I1164" s="8" t="str">
        <f t="array" ref="I1164">IF(1160&gt;$S$1204,"",INDEX($T$5:$AJ$1204,MATCH(1160,$S$5:$S$1204,0),9))</f>
        <v/>
      </c>
      <c r="J1164" s="14" t="str">
        <f t="array" ref="J1164">IF(1160&gt;$S$1204,"",INDEX($T$5:$AJ$1204,MATCH(1160,$S$5:$S$1204,0),10))</f>
        <v/>
      </c>
      <c r="K1164" s="8" t="str">
        <f t="array" ref="K1164">IF(1160&gt;$S$1204,"",INDEX($T$5:$AJ$1204,MATCH(1160,$S$5:$S$1204,0),11))</f>
        <v/>
      </c>
      <c r="L1164" s="8" t="str">
        <f t="array" ref="L1164">IF(1160&gt;$S$1204,"",INDEX($T$5:$AJ$1204,MATCH(1160,$S$5:$S$1204,0),12))</f>
        <v/>
      </c>
      <c r="M1164" s="8" t="str">
        <f t="array" ref="M1164">IF(1160&gt;$S$1204,"",INDEX($T$5:$AJ$1204,MATCH(1160,$S$5:$S$1204,0),13))</f>
        <v/>
      </c>
      <c r="N1164" s="8" t="str">
        <f t="array" ref="N1164">IF(1160&gt;$S$1204,"",INDEX($T$5:$AJ$1204,MATCH(1160,$S$5:$S$1204,0),14))</f>
        <v/>
      </c>
      <c r="O1164" s="15" t="str">
        <f t="array" ref="O1164">IF(1160&gt;$S$1204,"",INDEX($T$5:$AJ$1204,MATCH(1160,$S$5:$S$1204,0),15))</f>
        <v/>
      </c>
      <c r="P1164" s="8" t="str">
        <f t="array" ref="P1164">IF(1160&gt;$S$1204,"",INDEX($T$5:$AJ$1204,MATCH(1160,$S$5:$S$1204,0),16))</f>
        <v/>
      </c>
      <c r="Q1164" s="8" t="str">
        <f t="array" ref="Q1164">IF(1160&gt;$S$1204,"",INDEX($T$5:$AJ$1204,MATCH(1160,$S$5:$S$1204,0),17))</f>
        <v/>
      </c>
      <c r="R1164" s="17"/>
      <c r="S1164" s="17">
        <f>S1163+IF(M6_Puntos_Control!A168="",0,1)</f>
        <v>0</v>
      </c>
      <c r="T1164" s="17" t="str">
        <f>IF(M6_Puntos_Control!A168="","",IF(M6_Puntos_Control!A168="","",M6_Puntos_Control!A168))</f>
        <v/>
      </c>
      <c r="U1164" s="17" t="str">
        <f>IF(M6_Puntos_Control!A168="","",IF(M6_Puntos_Control!R168="","",M6_Puntos_Control!R168))</f>
        <v/>
      </c>
      <c r="V1164" s="17" t="str">
        <f>IF(M6_Puntos_Control!A168="","",IF(M6_Puntos_Control!D168="","",M6_Puntos_Control!D168))</f>
        <v/>
      </c>
      <c r="W1164" s="17" t="str">
        <f>IF(M6_Puntos_Control!A168="","",IF(M6_Puntos_Control!B168="","",M6_Puntos_Control!B168))</f>
        <v/>
      </c>
      <c r="X1164" s="17" t="str">
        <f>IF(M6_Puntos_Control!A168="","",IF(M6_Puntos_Control!C168="","",M6_Puntos_Control!C168))</f>
        <v/>
      </c>
      <c r="Y1164" s="17" t="str">
        <f>IF(M6_Puntos_Control!A168="","",IF(M6_Puntos_Control!E168="","",M6_Puntos_Control!E168))</f>
        <v/>
      </c>
      <c r="Z1164" s="17" t="str">
        <f>IF(M6_Puntos_Control!A168="","",IF(M6_Puntos_Control!F168="","",M6_Puntos_Control!F168))</f>
        <v/>
      </c>
      <c r="AA1164" s="17" t="str">
        <f>IF(M6_Puntos_Control!A168="","","M6 Puntos de control")</f>
        <v/>
      </c>
      <c r="AB1164" s="17" t="str">
        <f>IF(M6_Puntos_Control!A168="","",IF(M6_Puntos_Control!G168="","",M6_Puntos_Control!G168))</f>
        <v/>
      </c>
      <c r="AC1164" s="17" t="str">
        <f>IF(M6_Puntos_Control!A168="","",IF(M6_Puntos_Control!K168="Sí",IF(COUNTIFS(M6_Puntos_Control!$A$9:A168,M6_Puntos_Control!A168,M6_Puntos_Control!$D$9:D168,M6_Puntos_Control!D168,M6_Puntos_Control!$G$9:G168,M6_Puntos_Control!G168,M6_Puntos_Control!$H$9:H168,M6_Puntos_Control!H168,M6_Puntos_Control!$K$9:K168,"Sí")=1,IF(M6_Puntos_Control!M168="","",M6_Puntos_Control!M168),""),""))</f>
        <v/>
      </c>
      <c r="AD1164" s="17" t="str">
        <f>IF(M6_Puntos_Control!A168="","","RD")</f>
        <v/>
      </c>
      <c r="AE1164" s="17" t="str">
        <f>IF(M6_Puntos_Control!A168="","",IF(M6_Puntos_Control!O168="","",M6_Puntos_Control!O168))</f>
        <v/>
      </c>
      <c r="AF1164" s="17" t="str">
        <f>IF(M6_Puntos_Control!A168="","",IF(M6_Puntos_Control!P168="","",M6_Puntos_Control!P168))</f>
        <v/>
      </c>
      <c r="AG1164" s="17" t="str">
        <f>IF(M6_Puntos_Control!A168="","",IF(M6_Puntos_Control!Q168="","",M6_Puntos_Control!Q168))</f>
        <v/>
      </c>
      <c r="AH1164" s="17" t="str">
        <f>IF(M6_Puntos_Control!A168="","",IF(M6_Puntos_Control!I168="","",M6_Puntos_Control!I168))</f>
        <v/>
      </c>
      <c r="AI1164" s="17" t="str">
        <f>IF(M6_Puntos_Control!A168="","","M6_Puntos_Control!168")</f>
        <v/>
      </c>
      <c r="AJ1164" s="17" t="str">
        <f>IF(M6_Puntos_Control!A168="","",IF(M6_Puntos_Control!K168&lt;&gt;"Sí","Punto de comparación",IF(COUNTIFS(M6_Puntos_Control!$A$9:A168,M6_Puntos_Control!A168,M6_Puntos_Control!$D$9:D168,M6_Puntos_Control!D168,M6_Puntos_Control!$G$9:G168,M6_Puntos_Control!G168,M6_Puntos_Control!$H$9:H168,M6_Puntos_Control!H168,M6_Puntos_Control!$K$9:K168,"Sí")=1,IF(M6_Puntos_Control!M168="","Pendiente de resultado","Punto oficial"),"Revisar: varios puntos oficiales")))</f>
        <v/>
      </c>
    </row>
    <row r="1165" spans="1:36" ht="55.5" customHeight="1">
      <c r="A1165" s="6" t="str">
        <f t="array" ref="A1165">IF(1161&gt;$S$1204,"",INDEX($T$5:$AJ$1204,MATCH(1161,$S$5:$S$1204,0),1))</f>
        <v/>
      </c>
      <c r="B1165" s="8" t="str">
        <f t="array" ref="B1165">IF(1161&gt;$S$1204,"",INDEX($T$5:$AJ$1204,MATCH(1161,$S$5:$S$1204,0),2))</f>
        <v/>
      </c>
      <c r="C1165" s="10" t="str">
        <f t="array" ref="C1165">IF(1161&gt;$S$1204,"",INDEX($T$5:$AJ$1204,MATCH(1161,$S$5:$S$1204,0),3))</f>
        <v/>
      </c>
      <c r="D1165" s="8" t="str">
        <f t="array" ref="D1165">IF(1161&gt;$S$1204,"",INDEX($T$5:$AJ$1204,MATCH(1161,$S$5:$S$1204,0),4))</f>
        <v/>
      </c>
      <c r="E1165" s="8" t="str">
        <f t="array" ref="E1165">IF(1161&gt;$S$1204,"",INDEX($T$5:$AJ$1204,MATCH(1161,$S$5:$S$1204,0),5))</f>
        <v/>
      </c>
      <c r="F1165" s="8" t="str">
        <f t="array" ref="F1165">IF(1161&gt;$S$1204,"",INDEX($T$5:$AJ$1204,MATCH(1161,$S$5:$S$1204,0),6))</f>
        <v/>
      </c>
      <c r="G1165" s="8" t="str">
        <f t="array" ref="G1165">IF(1161&gt;$S$1204,"",INDEX($T$5:$AJ$1204,MATCH(1161,$S$5:$S$1204,0),7))</f>
        <v/>
      </c>
      <c r="H1165" s="8" t="str">
        <f t="array" ref="H1165">IF(1161&gt;$S$1204,"",INDEX($T$5:$AJ$1204,MATCH(1161,$S$5:$S$1204,0),8))</f>
        <v/>
      </c>
      <c r="I1165" s="8" t="str">
        <f t="array" ref="I1165">IF(1161&gt;$S$1204,"",INDEX($T$5:$AJ$1204,MATCH(1161,$S$5:$S$1204,0),9))</f>
        <v/>
      </c>
      <c r="J1165" s="14" t="str">
        <f t="array" ref="J1165">IF(1161&gt;$S$1204,"",INDEX($T$5:$AJ$1204,MATCH(1161,$S$5:$S$1204,0),10))</f>
        <v/>
      </c>
      <c r="K1165" s="8" t="str">
        <f t="array" ref="K1165">IF(1161&gt;$S$1204,"",INDEX($T$5:$AJ$1204,MATCH(1161,$S$5:$S$1204,0),11))</f>
        <v/>
      </c>
      <c r="L1165" s="8" t="str">
        <f t="array" ref="L1165">IF(1161&gt;$S$1204,"",INDEX($T$5:$AJ$1204,MATCH(1161,$S$5:$S$1204,0),12))</f>
        <v/>
      </c>
      <c r="M1165" s="8" t="str">
        <f t="array" ref="M1165">IF(1161&gt;$S$1204,"",INDEX($T$5:$AJ$1204,MATCH(1161,$S$5:$S$1204,0),13))</f>
        <v/>
      </c>
      <c r="N1165" s="8" t="str">
        <f t="array" ref="N1165">IF(1161&gt;$S$1204,"",INDEX($T$5:$AJ$1204,MATCH(1161,$S$5:$S$1204,0),14))</f>
        <v/>
      </c>
      <c r="O1165" s="15" t="str">
        <f t="array" ref="O1165">IF(1161&gt;$S$1204,"",INDEX($T$5:$AJ$1204,MATCH(1161,$S$5:$S$1204,0),15))</f>
        <v/>
      </c>
      <c r="P1165" s="8" t="str">
        <f t="array" ref="P1165">IF(1161&gt;$S$1204,"",INDEX($T$5:$AJ$1204,MATCH(1161,$S$5:$S$1204,0),16))</f>
        <v/>
      </c>
      <c r="Q1165" s="8" t="str">
        <f t="array" ref="Q1165">IF(1161&gt;$S$1204,"",INDEX($T$5:$AJ$1204,MATCH(1161,$S$5:$S$1204,0),17))</f>
        <v/>
      </c>
      <c r="R1165" s="17"/>
      <c r="S1165" s="17">
        <f>S1164+IF(M6_Puntos_Control!A169="",0,1)</f>
        <v>0</v>
      </c>
      <c r="T1165" s="17" t="str">
        <f>IF(M6_Puntos_Control!A169="","",IF(M6_Puntos_Control!A169="","",M6_Puntos_Control!A169))</f>
        <v/>
      </c>
      <c r="U1165" s="17" t="str">
        <f>IF(M6_Puntos_Control!A169="","",IF(M6_Puntos_Control!R169="","",M6_Puntos_Control!R169))</f>
        <v/>
      </c>
      <c r="V1165" s="17" t="str">
        <f>IF(M6_Puntos_Control!A169="","",IF(M6_Puntos_Control!D169="","",M6_Puntos_Control!D169))</f>
        <v/>
      </c>
      <c r="W1165" s="17" t="str">
        <f>IF(M6_Puntos_Control!A169="","",IF(M6_Puntos_Control!B169="","",M6_Puntos_Control!B169))</f>
        <v/>
      </c>
      <c r="X1165" s="17" t="str">
        <f>IF(M6_Puntos_Control!A169="","",IF(M6_Puntos_Control!C169="","",M6_Puntos_Control!C169))</f>
        <v/>
      </c>
      <c r="Y1165" s="17" t="str">
        <f>IF(M6_Puntos_Control!A169="","",IF(M6_Puntos_Control!E169="","",M6_Puntos_Control!E169))</f>
        <v/>
      </c>
      <c r="Z1165" s="17" t="str">
        <f>IF(M6_Puntos_Control!A169="","",IF(M6_Puntos_Control!F169="","",M6_Puntos_Control!F169))</f>
        <v/>
      </c>
      <c r="AA1165" s="17" t="str">
        <f>IF(M6_Puntos_Control!A169="","","M6 Puntos de control")</f>
        <v/>
      </c>
      <c r="AB1165" s="17" t="str">
        <f>IF(M6_Puntos_Control!A169="","",IF(M6_Puntos_Control!G169="","",M6_Puntos_Control!G169))</f>
        <v/>
      </c>
      <c r="AC1165" s="17" t="str">
        <f>IF(M6_Puntos_Control!A169="","",IF(M6_Puntos_Control!K169="Sí",IF(COUNTIFS(M6_Puntos_Control!$A$9:A169,M6_Puntos_Control!A169,M6_Puntos_Control!$D$9:D169,M6_Puntos_Control!D169,M6_Puntos_Control!$G$9:G169,M6_Puntos_Control!G169,M6_Puntos_Control!$H$9:H169,M6_Puntos_Control!H169,M6_Puntos_Control!$K$9:K169,"Sí")=1,IF(M6_Puntos_Control!M169="","",M6_Puntos_Control!M169),""),""))</f>
        <v/>
      </c>
      <c r="AD1165" s="17" t="str">
        <f>IF(M6_Puntos_Control!A169="","","RD")</f>
        <v/>
      </c>
      <c r="AE1165" s="17" t="str">
        <f>IF(M6_Puntos_Control!A169="","",IF(M6_Puntos_Control!O169="","",M6_Puntos_Control!O169))</f>
        <v/>
      </c>
      <c r="AF1165" s="17" t="str">
        <f>IF(M6_Puntos_Control!A169="","",IF(M6_Puntos_Control!P169="","",M6_Puntos_Control!P169))</f>
        <v/>
      </c>
      <c r="AG1165" s="17" t="str">
        <f>IF(M6_Puntos_Control!A169="","",IF(M6_Puntos_Control!Q169="","",M6_Puntos_Control!Q169))</f>
        <v/>
      </c>
      <c r="AH1165" s="17" t="str">
        <f>IF(M6_Puntos_Control!A169="","",IF(M6_Puntos_Control!I169="","",M6_Puntos_Control!I169))</f>
        <v/>
      </c>
      <c r="AI1165" s="17" t="str">
        <f>IF(M6_Puntos_Control!A169="","","M6_Puntos_Control!169")</f>
        <v/>
      </c>
      <c r="AJ1165" s="17" t="str">
        <f>IF(M6_Puntos_Control!A169="","",IF(M6_Puntos_Control!K169&lt;&gt;"Sí","Punto de comparación",IF(COUNTIFS(M6_Puntos_Control!$A$9:A169,M6_Puntos_Control!A169,M6_Puntos_Control!$D$9:D169,M6_Puntos_Control!D169,M6_Puntos_Control!$G$9:G169,M6_Puntos_Control!G169,M6_Puntos_Control!$H$9:H169,M6_Puntos_Control!H169,M6_Puntos_Control!$K$9:K169,"Sí")=1,IF(M6_Puntos_Control!M169="","Pendiente de resultado","Punto oficial"),"Revisar: varios puntos oficiales")))</f>
        <v/>
      </c>
    </row>
    <row r="1166" spans="1:36" ht="55.5" customHeight="1">
      <c r="A1166" s="6" t="str">
        <f t="array" ref="A1166">IF(1162&gt;$S$1204,"",INDEX($T$5:$AJ$1204,MATCH(1162,$S$5:$S$1204,0),1))</f>
        <v/>
      </c>
      <c r="B1166" s="8" t="str">
        <f t="array" ref="B1166">IF(1162&gt;$S$1204,"",INDEX($T$5:$AJ$1204,MATCH(1162,$S$5:$S$1204,0),2))</f>
        <v/>
      </c>
      <c r="C1166" s="10" t="str">
        <f t="array" ref="C1166">IF(1162&gt;$S$1204,"",INDEX($T$5:$AJ$1204,MATCH(1162,$S$5:$S$1204,0),3))</f>
        <v/>
      </c>
      <c r="D1166" s="8" t="str">
        <f t="array" ref="D1166">IF(1162&gt;$S$1204,"",INDEX($T$5:$AJ$1204,MATCH(1162,$S$5:$S$1204,0),4))</f>
        <v/>
      </c>
      <c r="E1166" s="8" t="str">
        <f t="array" ref="E1166">IF(1162&gt;$S$1204,"",INDEX($T$5:$AJ$1204,MATCH(1162,$S$5:$S$1204,0),5))</f>
        <v/>
      </c>
      <c r="F1166" s="8" t="str">
        <f t="array" ref="F1166">IF(1162&gt;$S$1204,"",INDEX($T$5:$AJ$1204,MATCH(1162,$S$5:$S$1204,0),6))</f>
        <v/>
      </c>
      <c r="G1166" s="8" t="str">
        <f t="array" ref="G1166">IF(1162&gt;$S$1204,"",INDEX($T$5:$AJ$1204,MATCH(1162,$S$5:$S$1204,0),7))</f>
        <v/>
      </c>
      <c r="H1166" s="8" t="str">
        <f t="array" ref="H1166">IF(1162&gt;$S$1204,"",INDEX($T$5:$AJ$1204,MATCH(1162,$S$5:$S$1204,0),8))</f>
        <v/>
      </c>
      <c r="I1166" s="8" t="str">
        <f t="array" ref="I1166">IF(1162&gt;$S$1204,"",INDEX($T$5:$AJ$1204,MATCH(1162,$S$5:$S$1204,0),9))</f>
        <v/>
      </c>
      <c r="J1166" s="14" t="str">
        <f t="array" ref="J1166">IF(1162&gt;$S$1204,"",INDEX($T$5:$AJ$1204,MATCH(1162,$S$5:$S$1204,0),10))</f>
        <v/>
      </c>
      <c r="K1166" s="8" t="str">
        <f t="array" ref="K1166">IF(1162&gt;$S$1204,"",INDEX($T$5:$AJ$1204,MATCH(1162,$S$5:$S$1204,0),11))</f>
        <v/>
      </c>
      <c r="L1166" s="8" t="str">
        <f t="array" ref="L1166">IF(1162&gt;$S$1204,"",INDEX($T$5:$AJ$1204,MATCH(1162,$S$5:$S$1204,0),12))</f>
        <v/>
      </c>
      <c r="M1166" s="8" t="str">
        <f t="array" ref="M1166">IF(1162&gt;$S$1204,"",INDEX($T$5:$AJ$1204,MATCH(1162,$S$5:$S$1204,0),13))</f>
        <v/>
      </c>
      <c r="N1166" s="8" t="str">
        <f t="array" ref="N1166">IF(1162&gt;$S$1204,"",INDEX($T$5:$AJ$1204,MATCH(1162,$S$5:$S$1204,0),14))</f>
        <v/>
      </c>
      <c r="O1166" s="15" t="str">
        <f t="array" ref="O1166">IF(1162&gt;$S$1204,"",INDEX($T$5:$AJ$1204,MATCH(1162,$S$5:$S$1204,0),15))</f>
        <v/>
      </c>
      <c r="P1166" s="8" t="str">
        <f t="array" ref="P1166">IF(1162&gt;$S$1204,"",INDEX($T$5:$AJ$1204,MATCH(1162,$S$5:$S$1204,0),16))</f>
        <v/>
      </c>
      <c r="Q1166" s="8" t="str">
        <f t="array" ref="Q1166">IF(1162&gt;$S$1204,"",INDEX($T$5:$AJ$1204,MATCH(1162,$S$5:$S$1204,0),17))</f>
        <v/>
      </c>
      <c r="R1166" s="17"/>
      <c r="S1166" s="17">
        <f>S1165+IF(M6_Puntos_Control!A170="",0,1)</f>
        <v>0</v>
      </c>
      <c r="T1166" s="17" t="str">
        <f>IF(M6_Puntos_Control!A170="","",IF(M6_Puntos_Control!A170="","",M6_Puntos_Control!A170))</f>
        <v/>
      </c>
      <c r="U1166" s="17" t="str">
        <f>IF(M6_Puntos_Control!A170="","",IF(M6_Puntos_Control!R170="","",M6_Puntos_Control!R170))</f>
        <v/>
      </c>
      <c r="V1166" s="17" t="str">
        <f>IF(M6_Puntos_Control!A170="","",IF(M6_Puntos_Control!D170="","",M6_Puntos_Control!D170))</f>
        <v/>
      </c>
      <c r="W1166" s="17" t="str">
        <f>IF(M6_Puntos_Control!A170="","",IF(M6_Puntos_Control!B170="","",M6_Puntos_Control!B170))</f>
        <v/>
      </c>
      <c r="X1166" s="17" t="str">
        <f>IF(M6_Puntos_Control!A170="","",IF(M6_Puntos_Control!C170="","",M6_Puntos_Control!C170))</f>
        <v/>
      </c>
      <c r="Y1166" s="17" t="str">
        <f>IF(M6_Puntos_Control!A170="","",IF(M6_Puntos_Control!E170="","",M6_Puntos_Control!E170))</f>
        <v/>
      </c>
      <c r="Z1166" s="17" t="str">
        <f>IF(M6_Puntos_Control!A170="","",IF(M6_Puntos_Control!F170="","",M6_Puntos_Control!F170))</f>
        <v/>
      </c>
      <c r="AA1166" s="17" t="str">
        <f>IF(M6_Puntos_Control!A170="","","M6 Puntos de control")</f>
        <v/>
      </c>
      <c r="AB1166" s="17" t="str">
        <f>IF(M6_Puntos_Control!A170="","",IF(M6_Puntos_Control!G170="","",M6_Puntos_Control!G170))</f>
        <v/>
      </c>
      <c r="AC1166" s="17" t="str">
        <f>IF(M6_Puntos_Control!A170="","",IF(M6_Puntos_Control!K170="Sí",IF(COUNTIFS(M6_Puntos_Control!$A$9:A170,M6_Puntos_Control!A170,M6_Puntos_Control!$D$9:D170,M6_Puntos_Control!D170,M6_Puntos_Control!$G$9:G170,M6_Puntos_Control!G170,M6_Puntos_Control!$H$9:H170,M6_Puntos_Control!H170,M6_Puntos_Control!$K$9:K170,"Sí")=1,IF(M6_Puntos_Control!M170="","",M6_Puntos_Control!M170),""),""))</f>
        <v/>
      </c>
      <c r="AD1166" s="17" t="str">
        <f>IF(M6_Puntos_Control!A170="","","RD")</f>
        <v/>
      </c>
      <c r="AE1166" s="17" t="str">
        <f>IF(M6_Puntos_Control!A170="","",IF(M6_Puntos_Control!O170="","",M6_Puntos_Control!O170))</f>
        <v/>
      </c>
      <c r="AF1166" s="17" t="str">
        <f>IF(M6_Puntos_Control!A170="","",IF(M6_Puntos_Control!P170="","",M6_Puntos_Control!P170))</f>
        <v/>
      </c>
      <c r="AG1166" s="17" t="str">
        <f>IF(M6_Puntos_Control!A170="","",IF(M6_Puntos_Control!Q170="","",M6_Puntos_Control!Q170))</f>
        <v/>
      </c>
      <c r="AH1166" s="17" t="str">
        <f>IF(M6_Puntos_Control!A170="","",IF(M6_Puntos_Control!I170="","",M6_Puntos_Control!I170))</f>
        <v/>
      </c>
      <c r="AI1166" s="17" t="str">
        <f>IF(M6_Puntos_Control!A170="","","M6_Puntos_Control!170")</f>
        <v/>
      </c>
      <c r="AJ1166" s="17" t="str">
        <f>IF(M6_Puntos_Control!A170="","",IF(M6_Puntos_Control!K170&lt;&gt;"Sí","Punto de comparación",IF(COUNTIFS(M6_Puntos_Control!$A$9:A170,M6_Puntos_Control!A170,M6_Puntos_Control!$D$9:D170,M6_Puntos_Control!D170,M6_Puntos_Control!$G$9:G170,M6_Puntos_Control!G170,M6_Puntos_Control!$H$9:H170,M6_Puntos_Control!H170,M6_Puntos_Control!$K$9:K170,"Sí")=1,IF(M6_Puntos_Control!M170="","Pendiente de resultado","Punto oficial"),"Revisar: varios puntos oficiales")))</f>
        <v/>
      </c>
    </row>
    <row r="1167" spans="1:36" ht="55.5" customHeight="1">
      <c r="A1167" s="6" t="str">
        <f t="array" ref="A1167">IF(1163&gt;$S$1204,"",INDEX($T$5:$AJ$1204,MATCH(1163,$S$5:$S$1204,0),1))</f>
        <v/>
      </c>
      <c r="B1167" s="8" t="str">
        <f t="array" ref="B1167">IF(1163&gt;$S$1204,"",INDEX($T$5:$AJ$1204,MATCH(1163,$S$5:$S$1204,0),2))</f>
        <v/>
      </c>
      <c r="C1167" s="10" t="str">
        <f t="array" ref="C1167">IF(1163&gt;$S$1204,"",INDEX($T$5:$AJ$1204,MATCH(1163,$S$5:$S$1204,0),3))</f>
        <v/>
      </c>
      <c r="D1167" s="8" t="str">
        <f t="array" ref="D1167">IF(1163&gt;$S$1204,"",INDEX($T$5:$AJ$1204,MATCH(1163,$S$5:$S$1204,0),4))</f>
        <v/>
      </c>
      <c r="E1167" s="8" t="str">
        <f t="array" ref="E1167">IF(1163&gt;$S$1204,"",INDEX($T$5:$AJ$1204,MATCH(1163,$S$5:$S$1204,0),5))</f>
        <v/>
      </c>
      <c r="F1167" s="8" t="str">
        <f t="array" ref="F1167">IF(1163&gt;$S$1204,"",INDEX($T$5:$AJ$1204,MATCH(1163,$S$5:$S$1204,0),6))</f>
        <v/>
      </c>
      <c r="G1167" s="8" t="str">
        <f t="array" ref="G1167">IF(1163&gt;$S$1204,"",INDEX($T$5:$AJ$1204,MATCH(1163,$S$5:$S$1204,0),7))</f>
        <v/>
      </c>
      <c r="H1167" s="8" t="str">
        <f t="array" ref="H1167">IF(1163&gt;$S$1204,"",INDEX($T$5:$AJ$1204,MATCH(1163,$S$5:$S$1204,0),8))</f>
        <v/>
      </c>
      <c r="I1167" s="8" t="str">
        <f t="array" ref="I1167">IF(1163&gt;$S$1204,"",INDEX($T$5:$AJ$1204,MATCH(1163,$S$5:$S$1204,0),9))</f>
        <v/>
      </c>
      <c r="J1167" s="14" t="str">
        <f t="array" ref="J1167">IF(1163&gt;$S$1204,"",INDEX($T$5:$AJ$1204,MATCH(1163,$S$5:$S$1204,0),10))</f>
        <v/>
      </c>
      <c r="K1167" s="8" t="str">
        <f t="array" ref="K1167">IF(1163&gt;$S$1204,"",INDEX($T$5:$AJ$1204,MATCH(1163,$S$5:$S$1204,0),11))</f>
        <v/>
      </c>
      <c r="L1167" s="8" t="str">
        <f t="array" ref="L1167">IF(1163&gt;$S$1204,"",INDEX($T$5:$AJ$1204,MATCH(1163,$S$5:$S$1204,0),12))</f>
        <v/>
      </c>
      <c r="M1167" s="8" t="str">
        <f t="array" ref="M1167">IF(1163&gt;$S$1204,"",INDEX($T$5:$AJ$1204,MATCH(1163,$S$5:$S$1204,0),13))</f>
        <v/>
      </c>
      <c r="N1167" s="8" t="str">
        <f t="array" ref="N1167">IF(1163&gt;$S$1204,"",INDEX($T$5:$AJ$1204,MATCH(1163,$S$5:$S$1204,0),14))</f>
        <v/>
      </c>
      <c r="O1167" s="15" t="str">
        <f t="array" ref="O1167">IF(1163&gt;$S$1204,"",INDEX($T$5:$AJ$1204,MATCH(1163,$S$5:$S$1204,0),15))</f>
        <v/>
      </c>
      <c r="P1167" s="8" t="str">
        <f t="array" ref="P1167">IF(1163&gt;$S$1204,"",INDEX($T$5:$AJ$1204,MATCH(1163,$S$5:$S$1204,0),16))</f>
        <v/>
      </c>
      <c r="Q1167" s="8" t="str">
        <f t="array" ref="Q1167">IF(1163&gt;$S$1204,"",INDEX($T$5:$AJ$1204,MATCH(1163,$S$5:$S$1204,0),17))</f>
        <v/>
      </c>
      <c r="R1167" s="17"/>
      <c r="S1167" s="17">
        <f>S1166+IF(M6_Puntos_Control!A171="",0,1)</f>
        <v>0</v>
      </c>
      <c r="T1167" s="17" t="str">
        <f>IF(M6_Puntos_Control!A171="","",IF(M6_Puntos_Control!A171="","",M6_Puntos_Control!A171))</f>
        <v/>
      </c>
      <c r="U1167" s="17" t="str">
        <f>IF(M6_Puntos_Control!A171="","",IF(M6_Puntos_Control!R171="","",M6_Puntos_Control!R171))</f>
        <v/>
      </c>
      <c r="V1167" s="17" t="str">
        <f>IF(M6_Puntos_Control!A171="","",IF(M6_Puntos_Control!D171="","",M6_Puntos_Control!D171))</f>
        <v/>
      </c>
      <c r="W1167" s="17" t="str">
        <f>IF(M6_Puntos_Control!A171="","",IF(M6_Puntos_Control!B171="","",M6_Puntos_Control!B171))</f>
        <v/>
      </c>
      <c r="X1167" s="17" t="str">
        <f>IF(M6_Puntos_Control!A171="","",IF(M6_Puntos_Control!C171="","",M6_Puntos_Control!C171))</f>
        <v/>
      </c>
      <c r="Y1167" s="17" t="str">
        <f>IF(M6_Puntos_Control!A171="","",IF(M6_Puntos_Control!E171="","",M6_Puntos_Control!E171))</f>
        <v/>
      </c>
      <c r="Z1167" s="17" t="str">
        <f>IF(M6_Puntos_Control!A171="","",IF(M6_Puntos_Control!F171="","",M6_Puntos_Control!F171))</f>
        <v/>
      </c>
      <c r="AA1167" s="17" t="str">
        <f>IF(M6_Puntos_Control!A171="","","M6 Puntos de control")</f>
        <v/>
      </c>
      <c r="AB1167" s="17" t="str">
        <f>IF(M6_Puntos_Control!A171="","",IF(M6_Puntos_Control!G171="","",M6_Puntos_Control!G171))</f>
        <v/>
      </c>
      <c r="AC1167" s="17" t="str">
        <f>IF(M6_Puntos_Control!A171="","",IF(M6_Puntos_Control!K171="Sí",IF(COUNTIFS(M6_Puntos_Control!$A$9:A171,M6_Puntos_Control!A171,M6_Puntos_Control!$D$9:D171,M6_Puntos_Control!D171,M6_Puntos_Control!$G$9:G171,M6_Puntos_Control!G171,M6_Puntos_Control!$H$9:H171,M6_Puntos_Control!H171,M6_Puntos_Control!$K$9:K171,"Sí")=1,IF(M6_Puntos_Control!M171="","",M6_Puntos_Control!M171),""),""))</f>
        <v/>
      </c>
      <c r="AD1167" s="17" t="str">
        <f>IF(M6_Puntos_Control!A171="","","RD")</f>
        <v/>
      </c>
      <c r="AE1167" s="17" t="str">
        <f>IF(M6_Puntos_Control!A171="","",IF(M6_Puntos_Control!O171="","",M6_Puntos_Control!O171))</f>
        <v/>
      </c>
      <c r="AF1167" s="17" t="str">
        <f>IF(M6_Puntos_Control!A171="","",IF(M6_Puntos_Control!P171="","",M6_Puntos_Control!P171))</f>
        <v/>
      </c>
      <c r="AG1167" s="17" t="str">
        <f>IF(M6_Puntos_Control!A171="","",IF(M6_Puntos_Control!Q171="","",M6_Puntos_Control!Q171))</f>
        <v/>
      </c>
      <c r="AH1167" s="17" t="str">
        <f>IF(M6_Puntos_Control!A171="","",IF(M6_Puntos_Control!I171="","",M6_Puntos_Control!I171))</f>
        <v/>
      </c>
      <c r="AI1167" s="17" t="str">
        <f>IF(M6_Puntos_Control!A171="","","M6_Puntos_Control!171")</f>
        <v/>
      </c>
      <c r="AJ1167" s="17" t="str">
        <f>IF(M6_Puntos_Control!A171="","",IF(M6_Puntos_Control!K171&lt;&gt;"Sí","Punto de comparación",IF(COUNTIFS(M6_Puntos_Control!$A$9:A171,M6_Puntos_Control!A171,M6_Puntos_Control!$D$9:D171,M6_Puntos_Control!D171,M6_Puntos_Control!$G$9:G171,M6_Puntos_Control!G171,M6_Puntos_Control!$H$9:H171,M6_Puntos_Control!H171,M6_Puntos_Control!$K$9:K171,"Sí")=1,IF(M6_Puntos_Control!M171="","Pendiente de resultado","Punto oficial"),"Revisar: varios puntos oficiales")))</f>
        <v/>
      </c>
    </row>
    <row r="1168" spans="1:36" ht="55.5" customHeight="1">
      <c r="A1168" s="6" t="str">
        <f t="array" ref="A1168">IF(1164&gt;$S$1204,"",INDEX($T$5:$AJ$1204,MATCH(1164,$S$5:$S$1204,0),1))</f>
        <v/>
      </c>
      <c r="B1168" s="8" t="str">
        <f t="array" ref="B1168">IF(1164&gt;$S$1204,"",INDEX($T$5:$AJ$1204,MATCH(1164,$S$5:$S$1204,0),2))</f>
        <v/>
      </c>
      <c r="C1168" s="10" t="str">
        <f t="array" ref="C1168">IF(1164&gt;$S$1204,"",INDEX($T$5:$AJ$1204,MATCH(1164,$S$5:$S$1204,0),3))</f>
        <v/>
      </c>
      <c r="D1168" s="8" t="str">
        <f t="array" ref="D1168">IF(1164&gt;$S$1204,"",INDEX($T$5:$AJ$1204,MATCH(1164,$S$5:$S$1204,0),4))</f>
        <v/>
      </c>
      <c r="E1168" s="8" t="str">
        <f t="array" ref="E1168">IF(1164&gt;$S$1204,"",INDEX($T$5:$AJ$1204,MATCH(1164,$S$5:$S$1204,0),5))</f>
        <v/>
      </c>
      <c r="F1168" s="8" t="str">
        <f t="array" ref="F1168">IF(1164&gt;$S$1204,"",INDEX($T$5:$AJ$1204,MATCH(1164,$S$5:$S$1204,0),6))</f>
        <v/>
      </c>
      <c r="G1168" s="8" t="str">
        <f t="array" ref="G1168">IF(1164&gt;$S$1204,"",INDEX($T$5:$AJ$1204,MATCH(1164,$S$5:$S$1204,0),7))</f>
        <v/>
      </c>
      <c r="H1168" s="8" t="str">
        <f t="array" ref="H1168">IF(1164&gt;$S$1204,"",INDEX($T$5:$AJ$1204,MATCH(1164,$S$5:$S$1204,0),8))</f>
        <v/>
      </c>
      <c r="I1168" s="8" t="str">
        <f t="array" ref="I1168">IF(1164&gt;$S$1204,"",INDEX($T$5:$AJ$1204,MATCH(1164,$S$5:$S$1204,0),9))</f>
        <v/>
      </c>
      <c r="J1168" s="14" t="str">
        <f t="array" ref="J1168">IF(1164&gt;$S$1204,"",INDEX($T$5:$AJ$1204,MATCH(1164,$S$5:$S$1204,0),10))</f>
        <v/>
      </c>
      <c r="K1168" s="8" t="str">
        <f t="array" ref="K1168">IF(1164&gt;$S$1204,"",INDEX($T$5:$AJ$1204,MATCH(1164,$S$5:$S$1204,0),11))</f>
        <v/>
      </c>
      <c r="L1168" s="8" t="str">
        <f t="array" ref="L1168">IF(1164&gt;$S$1204,"",INDEX($T$5:$AJ$1204,MATCH(1164,$S$5:$S$1204,0),12))</f>
        <v/>
      </c>
      <c r="M1168" s="8" t="str">
        <f t="array" ref="M1168">IF(1164&gt;$S$1204,"",INDEX($T$5:$AJ$1204,MATCH(1164,$S$5:$S$1204,0),13))</f>
        <v/>
      </c>
      <c r="N1168" s="8" t="str">
        <f t="array" ref="N1168">IF(1164&gt;$S$1204,"",INDEX($T$5:$AJ$1204,MATCH(1164,$S$5:$S$1204,0),14))</f>
        <v/>
      </c>
      <c r="O1168" s="15" t="str">
        <f t="array" ref="O1168">IF(1164&gt;$S$1204,"",INDEX($T$5:$AJ$1204,MATCH(1164,$S$5:$S$1204,0),15))</f>
        <v/>
      </c>
      <c r="P1168" s="8" t="str">
        <f t="array" ref="P1168">IF(1164&gt;$S$1204,"",INDEX($T$5:$AJ$1204,MATCH(1164,$S$5:$S$1204,0),16))</f>
        <v/>
      </c>
      <c r="Q1168" s="8" t="str">
        <f t="array" ref="Q1168">IF(1164&gt;$S$1204,"",INDEX($T$5:$AJ$1204,MATCH(1164,$S$5:$S$1204,0),17))</f>
        <v/>
      </c>
      <c r="R1168" s="17"/>
      <c r="S1168" s="17">
        <f>S1167+IF(M6_Puntos_Control!A172="",0,1)</f>
        <v>0</v>
      </c>
      <c r="T1168" s="17" t="str">
        <f>IF(M6_Puntos_Control!A172="","",IF(M6_Puntos_Control!A172="","",M6_Puntos_Control!A172))</f>
        <v/>
      </c>
      <c r="U1168" s="17" t="str">
        <f>IF(M6_Puntos_Control!A172="","",IF(M6_Puntos_Control!R172="","",M6_Puntos_Control!R172))</f>
        <v/>
      </c>
      <c r="V1168" s="17" t="str">
        <f>IF(M6_Puntos_Control!A172="","",IF(M6_Puntos_Control!D172="","",M6_Puntos_Control!D172))</f>
        <v/>
      </c>
      <c r="W1168" s="17" t="str">
        <f>IF(M6_Puntos_Control!A172="","",IF(M6_Puntos_Control!B172="","",M6_Puntos_Control!B172))</f>
        <v/>
      </c>
      <c r="X1168" s="17" t="str">
        <f>IF(M6_Puntos_Control!A172="","",IF(M6_Puntos_Control!C172="","",M6_Puntos_Control!C172))</f>
        <v/>
      </c>
      <c r="Y1168" s="17" t="str">
        <f>IF(M6_Puntos_Control!A172="","",IF(M6_Puntos_Control!E172="","",M6_Puntos_Control!E172))</f>
        <v/>
      </c>
      <c r="Z1168" s="17" t="str">
        <f>IF(M6_Puntos_Control!A172="","",IF(M6_Puntos_Control!F172="","",M6_Puntos_Control!F172))</f>
        <v/>
      </c>
      <c r="AA1168" s="17" t="str">
        <f>IF(M6_Puntos_Control!A172="","","M6 Puntos de control")</f>
        <v/>
      </c>
      <c r="AB1168" s="17" t="str">
        <f>IF(M6_Puntos_Control!A172="","",IF(M6_Puntos_Control!G172="","",M6_Puntos_Control!G172))</f>
        <v/>
      </c>
      <c r="AC1168" s="17" t="str">
        <f>IF(M6_Puntos_Control!A172="","",IF(M6_Puntos_Control!K172="Sí",IF(COUNTIFS(M6_Puntos_Control!$A$9:A172,M6_Puntos_Control!A172,M6_Puntos_Control!$D$9:D172,M6_Puntos_Control!D172,M6_Puntos_Control!$G$9:G172,M6_Puntos_Control!G172,M6_Puntos_Control!$H$9:H172,M6_Puntos_Control!H172,M6_Puntos_Control!$K$9:K172,"Sí")=1,IF(M6_Puntos_Control!M172="","",M6_Puntos_Control!M172),""),""))</f>
        <v/>
      </c>
      <c r="AD1168" s="17" t="str">
        <f>IF(M6_Puntos_Control!A172="","","RD")</f>
        <v/>
      </c>
      <c r="AE1168" s="17" t="str">
        <f>IF(M6_Puntos_Control!A172="","",IF(M6_Puntos_Control!O172="","",M6_Puntos_Control!O172))</f>
        <v/>
      </c>
      <c r="AF1168" s="17" t="str">
        <f>IF(M6_Puntos_Control!A172="","",IF(M6_Puntos_Control!P172="","",M6_Puntos_Control!P172))</f>
        <v/>
      </c>
      <c r="AG1168" s="17" t="str">
        <f>IF(M6_Puntos_Control!A172="","",IF(M6_Puntos_Control!Q172="","",M6_Puntos_Control!Q172))</f>
        <v/>
      </c>
      <c r="AH1168" s="17" t="str">
        <f>IF(M6_Puntos_Control!A172="","",IF(M6_Puntos_Control!I172="","",M6_Puntos_Control!I172))</f>
        <v/>
      </c>
      <c r="AI1168" s="17" t="str">
        <f>IF(M6_Puntos_Control!A172="","","M6_Puntos_Control!172")</f>
        <v/>
      </c>
      <c r="AJ1168" s="17" t="str">
        <f>IF(M6_Puntos_Control!A172="","",IF(M6_Puntos_Control!K172&lt;&gt;"Sí","Punto de comparación",IF(COUNTIFS(M6_Puntos_Control!$A$9:A172,M6_Puntos_Control!A172,M6_Puntos_Control!$D$9:D172,M6_Puntos_Control!D172,M6_Puntos_Control!$G$9:G172,M6_Puntos_Control!G172,M6_Puntos_Control!$H$9:H172,M6_Puntos_Control!H172,M6_Puntos_Control!$K$9:K172,"Sí")=1,IF(M6_Puntos_Control!M172="","Pendiente de resultado","Punto oficial"),"Revisar: varios puntos oficiales")))</f>
        <v/>
      </c>
    </row>
    <row r="1169" spans="1:36" ht="55.5" customHeight="1">
      <c r="A1169" s="6" t="str">
        <f t="array" ref="A1169">IF(1165&gt;$S$1204,"",INDEX($T$5:$AJ$1204,MATCH(1165,$S$5:$S$1204,0),1))</f>
        <v/>
      </c>
      <c r="B1169" s="8" t="str">
        <f t="array" ref="B1169">IF(1165&gt;$S$1204,"",INDEX($T$5:$AJ$1204,MATCH(1165,$S$5:$S$1204,0),2))</f>
        <v/>
      </c>
      <c r="C1169" s="10" t="str">
        <f t="array" ref="C1169">IF(1165&gt;$S$1204,"",INDEX($T$5:$AJ$1204,MATCH(1165,$S$5:$S$1204,0),3))</f>
        <v/>
      </c>
      <c r="D1169" s="8" t="str">
        <f t="array" ref="D1169">IF(1165&gt;$S$1204,"",INDEX($T$5:$AJ$1204,MATCH(1165,$S$5:$S$1204,0),4))</f>
        <v/>
      </c>
      <c r="E1169" s="8" t="str">
        <f t="array" ref="E1169">IF(1165&gt;$S$1204,"",INDEX($T$5:$AJ$1204,MATCH(1165,$S$5:$S$1204,0),5))</f>
        <v/>
      </c>
      <c r="F1169" s="8" t="str">
        <f t="array" ref="F1169">IF(1165&gt;$S$1204,"",INDEX($T$5:$AJ$1204,MATCH(1165,$S$5:$S$1204,0),6))</f>
        <v/>
      </c>
      <c r="G1169" s="8" t="str">
        <f t="array" ref="G1169">IF(1165&gt;$S$1204,"",INDEX($T$5:$AJ$1204,MATCH(1165,$S$5:$S$1204,0),7))</f>
        <v/>
      </c>
      <c r="H1169" s="8" t="str">
        <f t="array" ref="H1169">IF(1165&gt;$S$1204,"",INDEX($T$5:$AJ$1204,MATCH(1165,$S$5:$S$1204,0),8))</f>
        <v/>
      </c>
      <c r="I1169" s="8" t="str">
        <f t="array" ref="I1169">IF(1165&gt;$S$1204,"",INDEX($T$5:$AJ$1204,MATCH(1165,$S$5:$S$1204,0),9))</f>
        <v/>
      </c>
      <c r="J1169" s="14" t="str">
        <f t="array" ref="J1169">IF(1165&gt;$S$1204,"",INDEX($T$5:$AJ$1204,MATCH(1165,$S$5:$S$1204,0),10))</f>
        <v/>
      </c>
      <c r="K1169" s="8" t="str">
        <f t="array" ref="K1169">IF(1165&gt;$S$1204,"",INDEX($T$5:$AJ$1204,MATCH(1165,$S$5:$S$1204,0),11))</f>
        <v/>
      </c>
      <c r="L1169" s="8" t="str">
        <f t="array" ref="L1169">IF(1165&gt;$S$1204,"",INDEX($T$5:$AJ$1204,MATCH(1165,$S$5:$S$1204,0),12))</f>
        <v/>
      </c>
      <c r="M1169" s="8" t="str">
        <f t="array" ref="M1169">IF(1165&gt;$S$1204,"",INDEX($T$5:$AJ$1204,MATCH(1165,$S$5:$S$1204,0),13))</f>
        <v/>
      </c>
      <c r="N1169" s="8" t="str">
        <f t="array" ref="N1169">IF(1165&gt;$S$1204,"",INDEX($T$5:$AJ$1204,MATCH(1165,$S$5:$S$1204,0),14))</f>
        <v/>
      </c>
      <c r="O1169" s="15" t="str">
        <f t="array" ref="O1169">IF(1165&gt;$S$1204,"",INDEX($T$5:$AJ$1204,MATCH(1165,$S$5:$S$1204,0),15))</f>
        <v/>
      </c>
      <c r="P1169" s="8" t="str">
        <f t="array" ref="P1169">IF(1165&gt;$S$1204,"",INDEX($T$5:$AJ$1204,MATCH(1165,$S$5:$S$1204,0),16))</f>
        <v/>
      </c>
      <c r="Q1169" s="8" t="str">
        <f t="array" ref="Q1169">IF(1165&gt;$S$1204,"",INDEX($T$5:$AJ$1204,MATCH(1165,$S$5:$S$1204,0),17))</f>
        <v/>
      </c>
      <c r="R1169" s="17"/>
      <c r="S1169" s="17">
        <f>S1168+IF(M6_Puntos_Control!A173="",0,1)</f>
        <v>0</v>
      </c>
      <c r="T1169" s="17" t="str">
        <f>IF(M6_Puntos_Control!A173="","",IF(M6_Puntos_Control!A173="","",M6_Puntos_Control!A173))</f>
        <v/>
      </c>
      <c r="U1169" s="17" t="str">
        <f>IF(M6_Puntos_Control!A173="","",IF(M6_Puntos_Control!R173="","",M6_Puntos_Control!R173))</f>
        <v/>
      </c>
      <c r="V1169" s="17" t="str">
        <f>IF(M6_Puntos_Control!A173="","",IF(M6_Puntos_Control!D173="","",M6_Puntos_Control!D173))</f>
        <v/>
      </c>
      <c r="W1169" s="17" t="str">
        <f>IF(M6_Puntos_Control!A173="","",IF(M6_Puntos_Control!B173="","",M6_Puntos_Control!B173))</f>
        <v/>
      </c>
      <c r="X1169" s="17" t="str">
        <f>IF(M6_Puntos_Control!A173="","",IF(M6_Puntos_Control!C173="","",M6_Puntos_Control!C173))</f>
        <v/>
      </c>
      <c r="Y1169" s="17" t="str">
        <f>IF(M6_Puntos_Control!A173="","",IF(M6_Puntos_Control!E173="","",M6_Puntos_Control!E173))</f>
        <v/>
      </c>
      <c r="Z1169" s="17" t="str">
        <f>IF(M6_Puntos_Control!A173="","",IF(M6_Puntos_Control!F173="","",M6_Puntos_Control!F173))</f>
        <v/>
      </c>
      <c r="AA1169" s="17" t="str">
        <f>IF(M6_Puntos_Control!A173="","","M6 Puntos de control")</f>
        <v/>
      </c>
      <c r="AB1169" s="17" t="str">
        <f>IF(M6_Puntos_Control!A173="","",IF(M6_Puntos_Control!G173="","",M6_Puntos_Control!G173))</f>
        <v/>
      </c>
      <c r="AC1169" s="17" t="str">
        <f>IF(M6_Puntos_Control!A173="","",IF(M6_Puntos_Control!K173="Sí",IF(COUNTIFS(M6_Puntos_Control!$A$9:A173,M6_Puntos_Control!A173,M6_Puntos_Control!$D$9:D173,M6_Puntos_Control!D173,M6_Puntos_Control!$G$9:G173,M6_Puntos_Control!G173,M6_Puntos_Control!$H$9:H173,M6_Puntos_Control!H173,M6_Puntos_Control!$K$9:K173,"Sí")=1,IF(M6_Puntos_Control!M173="","",M6_Puntos_Control!M173),""),""))</f>
        <v/>
      </c>
      <c r="AD1169" s="17" t="str">
        <f>IF(M6_Puntos_Control!A173="","","RD")</f>
        <v/>
      </c>
      <c r="AE1169" s="17" t="str">
        <f>IF(M6_Puntos_Control!A173="","",IF(M6_Puntos_Control!O173="","",M6_Puntos_Control!O173))</f>
        <v/>
      </c>
      <c r="AF1169" s="17" t="str">
        <f>IF(M6_Puntos_Control!A173="","",IF(M6_Puntos_Control!P173="","",M6_Puntos_Control!P173))</f>
        <v/>
      </c>
      <c r="AG1169" s="17" t="str">
        <f>IF(M6_Puntos_Control!A173="","",IF(M6_Puntos_Control!Q173="","",M6_Puntos_Control!Q173))</f>
        <v/>
      </c>
      <c r="AH1169" s="17" t="str">
        <f>IF(M6_Puntos_Control!A173="","",IF(M6_Puntos_Control!I173="","",M6_Puntos_Control!I173))</f>
        <v/>
      </c>
      <c r="AI1169" s="17" t="str">
        <f>IF(M6_Puntos_Control!A173="","","M6_Puntos_Control!173")</f>
        <v/>
      </c>
      <c r="AJ1169" s="17" t="str">
        <f>IF(M6_Puntos_Control!A173="","",IF(M6_Puntos_Control!K173&lt;&gt;"Sí","Punto de comparación",IF(COUNTIFS(M6_Puntos_Control!$A$9:A173,M6_Puntos_Control!A173,M6_Puntos_Control!$D$9:D173,M6_Puntos_Control!D173,M6_Puntos_Control!$G$9:G173,M6_Puntos_Control!G173,M6_Puntos_Control!$H$9:H173,M6_Puntos_Control!H173,M6_Puntos_Control!$K$9:K173,"Sí")=1,IF(M6_Puntos_Control!M173="","Pendiente de resultado","Punto oficial"),"Revisar: varios puntos oficiales")))</f>
        <v/>
      </c>
    </row>
    <row r="1170" spans="1:36" ht="55.5" customHeight="1">
      <c r="A1170" s="6" t="str">
        <f t="array" ref="A1170">IF(1166&gt;$S$1204,"",INDEX($T$5:$AJ$1204,MATCH(1166,$S$5:$S$1204,0),1))</f>
        <v/>
      </c>
      <c r="B1170" s="8" t="str">
        <f t="array" ref="B1170">IF(1166&gt;$S$1204,"",INDEX($T$5:$AJ$1204,MATCH(1166,$S$5:$S$1204,0),2))</f>
        <v/>
      </c>
      <c r="C1170" s="10" t="str">
        <f t="array" ref="C1170">IF(1166&gt;$S$1204,"",INDEX($T$5:$AJ$1204,MATCH(1166,$S$5:$S$1204,0),3))</f>
        <v/>
      </c>
      <c r="D1170" s="8" t="str">
        <f t="array" ref="D1170">IF(1166&gt;$S$1204,"",INDEX($T$5:$AJ$1204,MATCH(1166,$S$5:$S$1204,0),4))</f>
        <v/>
      </c>
      <c r="E1170" s="8" t="str">
        <f t="array" ref="E1170">IF(1166&gt;$S$1204,"",INDEX($T$5:$AJ$1204,MATCH(1166,$S$5:$S$1204,0),5))</f>
        <v/>
      </c>
      <c r="F1170" s="8" t="str">
        <f t="array" ref="F1170">IF(1166&gt;$S$1204,"",INDEX($T$5:$AJ$1204,MATCH(1166,$S$5:$S$1204,0),6))</f>
        <v/>
      </c>
      <c r="G1170" s="8" t="str">
        <f t="array" ref="G1170">IF(1166&gt;$S$1204,"",INDEX($T$5:$AJ$1204,MATCH(1166,$S$5:$S$1204,0),7))</f>
        <v/>
      </c>
      <c r="H1170" s="8" t="str">
        <f t="array" ref="H1170">IF(1166&gt;$S$1204,"",INDEX($T$5:$AJ$1204,MATCH(1166,$S$5:$S$1204,0),8))</f>
        <v/>
      </c>
      <c r="I1170" s="8" t="str">
        <f t="array" ref="I1170">IF(1166&gt;$S$1204,"",INDEX($T$5:$AJ$1204,MATCH(1166,$S$5:$S$1204,0),9))</f>
        <v/>
      </c>
      <c r="J1170" s="14" t="str">
        <f t="array" ref="J1170">IF(1166&gt;$S$1204,"",INDEX($T$5:$AJ$1204,MATCH(1166,$S$5:$S$1204,0),10))</f>
        <v/>
      </c>
      <c r="K1170" s="8" t="str">
        <f t="array" ref="K1170">IF(1166&gt;$S$1204,"",INDEX($T$5:$AJ$1204,MATCH(1166,$S$5:$S$1204,0),11))</f>
        <v/>
      </c>
      <c r="L1170" s="8" t="str">
        <f t="array" ref="L1170">IF(1166&gt;$S$1204,"",INDEX($T$5:$AJ$1204,MATCH(1166,$S$5:$S$1204,0),12))</f>
        <v/>
      </c>
      <c r="M1170" s="8" t="str">
        <f t="array" ref="M1170">IF(1166&gt;$S$1204,"",INDEX($T$5:$AJ$1204,MATCH(1166,$S$5:$S$1204,0),13))</f>
        <v/>
      </c>
      <c r="N1170" s="8" t="str">
        <f t="array" ref="N1170">IF(1166&gt;$S$1204,"",INDEX($T$5:$AJ$1204,MATCH(1166,$S$5:$S$1204,0),14))</f>
        <v/>
      </c>
      <c r="O1170" s="15" t="str">
        <f t="array" ref="O1170">IF(1166&gt;$S$1204,"",INDEX($T$5:$AJ$1204,MATCH(1166,$S$5:$S$1204,0),15))</f>
        <v/>
      </c>
      <c r="P1170" s="8" t="str">
        <f t="array" ref="P1170">IF(1166&gt;$S$1204,"",INDEX($T$5:$AJ$1204,MATCH(1166,$S$5:$S$1204,0),16))</f>
        <v/>
      </c>
      <c r="Q1170" s="8" t="str">
        <f t="array" ref="Q1170">IF(1166&gt;$S$1204,"",INDEX($T$5:$AJ$1204,MATCH(1166,$S$5:$S$1204,0),17))</f>
        <v/>
      </c>
      <c r="R1170" s="17"/>
      <c r="S1170" s="17">
        <f>S1169+IF(M6_Puntos_Control!A174="",0,1)</f>
        <v>0</v>
      </c>
      <c r="T1170" s="17" t="str">
        <f>IF(M6_Puntos_Control!A174="","",IF(M6_Puntos_Control!A174="","",M6_Puntos_Control!A174))</f>
        <v/>
      </c>
      <c r="U1170" s="17" t="str">
        <f>IF(M6_Puntos_Control!A174="","",IF(M6_Puntos_Control!R174="","",M6_Puntos_Control!R174))</f>
        <v/>
      </c>
      <c r="V1170" s="17" t="str">
        <f>IF(M6_Puntos_Control!A174="","",IF(M6_Puntos_Control!D174="","",M6_Puntos_Control!D174))</f>
        <v/>
      </c>
      <c r="W1170" s="17" t="str">
        <f>IF(M6_Puntos_Control!A174="","",IF(M6_Puntos_Control!B174="","",M6_Puntos_Control!B174))</f>
        <v/>
      </c>
      <c r="X1170" s="17" t="str">
        <f>IF(M6_Puntos_Control!A174="","",IF(M6_Puntos_Control!C174="","",M6_Puntos_Control!C174))</f>
        <v/>
      </c>
      <c r="Y1170" s="17" t="str">
        <f>IF(M6_Puntos_Control!A174="","",IF(M6_Puntos_Control!E174="","",M6_Puntos_Control!E174))</f>
        <v/>
      </c>
      <c r="Z1170" s="17" t="str">
        <f>IF(M6_Puntos_Control!A174="","",IF(M6_Puntos_Control!F174="","",M6_Puntos_Control!F174))</f>
        <v/>
      </c>
      <c r="AA1170" s="17" t="str">
        <f>IF(M6_Puntos_Control!A174="","","M6 Puntos de control")</f>
        <v/>
      </c>
      <c r="AB1170" s="17" t="str">
        <f>IF(M6_Puntos_Control!A174="","",IF(M6_Puntos_Control!G174="","",M6_Puntos_Control!G174))</f>
        <v/>
      </c>
      <c r="AC1170" s="17" t="str">
        <f>IF(M6_Puntos_Control!A174="","",IF(M6_Puntos_Control!K174="Sí",IF(COUNTIFS(M6_Puntos_Control!$A$9:A174,M6_Puntos_Control!A174,M6_Puntos_Control!$D$9:D174,M6_Puntos_Control!D174,M6_Puntos_Control!$G$9:G174,M6_Puntos_Control!G174,M6_Puntos_Control!$H$9:H174,M6_Puntos_Control!H174,M6_Puntos_Control!$K$9:K174,"Sí")=1,IF(M6_Puntos_Control!M174="","",M6_Puntos_Control!M174),""),""))</f>
        <v/>
      </c>
      <c r="AD1170" s="17" t="str">
        <f>IF(M6_Puntos_Control!A174="","","RD")</f>
        <v/>
      </c>
      <c r="AE1170" s="17" t="str">
        <f>IF(M6_Puntos_Control!A174="","",IF(M6_Puntos_Control!O174="","",M6_Puntos_Control!O174))</f>
        <v/>
      </c>
      <c r="AF1170" s="17" t="str">
        <f>IF(M6_Puntos_Control!A174="","",IF(M6_Puntos_Control!P174="","",M6_Puntos_Control!P174))</f>
        <v/>
      </c>
      <c r="AG1170" s="17" t="str">
        <f>IF(M6_Puntos_Control!A174="","",IF(M6_Puntos_Control!Q174="","",M6_Puntos_Control!Q174))</f>
        <v/>
      </c>
      <c r="AH1170" s="17" t="str">
        <f>IF(M6_Puntos_Control!A174="","",IF(M6_Puntos_Control!I174="","",M6_Puntos_Control!I174))</f>
        <v/>
      </c>
      <c r="AI1170" s="17" t="str">
        <f>IF(M6_Puntos_Control!A174="","","M6_Puntos_Control!174")</f>
        <v/>
      </c>
      <c r="AJ1170" s="17" t="str">
        <f>IF(M6_Puntos_Control!A174="","",IF(M6_Puntos_Control!K174&lt;&gt;"Sí","Punto de comparación",IF(COUNTIFS(M6_Puntos_Control!$A$9:A174,M6_Puntos_Control!A174,M6_Puntos_Control!$D$9:D174,M6_Puntos_Control!D174,M6_Puntos_Control!$G$9:G174,M6_Puntos_Control!G174,M6_Puntos_Control!$H$9:H174,M6_Puntos_Control!H174,M6_Puntos_Control!$K$9:K174,"Sí")=1,IF(M6_Puntos_Control!M174="","Pendiente de resultado","Punto oficial"),"Revisar: varios puntos oficiales")))</f>
        <v/>
      </c>
    </row>
    <row r="1171" spans="1:36" ht="55.5" customHeight="1">
      <c r="A1171" s="6" t="str">
        <f t="array" ref="A1171">IF(1167&gt;$S$1204,"",INDEX($T$5:$AJ$1204,MATCH(1167,$S$5:$S$1204,0),1))</f>
        <v/>
      </c>
      <c r="B1171" s="8" t="str">
        <f t="array" ref="B1171">IF(1167&gt;$S$1204,"",INDEX($T$5:$AJ$1204,MATCH(1167,$S$5:$S$1204,0),2))</f>
        <v/>
      </c>
      <c r="C1171" s="10" t="str">
        <f t="array" ref="C1171">IF(1167&gt;$S$1204,"",INDEX($T$5:$AJ$1204,MATCH(1167,$S$5:$S$1204,0),3))</f>
        <v/>
      </c>
      <c r="D1171" s="8" t="str">
        <f t="array" ref="D1171">IF(1167&gt;$S$1204,"",INDEX($T$5:$AJ$1204,MATCH(1167,$S$5:$S$1204,0),4))</f>
        <v/>
      </c>
      <c r="E1171" s="8" t="str">
        <f t="array" ref="E1171">IF(1167&gt;$S$1204,"",INDEX($T$5:$AJ$1204,MATCH(1167,$S$5:$S$1204,0),5))</f>
        <v/>
      </c>
      <c r="F1171" s="8" t="str">
        <f t="array" ref="F1171">IF(1167&gt;$S$1204,"",INDEX($T$5:$AJ$1204,MATCH(1167,$S$5:$S$1204,0),6))</f>
        <v/>
      </c>
      <c r="G1171" s="8" t="str">
        <f t="array" ref="G1171">IF(1167&gt;$S$1204,"",INDEX($T$5:$AJ$1204,MATCH(1167,$S$5:$S$1204,0),7))</f>
        <v/>
      </c>
      <c r="H1171" s="8" t="str">
        <f t="array" ref="H1171">IF(1167&gt;$S$1204,"",INDEX($T$5:$AJ$1204,MATCH(1167,$S$5:$S$1204,0),8))</f>
        <v/>
      </c>
      <c r="I1171" s="8" t="str">
        <f t="array" ref="I1171">IF(1167&gt;$S$1204,"",INDEX($T$5:$AJ$1204,MATCH(1167,$S$5:$S$1204,0),9))</f>
        <v/>
      </c>
      <c r="J1171" s="14" t="str">
        <f t="array" ref="J1171">IF(1167&gt;$S$1204,"",INDEX($T$5:$AJ$1204,MATCH(1167,$S$5:$S$1204,0),10))</f>
        <v/>
      </c>
      <c r="K1171" s="8" t="str">
        <f t="array" ref="K1171">IF(1167&gt;$S$1204,"",INDEX($T$5:$AJ$1204,MATCH(1167,$S$5:$S$1204,0),11))</f>
        <v/>
      </c>
      <c r="L1171" s="8" t="str">
        <f t="array" ref="L1171">IF(1167&gt;$S$1204,"",INDEX($T$5:$AJ$1204,MATCH(1167,$S$5:$S$1204,0),12))</f>
        <v/>
      </c>
      <c r="M1171" s="8" t="str">
        <f t="array" ref="M1171">IF(1167&gt;$S$1204,"",INDEX($T$5:$AJ$1204,MATCH(1167,$S$5:$S$1204,0),13))</f>
        <v/>
      </c>
      <c r="N1171" s="8" t="str">
        <f t="array" ref="N1171">IF(1167&gt;$S$1204,"",INDEX($T$5:$AJ$1204,MATCH(1167,$S$5:$S$1204,0),14))</f>
        <v/>
      </c>
      <c r="O1171" s="15" t="str">
        <f t="array" ref="O1171">IF(1167&gt;$S$1204,"",INDEX($T$5:$AJ$1204,MATCH(1167,$S$5:$S$1204,0),15))</f>
        <v/>
      </c>
      <c r="P1171" s="8" t="str">
        <f t="array" ref="P1171">IF(1167&gt;$S$1204,"",INDEX($T$5:$AJ$1204,MATCH(1167,$S$5:$S$1204,0),16))</f>
        <v/>
      </c>
      <c r="Q1171" s="8" t="str">
        <f t="array" ref="Q1171">IF(1167&gt;$S$1204,"",INDEX($T$5:$AJ$1204,MATCH(1167,$S$5:$S$1204,0),17))</f>
        <v/>
      </c>
      <c r="R1171" s="17"/>
      <c r="S1171" s="17">
        <f>S1170+IF(M6_Puntos_Control!A175="",0,1)</f>
        <v>0</v>
      </c>
      <c r="T1171" s="17" t="str">
        <f>IF(M6_Puntos_Control!A175="","",IF(M6_Puntos_Control!A175="","",M6_Puntos_Control!A175))</f>
        <v/>
      </c>
      <c r="U1171" s="17" t="str">
        <f>IF(M6_Puntos_Control!A175="","",IF(M6_Puntos_Control!R175="","",M6_Puntos_Control!R175))</f>
        <v/>
      </c>
      <c r="V1171" s="17" t="str">
        <f>IF(M6_Puntos_Control!A175="","",IF(M6_Puntos_Control!D175="","",M6_Puntos_Control!D175))</f>
        <v/>
      </c>
      <c r="W1171" s="17" t="str">
        <f>IF(M6_Puntos_Control!A175="","",IF(M6_Puntos_Control!B175="","",M6_Puntos_Control!B175))</f>
        <v/>
      </c>
      <c r="X1171" s="17" t="str">
        <f>IF(M6_Puntos_Control!A175="","",IF(M6_Puntos_Control!C175="","",M6_Puntos_Control!C175))</f>
        <v/>
      </c>
      <c r="Y1171" s="17" t="str">
        <f>IF(M6_Puntos_Control!A175="","",IF(M6_Puntos_Control!E175="","",M6_Puntos_Control!E175))</f>
        <v/>
      </c>
      <c r="Z1171" s="17" t="str">
        <f>IF(M6_Puntos_Control!A175="","",IF(M6_Puntos_Control!F175="","",M6_Puntos_Control!F175))</f>
        <v/>
      </c>
      <c r="AA1171" s="17" t="str">
        <f>IF(M6_Puntos_Control!A175="","","M6 Puntos de control")</f>
        <v/>
      </c>
      <c r="AB1171" s="17" t="str">
        <f>IF(M6_Puntos_Control!A175="","",IF(M6_Puntos_Control!G175="","",M6_Puntos_Control!G175))</f>
        <v/>
      </c>
      <c r="AC1171" s="17" t="str">
        <f>IF(M6_Puntos_Control!A175="","",IF(M6_Puntos_Control!K175="Sí",IF(COUNTIFS(M6_Puntos_Control!$A$9:A175,M6_Puntos_Control!A175,M6_Puntos_Control!$D$9:D175,M6_Puntos_Control!D175,M6_Puntos_Control!$G$9:G175,M6_Puntos_Control!G175,M6_Puntos_Control!$H$9:H175,M6_Puntos_Control!H175,M6_Puntos_Control!$K$9:K175,"Sí")=1,IF(M6_Puntos_Control!M175="","",M6_Puntos_Control!M175),""),""))</f>
        <v/>
      </c>
      <c r="AD1171" s="17" t="str">
        <f>IF(M6_Puntos_Control!A175="","","RD")</f>
        <v/>
      </c>
      <c r="AE1171" s="17" t="str">
        <f>IF(M6_Puntos_Control!A175="","",IF(M6_Puntos_Control!O175="","",M6_Puntos_Control!O175))</f>
        <v/>
      </c>
      <c r="AF1171" s="17" t="str">
        <f>IF(M6_Puntos_Control!A175="","",IF(M6_Puntos_Control!P175="","",M6_Puntos_Control!P175))</f>
        <v/>
      </c>
      <c r="AG1171" s="17" t="str">
        <f>IF(M6_Puntos_Control!A175="","",IF(M6_Puntos_Control!Q175="","",M6_Puntos_Control!Q175))</f>
        <v/>
      </c>
      <c r="AH1171" s="17" t="str">
        <f>IF(M6_Puntos_Control!A175="","",IF(M6_Puntos_Control!I175="","",M6_Puntos_Control!I175))</f>
        <v/>
      </c>
      <c r="AI1171" s="17" t="str">
        <f>IF(M6_Puntos_Control!A175="","","M6_Puntos_Control!175")</f>
        <v/>
      </c>
      <c r="AJ1171" s="17" t="str">
        <f>IF(M6_Puntos_Control!A175="","",IF(M6_Puntos_Control!K175&lt;&gt;"Sí","Punto de comparación",IF(COUNTIFS(M6_Puntos_Control!$A$9:A175,M6_Puntos_Control!A175,M6_Puntos_Control!$D$9:D175,M6_Puntos_Control!D175,M6_Puntos_Control!$G$9:G175,M6_Puntos_Control!G175,M6_Puntos_Control!$H$9:H175,M6_Puntos_Control!H175,M6_Puntos_Control!$K$9:K175,"Sí")=1,IF(M6_Puntos_Control!M175="","Pendiente de resultado","Punto oficial"),"Revisar: varios puntos oficiales")))</f>
        <v/>
      </c>
    </row>
    <row r="1172" spans="1:36" ht="55.5" customHeight="1">
      <c r="A1172" s="6" t="str">
        <f t="array" ref="A1172">IF(1168&gt;$S$1204,"",INDEX($T$5:$AJ$1204,MATCH(1168,$S$5:$S$1204,0),1))</f>
        <v/>
      </c>
      <c r="B1172" s="8" t="str">
        <f t="array" ref="B1172">IF(1168&gt;$S$1204,"",INDEX($T$5:$AJ$1204,MATCH(1168,$S$5:$S$1204,0),2))</f>
        <v/>
      </c>
      <c r="C1172" s="10" t="str">
        <f t="array" ref="C1172">IF(1168&gt;$S$1204,"",INDEX($T$5:$AJ$1204,MATCH(1168,$S$5:$S$1204,0),3))</f>
        <v/>
      </c>
      <c r="D1172" s="8" t="str">
        <f t="array" ref="D1172">IF(1168&gt;$S$1204,"",INDEX($T$5:$AJ$1204,MATCH(1168,$S$5:$S$1204,0),4))</f>
        <v/>
      </c>
      <c r="E1172" s="8" t="str">
        <f t="array" ref="E1172">IF(1168&gt;$S$1204,"",INDEX($T$5:$AJ$1204,MATCH(1168,$S$5:$S$1204,0),5))</f>
        <v/>
      </c>
      <c r="F1172" s="8" t="str">
        <f t="array" ref="F1172">IF(1168&gt;$S$1204,"",INDEX($T$5:$AJ$1204,MATCH(1168,$S$5:$S$1204,0),6))</f>
        <v/>
      </c>
      <c r="G1172" s="8" t="str">
        <f t="array" ref="G1172">IF(1168&gt;$S$1204,"",INDEX($T$5:$AJ$1204,MATCH(1168,$S$5:$S$1204,0),7))</f>
        <v/>
      </c>
      <c r="H1172" s="8" t="str">
        <f t="array" ref="H1172">IF(1168&gt;$S$1204,"",INDEX($T$5:$AJ$1204,MATCH(1168,$S$5:$S$1204,0),8))</f>
        <v/>
      </c>
      <c r="I1172" s="8" t="str">
        <f t="array" ref="I1172">IF(1168&gt;$S$1204,"",INDEX($T$5:$AJ$1204,MATCH(1168,$S$5:$S$1204,0),9))</f>
        <v/>
      </c>
      <c r="J1172" s="14" t="str">
        <f t="array" ref="J1172">IF(1168&gt;$S$1204,"",INDEX($T$5:$AJ$1204,MATCH(1168,$S$5:$S$1204,0),10))</f>
        <v/>
      </c>
      <c r="K1172" s="8" t="str">
        <f t="array" ref="K1172">IF(1168&gt;$S$1204,"",INDEX($T$5:$AJ$1204,MATCH(1168,$S$5:$S$1204,0),11))</f>
        <v/>
      </c>
      <c r="L1172" s="8" t="str">
        <f t="array" ref="L1172">IF(1168&gt;$S$1204,"",INDEX($T$5:$AJ$1204,MATCH(1168,$S$5:$S$1204,0),12))</f>
        <v/>
      </c>
      <c r="M1172" s="8" t="str">
        <f t="array" ref="M1172">IF(1168&gt;$S$1204,"",INDEX($T$5:$AJ$1204,MATCH(1168,$S$5:$S$1204,0),13))</f>
        <v/>
      </c>
      <c r="N1172" s="8" t="str">
        <f t="array" ref="N1172">IF(1168&gt;$S$1204,"",INDEX($T$5:$AJ$1204,MATCH(1168,$S$5:$S$1204,0),14))</f>
        <v/>
      </c>
      <c r="O1172" s="15" t="str">
        <f t="array" ref="O1172">IF(1168&gt;$S$1204,"",INDEX($T$5:$AJ$1204,MATCH(1168,$S$5:$S$1204,0),15))</f>
        <v/>
      </c>
      <c r="P1172" s="8" t="str">
        <f t="array" ref="P1172">IF(1168&gt;$S$1204,"",INDEX($T$5:$AJ$1204,MATCH(1168,$S$5:$S$1204,0),16))</f>
        <v/>
      </c>
      <c r="Q1172" s="8" t="str">
        <f t="array" ref="Q1172">IF(1168&gt;$S$1204,"",INDEX($T$5:$AJ$1204,MATCH(1168,$S$5:$S$1204,0),17))</f>
        <v/>
      </c>
      <c r="R1172" s="17"/>
      <c r="S1172" s="17">
        <f>S1171+IF(M6_Puntos_Control!A176="",0,1)</f>
        <v>0</v>
      </c>
      <c r="T1172" s="17" t="str">
        <f>IF(M6_Puntos_Control!A176="","",IF(M6_Puntos_Control!A176="","",M6_Puntos_Control!A176))</f>
        <v/>
      </c>
      <c r="U1172" s="17" t="str">
        <f>IF(M6_Puntos_Control!A176="","",IF(M6_Puntos_Control!R176="","",M6_Puntos_Control!R176))</f>
        <v/>
      </c>
      <c r="V1172" s="17" t="str">
        <f>IF(M6_Puntos_Control!A176="","",IF(M6_Puntos_Control!D176="","",M6_Puntos_Control!D176))</f>
        <v/>
      </c>
      <c r="W1172" s="17" t="str">
        <f>IF(M6_Puntos_Control!A176="","",IF(M6_Puntos_Control!B176="","",M6_Puntos_Control!B176))</f>
        <v/>
      </c>
      <c r="X1172" s="17" t="str">
        <f>IF(M6_Puntos_Control!A176="","",IF(M6_Puntos_Control!C176="","",M6_Puntos_Control!C176))</f>
        <v/>
      </c>
      <c r="Y1172" s="17" t="str">
        <f>IF(M6_Puntos_Control!A176="","",IF(M6_Puntos_Control!E176="","",M6_Puntos_Control!E176))</f>
        <v/>
      </c>
      <c r="Z1172" s="17" t="str">
        <f>IF(M6_Puntos_Control!A176="","",IF(M6_Puntos_Control!F176="","",M6_Puntos_Control!F176))</f>
        <v/>
      </c>
      <c r="AA1172" s="17" t="str">
        <f>IF(M6_Puntos_Control!A176="","","M6 Puntos de control")</f>
        <v/>
      </c>
      <c r="AB1172" s="17" t="str">
        <f>IF(M6_Puntos_Control!A176="","",IF(M6_Puntos_Control!G176="","",M6_Puntos_Control!G176))</f>
        <v/>
      </c>
      <c r="AC1172" s="17" t="str">
        <f>IF(M6_Puntos_Control!A176="","",IF(M6_Puntos_Control!K176="Sí",IF(COUNTIFS(M6_Puntos_Control!$A$9:A176,M6_Puntos_Control!A176,M6_Puntos_Control!$D$9:D176,M6_Puntos_Control!D176,M6_Puntos_Control!$G$9:G176,M6_Puntos_Control!G176,M6_Puntos_Control!$H$9:H176,M6_Puntos_Control!H176,M6_Puntos_Control!$K$9:K176,"Sí")=1,IF(M6_Puntos_Control!M176="","",M6_Puntos_Control!M176),""),""))</f>
        <v/>
      </c>
      <c r="AD1172" s="17" t="str">
        <f>IF(M6_Puntos_Control!A176="","","RD")</f>
        <v/>
      </c>
      <c r="AE1172" s="17" t="str">
        <f>IF(M6_Puntos_Control!A176="","",IF(M6_Puntos_Control!O176="","",M6_Puntos_Control!O176))</f>
        <v/>
      </c>
      <c r="AF1172" s="17" t="str">
        <f>IF(M6_Puntos_Control!A176="","",IF(M6_Puntos_Control!P176="","",M6_Puntos_Control!P176))</f>
        <v/>
      </c>
      <c r="AG1172" s="17" t="str">
        <f>IF(M6_Puntos_Control!A176="","",IF(M6_Puntos_Control!Q176="","",M6_Puntos_Control!Q176))</f>
        <v/>
      </c>
      <c r="AH1172" s="17" t="str">
        <f>IF(M6_Puntos_Control!A176="","",IF(M6_Puntos_Control!I176="","",M6_Puntos_Control!I176))</f>
        <v/>
      </c>
      <c r="AI1172" s="17" t="str">
        <f>IF(M6_Puntos_Control!A176="","","M6_Puntos_Control!176")</f>
        <v/>
      </c>
      <c r="AJ1172" s="17" t="str">
        <f>IF(M6_Puntos_Control!A176="","",IF(M6_Puntos_Control!K176&lt;&gt;"Sí","Punto de comparación",IF(COUNTIFS(M6_Puntos_Control!$A$9:A176,M6_Puntos_Control!A176,M6_Puntos_Control!$D$9:D176,M6_Puntos_Control!D176,M6_Puntos_Control!$G$9:G176,M6_Puntos_Control!G176,M6_Puntos_Control!$H$9:H176,M6_Puntos_Control!H176,M6_Puntos_Control!$K$9:K176,"Sí")=1,IF(M6_Puntos_Control!M176="","Pendiente de resultado","Punto oficial"),"Revisar: varios puntos oficiales")))</f>
        <v/>
      </c>
    </row>
    <row r="1173" spans="1:36" ht="55.5" customHeight="1">
      <c r="A1173" s="6" t="str">
        <f t="array" ref="A1173">IF(1169&gt;$S$1204,"",INDEX($T$5:$AJ$1204,MATCH(1169,$S$5:$S$1204,0),1))</f>
        <v/>
      </c>
      <c r="B1173" s="8" t="str">
        <f t="array" ref="B1173">IF(1169&gt;$S$1204,"",INDEX($T$5:$AJ$1204,MATCH(1169,$S$5:$S$1204,0),2))</f>
        <v/>
      </c>
      <c r="C1173" s="10" t="str">
        <f t="array" ref="C1173">IF(1169&gt;$S$1204,"",INDEX($T$5:$AJ$1204,MATCH(1169,$S$5:$S$1204,0),3))</f>
        <v/>
      </c>
      <c r="D1173" s="8" t="str">
        <f t="array" ref="D1173">IF(1169&gt;$S$1204,"",INDEX($T$5:$AJ$1204,MATCH(1169,$S$5:$S$1204,0),4))</f>
        <v/>
      </c>
      <c r="E1173" s="8" t="str">
        <f t="array" ref="E1173">IF(1169&gt;$S$1204,"",INDEX($T$5:$AJ$1204,MATCH(1169,$S$5:$S$1204,0),5))</f>
        <v/>
      </c>
      <c r="F1173" s="8" t="str">
        <f t="array" ref="F1173">IF(1169&gt;$S$1204,"",INDEX($T$5:$AJ$1204,MATCH(1169,$S$5:$S$1204,0),6))</f>
        <v/>
      </c>
      <c r="G1173" s="8" t="str">
        <f t="array" ref="G1173">IF(1169&gt;$S$1204,"",INDEX($T$5:$AJ$1204,MATCH(1169,$S$5:$S$1204,0),7))</f>
        <v/>
      </c>
      <c r="H1173" s="8" t="str">
        <f t="array" ref="H1173">IF(1169&gt;$S$1204,"",INDEX($T$5:$AJ$1204,MATCH(1169,$S$5:$S$1204,0),8))</f>
        <v/>
      </c>
      <c r="I1173" s="8" t="str">
        <f t="array" ref="I1173">IF(1169&gt;$S$1204,"",INDEX($T$5:$AJ$1204,MATCH(1169,$S$5:$S$1204,0),9))</f>
        <v/>
      </c>
      <c r="J1173" s="14" t="str">
        <f t="array" ref="J1173">IF(1169&gt;$S$1204,"",INDEX($T$5:$AJ$1204,MATCH(1169,$S$5:$S$1204,0),10))</f>
        <v/>
      </c>
      <c r="K1173" s="8" t="str">
        <f t="array" ref="K1173">IF(1169&gt;$S$1204,"",INDEX($T$5:$AJ$1204,MATCH(1169,$S$5:$S$1204,0),11))</f>
        <v/>
      </c>
      <c r="L1173" s="8" t="str">
        <f t="array" ref="L1173">IF(1169&gt;$S$1204,"",INDEX($T$5:$AJ$1204,MATCH(1169,$S$5:$S$1204,0),12))</f>
        <v/>
      </c>
      <c r="M1173" s="8" t="str">
        <f t="array" ref="M1173">IF(1169&gt;$S$1204,"",INDEX($T$5:$AJ$1204,MATCH(1169,$S$5:$S$1204,0),13))</f>
        <v/>
      </c>
      <c r="N1173" s="8" t="str">
        <f t="array" ref="N1173">IF(1169&gt;$S$1204,"",INDEX($T$5:$AJ$1204,MATCH(1169,$S$5:$S$1204,0),14))</f>
        <v/>
      </c>
      <c r="O1173" s="15" t="str">
        <f t="array" ref="O1173">IF(1169&gt;$S$1204,"",INDEX($T$5:$AJ$1204,MATCH(1169,$S$5:$S$1204,0),15))</f>
        <v/>
      </c>
      <c r="P1173" s="8" t="str">
        <f t="array" ref="P1173">IF(1169&gt;$S$1204,"",INDEX($T$5:$AJ$1204,MATCH(1169,$S$5:$S$1204,0),16))</f>
        <v/>
      </c>
      <c r="Q1173" s="8" t="str">
        <f t="array" ref="Q1173">IF(1169&gt;$S$1204,"",INDEX($T$5:$AJ$1204,MATCH(1169,$S$5:$S$1204,0),17))</f>
        <v/>
      </c>
      <c r="R1173" s="17"/>
      <c r="S1173" s="17">
        <f>S1172+IF(M6_Puntos_Control!A177="",0,1)</f>
        <v>0</v>
      </c>
      <c r="T1173" s="17" t="str">
        <f>IF(M6_Puntos_Control!A177="","",IF(M6_Puntos_Control!A177="","",M6_Puntos_Control!A177))</f>
        <v/>
      </c>
      <c r="U1173" s="17" t="str">
        <f>IF(M6_Puntos_Control!A177="","",IF(M6_Puntos_Control!R177="","",M6_Puntos_Control!R177))</f>
        <v/>
      </c>
      <c r="V1173" s="17" t="str">
        <f>IF(M6_Puntos_Control!A177="","",IF(M6_Puntos_Control!D177="","",M6_Puntos_Control!D177))</f>
        <v/>
      </c>
      <c r="W1173" s="17" t="str">
        <f>IF(M6_Puntos_Control!A177="","",IF(M6_Puntos_Control!B177="","",M6_Puntos_Control!B177))</f>
        <v/>
      </c>
      <c r="X1173" s="17" t="str">
        <f>IF(M6_Puntos_Control!A177="","",IF(M6_Puntos_Control!C177="","",M6_Puntos_Control!C177))</f>
        <v/>
      </c>
      <c r="Y1173" s="17" t="str">
        <f>IF(M6_Puntos_Control!A177="","",IF(M6_Puntos_Control!E177="","",M6_Puntos_Control!E177))</f>
        <v/>
      </c>
      <c r="Z1173" s="17" t="str">
        <f>IF(M6_Puntos_Control!A177="","",IF(M6_Puntos_Control!F177="","",M6_Puntos_Control!F177))</f>
        <v/>
      </c>
      <c r="AA1173" s="17" t="str">
        <f>IF(M6_Puntos_Control!A177="","","M6 Puntos de control")</f>
        <v/>
      </c>
      <c r="AB1173" s="17" t="str">
        <f>IF(M6_Puntos_Control!A177="","",IF(M6_Puntos_Control!G177="","",M6_Puntos_Control!G177))</f>
        <v/>
      </c>
      <c r="AC1173" s="17" t="str">
        <f>IF(M6_Puntos_Control!A177="","",IF(M6_Puntos_Control!K177="Sí",IF(COUNTIFS(M6_Puntos_Control!$A$9:A177,M6_Puntos_Control!A177,M6_Puntos_Control!$D$9:D177,M6_Puntos_Control!D177,M6_Puntos_Control!$G$9:G177,M6_Puntos_Control!G177,M6_Puntos_Control!$H$9:H177,M6_Puntos_Control!H177,M6_Puntos_Control!$K$9:K177,"Sí")=1,IF(M6_Puntos_Control!M177="","",M6_Puntos_Control!M177),""),""))</f>
        <v/>
      </c>
      <c r="AD1173" s="17" t="str">
        <f>IF(M6_Puntos_Control!A177="","","RD")</f>
        <v/>
      </c>
      <c r="AE1173" s="17" t="str">
        <f>IF(M6_Puntos_Control!A177="","",IF(M6_Puntos_Control!O177="","",M6_Puntos_Control!O177))</f>
        <v/>
      </c>
      <c r="AF1173" s="17" t="str">
        <f>IF(M6_Puntos_Control!A177="","",IF(M6_Puntos_Control!P177="","",M6_Puntos_Control!P177))</f>
        <v/>
      </c>
      <c r="AG1173" s="17" t="str">
        <f>IF(M6_Puntos_Control!A177="","",IF(M6_Puntos_Control!Q177="","",M6_Puntos_Control!Q177))</f>
        <v/>
      </c>
      <c r="AH1173" s="17" t="str">
        <f>IF(M6_Puntos_Control!A177="","",IF(M6_Puntos_Control!I177="","",M6_Puntos_Control!I177))</f>
        <v/>
      </c>
      <c r="AI1173" s="17" t="str">
        <f>IF(M6_Puntos_Control!A177="","","M6_Puntos_Control!177")</f>
        <v/>
      </c>
      <c r="AJ1173" s="17" t="str">
        <f>IF(M6_Puntos_Control!A177="","",IF(M6_Puntos_Control!K177&lt;&gt;"Sí","Punto de comparación",IF(COUNTIFS(M6_Puntos_Control!$A$9:A177,M6_Puntos_Control!A177,M6_Puntos_Control!$D$9:D177,M6_Puntos_Control!D177,M6_Puntos_Control!$G$9:G177,M6_Puntos_Control!G177,M6_Puntos_Control!$H$9:H177,M6_Puntos_Control!H177,M6_Puntos_Control!$K$9:K177,"Sí")=1,IF(M6_Puntos_Control!M177="","Pendiente de resultado","Punto oficial"),"Revisar: varios puntos oficiales")))</f>
        <v/>
      </c>
    </row>
    <row r="1174" spans="1:36" ht="55.5" customHeight="1">
      <c r="A1174" s="6" t="str">
        <f t="array" ref="A1174">IF(1170&gt;$S$1204,"",INDEX($T$5:$AJ$1204,MATCH(1170,$S$5:$S$1204,0),1))</f>
        <v/>
      </c>
      <c r="B1174" s="8" t="str">
        <f t="array" ref="B1174">IF(1170&gt;$S$1204,"",INDEX($T$5:$AJ$1204,MATCH(1170,$S$5:$S$1204,0),2))</f>
        <v/>
      </c>
      <c r="C1174" s="10" t="str">
        <f t="array" ref="C1174">IF(1170&gt;$S$1204,"",INDEX($T$5:$AJ$1204,MATCH(1170,$S$5:$S$1204,0),3))</f>
        <v/>
      </c>
      <c r="D1174" s="8" t="str">
        <f t="array" ref="D1174">IF(1170&gt;$S$1204,"",INDEX($T$5:$AJ$1204,MATCH(1170,$S$5:$S$1204,0),4))</f>
        <v/>
      </c>
      <c r="E1174" s="8" t="str">
        <f t="array" ref="E1174">IF(1170&gt;$S$1204,"",INDEX($T$5:$AJ$1204,MATCH(1170,$S$5:$S$1204,0),5))</f>
        <v/>
      </c>
      <c r="F1174" s="8" t="str">
        <f t="array" ref="F1174">IF(1170&gt;$S$1204,"",INDEX($T$5:$AJ$1204,MATCH(1170,$S$5:$S$1204,0),6))</f>
        <v/>
      </c>
      <c r="G1174" s="8" t="str">
        <f t="array" ref="G1174">IF(1170&gt;$S$1204,"",INDEX($T$5:$AJ$1204,MATCH(1170,$S$5:$S$1204,0),7))</f>
        <v/>
      </c>
      <c r="H1174" s="8" t="str">
        <f t="array" ref="H1174">IF(1170&gt;$S$1204,"",INDEX($T$5:$AJ$1204,MATCH(1170,$S$5:$S$1204,0),8))</f>
        <v/>
      </c>
      <c r="I1174" s="8" t="str">
        <f t="array" ref="I1174">IF(1170&gt;$S$1204,"",INDEX($T$5:$AJ$1204,MATCH(1170,$S$5:$S$1204,0),9))</f>
        <v/>
      </c>
      <c r="J1174" s="14" t="str">
        <f t="array" ref="J1174">IF(1170&gt;$S$1204,"",INDEX($T$5:$AJ$1204,MATCH(1170,$S$5:$S$1204,0),10))</f>
        <v/>
      </c>
      <c r="K1174" s="8" t="str">
        <f t="array" ref="K1174">IF(1170&gt;$S$1204,"",INDEX($T$5:$AJ$1204,MATCH(1170,$S$5:$S$1204,0),11))</f>
        <v/>
      </c>
      <c r="L1174" s="8" t="str">
        <f t="array" ref="L1174">IF(1170&gt;$S$1204,"",INDEX($T$5:$AJ$1204,MATCH(1170,$S$5:$S$1204,0),12))</f>
        <v/>
      </c>
      <c r="M1174" s="8" t="str">
        <f t="array" ref="M1174">IF(1170&gt;$S$1204,"",INDEX($T$5:$AJ$1204,MATCH(1170,$S$5:$S$1204,0),13))</f>
        <v/>
      </c>
      <c r="N1174" s="8" t="str">
        <f t="array" ref="N1174">IF(1170&gt;$S$1204,"",INDEX($T$5:$AJ$1204,MATCH(1170,$S$5:$S$1204,0),14))</f>
        <v/>
      </c>
      <c r="O1174" s="15" t="str">
        <f t="array" ref="O1174">IF(1170&gt;$S$1204,"",INDEX($T$5:$AJ$1204,MATCH(1170,$S$5:$S$1204,0),15))</f>
        <v/>
      </c>
      <c r="P1174" s="8" t="str">
        <f t="array" ref="P1174">IF(1170&gt;$S$1204,"",INDEX($T$5:$AJ$1204,MATCH(1170,$S$5:$S$1204,0),16))</f>
        <v/>
      </c>
      <c r="Q1174" s="8" t="str">
        <f t="array" ref="Q1174">IF(1170&gt;$S$1204,"",INDEX($T$5:$AJ$1204,MATCH(1170,$S$5:$S$1204,0),17))</f>
        <v/>
      </c>
      <c r="R1174" s="17"/>
      <c r="S1174" s="17">
        <f>S1173+IF(M6_Puntos_Control!A178="",0,1)</f>
        <v>0</v>
      </c>
      <c r="T1174" s="17" t="str">
        <f>IF(M6_Puntos_Control!A178="","",IF(M6_Puntos_Control!A178="","",M6_Puntos_Control!A178))</f>
        <v/>
      </c>
      <c r="U1174" s="17" t="str">
        <f>IF(M6_Puntos_Control!A178="","",IF(M6_Puntos_Control!R178="","",M6_Puntos_Control!R178))</f>
        <v/>
      </c>
      <c r="V1174" s="17" t="str">
        <f>IF(M6_Puntos_Control!A178="","",IF(M6_Puntos_Control!D178="","",M6_Puntos_Control!D178))</f>
        <v/>
      </c>
      <c r="W1174" s="17" t="str">
        <f>IF(M6_Puntos_Control!A178="","",IF(M6_Puntos_Control!B178="","",M6_Puntos_Control!B178))</f>
        <v/>
      </c>
      <c r="X1174" s="17" t="str">
        <f>IF(M6_Puntos_Control!A178="","",IF(M6_Puntos_Control!C178="","",M6_Puntos_Control!C178))</f>
        <v/>
      </c>
      <c r="Y1174" s="17" t="str">
        <f>IF(M6_Puntos_Control!A178="","",IF(M6_Puntos_Control!E178="","",M6_Puntos_Control!E178))</f>
        <v/>
      </c>
      <c r="Z1174" s="17" t="str">
        <f>IF(M6_Puntos_Control!A178="","",IF(M6_Puntos_Control!F178="","",M6_Puntos_Control!F178))</f>
        <v/>
      </c>
      <c r="AA1174" s="17" t="str">
        <f>IF(M6_Puntos_Control!A178="","","M6 Puntos de control")</f>
        <v/>
      </c>
      <c r="AB1174" s="17" t="str">
        <f>IF(M6_Puntos_Control!A178="","",IF(M6_Puntos_Control!G178="","",M6_Puntos_Control!G178))</f>
        <v/>
      </c>
      <c r="AC1174" s="17" t="str">
        <f>IF(M6_Puntos_Control!A178="","",IF(M6_Puntos_Control!K178="Sí",IF(COUNTIFS(M6_Puntos_Control!$A$9:A178,M6_Puntos_Control!A178,M6_Puntos_Control!$D$9:D178,M6_Puntos_Control!D178,M6_Puntos_Control!$G$9:G178,M6_Puntos_Control!G178,M6_Puntos_Control!$H$9:H178,M6_Puntos_Control!H178,M6_Puntos_Control!$K$9:K178,"Sí")=1,IF(M6_Puntos_Control!M178="","",M6_Puntos_Control!M178),""),""))</f>
        <v/>
      </c>
      <c r="AD1174" s="17" t="str">
        <f>IF(M6_Puntos_Control!A178="","","RD")</f>
        <v/>
      </c>
      <c r="AE1174" s="17" t="str">
        <f>IF(M6_Puntos_Control!A178="","",IF(M6_Puntos_Control!O178="","",M6_Puntos_Control!O178))</f>
        <v/>
      </c>
      <c r="AF1174" s="17" t="str">
        <f>IF(M6_Puntos_Control!A178="","",IF(M6_Puntos_Control!P178="","",M6_Puntos_Control!P178))</f>
        <v/>
      </c>
      <c r="AG1174" s="17" t="str">
        <f>IF(M6_Puntos_Control!A178="","",IF(M6_Puntos_Control!Q178="","",M6_Puntos_Control!Q178))</f>
        <v/>
      </c>
      <c r="AH1174" s="17" t="str">
        <f>IF(M6_Puntos_Control!A178="","",IF(M6_Puntos_Control!I178="","",M6_Puntos_Control!I178))</f>
        <v/>
      </c>
      <c r="AI1174" s="17" t="str">
        <f>IF(M6_Puntos_Control!A178="","","M6_Puntos_Control!178")</f>
        <v/>
      </c>
      <c r="AJ1174" s="17" t="str">
        <f>IF(M6_Puntos_Control!A178="","",IF(M6_Puntos_Control!K178&lt;&gt;"Sí","Punto de comparación",IF(COUNTIFS(M6_Puntos_Control!$A$9:A178,M6_Puntos_Control!A178,M6_Puntos_Control!$D$9:D178,M6_Puntos_Control!D178,M6_Puntos_Control!$G$9:G178,M6_Puntos_Control!G178,M6_Puntos_Control!$H$9:H178,M6_Puntos_Control!H178,M6_Puntos_Control!$K$9:K178,"Sí")=1,IF(M6_Puntos_Control!M178="","Pendiente de resultado","Punto oficial"),"Revisar: varios puntos oficiales")))</f>
        <v/>
      </c>
    </row>
    <row r="1175" spans="1:36" ht="55.5" customHeight="1">
      <c r="A1175" s="6" t="str">
        <f t="array" ref="A1175">IF(1171&gt;$S$1204,"",INDEX($T$5:$AJ$1204,MATCH(1171,$S$5:$S$1204,0),1))</f>
        <v/>
      </c>
      <c r="B1175" s="8" t="str">
        <f t="array" ref="B1175">IF(1171&gt;$S$1204,"",INDEX($T$5:$AJ$1204,MATCH(1171,$S$5:$S$1204,0),2))</f>
        <v/>
      </c>
      <c r="C1175" s="10" t="str">
        <f t="array" ref="C1175">IF(1171&gt;$S$1204,"",INDEX($T$5:$AJ$1204,MATCH(1171,$S$5:$S$1204,0),3))</f>
        <v/>
      </c>
      <c r="D1175" s="8" t="str">
        <f t="array" ref="D1175">IF(1171&gt;$S$1204,"",INDEX($T$5:$AJ$1204,MATCH(1171,$S$5:$S$1204,0),4))</f>
        <v/>
      </c>
      <c r="E1175" s="8" t="str">
        <f t="array" ref="E1175">IF(1171&gt;$S$1204,"",INDEX($T$5:$AJ$1204,MATCH(1171,$S$5:$S$1204,0),5))</f>
        <v/>
      </c>
      <c r="F1175" s="8" t="str">
        <f t="array" ref="F1175">IF(1171&gt;$S$1204,"",INDEX($T$5:$AJ$1204,MATCH(1171,$S$5:$S$1204,0),6))</f>
        <v/>
      </c>
      <c r="G1175" s="8" t="str">
        <f t="array" ref="G1175">IF(1171&gt;$S$1204,"",INDEX($T$5:$AJ$1204,MATCH(1171,$S$5:$S$1204,0),7))</f>
        <v/>
      </c>
      <c r="H1175" s="8" t="str">
        <f t="array" ref="H1175">IF(1171&gt;$S$1204,"",INDEX($T$5:$AJ$1204,MATCH(1171,$S$5:$S$1204,0),8))</f>
        <v/>
      </c>
      <c r="I1175" s="8" t="str">
        <f t="array" ref="I1175">IF(1171&gt;$S$1204,"",INDEX($T$5:$AJ$1204,MATCH(1171,$S$5:$S$1204,0),9))</f>
        <v/>
      </c>
      <c r="J1175" s="14" t="str">
        <f t="array" ref="J1175">IF(1171&gt;$S$1204,"",INDEX($T$5:$AJ$1204,MATCH(1171,$S$5:$S$1204,0),10))</f>
        <v/>
      </c>
      <c r="K1175" s="8" t="str">
        <f t="array" ref="K1175">IF(1171&gt;$S$1204,"",INDEX($T$5:$AJ$1204,MATCH(1171,$S$5:$S$1204,0),11))</f>
        <v/>
      </c>
      <c r="L1175" s="8" t="str">
        <f t="array" ref="L1175">IF(1171&gt;$S$1204,"",INDEX($T$5:$AJ$1204,MATCH(1171,$S$5:$S$1204,0),12))</f>
        <v/>
      </c>
      <c r="M1175" s="8" t="str">
        <f t="array" ref="M1175">IF(1171&gt;$S$1204,"",INDEX($T$5:$AJ$1204,MATCH(1171,$S$5:$S$1204,0),13))</f>
        <v/>
      </c>
      <c r="N1175" s="8" t="str">
        <f t="array" ref="N1175">IF(1171&gt;$S$1204,"",INDEX($T$5:$AJ$1204,MATCH(1171,$S$5:$S$1204,0),14))</f>
        <v/>
      </c>
      <c r="O1175" s="15" t="str">
        <f t="array" ref="O1175">IF(1171&gt;$S$1204,"",INDEX($T$5:$AJ$1204,MATCH(1171,$S$5:$S$1204,0),15))</f>
        <v/>
      </c>
      <c r="P1175" s="8" t="str">
        <f t="array" ref="P1175">IF(1171&gt;$S$1204,"",INDEX($T$5:$AJ$1204,MATCH(1171,$S$5:$S$1204,0),16))</f>
        <v/>
      </c>
      <c r="Q1175" s="8" t="str">
        <f t="array" ref="Q1175">IF(1171&gt;$S$1204,"",INDEX($T$5:$AJ$1204,MATCH(1171,$S$5:$S$1204,0),17))</f>
        <v/>
      </c>
      <c r="R1175" s="17"/>
      <c r="S1175" s="17">
        <f>S1174+IF(M6_Puntos_Control!A179="",0,1)</f>
        <v>0</v>
      </c>
      <c r="T1175" s="17" t="str">
        <f>IF(M6_Puntos_Control!A179="","",IF(M6_Puntos_Control!A179="","",M6_Puntos_Control!A179))</f>
        <v/>
      </c>
      <c r="U1175" s="17" t="str">
        <f>IF(M6_Puntos_Control!A179="","",IF(M6_Puntos_Control!R179="","",M6_Puntos_Control!R179))</f>
        <v/>
      </c>
      <c r="V1175" s="17" t="str">
        <f>IF(M6_Puntos_Control!A179="","",IF(M6_Puntos_Control!D179="","",M6_Puntos_Control!D179))</f>
        <v/>
      </c>
      <c r="W1175" s="17" t="str">
        <f>IF(M6_Puntos_Control!A179="","",IF(M6_Puntos_Control!B179="","",M6_Puntos_Control!B179))</f>
        <v/>
      </c>
      <c r="X1175" s="17" t="str">
        <f>IF(M6_Puntos_Control!A179="","",IF(M6_Puntos_Control!C179="","",M6_Puntos_Control!C179))</f>
        <v/>
      </c>
      <c r="Y1175" s="17" t="str">
        <f>IF(M6_Puntos_Control!A179="","",IF(M6_Puntos_Control!E179="","",M6_Puntos_Control!E179))</f>
        <v/>
      </c>
      <c r="Z1175" s="17" t="str">
        <f>IF(M6_Puntos_Control!A179="","",IF(M6_Puntos_Control!F179="","",M6_Puntos_Control!F179))</f>
        <v/>
      </c>
      <c r="AA1175" s="17" t="str">
        <f>IF(M6_Puntos_Control!A179="","","M6 Puntos de control")</f>
        <v/>
      </c>
      <c r="AB1175" s="17" t="str">
        <f>IF(M6_Puntos_Control!A179="","",IF(M6_Puntos_Control!G179="","",M6_Puntos_Control!G179))</f>
        <v/>
      </c>
      <c r="AC1175" s="17" t="str">
        <f>IF(M6_Puntos_Control!A179="","",IF(M6_Puntos_Control!K179="Sí",IF(COUNTIFS(M6_Puntos_Control!$A$9:A179,M6_Puntos_Control!A179,M6_Puntos_Control!$D$9:D179,M6_Puntos_Control!D179,M6_Puntos_Control!$G$9:G179,M6_Puntos_Control!G179,M6_Puntos_Control!$H$9:H179,M6_Puntos_Control!H179,M6_Puntos_Control!$K$9:K179,"Sí")=1,IF(M6_Puntos_Control!M179="","",M6_Puntos_Control!M179),""),""))</f>
        <v/>
      </c>
      <c r="AD1175" s="17" t="str">
        <f>IF(M6_Puntos_Control!A179="","","RD")</f>
        <v/>
      </c>
      <c r="AE1175" s="17" t="str">
        <f>IF(M6_Puntos_Control!A179="","",IF(M6_Puntos_Control!O179="","",M6_Puntos_Control!O179))</f>
        <v/>
      </c>
      <c r="AF1175" s="17" t="str">
        <f>IF(M6_Puntos_Control!A179="","",IF(M6_Puntos_Control!P179="","",M6_Puntos_Control!P179))</f>
        <v/>
      </c>
      <c r="AG1175" s="17" t="str">
        <f>IF(M6_Puntos_Control!A179="","",IF(M6_Puntos_Control!Q179="","",M6_Puntos_Control!Q179))</f>
        <v/>
      </c>
      <c r="AH1175" s="17" t="str">
        <f>IF(M6_Puntos_Control!A179="","",IF(M6_Puntos_Control!I179="","",M6_Puntos_Control!I179))</f>
        <v/>
      </c>
      <c r="AI1175" s="17" t="str">
        <f>IF(M6_Puntos_Control!A179="","","M6_Puntos_Control!179")</f>
        <v/>
      </c>
      <c r="AJ1175" s="17" t="str">
        <f>IF(M6_Puntos_Control!A179="","",IF(M6_Puntos_Control!K179&lt;&gt;"Sí","Punto de comparación",IF(COUNTIFS(M6_Puntos_Control!$A$9:A179,M6_Puntos_Control!A179,M6_Puntos_Control!$D$9:D179,M6_Puntos_Control!D179,M6_Puntos_Control!$G$9:G179,M6_Puntos_Control!G179,M6_Puntos_Control!$H$9:H179,M6_Puntos_Control!H179,M6_Puntos_Control!$K$9:K179,"Sí")=1,IF(M6_Puntos_Control!M179="","Pendiente de resultado","Punto oficial"),"Revisar: varios puntos oficiales")))</f>
        <v/>
      </c>
    </row>
    <row r="1176" spans="1:36" ht="55.5" customHeight="1">
      <c r="A1176" s="6" t="str">
        <f t="array" ref="A1176">IF(1172&gt;$S$1204,"",INDEX($T$5:$AJ$1204,MATCH(1172,$S$5:$S$1204,0),1))</f>
        <v/>
      </c>
      <c r="B1176" s="8" t="str">
        <f t="array" ref="B1176">IF(1172&gt;$S$1204,"",INDEX($T$5:$AJ$1204,MATCH(1172,$S$5:$S$1204,0),2))</f>
        <v/>
      </c>
      <c r="C1176" s="10" t="str">
        <f t="array" ref="C1176">IF(1172&gt;$S$1204,"",INDEX($T$5:$AJ$1204,MATCH(1172,$S$5:$S$1204,0),3))</f>
        <v/>
      </c>
      <c r="D1176" s="8" t="str">
        <f t="array" ref="D1176">IF(1172&gt;$S$1204,"",INDEX($T$5:$AJ$1204,MATCH(1172,$S$5:$S$1204,0),4))</f>
        <v/>
      </c>
      <c r="E1176" s="8" t="str">
        <f t="array" ref="E1176">IF(1172&gt;$S$1204,"",INDEX($T$5:$AJ$1204,MATCH(1172,$S$5:$S$1204,0),5))</f>
        <v/>
      </c>
      <c r="F1176" s="8" t="str">
        <f t="array" ref="F1176">IF(1172&gt;$S$1204,"",INDEX($T$5:$AJ$1204,MATCH(1172,$S$5:$S$1204,0),6))</f>
        <v/>
      </c>
      <c r="G1176" s="8" t="str">
        <f t="array" ref="G1176">IF(1172&gt;$S$1204,"",INDEX($T$5:$AJ$1204,MATCH(1172,$S$5:$S$1204,0),7))</f>
        <v/>
      </c>
      <c r="H1176" s="8" t="str">
        <f t="array" ref="H1176">IF(1172&gt;$S$1204,"",INDEX($T$5:$AJ$1204,MATCH(1172,$S$5:$S$1204,0),8))</f>
        <v/>
      </c>
      <c r="I1176" s="8" t="str">
        <f t="array" ref="I1176">IF(1172&gt;$S$1204,"",INDEX($T$5:$AJ$1204,MATCH(1172,$S$5:$S$1204,0),9))</f>
        <v/>
      </c>
      <c r="J1176" s="14" t="str">
        <f t="array" ref="J1176">IF(1172&gt;$S$1204,"",INDEX($T$5:$AJ$1204,MATCH(1172,$S$5:$S$1204,0),10))</f>
        <v/>
      </c>
      <c r="K1176" s="8" t="str">
        <f t="array" ref="K1176">IF(1172&gt;$S$1204,"",INDEX($T$5:$AJ$1204,MATCH(1172,$S$5:$S$1204,0),11))</f>
        <v/>
      </c>
      <c r="L1176" s="8" t="str">
        <f t="array" ref="L1176">IF(1172&gt;$S$1204,"",INDEX($T$5:$AJ$1204,MATCH(1172,$S$5:$S$1204,0),12))</f>
        <v/>
      </c>
      <c r="M1176" s="8" t="str">
        <f t="array" ref="M1176">IF(1172&gt;$S$1204,"",INDEX($T$5:$AJ$1204,MATCH(1172,$S$5:$S$1204,0),13))</f>
        <v/>
      </c>
      <c r="N1176" s="8" t="str">
        <f t="array" ref="N1176">IF(1172&gt;$S$1204,"",INDEX($T$5:$AJ$1204,MATCH(1172,$S$5:$S$1204,0),14))</f>
        <v/>
      </c>
      <c r="O1176" s="15" t="str">
        <f t="array" ref="O1176">IF(1172&gt;$S$1204,"",INDEX($T$5:$AJ$1204,MATCH(1172,$S$5:$S$1204,0),15))</f>
        <v/>
      </c>
      <c r="P1176" s="8" t="str">
        <f t="array" ref="P1176">IF(1172&gt;$S$1204,"",INDEX($T$5:$AJ$1204,MATCH(1172,$S$5:$S$1204,0),16))</f>
        <v/>
      </c>
      <c r="Q1176" s="8" t="str">
        <f t="array" ref="Q1176">IF(1172&gt;$S$1204,"",INDEX($T$5:$AJ$1204,MATCH(1172,$S$5:$S$1204,0),17))</f>
        <v/>
      </c>
      <c r="R1176" s="17"/>
      <c r="S1176" s="17">
        <f>S1175+IF(M6_Puntos_Control!A180="",0,1)</f>
        <v>0</v>
      </c>
      <c r="T1176" s="17" t="str">
        <f>IF(M6_Puntos_Control!A180="","",IF(M6_Puntos_Control!A180="","",M6_Puntos_Control!A180))</f>
        <v/>
      </c>
      <c r="U1176" s="17" t="str">
        <f>IF(M6_Puntos_Control!A180="","",IF(M6_Puntos_Control!R180="","",M6_Puntos_Control!R180))</f>
        <v/>
      </c>
      <c r="V1176" s="17" t="str">
        <f>IF(M6_Puntos_Control!A180="","",IF(M6_Puntos_Control!D180="","",M6_Puntos_Control!D180))</f>
        <v/>
      </c>
      <c r="W1176" s="17" t="str">
        <f>IF(M6_Puntos_Control!A180="","",IF(M6_Puntos_Control!B180="","",M6_Puntos_Control!B180))</f>
        <v/>
      </c>
      <c r="X1176" s="17" t="str">
        <f>IF(M6_Puntos_Control!A180="","",IF(M6_Puntos_Control!C180="","",M6_Puntos_Control!C180))</f>
        <v/>
      </c>
      <c r="Y1176" s="17" t="str">
        <f>IF(M6_Puntos_Control!A180="","",IF(M6_Puntos_Control!E180="","",M6_Puntos_Control!E180))</f>
        <v/>
      </c>
      <c r="Z1176" s="17" t="str">
        <f>IF(M6_Puntos_Control!A180="","",IF(M6_Puntos_Control!F180="","",M6_Puntos_Control!F180))</f>
        <v/>
      </c>
      <c r="AA1176" s="17" t="str">
        <f>IF(M6_Puntos_Control!A180="","","M6 Puntos de control")</f>
        <v/>
      </c>
      <c r="AB1176" s="17" t="str">
        <f>IF(M6_Puntos_Control!A180="","",IF(M6_Puntos_Control!G180="","",M6_Puntos_Control!G180))</f>
        <v/>
      </c>
      <c r="AC1176" s="17" t="str">
        <f>IF(M6_Puntos_Control!A180="","",IF(M6_Puntos_Control!K180="Sí",IF(COUNTIFS(M6_Puntos_Control!$A$9:A180,M6_Puntos_Control!A180,M6_Puntos_Control!$D$9:D180,M6_Puntos_Control!D180,M6_Puntos_Control!$G$9:G180,M6_Puntos_Control!G180,M6_Puntos_Control!$H$9:H180,M6_Puntos_Control!H180,M6_Puntos_Control!$K$9:K180,"Sí")=1,IF(M6_Puntos_Control!M180="","",M6_Puntos_Control!M180),""),""))</f>
        <v/>
      </c>
      <c r="AD1176" s="17" t="str">
        <f>IF(M6_Puntos_Control!A180="","","RD")</f>
        <v/>
      </c>
      <c r="AE1176" s="17" t="str">
        <f>IF(M6_Puntos_Control!A180="","",IF(M6_Puntos_Control!O180="","",M6_Puntos_Control!O180))</f>
        <v/>
      </c>
      <c r="AF1176" s="17" t="str">
        <f>IF(M6_Puntos_Control!A180="","",IF(M6_Puntos_Control!P180="","",M6_Puntos_Control!P180))</f>
        <v/>
      </c>
      <c r="AG1176" s="17" t="str">
        <f>IF(M6_Puntos_Control!A180="","",IF(M6_Puntos_Control!Q180="","",M6_Puntos_Control!Q180))</f>
        <v/>
      </c>
      <c r="AH1176" s="17" t="str">
        <f>IF(M6_Puntos_Control!A180="","",IF(M6_Puntos_Control!I180="","",M6_Puntos_Control!I180))</f>
        <v/>
      </c>
      <c r="AI1176" s="17" t="str">
        <f>IF(M6_Puntos_Control!A180="","","M6_Puntos_Control!180")</f>
        <v/>
      </c>
      <c r="AJ1176" s="17" t="str">
        <f>IF(M6_Puntos_Control!A180="","",IF(M6_Puntos_Control!K180&lt;&gt;"Sí","Punto de comparación",IF(COUNTIFS(M6_Puntos_Control!$A$9:A180,M6_Puntos_Control!A180,M6_Puntos_Control!$D$9:D180,M6_Puntos_Control!D180,M6_Puntos_Control!$G$9:G180,M6_Puntos_Control!G180,M6_Puntos_Control!$H$9:H180,M6_Puntos_Control!H180,M6_Puntos_Control!$K$9:K180,"Sí")=1,IF(M6_Puntos_Control!M180="","Pendiente de resultado","Punto oficial"),"Revisar: varios puntos oficiales")))</f>
        <v/>
      </c>
    </row>
    <row r="1177" spans="1:36" ht="55.5" customHeight="1">
      <c r="A1177" s="6" t="str">
        <f t="array" ref="A1177">IF(1173&gt;$S$1204,"",INDEX($T$5:$AJ$1204,MATCH(1173,$S$5:$S$1204,0),1))</f>
        <v/>
      </c>
      <c r="B1177" s="8" t="str">
        <f t="array" ref="B1177">IF(1173&gt;$S$1204,"",INDEX($T$5:$AJ$1204,MATCH(1173,$S$5:$S$1204,0),2))</f>
        <v/>
      </c>
      <c r="C1177" s="10" t="str">
        <f t="array" ref="C1177">IF(1173&gt;$S$1204,"",INDEX($T$5:$AJ$1204,MATCH(1173,$S$5:$S$1204,0),3))</f>
        <v/>
      </c>
      <c r="D1177" s="8" t="str">
        <f t="array" ref="D1177">IF(1173&gt;$S$1204,"",INDEX($T$5:$AJ$1204,MATCH(1173,$S$5:$S$1204,0),4))</f>
        <v/>
      </c>
      <c r="E1177" s="8" t="str">
        <f t="array" ref="E1177">IF(1173&gt;$S$1204,"",INDEX($T$5:$AJ$1204,MATCH(1173,$S$5:$S$1204,0),5))</f>
        <v/>
      </c>
      <c r="F1177" s="8" t="str">
        <f t="array" ref="F1177">IF(1173&gt;$S$1204,"",INDEX($T$5:$AJ$1204,MATCH(1173,$S$5:$S$1204,0),6))</f>
        <v/>
      </c>
      <c r="G1177" s="8" t="str">
        <f t="array" ref="G1177">IF(1173&gt;$S$1204,"",INDEX($T$5:$AJ$1204,MATCH(1173,$S$5:$S$1204,0),7))</f>
        <v/>
      </c>
      <c r="H1177" s="8" t="str">
        <f t="array" ref="H1177">IF(1173&gt;$S$1204,"",INDEX($T$5:$AJ$1204,MATCH(1173,$S$5:$S$1204,0),8))</f>
        <v/>
      </c>
      <c r="I1177" s="8" t="str">
        <f t="array" ref="I1177">IF(1173&gt;$S$1204,"",INDEX($T$5:$AJ$1204,MATCH(1173,$S$5:$S$1204,0),9))</f>
        <v/>
      </c>
      <c r="J1177" s="14" t="str">
        <f t="array" ref="J1177">IF(1173&gt;$S$1204,"",INDEX($T$5:$AJ$1204,MATCH(1173,$S$5:$S$1204,0),10))</f>
        <v/>
      </c>
      <c r="K1177" s="8" t="str">
        <f t="array" ref="K1177">IF(1173&gt;$S$1204,"",INDEX($T$5:$AJ$1204,MATCH(1173,$S$5:$S$1204,0),11))</f>
        <v/>
      </c>
      <c r="L1177" s="8" t="str">
        <f t="array" ref="L1177">IF(1173&gt;$S$1204,"",INDEX($T$5:$AJ$1204,MATCH(1173,$S$5:$S$1204,0),12))</f>
        <v/>
      </c>
      <c r="M1177" s="8" t="str">
        <f t="array" ref="M1177">IF(1173&gt;$S$1204,"",INDEX($T$5:$AJ$1204,MATCH(1173,$S$5:$S$1204,0),13))</f>
        <v/>
      </c>
      <c r="N1177" s="8" t="str">
        <f t="array" ref="N1177">IF(1173&gt;$S$1204,"",INDEX($T$5:$AJ$1204,MATCH(1173,$S$5:$S$1204,0),14))</f>
        <v/>
      </c>
      <c r="O1177" s="15" t="str">
        <f t="array" ref="O1177">IF(1173&gt;$S$1204,"",INDEX($T$5:$AJ$1204,MATCH(1173,$S$5:$S$1204,0),15))</f>
        <v/>
      </c>
      <c r="P1177" s="8" t="str">
        <f t="array" ref="P1177">IF(1173&gt;$S$1204,"",INDEX($T$5:$AJ$1204,MATCH(1173,$S$5:$S$1204,0),16))</f>
        <v/>
      </c>
      <c r="Q1177" s="8" t="str">
        <f t="array" ref="Q1177">IF(1173&gt;$S$1204,"",INDEX($T$5:$AJ$1204,MATCH(1173,$S$5:$S$1204,0),17))</f>
        <v/>
      </c>
      <c r="R1177" s="17"/>
      <c r="S1177" s="17">
        <f>S1176+IF(M6_Puntos_Control!A181="",0,1)</f>
        <v>0</v>
      </c>
      <c r="T1177" s="17" t="str">
        <f>IF(M6_Puntos_Control!A181="","",IF(M6_Puntos_Control!A181="","",M6_Puntos_Control!A181))</f>
        <v/>
      </c>
      <c r="U1177" s="17" t="str">
        <f>IF(M6_Puntos_Control!A181="","",IF(M6_Puntos_Control!R181="","",M6_Puntos_Control!R181))</f>
        <v/>
      </c>
      <c r="V1177" s="17" t="str">
        <f>IF(M6_Puntos_Control!A181="","",IF(M6_Puntos_Control!D181="","",M6_Puntos_Control!D181))</f>
        <v/>
      </c>
      <c r="W1177" s="17" t="str">
        <f>IF(M6_Puntos_Control!A181="","",IF(M6_Puntos_Control!B181="","",M6_Puntos_Control!B181))</f>
        <v/>
      </c>
      <c r="X1177" s="17" t="str">
        <f>IF(M6_Puntos_Control!A181="","",IF(M6_Puntos_Control!C181="","",M6_Puntos_Control!C181))</f>
        <v/>
      </c>
      <c r="Y1177" s="17" t="str">
        <f>IF(M6_Puntos_Control!A181="","",IF(M6_Puntos_Control!E181="","",M6_Puntos_Control!E181))</f>
        <v/>
      </c>
      <c r="Z1177" s="17" t="str">
        <f>IF(M6_Puntos_Control!A181="","",IF(M6_Puntos_Control!F181="","",M6_Puntos_Control!F181))</f>
        <v/>
      </c>
      <c r="AA1177" s="17" t="str">
        <f>IF(M6_Puntos_Control!A181="","","M6 Puntos de control")</f>
        <v/>
      </c>
      <c r="AB1177" s="17" t="str">
        <f>IF(M6_Puntos_Control!A181="","",IF(M6_Puntos_Control!G181="","",M6_Puntos_Control!G181))</f>
        <v/>
      </c>
      <c r="AC1177" s="17" t="str">
        <f>IF(M6_Puntos_Control!A181="","",IF(M6_Puntos_Control!K181="Sí",IF(COUNTIFS(M6_Puntos_Control!$A$9:A181,M6_Puntos_Control!A181,M6_Puntos_Control!$D$9:D181,M6_Puntos_Control!D181,M6_Puntos_Control!$G$9:G181,M6_Puntos_Control!G181,M6_Puntos_Control!$H$9:H181,M6_Puntos_Control!H181,M6_Puntos_Control!$K$9:K181,"Sí")=1,IF(M6_Puntos_Control!M181="","",M6_Puntos_Control!M181),""),""))</f>
        <v/>
      </c>
      <c r="AD1177" s="17" t="str">
        <f>IF(M6_Puntos_Control!A181="","","RD")</f>
        <v/>
      </c>
      <c r="AE1177" s="17" t="str">
        <f>IF(M6_Puntos_Control!A181="","",IF(M6_Puntos_Control!O181="","",M6_Puntos_Control!O181))</f>
        <v/>
      </c>
      <c r="AF1177" s="17" t="str">
        <f>IF(M6_Puntos_Control!A181="","",IF(M6_Puntos_Control!P181="","",M6_Puntos_Control!P181))</f>
        <v/>
      </c>
      <c r="AG1177" s="17" t="str">
        <f>IF(M6_Puntos_Control!A181="","",IF(M6_Puntos_Control!Q181="","",M6_Puntos_Control!Q181))</f>
        <v/>
      </c>
      <c r="AH1177" s="17" t="str">
        <f>IF(M6_Puntos_Control!A181="","",IF(M6_Puntos_Control!I181="","",M6_Puntos_Control!I181))</f>
        <v/>
      </c>
      <c r="AI1177" s="17" t="str">
        <f>IF(M6_Puntos_Control!A181="","","M6_Puntos_Control!181")</f>
        <v/>
      </c>
      <c r="AJ1177" s="17" t="str">
        <f>IF(M6_Puntos_Control!A181="","",IF(M6_Puntos_Control!K181&lt;&gt;"Sí","Punto de comparación",IF(COUNTIFS(M6_Puntos_Control!$A$9:A181,M6_Puntos_Control!A181,M6_Puntos_Control!$D$9:D181,M6_Puntos_Control!D181,M6_Puntos_Control!$G$9:G181,M6_Puntos_Control!G181,M6_Puntos_Control!$H$9:H181,M6_Puntos_Control!H181,M6_Puntos_Control!$K$9:K181,"Sí")=1,IF(M6_Puntos_Control!M181="","Pendiente de resultado","Punto oficial"),"Revisar: varios puntos oficiales")))</f>
        <v/>
      </c>
    </row>
    <row r="1178" spans="1:36" ht="55.5" customHeight="1">
      <c r="A1178" s="6" t="str">
        <f t="array" ref="A1178">IF(1174&gt;$S$1204,"",INDEX($T$5:$AJ$1204,MATCH(1174,$S$5:$S$1204,0),1))</f>
        <v/>
      </c>
      <c r="B1178" s="8" t="str">
        <f t="array" ref="B1178">IF(1174&gt;$S$1204,"",INDEX($T$5:$AJ$1204,MATCH(1174,$S$5:$S$1204,0),2))</f>
        <v/>
      </c>
      <c r="C1178" s="10" t="str">
        <f t="array" ref="C1178">IF(1174&gt;$S$1204,"",INDEX($T$5:$AJ$1204,MATCH(1174,$S$5:$S$1204,0),3))</f>
        <v/>
      </c>
      <c r="D1178" s="8" t="str">
        <f t="array" ref="D1178">IF(1174&gt;$S$1204,"",INDEX($T$5:$AJ$1204,MATCH(1174,$S$5:$S$1204,0),4))</f>
        <v/>
      </c>
      <c r="E1178" s="8" t="str">
        <f t="array" ref="E1178">IF(1174&gt;$S$1204,"",INDEX($T$5:$AJ$1204,MATCH(1174,$S$5:$S$1204,0),5))</f>
        <v/>
      </c>
      <c r="F1178" s="8" t="str">
        <f t="array" ref="F1178">IF(1174&gt;$S$1204,"",INDEX($T$5:$AJ$1204,MATCH(1174,$S$5:$S$1204,0),6))</f>
        <v/>
      </c>
      <c r="G1178" s="8" t="str">
        <f t="array" ref="G1178">IF(1174&gt;$S$1204,"",INDEX($T$5:$AJ$1204,MATCH(1174,$S$5:$S$1204,0),7))</f>
        <v/>
      </c>
      <c r="H1178" s="8" t="str">
        <f t="array" ref="H1178">IF(1174&gt;$S$1204,"",INDEX($T$5:$AJ$1204,MATCH(1174,$S$5:$S$1204,0),8))</f>
        <v/>
      </c>
      <c r="I1178" s="8" t="str">
        <f t="array" ref="I1178">IF(1174&gt;$S$1204,"",INDEX($T$5:$AJ$1204,MATCH(1174,$S$5:$S$1204,0),9))</f>
        <v/>
      </c>
      <c r="J1178" s="14" t="str">
        <f t="array" ref="J1178">IF(1174&gt;$S$1204,"",INDEX($T$5:$AJ$1204,MATCH(1174,$S$5:$S$1204,0),10))</f>
        <v/>
      </c>
      <c r="K1178" s="8" t="str">
        <f t="array" ref="K1178">IF(1174&gt;$S$1204,"",INDEX($T$5:$AJ$1204,MATCH(1174,$S$5:$S$1204,0),11))</f>
        <v/>
      </c>
      <c r="L1178" s="8" t="str">
        <f t="array" ref="L1178">IF(1174&gt;$S$1204,"",INDEX($T$5:$AJ$1204,MATCH(1174,$S$5:$S$1204,0),12))</f>
        <v/>
      </c>
      <c r="M1178" s="8" t="str">
        <f t="array" ref="M1178">IF(1174&gt;$S$1204,"",INDEX($T$5:$AJ$1204,MATCH(1174,$S$5:$S$1204,0),13))</f>
        <v/>
      </c>
      <c r="N1178" s="8" t="str">
        <f t="array" ref="N1178">IF(1174&gt;$S$1204,"",INDEX($T$5:$AJ$1204,MATCH(1174,$S$5:$S$1204,0),14))</f>
        <v/>
      </c>
      <c r="O1178" s="15" t="str">
        <f t="array" ref="O1178">IF(1174&gt;$S$1204,"",INDEX($T$5:$AJ$1204,MATCH(1174,$S$5:$S$1204,0),15))</f>
        <v/>
      </c>
      <c r="P1178" s="8" t="str">
        <f t="array" ref="P1178">IF(1174&gt;$S$1204,"",INDEX($T$5:$AJ$1204,MATCH(1174,$S$5:$S$1204,0),16))</f>
        <v/>
      </c>
      <c r="Q1178" s="8" t="str">
        <f t="array" ref="Q1178">IF(1174&gt;$S$1204,"",INDEX($T$5:$AJ$1204,MATCH(1174,$S$5:$S$1204,0),17))</f>
        <v/>
      </c>
      <c r="R1178" s="17"/>
      <c r="S1178" s="17">
        <f>S1177+IF(M6_Puntos_Control!A182="",0,1)</f>
        <v>0</v>
      </c>
      <c r="T1178" s="17" t="str">
        <f>IF(M6_Puntos_Control!A182="","",IF(M6_Puntos_Control!A182="","",M6_Puntos_Control!A182))</f>
        <v/>
      </c>
      <c r="U1178" s="17" t="str">
        <f>IF(M6_Puntos_Control!A182="","",IF(M6_Puntos_Control!R182="","",M6_Puntos_Control!R182))</f>
        <v/>
      </c>
      <c r="V1178" s="17" t="str">
        <f>IF(M6_Puntos_Control!A182="","",IF(M6_Puntos_Control!D182="","",M6_Puntos_Control!D182))</f>
        <v/>
      </c>
      <c r="W1178" s="17" t="str">
        <f>IF(M6_Puntos_Control!A182="","",IF(M6_Puntos_Control!B182="","",M6_Puntos_Control!B182))</f>
        <v/>
      </c>
      <c r="X1178" s="17" t="str">
        <f>IF(M6_Puntos_Control!A182="","",IF(M6_Puntos_Control!C182="","",M6_Puntos_Control!C182))</f>
        <v/>
      </c>
      <c r="Y1178" s="17" t="str">
        <f>IF(M6_Puntos_Control!A182="","",IF(M6_Puntos_Control!E182="","",M6_Puntos_Control!E182))</f>
        <v/>
      </c>
      <c r="Z1178" s="17" t="str">
        <f>IF(M6_Puntos_Control!A182="","",IF(M6_Puntos_Control!F182="","",M6_Puntos_Control!F182))</f>
        <v/>
      </c>
      <c r="AA1178" s="17" t="str">
        <f>IF(M6_Puntos_Control!A182="","","M6 Puntos de control")</f>
        <v/>
      </c>
      <c r="AB1178" s="17" t="str">
        <f>IF(M6_Puntos_Control!A182="","",IF(M6_Puntos_Control!G182="","",M6_Puntos_Control!G182))</f>
        <v/>
      </c>
      <c r="AC1178" s="17" t="str">
        <f>IF(M6_Puntos_Control!A182="","",IF(M6_Puntos_Control!K182="Sí",IF(COUNTIFS(M6_Puntos_Control!$A$9:A182,M6_Puntos_Control!A182,M6_Puntos_Control!$D$9:D182,M6_Puntos_Control!D182,M6_Puntos_Control!$G$9:G182,M6_Puntos_Control!G182,M6_Puntos_Control!$H$9:H182,M6_Puntos_Control!H182,M6_Puntos_Control!$K$9:K182,"Sí")=1,IF(M6_Puntos_Control!M182="","",M6_Puntos_Control!M182),""),""))</f>
        <v/>
      </c>
      <c r="AD1178" s="17" t="str">
        <f>IF(M6_Puntos_Control!A182="","","RD")</f>
        <v/>
      </c>
      <c r="AE1178" s="17" t="str">
        <f>IF(M6_Puntos_Control!A182="","",IF(M6_Puntos_Control!O182="","",M6_Puntos_Control!O182))</f>
        <v/>
      </c>
      <c r="AF1178" s="17" t="str">
        <f>IF(M6_Puntos_Control!A182="","",IF(M6_Puntos_Control!P182="","",M6_Puntos_Control!P182))</f>
        <v/>
      </c>
      <c r="AG1178" s="17" t="str">
        <f>IF(M6_Puntos_Control!A182="","",IF(M6_Puntos_Control!Q182="","",M6_Puntos_Control!Q182))</f>
        <v/>
      </c>
      <c r="AH1178" s="17" t="str">
        <f>IF(M6_Puntos_Control!A182="","",IF(M6_Puntos_Control!I182="","",M6_Puntos_Control!I182))</f>
        <v/>
      </c>
      <c r="AI1178" s="17" t="str">
        <f>IF(M6_Puntos_Control!A182="","","M6_Puntos_Control!182")</f>
        <v/>
      </c>
      <c r="AJ1178" s="17" t="str">
        <f>IF(M6_Puntos_Control!A182="","",IF(M6_Puntos_Control!K182&lt;&gt;"Sí","Punto de comparación",IF(COUNTIFS(M6_Puntos_Control!$A$9:A182,M6_Puntos_Control!A182,M6_Puntos_Control!$D$9:D182,M6_Puntos_Control!D182,M6_Puntos_Control!$G$9:G182,M6_Puntos_Control!G182,M6_Puntos_Control!$H$9:H182,M6_Puntos_Control!H182,M6_Puntos_Control!$K$9:K182,"Sí")=1,IF(M6_Puntos_Control!M182="","Pendiente de resultado","Punto oficial"),"Revisar: varios puntos oficiales")))</f>
        <v/>
      </c>
    </row>
    <row r="1179" spans="1:36" ht="55.5" customHeight="1">
      <c r="A1179" s="6" t="str">
        <f t="array" ref="A1179">IF(1175&gt;$S$1204,"",INDEX($T$5:$AJ$1204,MATCH(1175,$S$5:$S$1204,0),1))</f>
        <v/>
      </c>
      <c r="B1179" s="8" t="str">
        <f t="array" ref="B1179">IF(1175&gt;$S$1204,"",INDEX($T$5:$AJ$1204,MATCH(1175,$S$5:$S$1204,0),2))</f>
        <v/>
      </c>
      <c r="C1179" s="10" t="str">
        <f t="array" ref="C1179">IF(1175&gt;$S$1204,"",INDEX($T$5:$AJ$1204,MATCH(1175,$S$5:$S$1204,0),3))</f>
        <v/>
      </c>
      <c r="D1179" s="8" t="str">
        <f t="array" ref="D1179">IF(1175&gt;$S$1204,"",INDEX($T$5:$AJ$1204,MATCH(1175,$S$5:$S$1204,0),4))</f>
        <v/>
      </c>
      <c r="E1179" s="8" t="str">
        <f t="array" ref="E1179">IF(1175&gt;$S$1204,"",INDEX($T$5:$AJ$1204,MATCH(1175,$S$5:$S$1204,0),5))</f>
        <v/>
      </c>
      <c r="F1179" s="8" t="str">
        <f t="array" ref="F1179">IF(1175&gt;$S$1204,"",INDEX($T$5:$AJ$1204,MATCH(1175,$S$5:$S$1204,0),6))</f>
        <v/>
      </c>
      <c r="G1179" s="8" t="str">
        <f t="array" ref="G1179">IF(1175&gt;$S$1204,"",INDEX($T$5:$AJ$1204,MATCH(1175,$S$5:$S$1204,0),7))</f>
        <v/>
      </c>
      <c r="H1179" s="8" t="str">
        <f t="array" ref="H1179">IF(1175&gt;$S$1204,"",INDEX($T$5:$AJ$1204,MATCH(1175,$S$5:$S$1204,0),8))</f>
        <v/>
      </c>
      <c r="I1179" s="8" t="str">
        <f t="array" ref="I1179">IF(1175&gt;$S$1204,"",INDEX($T$5:$AJ$1204,MATCH(1175,$S$5:$S$1204,0),9))</f>
        <v/>
      </c>
      <c r="J1179" s="14" t="str">
        <f t="array" ref="J1179">IF(1175&gt;$S$1204,"",INDEX($T$5:$AJ$1204,MATCH(1175,$S$5:$S$1204,0),10))</f>
        <v/>
      </c>
      <c r="K1179" s="8" t="str">
        <f t="array" ref="K1179">IF(1175&gt;$S$1204,"",INDEX($T$5:$AJ$1204,MATCH(1175,$S$5:$S$1204,0),11))</f>
        <v/>
      </c>
      <c r="L1179" s="8" t="str">
        <f t="array" ref="L1179">IF(1175&gt;$S$1204,"",INDEX($T$5:$AJ$1204,MATCH(1175,$S$5:$S$1204,0),12))</f>
        <v/>
      </c>
      <c r="M1179" s="8" t="str">
        <f t="array" ref="M1179">IF(1175&gt;$S$1204,"",INDEX($T$5:$AJ$1204,MATCH(1175,$S$5:$S$1204,0),13))</f>
        <v/>
      </c>
      <c r="N1179" s="8" t="str">
        <f t="array" ref="N1179">IF(1175&gt;$S$1204,"",INDEX($T$5:$AJ$1204,MATCH(1175,$S$5:$S$1204,0),14))</f>
        <v/>
      </c>
      <c r="O1179" s="15" t="str">
        <f t="array" ref="O1179">IF(1175&gt;$S$1204,"",INDEX($T$5:$AJ$1204,MATCH(1175,$S$5:$S$1204,0),15))</f>
        <v/>
      </c>
      <c r="P1179" s="8" t="str">
        <f t="array" ref="P1179">IF(1175&gt;$S$1204,"",INDEX($T$5:$AJ$1204,MATCH(1175,$S$5:$S$1204,0),16))</f>
        <v/>
      </c>
      <c r="Q1179" s="8" t="str">
        <f t="array" ref="Q1179">IF(1175&gt;$S$1204,"",INDEX($T$5:$AJ$1204,MATCH(1175,$S$5:$S$1204,0),17))</f>
        <v/>
      </c>
      <c r="R1179" s="17"/>
      <c r="S1179" s="17">
        <f>S1178+IF(M6_Puntos_Control!A183="",0,1)</f>
        <v>0</v>
      </c>
      <c r="T1179" s="17" t="str">
        <f>IF(M6_Puntos_Control!A183="","",IF(M6_Puntos_Control!A183="","",M6_Puntos_Control!A183))</f>
        <v/>
      </c>
      <c r="U1179" s="17" t="str">
        <f>IF(M6_Puntos_Control!A183="","",IF(M6_Puntos_Control!R183="","",M6_Puntos_Control!R183))</f>
        <v/>
      </c>
      <c r="V1179" s="17" t="str">
        <f>IF(M6_Puntos_Control!A183="","",IF(M6_Puntos_Control!D183="","",M6_Puntos_Control!D183))</f>
        <v/>
      </c>
      <c r="W1179" s="17" t="str">
        <f>IF(M6_Puntos_Control!A183="","",IF(M6_Puntos_Control!B183="","",M6_Puntos_Control!B183))</f>
        <v/>
      </c>
      <c r="X1179" s="17" t="str">
        <f>IF(M6_Puntos_Control!A183="","",IF(M6_Puntos_Control!C183="","",M6_Puntos_Control!C183))</f>
        <v/>
      </c>
      <c r="Y1179" s="17" t="str">
        <f>IF(M6_Puntos_Control!A183="","",IF(M6_Puntos_Control!E183="","",M6_Puntos_Control!E183))</f>
        <v/>
      </c>
      <c r="Z1179" s="17" t="str">
        <f>IF(M6_Puntos_Control!A183="","",IF(M6_Puntos_Control!F183="","",M6_Puntos_Control!F183))</f>
        <v/>
      </c>
      <c r="AA1179" s="17" t="str">
        <f>IF(M6_Puntos_Control!A183="","","M6 Puntos de control")</f>
        <v/>
      </c>
      <c r="AB1179" s="17" t="str">
        <f>IF(M6_Puntos_Control!A183="","",IF(M6_Puntos_Control!G183="","",M6_Puntos_Control!G183))</f>
        <v/>
      </c>
      <c r="AC1179" s="17" t="str">
        <f>IF(M6_Puntos_Control!A183="","",IF(M6_Puntos_Control!K183="Sí",IF(COUNTIFS(M6_Puntos_Control!$A$9:A183,M6_Puntos_Control!A183,M6_Puntos_Control!$D$9:D183,M6_Puntos_Control!D183,M6_Puntos_Control!$G$9:G183,M6_Puntos_Control!G183,M6_Puntos_Control!$H$9:H183,M6_Puntos_Control!H183,M6_Puntos_Control!$K$9:K183,"Sí")=1,IF(M6_Puntos_Control!M183="","",M6_Puntos_Control!M183),""),""))</f>
        <v/>
      </c>
      <c r="AD1179" s="17" t="str">
        <f>IF(M6_Puntos_Control!A183="","","RD")</f>
        <v/>
      </c>
      <c r="AE1179" s="17" t="str">
        <f>IF(M6_Puntos_Control!A183="","",IF(M6_Puntos_Control!O183="","",M6_Puntos_Control!O183))</f>
        <v/>
      </c>
      <c r="AF1179" s="17" t="str">
        <f>IF(M6_Puntos_Control!A183="","",IF(M6_Puntos_Control!P183="","",M6_Puntos_Control!P183))</f>
        <v/>
      </c>
      <c r="AG1179" s="17" t="str">
        <f>IF(M6_Puntos_Control!A183="","",IF(M6_Puntos_Control!Q183="","",M6_Puntos_Control!Q183))</f>
        <v/>
      </c>
      <c r="AH1179" s="17" t="str">
        <f>IF(M6_Puntos_Control!A183="","",IF(M6_Puntos_Control!I183="","",M6_Puntos_Control!I183))</f>
        <v/>
      </c>
      <c r="AI1179" s="17" t="str">
        <f>IF(M6_Puntos_Control!A183="","","M6_Puntos_Control!183")</f>
        <v/>
      </c>
      <c r="AJ1179" s="17" t="str">
        <f>IF(M6_Puntos_Control!A183="","",IF(M6_Puntos_Control!K183&lt;&gt;"Sí","Punto de comparación",IF(COUNTIFS(M6_Puntos_Control!$A$9:A183,M6_Puntos_Control!A183,M6_Puntos_Control!$D$9:D183,M6_Puntos_Control!D183,M6_Puntos_Control!$G$9:G183,M6_Puntos_Control!G183,M6_Puntos_Control!$H$9:H183,M6_Puntos_Control!H183,M6_Puntos_Control!$K$9:K183,"Sí")=1,IF(M6_Puntos_Control!M183="","Pendiente de resultado","Punto oficial"),"Revisar: varios puntos oficiales")))</f>
        <v/>
      </c>
    </row>
    <row r="1180" spans="1:36" ht="55.5" customHeight="1">
      <c r="A1180" s="6" t="str">
        <f t="array" ref="A1180">IF(1176&gt;$S$1204,"",INDEX($T$5:$AJ$1204,MATCH(1176,$S$5:$S$1204,0),1))</f>
        <v/>
      </c>
      <c r="B1180" s="8" t="str">
        <f t="array" ref="B1180">IF(1176&gt;$S$1204,"",INDEX($T$5:$AJ$1204,MATCH(1176,$S$5:$S$1204,0),2))</f>
        <v/>
      </c>
      <c r="C1180" s="10" t="str">
        <f t="array" ref="C1180">IF(1176&gt;$S$1204,"",INDEX($T$5:$AJ$1204,MATCH(1176,$S$5:$S$1204,0),3))</f>
        <v/>
      </c>
      <c r="D1180" s="8" t="str">
        <f t="array" ref="D1180">IF(1176&gt;$S$1204,"",INDEX($T$5:$AJ$1204,MATCH(1176,$S$5:$S$1204,0),4))</f>
        <v/>
      </c>
      <c r="E1180" s="8" t="str">
        <f t="array" ref="E1180">IF(1176&gt;$S$1204,"",INDEX($T$5:$AJ$1204,MATCH(1176,$S$5:$S$1204,0),5))</f>
        <v/>
      </c>
      <c r="F1180" s="8" t="str">
        <f t="array" ref="F1180">IF(1176&gt;$S$1204,"",INDEX($T$5:$AJ$1204,MATCH(1176,$S$5:$S$1204,0),6))</f>
        <v/>
      </c>
      <c r="G1180" s="8" t="str">
        <f t="array" ref="G1180">IF(1176&gt;$S$1204,"",INDEX($T$5:$AJ$1204,MATCH(1176,$S$5:$S$1204,0),7))</f>
        <v/>
      </c>
      <c r="H1180" s="8" t="str">
        <f t="array" ref="H1180">IF(1176&gt;$S$1204,"",INDEX($T$5:$AJ$1204,MATCH(1176,$S$5:$S$1204,0),8))</f>
        <v/>
      </c>
      <c r="I1180" s="8" t="str">
        <f t="array" ref="I1180">IF(1176&gt;$S$1204,"",INDEX($T$5:$AJ$1204,MATCH(1176,$S$5:$S$1204,0),9))</f>
        <v/>
      </c>
      <c r="J1180" s="14" t="str">
        <f t="array" ref="J1180">IF(1176&gt;$S$1204,"",INDEX($T$5:$AJ$1204,MATCH(1176,$S$5:$S$1204,0),10))</f>
        <v/>
      </c>
      <c r="K1180" s="8" t="str">
        <f t="array" ref="K1180">IF(1176&gt;$S$1204,"",INDEX($T$5:$AJ$1204,MATCH(1176,$S$5:$S$1204,0),11))</f>
        <v/>
      </c>
      <c r="L1180" s="8" t="str">
        <f t="array" ref="L1180">IF(1176&gt;$S$1204,"",INDEX($T$5:$AJ$1204,MATCH(1176,$S$5:$S$1204,0),12))</f>
        <v/>
      </c>
      <c r="M1180" s="8" t="str">
        <f t="array" ref="M1180">IF(1176&gt;$S$1204,"",INDEX($T$5:$AJ$1204,MATCH(1176,$S$5:$S$1204,0),13))</f>
        <v/>
      </c>
      <c r="N1180" s="8" t="str">
        <f t="array" ref="N1180">IF(1176&gt;$S$1204,"",INDEX($T$5:$AJ$1204,MATCH(1176,$S$5:$S$1204,0),14))</f>
        <v/>
      </c>
      <c r="O1180" s="15" t="str">
        <f t="array" ref="O1180">IF(1176&gt;$S$1204,"",INDEX($T$5:$AJ$1204,MATCH(1176,$S$5:$S$1204,0),15))</f>
        <v/>
      </c>
      <c r="P1180" s="8" t="str">
        <f t="array" ref="P1180">IF(1176&gt;$S$1204,"",INDEX($T$5:$AJ$1204,MATCH(1176,$S$5:$S$1204,0),16))</f>
        <v/>
      </c>
      <c r="Q1180" s="8" t="str">
        <f t="array" ref="Q1180">IF(1176&gt;$S$1204,"",INDEX($T$5:$AJ$1204,MATCH(1176,$S$5:$S$1204,0),17))</f>
        <v/>
      </c>
      <c r="R1180" s="17"/>
      <c r="S1180" s="17">
        <f>S1179+IF(M6_Puntos_Control!A184="",0,1)</f>
        <v>0</v>
      </c>
      <c r="T1180" s="17" t="str">
        <f>IF(M6_Puntos_Control!A184="","",IF(M6_Puntos_Control!A184="","",M6_Puntos_Control!A184))</f>
        <v/>
      </c>
      <c r="U1180" s="17" t="str">
        <f>IF(M6_Puntos_Control!A184="","",IF(M6_Puntos_Control!R184="","",M6_Puntos_Control!R184))</f>
        <v/>
      </c>
      <c r="V1180" s="17" t="str">
        <f>IF(M6_Puntos_Control!A184="","",IF(M6_Puntos_Control!D184="","",M6_Puntos_Control!D184))</f>
        <v/>
      </c>
      <c r="W1180" s="17" t="str">
        <f>IF(M6_Puntos_Control!A184="","",IF(M6_Puntos_Control!B184="","",M6_Puntos_Control!B184))</f>
        <v/>
      </c>
      <c r="X1180" s="17" t="str">
        <f>IF(M6_Puntos_Control!A184="","",IF(M6_Puntos_Control!C184="","",M6_Puntos_Control!C184))</f>
        <v/>
      </c>
      <c r="Y1180" s="17" t="str">
        <f>IF(M6_Puntos_Control!A184="","",IF(M6_Puntos_Control!E184="","",M6_Puntos_Control!E184))</f>
        <v/>
      </c>
      <c r="Z1180" s="17" t="str">
        <f>IF(M6_Puntos_Control!A184="","",IF(M6_Puntos_Control!F184="","",M6_Puntos_Control!F184))</f>
        <v/>
      </c>
      <c r="AA1180" s="17" t="str">
        <f>IF(M6_Puntos_Control!A184="","","M6 Puntos de control")</f>
        <v/>
      </c>
      <c r="AB1180" s="17" t="str">
        <f>IF(M6_Puntos_Control!A184="","",IF(M6_Puntos_Control!G184="","",M6_Puntos_Control!G184))</f>
        <v/>
      </c>
      <c r="AC1180" s="17" t="str">
        <f>IF(M6_Puntos_Control!A184="","",IF(M6_Puntos_Control!K184="Sí",IF(COUNTIFS(M6_Puntos_Control!$A$9:A184,M6_Puntos_Control!A184,M6_Puntos_Control!$D$9:D184,M6_Puntos_Control!D184,M6_Puntos_Control!$G$9:G184,M6_Puntos_Control!G184,M6_Puntos_Control!$H$9:H184,M6_Puntos_Control!H184,M6_Puntos_Control!$K$9:K184,"Sí")=1,IF(M6_Puntos_Control!M184="","",M6_Puntos_Control!M184),""),""))</f>
        <v/>
      </c>
      <c r="AD1180" s="17" t="str">
        <f>IF(M6_Puntos_Control!A184="","","RD")</f>
        <v/>
      </c>
      <c r="AE1180" s="17" t="str">
        <f>IF(M6_Puntos_Control!A184="","",IF(M6_Puntos_Control!O184="","",M6_Puntos_Control!O184))</f>
        <v/>
      </c>
      <c r="AF1180" s="17" t="str">
        <f>IF(M6_Puntos_Control!A184="","",IF(M6_Puntos_Control!P184="","",M6_Puntos_Control!P184))</f>
        <v/>
      </c>
      <c r="AG1180" s="17" t="str">
        <f>IF(M6_Puntos_Control!A184="","",IF(M6_Puntos_Control!Q184="","",M6_Puntos_Control!Q184))</f>
        <v/>
      </c>
      <c r="AH1180" s="17" t="str">
        <f>IF(M6_Puntos_Control!A184="","",IF(M6_Puntos_Control!I184="","",M6_Puntos_Control!I184))</f>
        <v/>
      </c>
      <c r="AI1180" s="17" t="str">
        <f>IF(M6_Puntos_Control!A184="","","M6_Puntos_Control!184")</f>
        <v/>
      </c>
      <c r="AJ1180" s="17" t="str">
        <f>IF(M6_Puntos_Control!A184="","",IF(M6_Puntos_Control!K184&lt;&gt;"Sí","Punto de comparación",IF(COUNTIFS(M6_Puntos_Control!$A$9:A184,M6_Puntos_Control!A184,M6_Puntos_Control!$D$9:D184,M6_Puntos_Control!D184,M6_Puntos_Control!$G$9:G184,M6_Puntos_Control!G184,M6_Puntos_Control!$H$9:H184,M6_Puntos_Control!H184,M6_Puntos_Control!$K$9:K184,"Sí")=1,IF(M6_Puntos_Control!M184="","Pendiente de resultado","Punto oficial"),"Revisar: varios puntos oficiales")))</f>
        <v/>
      </c>
    </row>
    <row r="1181" spans="1:36" ht="55.5" customHeight="1">
      <c r="A1181" s="6" t="str">
        <f t="array" ref="A1181">IF(1177&gt;$S$1204,"",INDEX($T$5:$AJ$1204,MATCH(1177,$S$5:$S$1204,0),1))</f>
        <v/>
      </c>
      <c r="B1181" s="8" t="str">
        <f t="array" ref="B1181">IF(1177&gt;$S$1204,"",INDEX($T$5:$AJ$1204,MATCH(1177,$S$5:$S$1204,0),2))</f>
        <v/>
      </c>
      <c r="C1181" s="10" t="str">
        <f t="array" ref="C1181">IF(1177&gt;$S$1204,"",INDEX($T$5:$AJ$1204,MATCH(1177,$S$5:$S$1204,0),3))</f>
        <v/>
      </c>
      <c r="D1181" s="8" t="str">
        <f t="array" ref="D1181">IF(1177&gt;$S$1204,"",INDEX($T$5:$AJ$1204,MATCH(1177,$S$5:$S$1204,0),4))</f>
        <v/>
      </c>
      <c r="E1181" s="8" t="str">
        <f t="array" ref="E1181">IF(1177&gt;$S$1204,"",INDEX($T$5:$AJ$1204,MATCH(1177,$S$5:$S$1204,0),5))</f>
        <v/>
      </c>
      <c r="F1181" s="8" t="str">
        <f t="array" ref="F1181">IF(1177&gt;$S$1204,"",INDEX($T$5:$AJ$1204,MATCH(1177,$S$5:$S$1204,0),6))</f>
        <v/>
      </c>
      <c r="G1181" s="8" t="str">
        <f t="array" ref="G1181">IF(1177&gt;$S$1204,"",INDEX($T$5:$AJ$1204,MATCH(1177,$S$5:$S$1204,0),7))</f>
        <v/>
      </c>
      <c r="H1181" s="8" t="str">
        <f t="array" ref="H1181">IF(1177&gt;$S$1204,"",INDEX($T$5:$AJ$1204,MATCH(1177,$S$5:$S$1204,0),8))</f>
        <v/>
      </c>
      <c r="I1181" s="8" t="str">
        <f t="array" ref="I1181">IF(1177&gt;$S$1204,"",INDEX($T$5:$AJ$1204,MATCH(1177,$S$5:$S$1204,0),9))</f>
        <v/>
      </c>
      <c r="J1181" s="14" t="str">
        <f t="array" ref="J1181">IF(1177&gt;$S$1204,"",INDEX($T$5:$AJ$1204,MATCH(1177,$S$5:$S$1204,0),10))</f>
        <v/>
      </c>
      <c r="K1181" s="8" t="str">
        <f t="array" ref="K1181">IF(1177&gt;$S$1204,"",INDEX($T$5:$AJ$1204,MATCH(1177,$S$5:$S$1204,0),11))</f>
        <v/>
      </c>
      <c r="L1181" s="8" t="str">
        <f t="array" ref="L1181">IF(1177&gt;$S$1204,"",INDEX($T$5:$AJ$1204,MATCH(1177,$S$5:$S$1204,0),12))</f>
        <v/>
      </c>
      <c r="M1181" s="8" t="str">
        <f t="array" ref="M1181">IF(1177&gt;$S$1204,"",INDEX($T$5:$AJ$1204,MATCH(1177,$S$5:$S$1204,0),13))</f>
        <v/>
      </c>
      <c r="N1181" s="8" t="str">
        <f t="array" ref="N1181">IF(1177&gt;$S$1204,"",INDEX($T$5:$AJ$1204,MATCH(1177,$S$5:$S$1204,0),14))</f>
        <v/>
      </c>
      <c r="O1181" s="15" t="str">
        <f t="array" ref="O1181">IF(1177&gt;$S$1204,"",INDEX($T$5:$AJ$1204,MATCH(1177,$S$5:$S$1204,0),15))</f>
        <v/>
      </c>
      <c r="P1181" s="8" t="str">
        <f t="array" ref="P1181">IF(1177&gt;$S$1204,"",INDEX($T$5:$AJ$1204,MATCH(1177,$S$5:$S$1204,0),16))</f>
        <v/>
      </c>
      <c r="Q1181" s="8" t="str">
        <f t="array" ref="Q1181">IF(1177&gt;$S$1204,"",INDEX($T$5:$AJ$1204,MATCH(1177,$S$5:$S$1204,0),17))</f>
        <v/>
      </c>
      <c r="R1181" s="17"/>
      <c r="S1181" s="17">
        <f>S1180+IF(M6_Puntos_Control!A185="",0,1)</f>
        <v>0</v>
      </c>
      <c r="T1181" s="17" t="str">
        <f>IF(M6_Puntos_Control!A185="","",IF(M6_Puntos_Control!A185="","",M6_Puntos_Control!A185))</f>
        <v/>
      </c>
      <c r="U1181" s="17" t="str">
        <f>IF(M6_Puntos_Control!A185="","",IF(M6_Puntos_Control!R185="","",M6_Puntos_Control!R185))</f>
        <v/>
      </c>
      <c r="V1181" s="17" t="str">
        <f>IF(M6_Puntos_Control!A185="","",IF(M6_Puntos_Control!D185="","",M6_Puntos_Control!D185))</f>
        <v/>
      </c>
      <c r="W1181" s="17" t="str">
        <f>IF(M6_Puntos_Control!A185="","",IF(M6_Puntos_Control!B185="","",M6_Puntos_Control!B185))</f>
        <v/>
      </c>
      <c r="X1181" s="17" t="str">
        <f>IF(M6_Puntos_Control!A185="","",IF(M6_Puntos_Control!C185="","",M6_Puntos_Control!C185))</f>
        <v/>
      </c>
      <c r="Y1181" s="17" t="str">
        <f>IF(M6_Puntos_Control!A185="","",IF(M6_Puntos_Control!E185="","",M6_Puntos_Control!E185))</f>
        <v/>
      </c>
      <c r="Z1181" s="17" t="str">
        <f>IF(M6_Puntos_Control!A185="","",IF(M6_Puntos_Control!F185="","",M6_Puntos_Control!F185))</f>
        <v/>
      </c>
      <c r="AA1181" s="17" t="str">
        <f>IF(M6_Puntos_Control!A185="","","M6 Puntos de control")</f>
        <v/>
      </c>
      <c r="AB1181" s="17" t="str">
        <f>IF(M6_Puntos_Control!A185="","",IF(M6_Puntos_Control!G185="","",M6_Puntos_Control!G185))</f>
        <v/>
      </c>
      <c r="AC1181" s="17" t="str">
        <f>IF(M6_Puntos_Control!A185="","",IF(M6_Puntos_Control!K185="Sí",IF(COUNTIFS(M6_Puntos_Control!$A$9:A185,M6_Puntos_Control!A185,M6_Puntos_Control!$D$9:D185,M6_Puntos_Control!D185,M6_Puntos_Control!$G$9:G185,M6_Puntos_Control!G185,M6_Puntos_Control!$H$9:H185,M6_Puntos_Control!H185,M6_Puntos_Control!$K$9:K185,"Sí")=1,IF(M6_Puntos_Control!M185="","",M6_Puntos_Control!M185),""),""))</f>
        <v/>
      </c>
      <c r="AD1181" s="17" t="str">
        <f>IF(M6_Puntos_Control!A185="","","RD")</f>
        <v/>
      </c>
      <c r="AE1181" s="17" t="str">
        <f>IF(M6_Puntos_Control!A185="","",IF(M6_Puntos_Control!O185="","",M6_Puntos_Control!O185))</f>
        <v/>
      </c>
      <c r="AF1181" s="17" t="str">
        <f>IF(M6_Puntos_Control!A185="","",IF(M6_Puntos_Control!P185="","",M6_Puntos_Control!P185))</f>
        <v/>
      </c>
      <c r="AG1181" s="17" t="str">
        <f>IF(M6_Puntos_Control!A185="","",IF(M6_Puntos_Control!Q185="","",M6_Puntos_Control!Q185))</f>
        <v/>
      </c>
      <c r="AH1181" s="17" t="str">
        <f>IF(M6_Puntos_Control!A185="","",IF(M6_Puntos_Control!I185="","",M6_Puntos_Control!I185))</f>
        <v/>
      </c>
      <c r="AI1181" s="17" t="str">
        <f>IF(M6_Puntos_Control!A185="","","M6_Puntos_Control!185")</f>
        <v/>
      </c>
      <c r="AJ1181" s="17" t="str">
        <f>IF(M6_Puntos_Control!A185="","",IF(M6_Puntos_Control!K185&lt;&gt;"Sí","Punto de comparación",IF(COUNTIFS(M6_Puntos_Control!$A$9:A185,M6_Puntos_Control!A185,M6_Puntos_Control!$D$9:D185,M6_Puntos_Control!D185,M6_Puntos_Control!$G$9:G185,M6_Puntos_Control!G185,M6_Puntos_Control!$H$9:H185,M6_Puntos_Control!H185,M6_Puntos_Control!$K$9:K185,"Sí")=1,IF(M6_Puntos_Control!M185="","Pendiente de resultado","Punto oficial"),"Revisar: varios puntos oficiales")))</f>
        <v/>
      </c>
    </row>
    <row r="1182" spans="1:36" ht="55.5" customHeight="1">
      <c r="A1182" s="6" t="str">
        <f t="array" ref="A1182">IF(1178&gt;$S$1204,"",INDEX($T$5:$AJ$1204,MATCH(1178,$S$5:$S$1204,0),1))</f>
        <v/>
      </c>
      <c r="B1182" s="8" t="str">
        <f t="array" ref="B1182">IF(1178&gt;$S$1204,"",INDEX($T$5:$AJ$1204,MATCH(1178,$S$5:$S$1204,0),2))</f>
        <v/>
      </c>
      <c r="C1182" s="10" t="str">
        <f t="array" ref="C1182">IF(1178&gt;$S$1204,"",INDEX($T$5:$AJ$1204,MATCH(1178,$S$5:$S$1204,0),3))</f>
        <v/>
      </c>
      <c r="D1182" s="8" t="str">
        <f t="array" ref="D1182">IF(1178&gt;$S$1204,"",INDEX($T$5:$AJ$1204,MATCH(1178,$S$5:$S$1204,0),4))</f>
        <v/>
      </c>
      <c r="E1182" s="8" t="str">
        <f t="array" ref="E1182">IF(1178&gt;$S$1204,"",INDEX($T$5:$AJ$1204,MATCH(1178,$S$5:$S$1204,0),5))</f>
        <v/>
      </c>
      <c r="F1182" s="8" t="str">
        <f t="array" ref="F1182">IF(1178&gt;$S$1204,"",INDEX($T$5:$AJ$1204,MATCH(1178,$S$5:$S$1204,0),6))</f>
        <v/>
      </c>
      <c r="G1182" s="8" t="str">
        <f t="array" ref="G1182">IF(1178&gt;$S$1204,"",INDEX($T$5:$AJ$1204,MATCH(1178,$S$5:$S$1204,0),7))</f>
        <v/>
      </c>
      <c r="H1182" s="8" t="str">
        <f t="array" ref="H1182">IF(1178&gt;$S$1204,"",INDEX($T$5:$AJ$1204,MATCH(1178,$S$5:$S$1204,0),8))</f>
        <v/>
      </c>
      <c r="I1182" s="8" t="str">
        <f t="array" ref="I1182">IF(1178&gt;$S$1204,"",INDEX($T$5:$AJ$1204,MATCH(1178,$S$5:$S$1204,0),9))</f>
        <v/>
      </c>
      <c r="J1182" s="14" t="str">
        <f t="array" ref="J1182">IF(1178&gt;$S$1204,"",INDEX($T$5:$AJ$1204,MATCH(1178,$S$5:$S$1204,0),10))</f>
        <v/>
      </c>
      <c r="K1182" s="8" t="str">
        <f t="array" ref="K1182">IF(1178&gt;$S$1204,"",INDEX($T$5:$AJ$1204,MATCH(1178,$S$5:$S$1204,0),11))</f>
        <v/>
      </c>
      <c r="L1182" s="8" t="str">
        <f t="array" ref="L1182">IF(1178&gt;$S$1204,"",INDEX($T$5:$AJ$1204,MATCH(1178,$S$5:$S$1204,0),12))</f>
        <v/>
      </c>
      <c r="M1182" s="8" t="str">
        <f t="array" ref="M1182">IF(1178&gt;$S$1204,"",INDEX($T$5:$AJ$1204,MATCH(1178,$S$5:$S$1204,0),13))</f>
        <v/>
      </c>
      <c r="N1182" s="8" t="str">
        <f t="array" ref="N1182">IF(1178&gt;$S$1204,"",INDEX($T$5:$AJ$1204,MATCH(1178,$S$5:$S$1204,0),14))</f>
        <v/>
      </c>
      <c r="O1182" s="15" t="str">
        <f t="array" ref="O1182">IF(1178&gt;$S$1204,"",INDEX($T$5:$AJ$1204,MATCH(1178,$S$5:$S$1204,0),15))</f>
        <v/>
      </c>
      <c r="P1182" s="8" t="str">
        <f t="array" ref="P1182">IF(1178&gt;$S$1204,"",INDEX($T$5:$AJ$1204,MATCH(1178,$S$5:$S$1204,0),16))</f>
        <v/>
      </c>
      <c r="Q1182" s="8" t="str">
        <f t="array" ref="Q1182">IF(1178&gt;$S$1204,"",INDEX($T$5:$AJ$1204,MATCH(1178,$S$5:$S$1204,0),17))</f>
        <v/>
      </c>
      <c r="R1182" s="17"/>
      <c r="S1182" s="17">
        <f>S1181+IF(M6_Puntos_Control!A186="",0,1)</f>
        <v>0</v>
      </c>
      <c r="T1182" s="17" t="str">
        <f>IF(M6_Puntos_Control!A186="","",IF(M6_Puntos_Control!A186="","",M6_Puntos_Control!A186))</f>
        <v/>
      </c>
      <c r="U1182" s="17" t="str">
        <f>IF(M6_Puntos_Control!A186="","",IF(M6_Puntos_Control!R186="","",M6_Puntos_Control!R186))</f>
        <v/>
      </c>
      <c r="V1182" s="17" t="str">
        <f>IF(M6_Puntos_Control!A186="","",IF(M6_Puntos_Control!D186="","",M6_Puntos_Control!D186))</f>
        <v/>
      </c>
      <c r="W1182" s="17" t="str">
        <f>IF(M6_Puntos_Control!A186="","",IF(M6_Puntos_Control!B186="","",M6_Puntos_Control!B186))</f>
        <v/>
      </c>
      <c r="X1182" s="17" t="str">
        <f>IF(M6_Puntos_Control!A186="","",IF(M6_Puntos_Control!C186="","",M6_Puntos_Control!C186))</f>
        <v/>
      </c>
      <c r="Y1182" s="17" t="str">
        <f>IF(M6_Puntos_Control!A186="","",IF(M6_Puntos_Control!E186="","",M6_Puntos_Control!E186))</f>
        <v/>
      </c>
      <c r="Z1182" s="17" t="str">
        <f>IF(M6_Puntos_Control!A186="","",IF(M6_Puntos_Control!F186="","",M6_Puntos_Control!F186))</f>
        <v/>
      </c>
      <c r="AA1182" s="17" t="str">
        <f>IF(M6_Puntos_Control!A186="","","M6 Puntos de control")</f>
        <v/>
      </c>
      <c r="AB1182" s="17" t="str">
        <f>IF(M6_Puntos_Control!A186="","",IF(M6_Puntos_Control!G186="","",M6_Puntos_Control!G186))</f>
        <v/>
      </c>
      <c r="AC1182" s="17" t="str">
        <f>IF(M6_Puntos_Control!A186="","",IF(M6_Puntos_Control!K186="Sí",IF(COUNTIFS(M6_Puntos_Control!$A$9:A186,M6_Puntos_Control!A186,M6_Puntos_Control!$D$9:D186,M6_Puntos_Control!D186,M6_Puntos_Control!$G$9:G186,M6_Puntos_Control!G186,M6_Puntos_Control!$H$9:H186,M6_Puntos_Control!H186,M6_Puntos_Control!$K$9:K186,"Sí")=1,IF(M6_Puntos_Control!M186="","",M6_Puntos_Control!M186),""),""))</f>
        <v/>
      </c>
      <c r="AD1182" s="17" t="str">
        <f>IF(M6_Puntos_Control!A186="","","RD")</f>
        <v/>
      </c>
      <c r="AE1182" s="17" t="str">
        <f>IF(M6_Puntos_Control!A186="","",IF(M6_Puntos_Control!O186="","",M6_Puntos_Control!O186))</f>
        <v/>
      </c>
      <c r="AF1182" s="17" t="str">
        <f>IF(M6_Puntos_Control!A186="","",IF(M6_Puntos_Control!P186="","",M6_Puntos_Control!P186))</f>
        <v/>
      </c>
      <c r="AG1182" s="17" t="str">
        <f>IF(M6_Puntos_Control!A186="","",IF(M6_Puntos_Control!Q186="","",M6_Puntos_Control!Q186))</f>
        <v/>
      </c>
      <c r="AH1182" s="17" t="str">
        <f>IF(M6_Puntos_Control!A186="","",IF(M6_Puntos_Control!I186="","",M6_Puntos_Control!I186))</f>
        <v/>
      </c>
      <c r="AI1182" s="17" t="str">
        <f>IF(M6_Puntos_Control!A186="","","M6_Puntos_Control!186")</f>
        <v/>
      </c>
      <c r="AJ1182" s="17" t="str">
        <f>IF(M6_Puntos_Control!A186="","",IF(M6_Puntos_Control!K186&lt;&gt;"Sí","Punto de comparación",IF(COUNTIFS(M6_Puntos_Control!$A$9:A186,M6_Puntos_Control!A186,M6_Puntos_Control!$D$9:D186,M6_Puntos_Control!D186,M6_Puntos_Control!$G$9:G186,M6_Puntos_Control!G186,M6_Puntos_Control!$H$9:H186,M6_Puntos_Control!H186,M6_Puntos_Control!$K$9:K186,"Sí")=1,IF(M6_Puntos_Control!M186="","Pendiente de resultado","Punto oficial"),"Revisar: varios puntos oficiales")))</f>
        <v/>
      </c>
    </row>
    <row r="1183" spans="1:36" ht="55.5" customHeight="1">
      <c r="A1183" s="6" t="str">
        <f t="array" ref="A1183">IF(1179&gt;$S$1204,"",INDEX($T$5:$AJ$1204,MATCH(1179,$S$5:$S$1204,0),1))</f>
        <v/>
      </c>
      <c r="B1183" s="8" t="str">
        <f t="array" ref="B1183">IF(1179&gt;$S$1204,"",INDEX($T$5:$AJ$1204,MATCH(1179,$S$5:$S$1204,0),2))</f>
        <v/>
      </c>
      <c r="C1183" s="10" t="str">
        <f t="array" ref="C1183">IF(1179&gt;$S$1204,"",INDEX($T$5:$AJ$1204,MATCH(1179,$S$5:$S$1204,0),3))</f>
        <v/>
      </c>
      <c r="D1183" s="8" t="str">
        <f t="array" ref="D1183">IF(1179&gt;$S$1204,"",INDEX($T$5:$AJ$1204,MATCH(1179,$S$5:$S$1204,0),4))</f>
        <v/>
      </c>
      <c r="E1183" s="8" t="str">
        <f t="array" ref="E1183">IF(1179&gt;$S$1204,"",INDEX($T$5:$AJ$1204,MATCH(1179,$S$5:$S$1204,0),5))</f>
        <v/>
      </c>
      <c r="F1183" s="8" t="str">
        <f t="array" ref="F1183">IF(1179&gt;$S$1204,"",INDEX($T$5:$AJ$1204,MATCH(1179,$S$5:$S$1204,0),6))</f>
        <v/>
      </c>
      <c r="G1183" s="8" t="str">
        <f t="array" ref="G1183">IF(1179&gt;$S$1204,"",INDEX($T$5:$AJ$1204,MATCH(1179,$S$5:$S$1204,0),7))</f>
        <v/>
      </c>
      <c r="H1183" s="8" t="str">
        <f t="array" ref="H1183">IF(1179&gt;$S$1204,"",INDEX($T$5:$AJ$1204,MATCH(1179,$S$5:$S$1204,0),8))</f>
        <v/>
      </c>
      <c r="I1183" s="8" t="str">
        <f t="array" ref="I1183">IF(1179&gt;$S$1204,"",INDEX($T$5:$AJ$1204,MATCH(1179,$S$5:$S$1204,0),9))</f>
        <v/>
      </c>
      <c r="J1183" s="14" t="str">
        <f t="array" ref="J1183">IF(1179&gt;$S$1204,"",INDEX($T$5:$AJ$1204,MATCH(1179,$S$5:$S$1204,0),10))</f>
        <v/>
      </c>
      <c r="K1183" s="8" t="str">
        <f t="array" ref="K1183">IF(1179&gt;$S$1204,"",INDEX($T$5:$AJ$1204,MATCH(1179,$S$5:$S$1204,0),11))</f>
        <v/>
      </c>
      <c r="L1183" s="8" t="str">
        <f t="array" ref="L1183">IF(1179&gt;$S$1204,"",INDEX($T$5:$AJ$1204,MATCH(1179,$S$5:$S$1204,0),12))</f>
        <v/>
      </c>
      <c r="M1183" s="8" t="str">
        <f t="array" ref="M1183">IF(1179&gt;$S$1204,"",INDEX($T$5:$AJ$1204,MATCH(1179,$S$5:$S$1204,0),13))</f>
        <v/>
      </c>
      <c r="N1183" s="8" t="str">
        <f t="array" ref="N1183">IF(1179&gt;$S$1204,"",INDEX($T$5:$AJ$1204,MATCH(1179,$S$5:$S$1204,0),14))</f>
        <v/>
      </c>
      <c r="O1183" s="15" t="str">
        <f t="array" ref="O1183">IF(1179&gt;$S$1204,"",INDEX($T$5:$AJ$1204,MATCH(1179,$S$5:$S$1204,0),15))</f>
        <v/>
      </c>
      <c r="P1183" s="8" t="str">
        <f t="array" ref="P1183">IF(1179&gt;$S$1204,"",INDEX($T$5:$AJ$1204,MATCH(1179,$S$5:$S$1204,0),16))</f>
        <v/>
      </c>
      <c r="Q1183" s="8" t="str">
        <f t="array" ref="Q1183">IF(1179&gt;$S$1204,"",INDEX($T$5:$AJ$1204,MATCH(1179,$S$5:$S$1204,0),17))</f>
        <v/>
      </c>
      <c r="R1183" s="17"/>
      <c r="S1183" s="17">
        <f>S1182+IF(M6_Puntos_Control!A187="",0,1)</f>
        <v>0</v>
      </c>
      <c r="T1183" s="17" t="str">
        <f>IF(M6_Puntos_Control!A187="","",IF(M6_Puntos_Control!A187="","",M6_Puntos_Control!A187))</f>
        <v/>
      </c>
      <c r="U1183" s="17" t="str">
        <f>IF(M6_Puntos_Control!A187="","",IF(M6_Puntos_Control!R187="","",M6_Puntos_Control!R187))</f>
        <v/>
      </c>
      <c r="V1183" s="17" t="str">
        <f>IF(M6_Puntos_Control!A187="","",IF(M6_Puntos_Control!D187="","",M6_Puntos_Control!D187))</f>
        <v/>
      </c>
      <c r="W1183" s="17" t="str">
        <f>IF(M6_Puntos_Control!A187="","",IF(M6_Puntos_Control!B187="","",M6_Puntos_Control!B187))</f>
        <v/>
      </c>
      <c r="X1183" s="17" t="str">
        <f>IF(M6_Puntos_Control!A187="","",IF(M6_Puntos_Control!C187="","",M6_Puntos_Control!C187))</f>
        <v/>
      </c>
      <c r="Y1183" s="17" t="str">
        <f>IF(M6_Puntos_Control!A187="","",IF(M6_Puntos_Control!E187="","",M6_Puntos_Control!E187))</f>
        <v/>
      </c>
      <c r="Z1183" s="17" t="str">
        <f>IF(M6_Puntos_Control!A187="","",IF(M6_Puntos_Control!F187="","",M6_Puntos_Control!F187))</f>
        <v/>
      </c>
      <c r="AA1183" s="17" t="str">
        <f>IF(M6_Puntos_Control!A187="","","M6 Puntos de control")</f>
        <v/>
      </c>
      <c r="AB1183" s="17" t="str">
        <f>IF(M6_Puntos_Control!A187="","",IF(M6_Puntos_Control!G187="","",M6_Puntos_Control!G187))</f>
        <v/>
      </c>
      <c r="AC1183" s="17" t="str">
        <f>IF(M6_Puntos_Control!A187="","",IF(M6_Puntos_Control!K187="Sí",IF(COUNTIFS(M6_Puntos_Control!$A$9:A187,M6_Puntos_Control!A187,M6_Puntos_Control!$D$9:D187,M6_Puntos_Control!D187,M6_Puntos_Control!$G$9:G187,M6_Puntos_Control!G187,M6_Puntos_Control!$H$9:H187,M6_Puntos_Control!H187,M6_Puntos_Control!$K$9:K187,"Sí")=1,IF(M6_Puntos_Control!M187="","",M6_Puntos_Control!M187),""),""))</f>
        <v/>
      </c>
      <c r="AD1183" s="17" t="str">
        <f>IF(M6_Puntos_Control!A187="","","RD")</f>
        <v/>
      </c>
      <c r="AE1183" s="17" t="str">
        <f>IF(M6_Puntos_Control!A187="","",IF(M6_Puntos_Control!O187="","",M6_Puntos_Control!O187))</f>
        <v/>
      </c>
      <c r="AF1183" s="17" t="str">
        <f>IF(M6_Puntos_Control!A187="","",IF(M6_Puntos_Control!P187="","",M6_Puntos_Control!P187))</f>
        <v/>
      </c>
      <c r="AG1183" s="17" t="str">
        <f>IF(M6_Puntos_Control!A187="","",IF(M6_Puntos_Control!Q187="","",M6_Puntos_Control!Q187))</f>
        <v/>
      </c>
      <c r="AH1183" s="17" t="str">
        <f>IF(M6_Puntos_Control!A187="","",IF(M6_Puntos_Control!I187="","",M6_Puntos_Control!I187))</f>
        <v/>
      </c>
      <c r="AI1183" s="17" t="str">
        <f>IF(M6_Puntos_Control!A187="","","M6_Puntos_Control!187")</f>
        <v/>
      </c>
      <c r="AJ1183" s="17" t="str">
        <f>IF(M6_Puntos_Control!A187="","",IF(M6_Puntos_Control!K187&lt;&gt;"Sí","Punto de comparación",IF(COUNTIFS(M6_Puntos_Control!$A$9:A187,M6_Puntos_Control!A187,M6_Puntos_Control!$D$9:D187,M6_Puntos_Control!D187,M6_Puntos_Control!$G$9:G187,M6_Puntos_Control!G187,M6_Puntos_Control!$H$9:H187,M6_Puntos_Control!H187,M6_Puntos_Control!$K$9:K187,"Sí")=1,IF(M6_Puntos_Control!M187="","Pendiente de resultado","Punto oficial"),"Revisar: varios puntos oficiales")))</f>
        <v/>
      </c>
    </row>
    <row r="1184" spans="1:36" ht="55.5" customHeight="1">
      <c r="A1184" s="6" t="str">
        <f t="array" ref="A1184">IF(1180&gt;$S$1204,"",INDEX($T$5:$AJ$1204,MATCH(1180,$S$5:$S$1204,0),1))</f>
        <v/>
      </c>
      <c r="B1184" s="8" t="str">
        <f t="array" ref="B1184">IF(1180&gt;$S$1204,"",INDEX($T$5:$AJ$1204,MATCH(1180,$S$5:$S$1204,0),2))</f>
        <v/>
      </c>
      <c r="C1184" s="10" t="str">
        <f t="array" ref="C1184">IF(1180&gt;$S$1204,"",INDEX($T$5:$AJ$1204,MATCH(1180,$S$5:$S$1204,0),3))</f>
        <v/>
      </c>
      <c r="D1184" s="8" t="str">
        <f t="array" ref="D1184">IF(1180&gt;$S$1204,"",INDEX($T$5:$AJ$1204,MATCH(1180,$S$5:$S$1204,0),4))</f>
        <v/>
      </c>
      <c r="E1184" s="8" t="str">
        <f t="array" ref="E1184">IF(1180&gt;$S$1204,"",INDEX($T$5:$AJ$1204,MATCH(1180,$S$5:$S$1204,0),5))</f>
        <v/>
      </c>
      <c r="F1184" s="8" t="str">
        <f t="array" ref="F1184">IF(1180&gt;$S$1204,"",INDEX($T$5:$AJ$1204,MATCH(1180,$S$5:$S$1204,0),6))</f>
        <v/>
      </c>
      <c r="G1184" s="8" t="str">
        <f t="array" ref="G1184">IF(1180&gt;$S$1204,"",INDEX($T$5:$AJ$1204,MATCH(1180,$S$5:$S$1204,0),7))</f>
        <v/>
      </c>
      <c r="H1184" s="8" t="str">
        <f t="array" ref="H1184">IF(1180&gt;$S$1204,"",INDEX($T$5:$AJ$1204,MATCH(1180,$S$5:$S$1204,0),8))</f>
        <v/>
      </c>
      <c r="I1184" s="8" t="str">
        <f t="array" ref="I1184">IF(1180&gt;$S$1204,"",INDEX($T$5:$AJ$1204,MATCH(1180,$S$5:$S$1204,0),9))</f>
        <v/>
      </c>
      <c r="J1184" s="14" t="str">
        <f t="array" ref="J1184">IF(1180&gt;$S$1204,"",INDEX($T$5:$AJ$1204,MATCH(1180,$S$5:$S$1204,0),10))</f>
        <v/>
      </c>
      <c r="K1184" s="8" t="str">
        <f t="array" ref="K1184">IF(1180&gt;$S$1204,"",INDEX($T$5:$AJ$1204,MATCH(1180,$S$5:$S$1204,0),11))</f>
        <v/>
      </c>
      <c r="L1184" s="8" t="str">
        <f t="array" ref="L1184">IF(1180&gt;$S$1204,"",INDEX($T$5:$AJ$1204,MATCH(1180,$S$5:$S$1204,0),12))</f>
        <v/>
      </c>
      <c r="M1184" s="8" t="str">
        <f t="array" ref="M1184">IF(1180&gt;$S$1204,"",INDEX($T$5:$AJ$1204,MATCH(1180,$S$5:$S$1204,0),13))</f>
        <v/>
      </c>
      <c r="N1184" s="8" t="str">
        <f t="array" ref="N1184">IF(1180&gt;$S$1204,"",INDEX($T$5:$AJ$1204,MATCH(1180,$S$5:$S$1204,0),14))</f>
        <v/>
      </c>
      <c r="O1184" s="15" t="str">
        <f t="array" ref="O1184">IF(1180&gt;$S$1204,"",INDEX($T$5:$AJ$1204,MATCH(1180,$S$5:$S$1204,0),15))</f>
        <v/>
      </c>
      <c r="P1184" s="8" t="str">
        <f t="array" ref="P1184">IF(1180&gt;$S$1204,"",INDEX($T$5:$AJ$1204,MATCH(1180,$S$5:$S$1204,0),16))</f>
        <v/>
      </c>
      <c r="Q1184" s="8" t="str">
        <f t="array" ref="Q1184">IF(1180&gt;$S$1204,"",INDEX($T$5:$AJ$1204,MATCH(1180,$S$5:$S$1204,0),17))</f>
        <v/>
      </c>
      <c r="R1184" s="17"/>
      <c r="S1184" s="17">
        <f>S1183+IF(M6_Puntos_Control!A188="",0,1)</f>
        <v>0</v>
      </c>
      <c r="T1184" s="17" t="str">
        <f>IF(M6_Puntos_Control!A188="","",IF(M6_Puntos_Control!A188="","",M6_Puntos_Control!A188))</f>
        <v/>
      </c>
      <c r="U1184" s="17" t="str">
        <f>IF(M6_Puntos_Control!A188="","",IF(M6_Puntos_Control!R188="","",M6_Puntos_Control!R188))</f>
        <v/>
      </c>
      <c r="V1184" s="17" t="str">
        <f>IF(M6_Puntos_Control!A188="","",IF(M6_Puntos_Control!D188="","",M6_Puntos_Control!D188))</f>
        <v/>
      </c>
      <c r="W1184" s="17" t="str">
        <f>IF(M6_Puntos_Control!A188="","",IF(M6_Puntos_Control!B188="","",M6_Puntos_Control!B188))</f>
        <v/>
      </c>
      <c r="X1184" s="17" t="str">
        <f>IF(M6_Puntos_Control!A188="","",IF(M6_Puntos_Control!C188="","",M6_Puntos_Control!C188))</f>
        <v/>
      </c>
      <c r="Y1184" s="17" t="str">
        <f>IF(M6_Puntos_Control!A188="","",IF(M6_Puntos_Control!E188="","",M6_Puntos_Control!E188))</f>
        <v/>
      </c>
      <c r="Z1184" s="17" t="str">
        <f>IF(M6_Puntos_Control!A188="","",IF(M6_Puntos_Control!F188="","",M6_Puntos_Control!F188))</f>
        <v/>
      </c>
      <c r="AA1184" s="17" t="str">
        <f>IF(M6_Puntos_Control!A188="","","M6 Puntos de control")</f>
        <v/>
      </c>
      <c r="AB1184" s="17" t="str">
        <f>IF(M6_Puntos_Control!A188="","",IF(M6_Puntos_Control!G188="","",M6_Puntos_Control!G188))</f>
        <v/>
      </c>
      <c r="AC1184" s="17" t="str">
        <f>IF(M6_Puntos_Control!A188="","",IF(M6_Puntos_Control!K188="Sí",IF(COUNTIFS(M6_Puntos_Control!$A$9:A188,M6_Puntos_Control!A188,M6_Puntos_Control!$D$9:D188,M6_Puntos_Control!D188,M6_Puntos_Control!$G$9:G188,M6_Puntos_Control!G188,M6_Puntos_Control!$H$9:H188,M6_Puntos_Control!H188,M6_Puntos_Control!$K$9:K188,"Sí")=1,IF(M6_Puntos_Control!M188="","",M6_Puntos_Control!M188),""),""))</f>
        <v/>
      </c>
      <c r="AD1184" s="17" t="str">
        <f>IF(M6_Puntos_Control!A188="","","RD")</f>
        <v/>
      </c>
      <c r="AE1184" s="17" t="str">
        <f>IF(M6_Puntos_Control!A188="","",IF(M6_Puntos_Control!O188="","",M6_Puntos_Control!O188))</f>
        <v/>
      </c>
      <c r="AF1184" s="17" t="str">
        <f>IF(M6_Puntos_Control!A188="","",IF(M6_Puntos_Control!P188="","",M6_Puntos_Control!P188))</f>
        <v/>
      </c>
      <c r="AG1184" s="17" t="str">
        <f>IF(M6_Puntos_Control!A188="","",IF(M6_Puntos_Control!Q188="","",M6_Puntos_Control!Q188))</f>
        <v/>
      </c>
      <c r="AH1184" s="17" t="str">
        <f>IF(M6_Puntos_Control!A188="","",IF(M6_Puntos_Control!I188="","",M6_Puntos_Control!I188))</f>
        <v/>
      </c>
      <c r="AI1184" s="17" t="str">
        <f>IF(M6_Puntos_Control!A188="","","M6_Puntos_Control!188")</f>
        <v/>
      </c>
      <c r="AJ1184" s="17" t="str">
        <f>IF(M6_Puntos_Control!A188="","",IF(M6_Puntos_Control!K188&lt;&gt;"Sí","Punto de comparación",IF(COUNTIFS(M6_Puntos_Control!$A$9:A188,M6_Puntos_Control!A188,M6_Puntos_Control!$D$9:D188,M6_Puntos_Control!D188,M6_Puntos_Control!$G$9:G188,M6_Puntos_Control!G188,M6_Puntos_Control!$H$9:H188,M6_Puntos_Control!H188,M6_Puntos_Control!$K$9:K188,"Sí")=1,IF(M6_Puntos_Control!M188="","Pendiente de resultado","Punto oficial"),"Revisar: varios puntos oficiales")))</f>
        <v/>
      </c>
    </row>
    <row r="1185" spans="1:36" ht="55.5" customHeight="1">
      <c r="A1185" s="6" t="str">
        <f t="array" ref="A1185">IF(1181&gt;$S$1204,"",INDEX($T$5:$AJ$1204,MATCH(1181,$S$5:$S$1204,0),1))</f>
        <v/>
      </c>
      <c r="B1185" s="8" t="str">
        <f t="array" ref="B1185">IF(1181&gt;$S$1204,"",INDEX($T$5:$AJ$1204,MATCH(1181,$S$5:$S$1204,0),2))</f>
        <v/>
      </c>
      <c r="C1185" s="10" t="str">
        <f t="array" ref="C1185">IF(1181&gt;$S$1204,"",INDEX($T$5:$AJ$1204,MATCH(1181,$S$5:$S$1204,0),3))</f>
        <v/>
      </c>
      <c r="D1185" s="8" t="str">
        <f t="array" ref="D1185">IF(1181&gt;$S$1204,"",INDEX($T$5:$AJ$1204,MATCH(1181,$S$5:$S$1204,0),4))</f>
        <v/>
      </c>
      <c r="E1185" s="8" t="str">
        <f t="array" ref="E1185">IF(1181&gt;$S$1204,"",INDEX($T$5:$AJ$1204,MATCH(1181,$S$5:$S$1204,0),5))</f>
        <v/>
      </c>
      <c r="F1185" s="8" t="str">
        <f t="array" ref="F1185">IF(1181&gt;$S$1204,"",INDEX($T$5:$AJ$1204,MATCH(1181,$S$5:$S$1204,0),6))</f>
        <v/>
      </c>
      <c r="G1185" s="8" t="str">
        <f t="array" ref="G1185">IF(1181&gt;$S$1204,"",INDEX($T$5:$AJ$1204,MATCH(1181,$S$5:$S$1204,0),7))</f>
        <v/>
      </c>
      <c r="H1185" s="8" t="str">
        <f t="array" ref="H1185">IF(1181&gt;$S$1204,"",INDEX($T$5:$AJ$1204,MATCH(1181,$S$5:$S$1204,0),8))</f>
        <v/>
      </c>
      <c r="I1185" s="8" t="str">
        <f t="array" ref="I1185">IF(1181&gt;$S$1204,"",INDEX($T$5:$AJ$1204,MATCH(1181,$S$5:$S$1204,0),9))</f>
        <v/>
      </c>
      <c r="J1185" s="14" t="str">
        <f t="array" ref="J1185">IF(1181&gt;$S$1204,"",INDEX($T$5:$AJ$1204,MATCH(1181,$S$5:$S$1204,0),10))</f>
        <v/>
      </c>
      <c r="K1185" s="8" t="str">
        <f t="array" ref="K1185">IF(1181&gt;$S$1204,"",INDEX($T$5:$AJ$1204,MATCH(1181,$S$5:$S$1204,0),11))</f>
        <v/>
      </c>
      <c r="L1185" s="8" t="str">
        <f t="array" ref="L1185">IF(1181&gt;$S$1204,"",INDEX($T$5:$AJ$1204,MATCH(1181,$S$5:$S$1204,0),12))</f>
        <v/>
      </c>
      <c r="M1185" s="8" t="str">
        <f t="array" ref="M1185">IF(1181&gt;$S$1204,"",INDEX($T$5:$AJ$1204,MATCH(1181,$S$5:$S$1204,0),13))</f>
        <v/>
      </c>
      <c r="N1185" s="8" t="str">
        <f t="array" ref="N1185">IF(1181&gt;$S$1204,"",INDEX($T$5:$AJ$1204,MATCH(1181,$S$5:$S$1204,0),14))</f>
        <v/>
      </c>
      <c r="O1185" s="15" t="str">
        <f t="array" ref="O1185">IF(1181&gt;$S$1204,"",INDEX($T$5:$AJ$1204,MATCH(1181,$S$5:$S$1204,0),15))</f>
        <v/>
      </c>
      <c r="P1185" s="8" t="str">
        <f t="array" ref="P1185">IF(1181&gt;$S$1204,"",INDEX($T$5:$AJ$1204,MATCH(1181,$S$5:$S$1204,0),16))</f>
        <v/>
      </c>
      <c r="Q1185" s="8" t="str">
        <f t="array" ref="Q1185">IF(1181&gt;$S$1204,"",INDEX($T$5:$AJ$1204,MATCH(1181,$S$5:$S$1204,0),17))</f>
        <v/>
      </c>
      <c r="R1185" s="17"/>
      <c r="S1185" s="17">
        <f>S1184+IF(M6_Puntos_Control!A189="",0,1)</f>
        <v>0</v>
      </c>
      <c r="T1185" s="17" t="str">
        <f>IF(M6_Puntos_Control!A189="","",IF(M6_Puntos_Control!A189="","",M6_Puntos_Control!A189))</f>
        <v/>
      </c>
      <c r="U1185" s="17" t="str">
        <f>IF(M6_Puntos_Control!A189="","",IF(M6_Puntos_Control!R189="","",M6_Puntos_Control!R189))</f>
        <v/>
      </c>
      <c r="V1185" s="17" t="str">
        <f>IF(M6_Puntos_Control!A189="","",IF(M6_Puntos_Control!D189="","",M6_Puntos_Control!D189))</f>
        <v/>
      </c>
      <c r="W1185" s="17" t="str">
        <f>IF(M6_Puntos_Control!A189="","",IF(M6_Puntos_Control!B189="","",M6_Puntos_Control!B189))</f>
        <v/>
      </c>
      <c r="X1185" s="17" t="str">
        <f>IF(M6_Puntos_Control!A189="","",IF(M6_Puntos_Control!C189="","",M6_Puntos_Control!C189))</f>
        <v/>
      </c>
      <c r="Y1185" s="17" t="str">
        <f>IF(M6_Puntos_Control!A189="","",IF(M6_Puntos_Control!E189="","",M6_Puntos_Control!E189))</f>
        <v/>
      </c>
      <c r="Z1185" s="17" t="str">
        <f>IF(M6_Puntos_Control!A189="","",IF(M6_Puntos_Control!F189="","",M6_Puntos_Control!F189))</f>
        <v/>
      </c>
      <c r="AA1185" s="17" t="str">
        <f>IF(M6_Puntos_Control!A189="","","M6 Puntos de control")</f>
        <v/>
      </c>
      <c r="AB1185" s="17" t="str">
        <f>IF(M6_Puntos_Control!A189="","",IF(M6_Puntos_Control!G189="","",M6_Puntos_Control!G189))</f>
        <v/>
      </c>
      <c r="AC1185" s="17" t="str">
        <f>IF(M6_Puntos_Control!A189="","",IF(M6_Puntos_Control!K189="Sí",IF(COUNTIFS(M6_Puntos_Control!$A$9:A189,M6_Puntos_Control!A189,M6_Puntos_Control!$D$9:D189,M6_Puntos_Control!D189,M6_Puntos_Control!$G$9:G189,M6_Puntos_Control!G189,M6_Puntos_Control!$H$9:H189,M6_Puntos_Control!H189,M6_Puntos_Control!$K$9:K189,"Sí")=1,IF(M6_Puntos_Control!M189="","",M6_Puntos_Control!M189),""),""))</f>
        <v/>
      </c>
      <c r="AD1185" s="17" t="str">
        <f>IF(M6_Puntos_Control!A189="","","RD")</f>
        <v/>
      </c>
      <c r="AE1185" s="17" t="str">
        <f>IF(M6_Puntos_Control!A189="","",IF(M6_Puntos_Control!O189="","",M6_Puntos_Control!O189))</f>
        <v/>
      </c>
      <c r="AF1185" s="17" t="str">
        <f>IF(M6_Puntos_Control!A189="","",IF(M6_Puntos_Control!P189="","",M6_Puntos_Control!P189))</f>
        <v/>
      </c>
      <c r="AG1185" s="17" t="str">
        <f>IF(M6_Puntos_Control!A189="","",IF(M6_Puntos_Control!Q189="","",M6_Puntos_Control!Q189))</f>
        <v/>
      </c>
      <c r="AH1185" s="17" t="str">
        <f>IF(M6_Puntos_Control!A189="","",IF(M6_Puntos_Control!I189="","",M6_Puntos_Control!I189))</f>
        <v/>
      </c>
      <c r="AI1185" s="17" t="str">
        <f>IF(M6_Puntos_Control!A189="","","M6_Puntos_Control!189")</f>
        <v/>
      </c>
      <c r="AJ1185" s="17" t="str">
        <f>IF(M6_Puntos_Control!A189="","",IF(M6_Puntos_Control!K189&lt;&gt;"Sí","Punto de comparación",IF(COUNTIFS(M6_Puntos_Control!$A$9:A189,M6_Puntos_Control!A189,M6_Puntos_Control!$D$9:D189,M6_Puntos_Control!D189,M6_Puntos_Control!$G$9:G189,M6_Puntos_Control!G189,M6_Puntos_Control!$H$9:H189,M6_Puntos_Control!H189,M6_Puntos_Control!$K$9:K189,"Sí")=1,IF(M6_Puntos_Control!M189="","Pendiente de resultado","Punto oficial"),"Revisar: varios puntos oficiales")))</f>
        <v/>
      </c>
    </row>
    <row r="1186" spans="1:36" ht="55.5" customHeight="1">
      <c r="A1186" s="6" t="str">
        <f t="array" ref="A1186">IF(1182&gt;$S$1204,"",INDEX($T$5:$AJ$1204,MATCH(1182,$S$5:$S$1204,0),1))</f>
        <v/>
      </c>
      <c r="B1186" s="8" t="str">
        <f t="array" ref="B1186">IF(1182&gt;$S$1204,"",INDEX($T$5:$AJ$1204,MATCH(1182,$S$5:$S$1204,0),2))</f>
        <v/>
      </c>
      <c r="C1186" s="10" t="str">
        <f t="array" ref="C1186">IF(1182&gt;$S$1204,"",INDEX($T$5:$AJ$1204,MATCH(1182,$S$5:$S$1204,0),3))</f>
        <v/>
      </c>
      <c r="D1186" s="8" t="str">
        <f t="array" ref="D1186">IF(1182&gt;$S$1204,"",INDEX($T$5:$AJ$1204,MATCH(1182,$S$5:$S$1204,0),4))</f>
        <v/>
      </c>
      <c r="E1186" s="8" t="str">
        <f t="array" ref="E1186">IF(1182&gt;$S$1204,"",INDEX($T$5:$AJ$1204,MATCH(1182,$S$5:$S$1204,0),5))</f>
        <v/>
      </c>
      <c r="F1186" s="8" t="str">
        <f t="array" ref="F1186">IF(1182&gt;$S$1204,"",INDEX($T$5:$AJ$1204,MATCH(1182,$S$5:$S$1204,0),6))</f>
        <v/>
      </c>
      <c r="G1186" s="8" t="str">
        <f t="array" ref="G1186">IF(1182&gt;$S$1204,"",INDEX($T$5:$AJ$1204,MATCH(1182,$S$5:$S$1204,0),7))</f>
        <v/>
      </c>
      <c r="H1186" s="8" t="str">
        <f t="array" ref="H1186">IF(1182&gt;$S$1204,"",INDEX($T$5:$AJ$1204,MATCH(1182,$S$5:$S$1204,0),8))</f>
        <v/>
      </c>
      <c r="I1186" s="8" t="str">
        <f t="array" ref="I1186">IF(1182&gt;$S$1204,"",INDEX($T$5:$AJ$1204,MATCH(1182,$S$5:$S$1204,0),9))</f>
        <v/>
      </c>
      <c r="J1186" s="14" t="str">
        <f t="array" ref="J1186">IF(1182&gt;$S$1204,"",INDEX($T$5:$AJ$1204,MATCH(1182,$S$5:$S$1204,0),10))</f>
        <v/>
      </c>
      <c r="K1186" s="8" t="str">
        <f t="array" ref="K1186">IF(1182&gt;$S$1204,"",INDEX($T$5:$AJ$1204,MATCH(1182,$S$5:$S$1204,0),11))</f>
        <v/>
      </c>
      <c r="L1186" s="8" t="str">
        <f t="array" ref="L1186">IF(1182&gt;$S$1204,"",INDEX($T$5:$AJ$1204,MATCH(1182,$S$5:$S$1204,0),12))</f>
        <v/>
      </c>
      <c r="M1186" s="8" t="str">
        <f t="array" ref="M1186">IF(1182&gt;$S$1204,"",INDEX($T$5:$AJ$1204,MATCH(1182,$S$5:$S$1204,0),13))</f>
        <v/>
      </c>
      <c r="N1186" s="8" t="str">
        <f t="array" ref="N1186">IF(1182&gt;$S$1204,"",INDEX($T$5:$AJ$1204,MATCH(1182,$S$5:$S$1204,0),14))</f>
        <v/>
      </c>
      <c r="O1186" s="15" t="str">
        <f t="array" ref="O1186">IF(1182&gt;$S$1204,"",INDEX($T$5:$AJ$1204,MATCH(1182,$S$5:$S$1204,0),15))</f>
        <v/>
      </c>
      <c r="P1186" s="8" t="str">
        <f t="array" ref="P1186">IF(1182&gt;$S$1204,"",INDEX($T$5:$AJ$1204,MATCH(1182,$S$5:$S$1204,0),16))</f>
        <v/>
      </c>
      <c r="Q1186" s="8" t="str">
        <f t="array" ref="Q1186">IF(1182&gt;$S$1204,"",INDEX($T$5:$AJ$1204,MATCH(1182,$S$5:$S$1204,0),17))</f>
        <v/>
      </c>
      <c r="R1186" s="17"/>
      <c r="S1186" s="17">
        <f>S1185+IF(M6_Puntos_Control!A190="",0,1)</f>
        <v>0</v>
      </c>
      <c r="T1186" s="17" t="str">
        <f>IF(M6_Puntos_Control!A190="","",IF(M6_Puntos_Control!A190="","",M6_Puntos_Control!A190))</f>
        <v/>
      </c>
      <c r="U1186" s="17" t="str">
        <f>IF(M6_Puntos_Control!A190="","",IF(M6_Puntos_Control!R190="","",M6_Puntos_Control!R190))</f>
        <v/>
      </c>
      <c r="V1186" s="17" t="str">
        <f>IF(M6_Puntos_Control!A190="","",IF(M6_Puntos_Control!D190="","",M6_Puntos_Control!D190))</f>
        <v/>
      </c>
      <c r="W1186" s="17" t="str">
        <f>IF(M6_Puntos_Control!A190="","",IF(M6_Puntos_Control!B190="","",M6_Puntos_Control!B190))</f>
        <v/>
      </c>
      <c r="X1186" s="17" t="str">
        <f>IF(M6_Puntos_Control!A190="","",IF(M6_Puntos_Control!C190="","",M6_Puntos_Control!C190))</f>
        <v/>
      </c>
      <c r="Y1186" s="17" t="str">
        <f>IF(M6_Puntos_Control!A190="","",IF(M6_Puntos_Control!E190="","",M6_Puntos_Control!E190))</f>
        <v/>
      </c>
      <c r="Z1186" s="17" t="str">
        <f>IF(M6_Puntos_Control!A190="","",IF(M6_Puntos_Control!F190="","",M6_Puntos_Control!F190))</f>
        <v/>
      </c>
      <c r="AA1186" s="17" t="str">
        <f>IF(M6_Puntos_Control!A190="","","M6 Puntos de control")</f>
        <v/>
      </c>
      <c r="AB1186" s="17" t="str">
        <f>IF(M6_Puntos_Control!A190="","",IF(M6_Puntos_Control!G190="","",M6_Puntos_Control!G190))</f>
        <v/>
      </c>
      <c r="AC1186" s="17" t="str">
        <f>IF(M6_Puntos_Control!A190="","",IF(M6_Puntos_Control!K190="Sí",IF(COUNTIFS(M6_Puntos_Control!$A$9:A190,M6_Puntos_Control!A190,M6_Puntos_Control!$D$9:D190,M6_Puntos_Control!D190,M6_Puntos_Control!$G$9:G190,M6_Puntos_Control!G190,M6_Puntos_Control!$H$9:H190,M6_Puntos_Control!H190,M6_Puntos_Control!$K$9:K190,"Sí")=1,IF(M6_Puntos_Control!M190="","",M6_Puntos_Control!M190),""),""))</f>
        <v/>
      </c>
      <c r="AD1186" s="17" t="str">
        <f>IF(M6_Puntos_Control!A190="","","RD")</f>
        <v/>
      </c>
      <c r="AE1186" s="17" t="str">
        <f>IF(M6_Puntos_Control!A190="","",IF(M6_Puntos_Control!O190="","",M6_Puntos_Control!O190))</f>
        <v/>
      </c>
      <c r="AF1186" s="17" t="str">
        <f>IF(M6_Puntos_Control!A190="","",IF(M6_Puntos_Control!P190="","",M6_Puntos_Control!P190))</f>
        <v/>
      </c>
      <c r="AG1186" s="17" t="str">
        <f>IF(M6_Puntos_Control!A190="","",IF(M6_Puntos_Control!Q190="","",M6_Puntos_Control!Q190))</f>
        <v/>
      </c>
      <c r="AH1186" s="17" t="str">
        <f>IF(M6_Puntos_Control!A190="","",IF(M6_Puntos_Control!I190="","",M6_Puntos_Control!I190))</f>
        <v/>
      </c>
      <c r="AI1186" s="17" t="str">
        <f>IF(M6_Puntos_Control!A190="","","M6_Puntos_Control!190")</f>
        <v/>
      </c>
      <c r="AJ1186" s="17" t="str">
        <f>IF(M6_Puntos_Control!A190="","",IF(M6_Puntos_Control!K190&lt;&gt;"Sí","Punto de comparación",IF(COUNTIFS(M6_Puntos_Control!$A$9:A190,M6_Puntos_Control!A190,M6_Puntos_Control!$D$9:D190,M6_Puntos_Control!D190,M6_Puntos_Control!$G$9:G190,M6_Puntos_Control!G190,M6_Puntos_Control!$H$9:H190,M6_Puntos_Control!H190,M6_Puntos_Control!$K$9:K190,"Sí")=1,IF(M6_Puntos_Control!M190="","Pendiente de resultado","Punto oficial"),"Revisar: varios puntos oficiales")))</f>
        <v/>
      </c>
    </row>
    <row r="1187" spans="1:36" ht="55.5" customHeight="1">
      <c r="A1187" s="6" t="str">
        <f t="array" ref="A1187">IF(1183&gt;$S$1204,"",INDEX($T$5:$AJ$1204,MATCH(1183,$S$5:$S$1204,0),1))</f>
        <v/>
      </c>
      <c r="B1187" s="8" t="str">
        <f t="array" ref="B1187">IF(1183&gt;$S$1204,"",INDEX($T$5:$AJ$1204,MATCH(1183,$S$5:$S$1204,0),2))</f>
        <v/>
      </c>
      <c r="C1187" s="10" t="str">
        <f t="array" ref="C1187">IF(1183&gt;$S$1204,"",INDEX($T$5:$AJ$1204,MATCH(1183,$S$5:$S$1204,0),3))</f>
        <v/>
      </c>
      <c r="D1187" s="8" t="str">
        <f t="array" ref="D1187">IF(1183&gt;$S$1204,"",INDEX($T$5:$AJ$1204,MATCH(1183,$S$5:$S$1204,0),4))</f>
        <v/>
      </c>
      <c r="E1187" s="8" t="str">
        <f t="array" ref="E1187">IF(1183&gt;$S$1204,"",INDEX($T$5:$AJ$1204,MATCH(1183,$S$5:$S$1204,0),5))</f>
        <v/>
      </c>
      <c r="F1187" s="8" t="str">
        <f t="array" ref="F1187">IF(1183&gt;$S$1204,"",INDEX($T$5:$AJ$1204,MATCH(1183,$S$5:$S$1204,0),6))</f>
        <v/>
      </c>
      <c r="G1187" s="8" t="str">
        <f t="array" ref="G1187">IF(1183&gt;$S$1204,"",INDEX($T$5:$AJ$1204,MATCH(1183,$S$5:$S$1204,0),7))</f>
        <v/>
      </c>
      <c r="H1187" s="8" t="str">
        <f t="array" ref="H1187">IF(1183&gt;$S$1204,"",INDEX($T$5:$AJ$1204,MATCH(1183,$S$5:$S$1204,0),8))</f>
        <v/>
      </c>
      <c r="I1187" s="8" t="str">
        <f t="array" ref="I1187">IF(1183&gt;$S$1204,"",INDEX($T$5:$AJ$1204,MATCH(1183,$S$5:$S$1204,0),9))</f>
        <v/>
      </c>
      <c r="J1187" s="14" t="str">
        <f t="array" ref="J1187">IF(1183&gt;$S$1204,"",INDEX($T$5:$AJ$1204,MATCH(1183,$S$5:$S$1204,0),10))</f>
        <v/>
      </c>
      <c r="K1187" s="8" t="str">
        <f t="array" ref="K1187">IF(1183&gt;$S$1204,"",INDEX($T$5:$AJ$1204,MATCH(1183,$S$5:$S$1204,0),11))</f>
        <v/>
      </c>
      <c r="L1187" s="8" t="str">
        <f t="array" ref="L1187">IF(1183&gt;$S$1204,"",INDEX($T$5:$AJ$1204,MATCH(1183,$S$5:$S$1204,0),12))</f>
        <v/>
      </c>
      <c r="M1187" s="8" t="str">
        <f t="array" ref="M1187">IF(1183&gt;$S$1204,"",INDEX($T$5:$AJ$1204,MATCH(1183,$S$5:$S$1204,0),13))</f>
        <v/>
      </c>
      <c r="N1187" s="8" t="str">
        <f t="array" ref="N1187">IF(1183&gt;$S$1204,"",INDEX($T$5:$AJ$1204,MATCH(1183,$S$5:$S$1204,0),14))</f>
        <v/>
      </c>
      <c r="O1187" s="15" t="str">
        <f t="array" ref="O1187">IF(1183&gt;$S$1204,"",INDEX($T$5:$AJ$1204,MATCH(1183,$S$5:$S$1204,0),15))</f>
        <v/>
      </c>
      <c r="P1187" s="8" t="str">
        <f t="array" ref="P1187">IF(1183&gt;$S$1204,"",INDEX($T$5:$AJ$1204,MATCH(1183,$S$5:$S$1204,0),16))</f>
        <v/>
      </c>
      <c r="Q1187" s="8" t="str">
        <f t="array" ref="Q1187">IF(1183&gt;$S$1204,"",INDEX($T$5:$AJ$1204,MATCH(1183,$S$5:$S$1204,0),17))</f>
        <v/>
      </c>
      <c r="R1187" s="17"/>
      <c r="S1187" s="17">
        <f>S1186+IF(M6_Puntos_Control!A191="",0,1)</f>
        <v>0</v>
      </c>
      <c r="T1187" s="17" t="str">
        <f>IF(M6_Puntos_Control!A191="","",IF(M6_Puntos_Control!A191="","",M6_Puntos_Control!A191))</f>
        <v/>
      </c>
      <c r="U1187" s="17" t="str">
        <f>IF(M6_Puntos_Control!A191="","",IF(M6_Puntos_Control!R191="","",M6_Puntos_Control!R191))</f>
        <v/>
      </c>
      <c r="V1187" s="17" t="str">
        <f>IF(M6_Puntos_Control!A191="","",IF(M6_Puntos_Control!D191="","",M6_Puntos_Control!D191))</f>
        <v/>
      </c>
      <c r="W1187" s="17" t="str">
        <f>IF(M6_Puntos_Control!A191="","",IF(M6_Puntos_Control!B191="","",M6_Puntos_Control!B191))</f>
        <v/>
      </c>
      <c r="X1187" s="17" t="str">
        <f>IF(M6_Puntos_Control!A191="","",IF(M6_Puntos_Control!C191="","",M6_Puntos_Control!C191))</f>
        <v/>
      </c>
      <c r="Y1187" s="17" t="str">
        <f>IF(M6_Puntos_Control!A191="","",IF(M6_Puntos_Control!E191="","",M6_Puntos_Control!E191))</f>
        <v/>
      </c>
      <c r="Z1187" s="17" t="str">
        <f>IF(M6_Puntos_Control!A191="","",IF(M6_Puntos_Control!F191="","",M6_Puntos_Control!F191))</f>
        <v/>
      </c>
      <c r="AA1187" s="17" t="str">
        <f>IF(M6_Puntos_Control!A191="","","M6 Puntos de control")</f>
        <v/>
      </c>
      <c r="AB1187" s="17" t="str">
        <f>IF(M6_Puntos_Control!A191="","",IF(M6_Puntos_Control!G191="","",M6_Puntos_Control!G191))</f>
        <v/>
      </c>
      <c r="AC1187" s="17" t="str">
        <f>IF(M6_Puntos_Control!A191="","",IF(M6_Puntos_Control!K191="Sí",IF(COUNTIFS(M6_Puntos_Control!$A$9:A191,M6_Puntos_Control!A191,M6_Puntos_Control!$D$9:D191,M6_Puntos_Control!D191,M6_Puntos_Control!$G$9:G191,M6_Puntos_Control!G191,M6_Puntos_Control!$H$9:H191,M6_Puntos_Control!H191,M6_Puntos_Control!$K$9:K191,"Sí")=1,IF(M6_Puntos_Control!M191="","",M6_Puntos_Control!M191),""),""))</f>
        <v/>
      </c>
      <c r="AD1187" s="17" t="str">
        <f>IF(M6_Puntos_Control!A191="","","RD")</f>
        <v/>
      </c>
      <c r="AE1187" s="17" t="str">
        <f>IF(M6_Puntos_Control!A191="","",IF(M6_Puntos_Control!O191="","",M6_Puntos_Control!O191))</f>
        <v/>
      </c>
      <c r="AF1187" s="17" t="str">
        <f>IF(M6_Puntos_Control!A191="","",IF(M6_Puntos_Control!P191="","",M6_Puntos_Control!P191))</f>
        <v/>
      </c>
      <c r="AG1187" s="17" t="str">
        <f>IF(M6_Puntos_Control!A191="","",IF(M6_Puntos_Control!Q191="","",M6_Puntos_Control!Q191))</f>
        <v/>
      </c>
      <c r="AH1187" s="17" t="str">
        <f>IF(M6_Puntos_Control!A191="","",IF(M6_Puntos_Control!I191="","",M6_Puntos_Control!I191))</f>
        <v/>
      </c>
      <c r="AI1187" s="17" t="str">
        <f>IF(M6_Puntos_Control!A191="","","M6_Puntos_Control!191")</f>
        <v/>
      </c>
      <c r="AJ1187" s="17" t="str">
        <f>IF(M6_Puntos_Control!A191="","",IF(M6_Puntos_Control!K191&lt;&gt;"Sí","Punto de comparación",IF(COUNTIFS(M6_Puntos_Control!$A$9:A191,M6_Puntos_Control!A191,M6_Puntos_Control!$D$9:D191,M6_Puntos_Control!D191,M6_Puntos_Control!$G$9:G191,M6_Puntos_Control!G191,M6_Puntos_Control!$H$9:H191,M6_Puntos_Control!H191,M6_Puntos_Control!$K$9:K191,"Sí")=1,IF(M6_Puntos_Control!M191="","Pendiente de resultado","Punto oficial"),"Revisar: varios puntos oficiales")))</f>
        <v/>
      </c>
    </row>
    <row r="1188" spans="1:36" ht="55.5" customHeight="1">
      <c r="A1188" s="6" t="str">
        <f t="array" ref="A1188">IF(1184&gt;$S$1204,"",INDEX($T$5:$AJ$1204,MATCH(1184,$S$5:$S$1204,0),1))</f>
        <v/>
      </c>
      <c r="B1188" s="8" t="str">
        <f t="array" ref="B1188">IF(1184&gt;$S$1204,"",INDEX($T$5:$AJ$1204,MATCH(1184,$S$5:$S$1204,0),2))</f>
        <v/>
      </c>
      <c r="C1188" s="10" t="str">
        <f t="array" ref="C1188">IF(1184&gt;$S$1204,"",INDEX($T$5:$AJ$1204,MATCH(1184,$S$5:$S$1204,0),3))</f>
        <v/>
      </c>
      <c r="D1188" s="8" t="str">
        <f t="array" ref="D1188">IF(1184&gt;$S$1204,"",INDEX($T$5:$AJ$1204,MATCH(1184,$S$5:$S$1204,0),4))</f>
        <v/>
      </c>
      <c r="E1188" s="8" t="str">
        <f t="array" ref="E1188">IF(1184&gt;$S$1204,"",INDEX($T$5:$AJ$1204,MATCH(1184,$S$5:$S$1204,0),5))</f>
        <v/>
      </c>
      <c r="F1188" s="8" t="str">
        <f t="array" ref="F1188">IF(1184&gt;$S$1204,"",INDEX($T$5:$AJ$1204,MATCH(1184,$S$5:$S$1204,0),6))</f>
        <v/>
      </c>
      <c r="G1188" s="8" t="str">
        <f t="array" ref="G1188">IF(1184&gt;$S$1204,"",INDEX($T$5:$AJ$1204,MATCH(1184,$S$5:$S$1204,0),7))</f>
        <v/>
      </c>
      <c r="H1188" s="8" t="str">
        <f t="array" ref="H1188">IF(1184&gt;$S$1204,"",INDEX($T$5:$AJ$1204,MATCH(1184,$S$5:$S$1204,0),8))</f>
        <v/>
      </c>
      <c r="I1188" s="8" t="str">
        <f t="array" ref="I1188">IF(1184&gt;$S$1204,"",INDEX($T$5:$AJ$1204,MATCH(1184,$S$5:$S$1204,0),9))</f>
        <v/>
      </c>
      <c r="J1188" s="14" t="str">
        <f t="array" ref="J1188">IF(1184&gt;$S$1204,"",INDEX($T$5:$AJ$1204,MATCH(1184,$S$5:$S$1204,0),10))</f>
        <v/>
      </c>
      <c r="K1188" s="8" t="str">
        <f t="array" ref="K1188">IF(1184&gt;$S$1204,"",INDEX($T$5:$AJ$1204,MATCH(1184,$S$5:$S$1204,0),11))</f>
        <v/>
      </c>
      <c r="L1188" s="8" t="str">
        <f t="array" ref="L1188">IF(1184&gt;$S$1204,"",INDEX($T$5:$AJ$1204,MATCH(1184,$S$5:$S$1204,0),12))</f>
        <v/>
      </c>
      <c r="M1188" s="8" t="str">
        <f t="array" ref="M1188">IF(1184&gt;$S$1204,"",INDEX($T$5:$AJ$1204,MATCH(1184,$S$5:$S$1204,0),13))</f>
        <v/>
      </c>
      <c r="N1188" s="8" t="str">
        <f t="array" ref="N1188">IF(1184&gt;$S$1204,"",INDEX($T$5:$AJ$1204,MATCH(1184,$S$5:$S$1204,0),14))</f>
        <v/>
      </c>
      <c r="O1188" s="15" t="str">
        <f t="array" ref="O1188">IF(1184&gt;$S$1204,"",INDEX($T$5:$AJ$1204,MATCH(1184,$S$5:$S$1204,0),15))</f>
        <v/>
      </c>
      <c r="P1188" s="8" t="str">
        <f t="array" ref="P1188">IF(1184&gt;$S$1204,"",INDEX($T$5:$AJ$1204,MATCH(1184,$S$5:$S$1204,0),16))</f>
        <v/>
      </c>
      <c r="Q1188" s="8" t="str">
        <f t="array" ref="Q1188">IF(1184&gt;$S$1204,"",INDEX($T$5:$AJ$1204,MATCH(1184,$S$5:$S$1204,0),17))</f>
        <v/>
      </c>
      <c r="R1188" s="17"/>
      <c r="S1188" s="17">
        <f>S1187+IF(M6_Puntos_Control!A192="",0,1)</f>
        <v>0</v>
      </c>
      <c r="T1188" s="17" t="str">
        <f>IF(M6_Puntos_Control!A192="","",IF(M6_Puntos_Control!A192="","",M6_Puntos_Control!A192))</f>
        <v/>
      </c>
      <c r="U1188" s="17" t="str">
        <f>IF(M6_Puntos_Control!A192="","",IF(M6_Puntos_Control!R192="","",M6_Puntos_Control!R192))</f>
        <v/>
      </c>
      <c r="V1188" s="17" t="str">
        <f>IF(M6_Puntos_Control!A192="","",IF(M6_Puntos_Control!D192="","",M6_Puntos_Control!D192))</f>
        <v/>
      </c>
      <c r="W1188" s="17" t="str">
        <f>IF(M6_Puntos_Control!A192="","",IF(M6_Puntos_Control!B192="","",M6_Puntos_Control!B192))</f>
        <v/>
      </c>
      <c r="X1188" s="17" t="str">
        <f>IF(M6_Puntos_Control!A192="","",IF(M6_Puntos_Control!C192="","",M6_Puntos_Control!C192))</f>
        <v/>
      </c>
      <c r="Y1188" s="17" t="str">
        <f>IF(M6_Puntos_Control!A192="","",IF(M6_Puntos_Control!E192="","",M6_Puntos_Control!E192))</f>
        <v/>
      </c>
      <c r="Z1188" s="17" t="str">
        <f>IF(M6_Puntos_Control!A192="","",IF(M6_Puntos_Control!F192="","",M6_Puntos_Control!F192))</f>
        <v/>
      </c>
      <c r="AA1188" s="17" t="str">
        <f>IF(M6_Puntos_Control!A192="","","M6 Puntos de control")</f>
        <v/>
      </c>
      <c r="AB1188" s="17" t="str">
        <f>IF(M6_Puntos_Control!A192="","",IF(M6_Puntos_Control!G192="","",M6_Puntos_Control!G192))</f>
        <v/>
      </c>
      <c r="AC1188" s="17" t="str">
        <f>IF(M6_Puntos_Control!A192="","",IF(M6_Puntos_Control!K192="Sí",IF(COUNTIFS(M6_Puntos_Control!$A$9:A192,M6_Puntos_Control!A192,M6_Puntos_Control!$D$9:D192,M6_Puntos_Control!D192,M6_Puntos_Control!$G$9:G192,M6_Puntos_Control!G192,M6_Puntos_Control!$H$9:H192,M6_Puntos_Control!H192,M6_Puntos_Control!$K$9:K192,"Sí")=1,IF(M6_Puntos_Control!M192="","",M6_Puntos_Control!M192),""),""))</f>
        <v/>
      </c>
      <c r="AD1188" s="17" t="str">
        <f>IF(M6_Puntos_Control!A192="","","RD")</f>
        <v/>
      </c>
      <c r="AE1188" s="17" t="str">
        <f>IF(M6_Puntos_Control!A192="","",IF(M6_Puntos_Control!O192="","",M6_Puntos_Control!O192))</f>
        <v/>
      </c>
      <c r="AF1188" s="17" t="str">
        <f>IF(M6_Puntos_Control!A192="","",IF(M6_Puntos_Control!P192="","",M6_Puntos_Control!P192))</f>
        <v/>
      </c>
      <c r="AG1188" s="17" t="str">
        <f>IF(M6_Puntos_Control!A192="","",IF(M6_Puntos_Control!Q192="","",M6_Puntos_Control!Q192))</f>
        <v/>
      </c>
      <c r="AH1188" s="17" t="str">
        <f>IF(M6_Puntos_Control!A192="","",IF(M6_Puntos_Control!I192="","",M6_Puntos_Control!I192))</f>
        <v/>
      </c>
      <c r="AI1188" s="17" t="str">
        <f>IF(M6_Puntos_Control!A192="","","M6_Puntos_Control!192")</f>
        <v/>
      </c>
      <c r="AJ1188" s="17" t="str">
        <f>IF(M6_Puntos_Control!A192="","",IF(M6_Puntos_Control!K192&lt;&gt;"Sí","Punto de comparación",IF(COUNTIFS(M6_Puntos_Control!$A$9:A192,M6_Puntos_Control!A192,M6_Puntos_Control!$D$9:D192,M6_Puntos_Control!D192,M6_Puntos_Control!$G$9:G192,M6_Puntos_Control!G192,M6_Puntos_Control!$H$9:H192,M6_Puntos_Control!H192,M6_Puntos_Control!$K$9:K192,"Sí")=1,IF(M6_Puntos_Control!M192="","Pendiente de resultado","Punto oficial"),"Revisar: varios puntos oficiales")))</f>
        <v/>
      </c>
    </row>
    <row r="1189" spans="1:36" ht="55.5" customHeight="1">
      <c r="A1189" s="6" t="str">
        <f t="array" ref="A1189">IF(1185&gt;$S$1204,"",INDEX($T$5:$AJ$1204,MATCH(1185,$S$5:$S$1204,0),1))</f>
        <v/>
      </c>
      <c r="B1189" s="8" t="str">
        <f t="array" ref="B1189">IF(1185&gt;$S$1204,"",INDEX($T$5:$AJ$1204,MATCH(1185,$S$5:$S$1204,0),2))</f>
        <v/>
      </c>
      <c r="C1189" s="10" t="str">
        <f t="array" ref="C1189">IF(1185&gt;$S$1204,"",INDEX($T$5:$AJ$1204,MATCH(1185,$S$5:$S$1204,0),3))</f>
        <v/>
      </c>
      <c r="D1189" s="8" t="str">
        <f t="array" ref="D1189">IF(1185&gt;$S$1204,"",INDEX($T$5:$AJ$1204,MATCH(1185,$S$5:$S$1204,0),4))</f>
        <v/>
      </c>
      <c r="E1189" s="8" t="str">
        <f t="array" ref="E1189">IF(1185&gt;$S$1204,"",INDEX($T$5:$AJ$1204,MATCH(1185,$S$5:$S$1204,0),5))</f>
        <v/>
      </c>
      <c r="F1189" s="8" t="str">
        <f t="array" ref="F1189">IF(1185&gt;$S$1204,"",INDEX($T$5:$AJ$1204,MATCH(1185,$S$5:$S$1204,0),6))</f>
        <v/>
      </c>
      <c r="G1189" s="8" t="str">
        <f t="array" ref="G1189">IF(1185&gt;$S$1204,"",INDEX($T$5:$AJ$1204,MATCH(1185,$S$5:$S$1204,0),7))</f>
        <v/>
      </c>
      <c r="H1189" s="8" t="str">
        <f t="array" ref="H1189">IF(1185&gt;$S$1204,"",INDEX($T$5:$AJ$1204,MATCH(1185,$S$5:$S$1204,0),8))</f>
        <v/>
      </c>
      <c r="I1189" s="8" t="str">
        <f t="array" ref="I1189">IF(1185&gt;$S$1204,"",INDEX($T$5:$AJ$1204,MATCH(1185,$S$5:$S$1204,0),9))</f>
        <v/>
      </c>
      <c r="J1189" s="14" t="str">
        <f t="array" ref="J1189">IF(1185&gt;$S$1204,"",INDEX($T$5:$AJ$1204,MATCH(1185,$S$5:$S$1204,0),10))</f>
        <v/>
      </c>
      <c r="K1189" s="8" t="str">
        <f t="array" ref="K1189">IF(1185&gt;$S$1204,"",INDEX($T$5:$AJ$1204,MATCH(1185,$S$5:$S$1204,0),11))</f>
        <v/>
      </c>
      <c r="L1189" s="8" t="str">
        <f t="array" ref="L1189">IF(1185&gt;$S$1204,"",INDEX($T$5:$AJ$1204,MATCH(1185,$S$5:$S$1204,0),12))</f>
        <v/>
      </c>
      <c r="M1189" s="8" t="str">
        <f t="array" ref="M1189">IF(1185&gt;$S$1204,"",INDEX($T$5:$AJ$1204,MATCH(1185,$S$5:$S$1204,0),13))</f>
        <v/>
      </c>
      <c r="N1189" s="8" t="str">
        <f t="array" ref="N1189">IF(1185&gt;$S$1204,"",INDEX($T$5:$AJ$1204,MATCH(1185,$S$5:$S$1204,0),14))</f>
        <v/>
      </c>
      <c r="O1189" s="15" t="str">
        <f t="array" ref="O1189">IF(1185&gt;$S$1204,"",INDEX($T$5:$AJ$1204,MATCH(1185,$S$5:$S$1204,0),15))</f>
        <v/>
      </c>
      <c r="P1189" s="8" t="str">
        <f t="array" ref="P1189">IF(1185&gt;$S$1204,"",INDEX($T$5:$AJ$1204,MATCH(1185,$S$5:$S$1204,0),16))</f>
        <v/>
      </c>
      <c r="Q1189" s="8" t="str">
        <f t="array" ref="Q1189">IF(1185&gt;$S$1204,"",INDEX($T$5:$AJ$1204,MATCH(1185,$S$5:$S$1204,0),17))</f>
        <v/>
      </c>
      <c r="R1189" s="17"/>
      <c r="S1189" s="17">
        <f>S1188+IF(M6_Puntos_Control!A193="",0,1)</f>
        <v>0</v>
      </c>
      <c r="T1189" s="17" t="str">
        <f>IF(M6_Puntos_Control!A193="","",IF(M6_Puntos_Control!A193="","",M6_Puntos_Control!A193))</f>
        <v/>
      </c>
      <c r="U1189" s="17" t="str">
        <f>IF(M6_Puntos_Control!A193="","",IF(M6_Puntos_Control!R193="","",M6_Puntos_Control!R193))</f>
        <v/>
      </c>
      <c r="V1189" s="17" t="str">
        <f>IF(M6_Puntos_Control!A193="","",IF(M6_Puntos_Control!D193="","",M6_Puntos_Control!D193))</f>
        <v/>
      </c>
      <c r="W1189" s="17" t="str">
        <f>IF(M6_Puntos_Control!A193="","",IF(M6_Puntos_Control!B193="","",M6_Puntos_Control!B193))</f>
        <v/>
      </c>
      <c r="X1189" s="17" t="str">
        <f>IF(M6_Puntos_Control!A193="","",IF(M6_Puntos_Control!C193="","",M6_Puntos_Control!C193))</f>
        <v/>
      </c>
      <c r="Y1189" s="17" t="str">
        <f>IF(M6_Puntos_Control!A193="","",IF(M6_Puntos_Control!E193="","",M6_Puntos_Control!E193))</f>
        <v/>
      </c>
      <c r="Z1189" s="17" t="str">
        <f>IF(M6_Puntos_Control!A193="","",IF(M6_Puntos_Control!F193="","",M6_Puntos_Control!F193))</f>
        <v/>
      </c>
      <c r="AA1189" s="17" t="str">
        <f>IF(M6_Puntos_Control!A193="","","M6 Puntos de control")</f>
        <v/>
      </c>
      <c r="AB1189" s="17" t="str">
        <f>IF(M6_Puntos_Control!A193="","",IF(M6_Puntos_Control!G193="","",M6_Puntos_Control!G193))</f>
        <v/>
      </c>
      <c r="AC1189" s="17" t="str">
        <f>IF(M6_Puntos_Control!A193="","",IF(M6_Puntos_Control!K193="Sí",IF(COUNTIFS(M6_Puntos_Control!$A$9:A193,M6_Puntos_Control!A193,M6_Puntos_Control!$D$9:D193,M6_Puntos_Control!D193,M6_Puntos_Control!$G$9:G193,M6_Puntos_Control!G193,M6_Puntos_Control!$H$9:H193,M6_Puntos_Control!H193,M6_Puntos_Control!$K$9:K193,"Sí")=1,IF(M6_Puntos_Control!M193="","",M6_Puntos_Control!M193),""),""))</f>
        <v/>
      </c>
      <c r="AD1189" s="17" t="str">
        <f>IF(M6_Puntos_Control!A193="","","RD")</f>
        <v/>
      </c>
      <c r="AE1189" s="17" t="str">
        <f>IF(M6_Puntos_Control!A193="","",IF(M6_Puntos_Control!O193="","",M6_Puntos_Control!O193))</f>
        <v/>
      </c>
      <c r="AF1189" s="17" t="str">
        <f>IF(M6_Puntos_Control!A193="","",IF(M6_Puntos_Control!P193="","",M6_Puntos_Control!P193))</f>
        <v/>
      </c>
      <c r="AG1189" s="17" t="str">
        <f>IF(M6_Puntos_Control!A193="","",IF(M6_Puntos_Control!Q193="","",M6_Puntos_Control!Q193))</f>
        <v/>
      </c>
      <c r="AH1189" s="17" t="str">
        <f>IF(M6_Puntos_Control!A193="","",IF(M6_Puntos_Control!I193="","",M6_Puntos_Control!I193))</f>
        <v/>
      </c>
      <c r="AI1189" s="17" t="str">
        <f>IF(M6_Puntos_Control!A193="","","M6_Puntos_Control!193")</f>
        <v/>
      </c>
      <c r="AJ1189" s="17" t="str">
        <f>IF(M6_Puntos_Control!A193="","",IF(M6_Puntos_Control!K193&lt;&gt;"Sí","Punto de comparación",IF(COUNTIFS(M6_Puntos_Control!$A$9:A193,M6_Puntos_Control!A193,M6_Puntos_Control!$D$9:D193,M6_Puntos_Control!D193,M6_Puntos_Control!$G$9:G193,M6_Puntos_Control!G193,M6_Puntos_Control!$H$9:H193,M6_Puntos_Control!H193,M6_Puntos_Control!$K$9:K193,"Sí")=1,IF(M6_Puntos_Control!M193="","Pendiente de resultado","Punto oficial"),"Revisar: varios puntos oficiales")))</f>
        <v/>
      </c>
    </row>
    <row r="1190" spans="1:36" ht="55.5" customHeight="1">
      <c r="A1190" s="6" t="str">
        <f t="array" ref="A1190">IF(1186&gt;$S$1204,"",INDEX($T$5:$AJ$1204,MATCH(1186,$S$5:$S$1204,0),1))</f>
        <v/>
      </c>
      <c r="B1190" s="8" t="str">
        <f t="array" ref="B1190">IF(1186&gt;$S$1204,"",INDEX($T$5:$AJ$1204,MATCH(1186,$S$5:$S$1204,0),2))</f>
        <v/>
      </c>
      <c r="C1190" s="10" t="str">
        <f t="array" ref="C1190">IF(1186&gt;$S$1204,"",INDEX($T$5:$AJ$1204,MATCH(1186,$S$5:$S$1204,0),3))</f>
        <v/>
      </c>
      <c r="D1190" s="8" t="str">
        <f t="array" ref="D1190">IF(1186&gt;$S$1204,"",INDEX($T$5:$AJ$1204,MATCH(1186,$S$5:$S$1204,0),4))</f>
        <v/>
      </c>
      <c r="E1190" s="8" t="str">
        <f t="array" ref="E1190">IF(1186&gt;$S$1204,"",INDEX($T$5:$AJ$1204,MATCH(1186,$S$5:$S$1204,0),5))</f>
        <v/>
      </c>
      <c r="F1190" s="8" t="str">
        <f t="array" ref="F1190">IF(1186&gt;$S$1204,"",INDEX($T$5:$AJ$1204,MATCH(1186,$S$5:$S$1204,0),6))</f>
        <v/>
      </c>
      <c r="G1190" s="8" t="str">
        <f t="array" ref="G1190">IF(1186&gt;$S$1204,"",INDEX($T$5:$AJ$1204,MATCH(1186,$S$5:$S$1204,0),7))</f>
        <v/>
      </c>
      <c r="H1190" s="8" t="str">
        <f t="array" ref="H1190">IF(1186&gt;$S$1204,"",INDEX($T$5:$AJ$1204,MATCH(1186,$S$5:$S$1204,0),8))</f>
        <v/>
      </c>
      <c r="I1190" s="8" t="str">
        <f t="array" ref="I1190">IF(1186&gt;$S$1204,"",INDEX($T$5:$AJ$1204,MATCH(1186,$S$5:$S$1204,0),9))</f>
        <v/>
      </c>
      <c r="J1190" s="14" t="str">
        <f t="array" ref="J1190">IF(1186&gt;$S$1204,"",INDEX($T$5:$AJ$1204,MATCH(1186,$S$5:$S$1204,0),10))</f>
        <v/>
      </c>
      <c r="K1190" s="8" t="str">
        <f t="array" ref="K1190">IF(1186&gt;$S$1204,"",INDEX($T$5:$AJ$1204,MATCH(1186,$S$5:$S$1204,0),11))</f>
        <v/>
      </c>
      <c r="L1190" s="8" t="str">
        <f t="array" ref="L1190">IF(1186&gt;$S$1204,"",INDEX($T$5:$AJ$1204,MATCH(1186,$S$5:$S$1204,0),12))</f>
        <v/>
      </c>
      <c r="M1190" s="8" t="str">
        <f t="array" ref="M1190">IF(1186&gt;$S$1204,"",INDEX($T$5:$AJ$1204,MATCH(1186,$S$5:$S$1204,0),13))</f>
        <v/>
      </c>
      <c r="N1190" s="8" t="str">
        <f t="array" ref="N1190">IF(1186&gt;$S$1204,"",INDEX($T$5:$AJ$1204,MATCH(1186,$S$5:$S$1204,0),14))</f>
        <v/>
      </c>
      <c r="O1190" s="15" t="str">
        <f t="array" ref="O1190">IF(1186&gt;$S$1204,"",INDEX($T$5:$AJ$1204,MATCH(1186,$S$5:$S$1204,0),15))</f>
        <v/>
      </c>
      <c r="P1190" s="8" t="str">
        <f t="array" ref="P1190">IF(1186&gt;$S$1204,"",INDEX($T$5:$AJ$1204,MATCH(1186,$S$5:$S$1204,0),16))</f>
        <v/>
      </c>
      <c r="Q1190" s="8" t="str">
        <f t="array" ref="Q1190">IF(1186&gt;$S$1204,"",INDEX($T$5:$AJ$1204,MATCH(1186,$S$5:$S$1204,0),17))</f>
        <v/>
      </c>
      <c r="R1190" s="17"/>
      <c r="S1190" s="17">
        <f>S1189+IF(M6_Puntos_Control!A194="",0,1)</f>
        <v>0</v>
      </c>
      <c r="T1190" s="17" t="str">
        <f>IF(M6_Puntos_Control!A194="","",IF(M6_Puntos_Control!A194="","",M6_Puntos_Control!A194))</f>
        <v/>
      </c>
      <c r="U1190" s="17" t="str">
        <f>IF(M6_Puntos_Control!A194="","",IF(M6_Puntos_Control!R194="","",M6_Puntos_Control!R194))</f>
        <v/>
      </c>
      <c r="V1190" s="17" t="str">
        <f>IF(M6_Puntos_Control!A194="","",IF(M6_Puntos_Control!D194="","",M6_Puntos_Control!D194))</f>
        <v/>
      </c>
      <c r="W1190" s="17" t="str">
        <f>IF(M6_Puntos_Control!A194="","",IF(M6_Puntos_Control!B194="","",M6_Puntos_Control!B194))</f>
        <v/>
      </c>
      <c r="X1190" s="17" t="str">
        <f>IF(M6_Puntos_Control!A194="","",IF(M6_Puntos_Control!C194="","",M6_Puntos_Control!C194))</f>
        <v/>
      </c>
      <c r="Y1190" s="17" t="str">
        <f>IF(M6_Puntos_Control!A194="","",IF(M6_Puntos_Control!E194="","",M6_Puntos_Control!E194))</f>
        <v/>
      </c>
      <c r="Z1190" s="17" t="str">
        <f>IF(M6_Puntos_Control!A194="","",IF(M6_Puntos_Control!F194="","",M6_Puntos_Control!F194))</f>
        <v/>
      </c>
      <c r="AA1190" s="17" t="str">
        <f>IF(M6_Puntos_Control!A194="","","M6 Puntos de control")</f>
        <v/>
      </c>
      <c r="AB1190" s="17" t="str">
        <f>IF(M6_Puntos_Control!A194="","",IF(M6_Puntos_Control!G194="","",M6_Puntos_Control!G194))</f>
        <v/>
      </c>
      <c r="AC1190" s="17" t="str">
        <f>IF(M6_Puntos_Control!A194="","",IF(M6_Puntos_Control!K194="Sí",IF(COUNTIFS(M6_Puntos_Control!$A$9:A194,M6_Puntos_Control!A194,M6_Puntos_Control!$D$9:D194,M6_Puntos_Control!D194,M6_Puntos_Control!$G$9:G194,M6_Puntos_Control!G194,M6_Puntos_Control!$H$9:H194,M6_Puntos_Control!H194,M6_Puntos_Control!$K$9:K194,"Sí")=1,IF(M6_Puntos_Control!M194="","",M6_Puntos_Control!M194),""),""))</f>
        <v/>
      </c>
      <c r="AD1190" s="17" t="str">
        <f>IF(M6_Puntos_Control!A194="","","RD")</f>
        <v/>
      </c>
      <c r="AE1190" s="17" t="str">
        <f>IF(M6_Puntos_Control!A194="","",IF(M6_Puntos_Control!O194="","",M6_Puntos_Control!O194))</f>
        <v/>
      </c>
      <c r="AF1190" s="17" t="str">
        <f>IF(M6_Puntos_Control!A194="","",IF(M6_Puntos_Control!P194="","",M6_Puntos_Control!P194))</f>
        <v/>
      </c>
      <c r="AG1190" s="17" t="str">
        <f>IF(M6_Puntos_Control!A194="","",IF(M6_Puntos_Control!Q194="","",M6_Puntos_Control!Q194))</f>
        <v/>
      </c>
      <c r="AH1190" s="17" t="str">
        <f>IF(M6_Puntos_Control!A194="","",IF(M6_Puntos_Control!I194="","",M6_Puntos_Control!I194))</f>
        <v/>
      </c>
      <c r="AI1190" s="17" t="str">
        <f>IF(M6_Puntos_Control!A194="","","M6_Puntos_Control!194")</f>
        <v/>
      </c>
      <c r="AJ1190" s="17" t="str">
        <f>IF(M6_Puntos_Control!A194="","",IF(M6_Puntos_Control!K194&lt;&gt;"Sí","Punto de comparación",IF(COUNTIFS(M6_Puntos_Control!$A$9:A194,M6_Puntos_Control!A194,M6_Puntos_Control!$D$9:D194,M6_Puntos_Control!D194,M6_Puntos_Control!$G$9:G194,M6_Puntos_Control!G194,M6_Puntos_Control!$H$9:H194,M6_Puntos_Control!H194,M6_Puntos_Control!$K$9:K194,"Sí")=1,IF(M6_Puntos_Control!M194="","Pendiente de resultado","Punto oficial"),"Revisar: varios puntos oficiales")))</f>
        <v/>
      </c>
    </row>
    <row r="1191" spans="1:36" ht="55.5" customHeight="1">
      <c r="A1191" s="6" t="str">
        <f t="array" ref="A1191">IF(1187&gt;$S$1204,"",INDEX($T$5:$AJ$1204,MATCH(1187,$S$5:$S$1204,0),1))</f>
        <v/>
      </c>
      <c r="B1191" s="8" t="str">
        <f t="array" ref="B1191">IF(1187&gt;$S$1204,"",INDEX($T$5:$AJ$1204,MATCH(1187,$S$5:$S$1204,0),2))</f>
        <v/>
      </c>
      <c r="C1191" s="10" t="str">
        <f t="array" ref="C1191">IF(1187&gt;$S$1204,"",INDEX($T$5:$AJ$1204,MATCH(1187,$S$5:$S$1204,0),3))</f>
        <v/>
      </c>
      <c r="D1191" s="8" t="str">
        <f t="array" ref="D1191">IF(1187&gt;$S$1204,"",INDEX($T$5:$AJ$1204,MATCH(1187,$S$5:$S$1204,0),4))</f>
        <v/>
      </c>
      <c r="E1191" s="8" t="str">
        <f t="array" ref="E1191">IF(1187&gt;$S$1204,"",INDEX($T$5:$AJ$1204,MATCH(1187,$S$5:$S$1204,0),5))</f>
        <v/>
      </c>
      <c r="F1191" s="8" t="str">
        <f t="array" ref="F1191">IF(1187&gt;$S$1204,"",INDEX($T$5:$AJ$1204,MATCH(1187,$S$5:$S$1204,0),6))</f>
        <v/>
      </c>
      <c r="G1191" s="8" t="str">
        <f t="array" ref="G1191">IF(1187&gt;$S$1204,"",INDEX($T$5:$AJ$1204,MATCH(1187,$S$5:$S$1204,0),7))</f>
        <v/>
      </c>
      <c r="H1191" s="8" t="str">
        <f t="array" ref="H1191">IF(1187&gt;$S$1204,"",INDEX($T$5:$AJ$1204,MATCH(1187,$S$5:$S$1204,0),8))</f>
        <v/>
      </c>
      <c r="I1191" s="8" t="str">
        <f t="array" ref="I1191">IF(1187&gt;$S$1204,"",INDEX($T$5:$AJ$1204,MATCH(1187,$S$5:$S$1204,0),9))</f>
        <v/>
      </c>
      <c r="J1191" s="14" t="str">
        <f t="array" ref="J1191">IF(1187&gt;$S$1204,"",INDEX($T$5:$AJ$1204,MATCH(1187,$S$5:$S$1204,0),10))</f>
        <v/>
      </c>
      <c r="K1191" s="8" t="str">
        <f t="array" ref="K1191">IF(1187&gt;$S$1204,"",INDEX($T$5:$AJ$1204,MATCH(1187,$S$5:$S$1204,0),11))</f>
        <v/>
      </c>
      <c r="L1191" s="8" t="str">
        <f t="array" ref="L1191">IF(1187&gt;$S$1204,"",INDEX($T$5:$AJ$1204,MATCH(1187,$S$5:$S$1204,0),12))</f>
        <v/>
      </c>
      <c r="M1191" s="8" t="str">
        <f t="array" ref="M1191">IF(1187&gt;$S$1204,"",INDEX($T$5:$AJ$1204,MATCH(1187,$S$5:$S$1204,0),13))</f>
        <v/>
      </c>
      <c r="N1191" s="8" t="str">
        <f t="array" ref="N1191">IF(1187&gt;$S$1204,"",INDEX($T$5:$AJ$1204,MATCH(1187,$S$5:$S$1204,0),14))</f>
        <v/>
      </c>
      <c r="O1191" s="15" t="str">
        <f t="array" ref="O1191">IF(1187&gt;$S$1204,"",INDEX($T$5:$AJ$1204,MATCH(1187,$S$5:$S$1204,0),15))</f>
        <v/>
      </c>
      <c r="P1191" s="8" t="str">
        <f t="array" ref="P1191">IF(1187&gt;$S$1204,"",INDEX($T$5:$AJ$1204,MATCH(1187,$S$5:$S$1204,0),16))</f>
        <v/>
      </c>
      <c r="Q1191" s="8" t="str">
        <f t="array" ref="Q1191">IF(1187&gt;$S$1204,"",INDEX($T$5:$AJ$1204,MATCH(1187,$S$5:$S$1204,0),17))</f>
        <v/>
      </c>
      <c r="R1191" s="17"/>
      <c r="S1191" s="17">
        <f>S1190+IF(M6_Puntos_Control!A195="",0,1)</f>
        <v>0</v>
      </c>
      <c r="T1191" s="17" t="str">
        <f>IF(M6_Puntos_Control!A195="","",IF(M6_Puntos_Control!A195="","",M6_Puntos_Control!A195))</f>
        <v/>
      </c>
      <c r="U1191" s="17" t="str">
        <f>IF(M6_Puntos_Control!A195="","",IF(M6_Puntos_Control!R195="","",M6_Puntos_Control!R195))</f>
        <v/>
      </c>
      <c r="V1191" s="17" t="str">
        <f>IF(M6_Puntos_Control!A195="","",IF(M6_Puntos_Control!D195="","",M6_Puntos_Control!D195))</f>
        <v/>
      </c>
      <c r="W1191" s="17" t="str">
        <f>IF(M6_Puntos_Control!A195="","",IF(M6_Puntos_Control!B195="","",M6_Puntos_Control!B195))</f>
        <v/>
      </c>
      <c r="X1191" s="17" t="str">
        <f>IF(M6_Puntos_Control!A195="","",IF(M6_Puntos_Control!C195="","",M6_Puntos_Control!C195))</f>
        <v/>
      </c>
      <c r="Y1191" s="17" t="str">
        <f>IF(M6_Puntos_Control!A195="","",IF(M6_Puntos_Control!E195="","",M6_Puntos_Control!E195))</f>
        <v/>
      </c>
      <c r="Z1191" s="17" t="str">
        <f>IF(M6_Puntos_Control!A195="","",IF(M6_Puntos_Control!F195="","",M6_Puntos_Control!F195))</f>
        <v/>
      </c>
      <c r="AA1191" s="17" t="str">
        <f>IF(M6_Puntos_Control!A195="","","M6 Puntos de control")</f>
        <v/>
      </c>
      <c r="AB1191" s="17" t="str">
        <f>IF(M6_Puntos_Control!A195="","",IF(M6_Puntos_Control!G195="","",M6_Puntos_Control!G195))</f>
        <v/>
      </c>
      <c r="AC1191" s="17" t="str">
        <f>IF(M6_Puntos_Control!A195="","",IF(M6_Puntos_Control!K195="Sí",IF(COUNTIFS(M6_Puntos_Control!$A$9:A195,M6_Puntos_Control!A195,M6_Puntos_Control!$D$9:D195,M6_Puntos_Control!D195,M6_Puntos_Control!$G$9:G195,M6_Puntos_Control!G195,M6_Puntos_Control!$H$9:H195,M6_Puntos_Control!H195,M6_Puntos_Control!$K$9:K195,"Sí")=1,IF(M6_Puntos_Control!M195="","",M6_Puntos_Control!M195),""),""))</f>
        <v/>
      </c>
      <c r="AD1191" s="17" t="str">
        <f>IF(M6_Puntos_Control!A195="","","RD")</f>
        <v/>
      </c>
      <c r="AE1191" s="17" t="str">
        <f>IF(M6_Puntos_Control!A195="","",IF(M6_Puntos_Control!O195="","",M6_Puntos_Control!O195))</f>
        <v/>
      </c>
      <c r="AF1191" s="17" t="str">
        <f>IF(M6_Puntos_Control!A195="","",IF(M6_Puntos_Control!P195="","",M6_Puntos_Control!P195))</f>
        <v/>
      </c>
      <c r="AG1191" s="17" t="str">
        <f>IF(M6_Puntos_Control!A195="","",IF(M6_Puntos_Control!Q195="","",M6_Puntos_Control!Q195))</f>
        <v/>
      </c>
      <c r="AH1191" s="17" t="str">
        <f>IF(M6_Puntos_Control!A195="","",IF(M6_Puntos_Control!I195="","",M6_Puntos_Control!I195))</f>
        <v/>
      </c>
      <c r="AI1191" s="17" t="str">
        <f>IF(M6_Puntos_Control!A195="","","M6_Puntos_Control!195")</f>
        <v/>
      </c>
      <c r="AJ1191" s="17" t="str">
        <f>IF(M6_Puntos_Control!A195="","",IF(M6_Puntos_Control!K195&lt;&gt;"Sí","Punto de comparación",IF(COUNTIFS(M6_Puntos_Control!$A$9:A195,M6_Puntos_Control!A195,M6_Puntos_Control!$D$9:D195,M6_Puntos_Control!D195,M6_Puntos_Control!$G$9:G195,M6_Puntos_Control!G195,M6_Puntos_Control!$H$9:H195,M6_Puntos_Control!H195,M6_Puntos_Control!$K$9:K195,"Sí")=1,IF(M6_Puntos_Control!M195="","Pendiente de resultado","Punto oficial"),"Revisar: varios puntos oficiales")))</f>
        <v/>
      </c>
    </row>
    <row r="1192" spans="1:36" ht="55.5" customHeight="1">
      <c r="A1192" s="6" t="str">
        <f t="array" ref="A1192">IF(1188&gt;$S$1204,"",INDEX($T$5:$AJ$1204,MATCH(1188,$S$5:$S$1204,0),1))</f>
        <v/>
      </c>
      <c r="B1192" s="8" t="str">
        <f t="array" ref="B1192">IF(1188&gt;$S$1204,"",INDEX($T$5:$AJ$1204,MATCH(1188,$S$5:$S$1204,0),2))</f>
        <v/>
      </c>
      <c r="C1192" s="10" t="str">
        <f t="array" ref="C1192">IF(1188&gt;$S$1204,"",INDEX($T$5:$AJ$1204,MATCH(1188,$S$5:$S$1204,0),3))</f>
        <v/>
      </c>
      <c r="D1192" s="8" t="str">
        <f t="array" ref="D1192">IF(1188&gt;$S$1204,"",INDEX($T$5:$AJ$1204,MATCH(1188,$S$5:$S$1204,0),4))</f>
        <v/>
      </c>
      <c r="E1192" s="8" t="str">
        <f t="array" ref="E1192">IF(1188&gt;$S$1204,"",INDEX($T$5:$AJ$1204,MATCH(1188,$S$5:$S$1204,0),5))</f>
        <v/>
      </c>
      <c r="F1192" s="8" t="str">
        <f t="array" ref="F1192">IF(1188&gt;$S$1204,"",INDEX($T$5:$AJ$1204,MATCH(1188,$S$5:$S$1204,0),6))</f>
        <v/>
      </c>
      <c r="G1192" s="8" t="str">
        <f t="array" ref="G1192">IF(1188&gt;$S$1204,"",INDEX($T$5:$AJ$1204,MATCH(1188,$S$5:$S$1204,0),7))</f>
        <v/>
      </c>
      <c r="H1192" s="8" t="str">
        <f t="array" ref="H1192">IF(1188&gt;$S$1204,"",INDEX($T$5:$AJ$1204,MATCH(1188,$S$5:$S$1204,0),8))</f>
        <v/>
      </c>
      <c r="I1192" s="8" t="str">
        <f t="array" ref="I1192">IF(1188&gt;$S$1204,"",INDEX($T$5:$AJ$1204,MATCH(1188,$S$5:$S$1204,0),9))</f>
        <v/>
      </c>
      <c r="J1192" s="14" t="str">
        <f t="array" ref="J1192">IF(1188&gt;$S$1204,"",INDEX($T$5:$AJ$1204,MATCH(1188,$S$5:$S$1204,0),10))</f>
        <v/>
      </c>
      <c r="K1192" s="8" t="str">
        <f t="array" ref="K1192">IF(1188&gt;$S$1204,"",INDEX($T$5:$AJ$1204,MATCH(1188,$S$5:$S$1204,0),11))</f>
        <v/>
      </c>
      <c r="L1192" s="8" t="str">
        <f t="array" ref="L1192">IF(1188&gt;$S$1204,"",INDEX($T$5:$AJ$1204,MATCH(1188,$S$5:$S$1204,0),12))</f>
        <v/>
      </c>
      <c r="M1192" s="8" t="str">
        <f t="array" ref="M1192">IF(1188&gt;$S$1204,"",INDEX($T$5:$AJ$1204,MATCH(1188,$S$5:$S$1204,0),13))</f>
        <v/>
      </c>
      <c r="N1192" s="8" t="str">
        <f t="array" ref="N1192">IF(1188&gt;$S$1204,"",INDEX($T$5:$AJ$1204,MATCH(1188,$S$5:$S$1204,0),14))</f>
        <v/>
      </c>
      <c r="O1192" s="15" t="str">
        <f t="array" ref="O1192">IF(1188&gt;$S$1204,"",INDEX($T$5:$AJ$1204,MATCH(1188,$S$5:$S$1204,0),15))</f>
        <v/>
      </c>
      <c r="P1192" s="8" t="str">
        <f t="array" ref="P1192">IF(1188&gt;$S$1204,"",INDEX($T$5:$AJ$1204,MATCH(1188,$S$5:$S$1204,0),16))</f>
        <v/>
      </c>
      <c r="Q1192" s="8" t="str">
        <f t="array" ref="Q1192">IF(1188&gt;$S$1204,"",INDEX($T$5:$AJ$1204,MATCH(1188,$S$5:$S$1204,0),17))</f>
        <v/>
      </c>
      <c r="R1192" s="17"/>
      <c r="S1192" s="17">
        <f>S1191+IF(M6_Puntos_Control!A196="",0,1)</f>
        <v>0</v>
      </c>
      <c r="T1192" s="17" t="str">
        <f>IF(M6_Puntos_Control!A196="","",IF(M6_Puntos_Control!A196="","",M6_Puntos_Control!A196))</f>
        <v/>
      </c>
      <c r="U1192" s="17" t="str">
        <f>IF(M6_Puntos_Control!A196="","",IF(M6_Puntos_Control!R196="","",M6_Puntos_Control!R196))</f>
        <v/>
      </c>
      <c r="V1192" s="17" t="str">
        <f>IF(M6_Puntos_Control!A196="","",IF(M6_Puntos_Control!D196="","",M6_Puntos_Control!D196))</f>
        <v/>
      </c>
      <c r="W1192" s="17" t="str">
        <f>IF(M6_Puntos_Control!A196="","",IF(M6_Puntos_Control!B196="","",M6_Puntos_Control!B196))</f>
        <v/>
      </c>
      <c r="X1192" s="17" t="str">
        <f>IF(M6_Puntos_Control!A196="","",IF(M6_Puntos_Control!C196="","",M6_Puntos_Control!C196))</f>
        <v/>
      </c>
      <c r="Y1192" s="17" t="str">
        <f>IF(M6_Puntos_Control!A196="","",IF(M6_Puntos_Control!E196="","",M6_Puntos_Control!E196))</f>
        <v/>
      </c>
      <c r="Z1192" s="17" t="str">
        <f>IF(M6_Puntos_Control!A196="","",IF(M6_Puntos_Control!F196="","",M6_Puntos_Control!F196))</f>
        <v/>
      </c>
      <c r="AA1192" s="17" t="str">
        <f>IF(M6_Puntos_Control!A196="","","M6 Puntos de control")</f>
        <v/>
      </c>
      <c r="AB1192" s="17" t="str">
        <f>IF(M6_Puntos_Control!A196="","",IF(M6_Puntos_Control!G196="","",M6_Puntos_Control!G196))</f>
        <v/>
      </c>
      <c r="AC1192" s="17" t="str">
        <f>IF(M6_Puntos_Control!A196="","",IF(M6_Puntos_Control!K196="Sí",IF(COUNTIFS(M6_Puntos_Control!$A$9:A196,M6_Puntos_Control!A196,M6_Puntos_Control!$D$9:D196,M6_Puntos_Control!D196,M6_Puntos_Control!$G$9:G196,M6_Puntos_Control!G196,M6_Puntos_Control!$H$9:H196,M6_Puntos_Control!H196,M6_Puntos_Control!$K$9:K196,"Sí")=1,IF(M6_Puntos_Control!M196="","",M6_Puntos_Control!M196),""),""))</f>
        <v/>
      </c>
      <c r="AD1192" s="17" t="str">
        <f>IF(M6_Puntos_Control!A196="","","RD")</f>
        <v/>
      </c>
      <c r="AE1192" s="17" t="str">
        <f>IF(M6_Puntos_Control!A196="","",IF(M6_Puntos_Control!O196="","",M6_Puntos_Control!O196))</f>
        <v/>
      </c>
      <c r="AF1192" s="17" t="str">
        <f>IF(M6_Puntos_Control!A196="","",IF(M6_Puntos_Control!P196="","",M6_Puntos_Control!P196))</f>
        <v/>
      </c>
      <c r="AG1192" s="17" t="str">
        <f>IF(M6_Puntos_Control!A196="","",IF(M6_Puntos_Control!Q196="","",M6_Puntos_Control!Q196))</f>
        <v/>
      </c>
      <c r="AH1192" s="17" t="str">
        <f>IF(M6_Puntos_Control!A196="","",IF(M6_Puntos_Control!I196="","",M6_Puntos_Control!I196))</f>
        <v/>
      </c>
      <c r="AI1192" s="17" t="str">
        <f>IF(M6_Puntos_Control!A196="","","M6_Puntos_Control!196")</f>
        <v/>
      </c>
      <c r="AJ1192" s="17" t="str">
        <f>IF(M6_Puntos_Control!A196="","",IF(M6_Puntos_Control!K196&lt;&gt;"Sí","Punto de comparación",IF(COUNTIFS(M6_Puntos_Control!$A$9:A196,M6_Puntos_Control!A196,M6_Puntos_Control!$D$9:D196,M6_Puntos_Control!D196,M6_Puntos_Control!$G$9:G196,M6_Puntos_Control!G196,M6_Puntos_Control!$H$9:H196,M6_Puntos_Control!H196,M6_Puntos_Control!$K$9:K196,"Sí")=1,IF(M6_Puntos_Control!M196="","Pendiente de resultado","Punto oficial"),"Revisar: varios puntos oficiales")))</f>
        <v/>
      </c>
    </row>
    <row r="1193" spans="1:36" ht="55.5" customHeight="1">
      <c r="A1193" s="6" t="str">
        <f t="array" ref="A1193">IF(1189&gt;$S$1204,"",INDEX($T$5:$AJ$1204,MATCH(1189,$S$5:$S$1204,0),1))</f>
        <v/>
      </c>
      <c r="B1193" s="8" t="str">
        <f t="array" ref="B1193">IF(1189&gt;$S$1204,"",INDEX($T$5:$AJ$1204,MATCH(1189,$S$5:$S$1204,0),2))</f>
        <v/>
      </c>
      <c r="C1193" s="10" t="str">
        <f t="array" ref="C1193">IF(1189&gt;$S$1204,"",INDEX($T$5:$AJ$1204,MATCH(1189,$S$5:$S$1204,0),3))</f>
        <v/>
      </c>
      <c r="D1193" s="8" t="str">
        <f t="array" ref="D1193">IF(1189&gt;$S$1204,"",INDEX($T$5:$AJ$1204,MATCH(1189,$S$5:$S$1204,0),4))</f>
        <v/>
      </c>
      <c r="E1193" s="8" t="str">
        <f t="array" ref="E1193">IF(1189&gt;$S$1204,"",INDEX($T$5:$AJ$1204,MATCH(1189,$S$5:$S$1204,0),5))</f>
        <v/>
      </c>
      <c r="F1193" s="8" t="str">
        <f t="array" ref="F1193">IF(1189&gt;$S$1204,"",INDEX($T$5:$AJ$1204,MATCH(1189,$S$5:$S$1204,0),6))</f>
        <v/>
      </c>
      <c r="G1193" s="8" t="str">
        <f t="array" ref="G1193">IF(1189&gt;$S$1204,"",INDEX($T$5:$AJ$1204,MATCH(1189,$S$5:$S$1204,0),7))</f>
        <v/>
      </c>
      <c r="H1193" s="8" t="str">
        <f t="array" ref="H1193">IF(1189&gt;$S$1204,"",INDEX($T$5:$AJ$1204,MATCH(1189,$S$5:$S$1204,0),8))</f>
        <v/>
      </c>
      <c r="I1193" s="8" t="str">
        <f t="array" ref="I1193">IF(1189&gt;$S$1204,"",INDEX($T$5:$AJ$1204,MATCH(1189,$S$5:$S$1204,0),9))</f>
        <v/>
      </c>
      <c r="J1193" s="14" t="str">
        <f t="array" ref="J1193">IF(1189&gt;$S$1204,"",INDEX($T$5:$AJ$1204,MATCH(1189,$S$5:$S$1204,0),10))</f>
        <v/>
      </c>
      <c r="K1193" s="8" t="str">
        <f t="array" ref="K1193">IF(1189&gt;$S$1204,"",INDEX($T$5:$AJ$1204,MATCH(1189,$S$5:$S$1204,0),11))</f>
        <v/>
      </c>
      <c r="L1193" s="8" t="str">
        <f t="array" ref="L1193">IF(1189&gt;$S$1204,"",INDEX($T$5:$AJ$1204,MATCH(1189,$S$5:$S$1204,0),12))</f>
        <v/>
      </c>
      <c r="M1193" s="8" t="str">
        <f t="array" ref="M1193">IF(1189&gt;$S$1204,"",INDEX($T$5:$AJ$1204,MATCH(1189,$S$5:$S$1204,0),13))</f>
        <v/>
      </c>
      <c r="N1193" s="8" t="str">
        <f t="array" ref="N1193">IF(1189&gt;$S$1204,"",INDEX($T$5:$AJ$1204,MATCH(1189,$S$5:$S$1204,0),14))</f>
        <v/>
      </c>
      <c r="O1193" s="15" t="str">
        <f t="array" ref="O1193">IF(1189&gt;$S$1204,"",INDEX($T$5:$AJ$1204,MATCH(1189,$S$5:$S$1204,0),15))</f>
        <v/>
      </c>
      <c r="P1193" s="8" t="str">
        <f t="array" ref="P1193">IF(1189&gt;$S$1204,"",INDEX($T$5:$AJ$1204,MATCH(1189,$S$5:$S$1204,0),16))</f>
        <v/>
      </c>
      <c r="Q1193" s="8" t="str">
        <f t="array" ref="Q1193">IF(1189&gt;$S$1204,"",INDEX($T$5:$AJ$1204,MATCH(1189,$S$5:$S$1204,0),17))</f>
        <v/>
      </c>
      <c r="R1193" s="17"/>
      <c r="S1193" s="17">
        <f>S1192+IF(M6_Puntos_Control!A197="",0,1)</f>
        <v>0</v>
      </c>
      <c r="T1193" s="17" t="str">
        <f>IF(M6_Puntos_Control!A197="","",IF(M6_Puntos_Control!A197="","",M6_Puntos_Control!A197))</f>
        <v/>
      </c>
      <c r="U1193" s="17" t="str">
        <f>IF(M6_Puntos_Control!A197="","",IF(M6_Puntos_Control!R197="","",M6_Puntos_Control!R197))</f>
        <v/>
      </c>
      <c r="V1193" s="17" t="str">
        <f>IF(M6_Puntos_Control!A197="","",IF(M6_Puntos_Control!D197="","",M6_Puntos_Control!D197))</f>
        <v/>
      </c>
      <c r="W1193" s="17" t="str">
        <f>IF(M6_Puntos_Control!A197="","",IF(M6_Puntos_Control!B197="","",M6_Puntos_Control!B197))</f>
        <v/>
      </c>
      <c r="X1193" s="17" t="str">
        <f>IF(M6_Puntos_Control!A197="","",IF(M6_Puntos_Control!C197="","",M6_Puntos_Control!C197))</f>
        <v/>
      </c>
      <c r="Y1193" s="17" t="str">
        <f>IF(M6_Puntos_Control!A197="","",IF(M6_Puntos_Control!E197="","",M6_Puntos_Control!E197))</f>
        <v/>
      </c>
      <c r="Z1193" s="17" t="str">
        <f>IF(M6_Puntos_Control!A197="","",IF(M6_Puntos_Control!F197="","",M6_Puntos_Control!F197))</f>
        <v/>
      </c>
      <c r="AA1193" s="17" t="str">
        <f>IF(M6_Puntos_Control!A197="","","M6 Puntos de control")</f>
        <v/>
      </c>
      <c r="AB1193" s="17" t="str">
        <f>IF(M6_Puntos_Control!A197="","",IF(M6_Puntos_Control!G197="","",M6_Puntos_Control!G197))</f>
        <v/>
      </c>
      <c r="AC1193" s="17" t="str">
        <f>IF(M6_Puntos_Control!A197="","",IF(M6_Puntos_Control!K197="Sí",IF(COUNTIFS(M6_Puntos_Control!$A$9:A197,M6_Puntos_Control!A197,M6_Puntos_Control!$D$9:D197,M6_Puntos_Control!D197,M6_Puntos_Control!$G$9:G197,M6_Puntos_Control!G197,M6_Puntos_Control!$H$9:H197,M6_Puntos_Control!H197,M6_Puntos_Control!$K$9:K197,"Sí")=1,IF(M6_Puntos_Control!M197="","",M6_Puntos_Control!M197),""),""))</f>
        <v/>
      </c>
      <c r="AD1193" s="17" t="str">
        <f>IF(M6_Puntos_Control!A197="","","RD")</f>
        <v/>
      </c>
      <c r="AE1193" s="17" t="str">
        <f>IF(M6_Puntos_Control!A197="","",IF(M6_Puntos_Control!O197="","",M6_Puntos_Control!O197))</f>
        <v/>
      </c>
      <c r="AF1193" s="17" t="str">
        <f>IF(M6_Puntos_Control!A197="","",IF(M6_Puntos_Control!P197="","",M6_Puntos_Control!P197))</f>
        <v/>
      </c>
      <c r="AG1193" s="17" t="str">
        <f>IF(M6_Puntos_Control!A197="","",IF(M6_Puntos_Control!Q197="","",M6_Puntos_Control!Q197))</f>
        <v/>
      </c>
      <c r="AH1193" s="17" t="str">
        <f>IF(M6_Puntos_Control!A197="","",IF(M6_Puntos_Control!I197="","",M6_Puntos_Control!I197))</f>
        <v/>
      </c>
      <c r="AI1193" s="17" t="str">
        <f>IF(M6_Puntos_Control!A197="","","M6_Puntos_Control!197")</f>
        <v/>
      </c>
      <c r="AJ1193" s="17" t="str">
        <f>IF(M6_Puntos_Control!A197="","",IF(M6_Puntos_Control!K197&lt;&gt;"Sí","Punto de comparación",IF(COUNTIFS(M6_Puntos_Control!$A$9:A197,M6_Puntos_Control!A197,M6_Puntos_Control!$D$9:D197,M6_Puntos_Control!D197,M6_Puntos_Control!$G$9:G197,M6_Puntos_Control!G197,M6_Puntos_Control!$H$9:H197,M6_Puntos_Control!H197,M6_Puntos_Control!$K$9:K197,"Sí")=1,IF(M6_Puntos_Control!M197="","Pendiente de resultado","Punto oficial"),"Revisar: varios puntos oficiales")))</f>
        <v/>
      </c>
    </row>
    <row r="1194" spans="1:36" ht="55.5" customHeight="1">
      <c r="A1194" s="6" t="str">
        <f t="array" ref="A1194">IF(1190&gt;$S$1204,"",INDEX($T$5:$AJ$1204,MATCH(1190,$S$5:$S$1204,0),1))</f>
        <v/>
      </c>
      <c r="B1194" s="8" t="str">
        <f t="array" ref="B1194">IF(1190&gt;$S$1204,"",INDEX($T$5:$AJ$1204,MATCH(1190,$S$5:$S$1204,0),2))</f>
        <v/>
      </c>
      <c r="C1194" s="10" t="str">
        <f t="array" ref="C1194">IF(1190&gt;$S$1204,"",INDEX($T$5:$AJ$1204,MATCH(1190,$S$5:$S$1204,0),3))</f>
        <v/>
      </c>
      <c r="D1194" s="8" t="str">
        <f t="array" ref="D1194">IF(1190&gt;$S$1204,"",INDEX($T$5:$AJ$1204,MATCH(1190,$S$5:$S$1204,0),4))</f>
        <v/>
      </c>
      <c r="E1194" s="8" t="str">
        <f t="array" ref="E1194">IF(1190&gt;$S$1204,"",INDEX($T$5:$AJ$1204,MATCH(1190,$S$5:$S$1204,0),5))</f>
        <v/>
      </c>
      <c r="F1194" s="8" t="str">
        <f t="array" ref="F1194">IF(1190&gt;$S$1204,"",INDEX($T$5:$AJ$1204,MATCH(1190,$S$5:$S$1204,0),6))</f>
        <v/>
      </c>
      <c r="G1194" s="8" t="str">
        <f t="array" ref="G1194">IF(1190&gt;$S$1204,"",INDEX($T$5:$AJ$1204,MATCH(1190,$S$5:$S$1204,0),7))</f>
        <v/>
      </c>
      <c r="H1194" s="8" t="str">
        <f t="array" ref="H1194">IF(1190&gt;$S$1204,"",INDEX($T$5:$AJ$1204,MATCH(1190,$S$5:$S$1204,0),8))</f>
        <v/>
      </c>
      <c r="I1194" s="8" t="str">
        <f t="array" ref="I1194">IF(1190&gt;$S$1204,"",INDEX($T$5:$AJ$1204,MATCH(1190,$S$5:$S$1204,0),9))</f>
        <v/>
      </c>
      <c r="J1194" s="14" t="str">
        <f t="array" ref="J1194">IF(1190&gt;$S$1204,"",INDEX($T$5:$AJ$1204,MATCH(1190,$S$5:$S$1204,0),10))</f>
        <v/>
      </c>
      <c r="K1194" s="8" t="str">
        <f t="array" ref="K1194">IF(1190&gt;$S$1204,"",INDEX($T$5:$AJ$1204,MATCH(1190,$S$5:$S$1204,0),11))</f>
        <v/>
      </c>
      <c r="L1194" s="8" t="str">
        <f t="array" ref="L1194">IF(1190&gt;$S$1204,"",INDEX($T$5:$AJ$1204,MATCH(1190,$S$5:$S$1204,0),12))</f>
        <v/>
      </c>
      <c r="M1194" s="8" t="str">
        <f t="array" ref="M1194">IF(1190&gt;$S$1204,"",INDEX($T$5:$AJ$1204,MATCH(1190,$S$5:$S$1204,0),13))</f>
        <v/>
      </c>
      <c r="N1194" s="8" t="str">
        <f t="array" ref="N1194">IF(1190&gt;$S$1204,"",INDEX($T$5:$AJ$1204,MATCH(1190,$S$5:$S$1204,0),14))</f>
        <v/>
      </c>
      <c r="O1194" s="15" t="str">
        <f t="array" ref="O1194">IF(1190&gt;$S$1204,"",INDEX($T$5:$AJ$1204,MATCH(1190,$S$5:$S$1204,0),15))</f>
        <v/>
      </c>
      <c r="P1194" s="8" t="str">
        <f t="array" ref="P1194">IF(1190&gt;$S$1204,"",INDEX($T$5:$AJ$1204,MATCH(1190,$S$5:$S$1204,0),16))</f>
        <v/>
      </c>
      <c r="Q1194" s="8" t="str">
        <f t="array" ref="Q1194">IF(1190&gt;$S$1204,"",INDEX($T$5:$AJ$1204,MATCH(1190,$S$5:$S$1204,0),17))</f>
        <v/>
      </c>
      <c r="R1194" s="17"/>
      <c r="S1194" s="17">
        <f>S1193+IF(M6_Puntos_Control!A198="",0,1)</f>
        <v>0</v>
      </c>
      <c r="T1194" s="17" t="str">
        <f>IF(M6_Puntos_Control!A198="","",IF(M6_Puntos_Control!A198="","",M6_Puntos_Control!A198))</f>
        <v/>
      </c>
      <c r="U1194" s="17" t="str">
        <f>IF(M6_Puntos_Control!A198="","",IF(M6_Puntos_Control!R198="","",M6_Puntos_Control!R198))</f>
        <v/>
      </c>
      <c r="V1194" s="17" t="str">
        <f>IF(M6_Puntos_Control!A198="","",IF(M6_Puntos_Control!D198="","",M6_Puntos_Control!D198))</f>
        <v/>
      </c>
      <c r="W1194" s="17" t="str">
        <f>IF(M6_Puntos_Control!A198="","",IF(M6_Puntos_Control!B198="","",M6_Puntos_Control!B198))</f>
        <v/>
      </c>
      <c r="X1194" s="17" t="str">
        <f>IF(M6_Puntos_Control!A198="","",IF(M6_Puntos_Control!C198="","",M6_Puntos_Control!C198))</f>
        <v/>
      </c>
      <c r="Y1194" s="17" t="str">
        <f>IF(M6_Puntos_Control!A198="","",IF(M6_Puntos_Control!E198="","",M6_Puntos_Control!E198))</f>
        <v/>
      </c>
      <c r="Z1194" s="17" t="str">
        <f>IF(M6_Puntos_Control!A198="","",IF(M6_Puntos_Control!F198="","",M6_Puntos_Control!F198))</f>
        <v/>
      </c>
      <c r="AA1194" s="17" t="str">
        <f>IF(M6_Puntos_Control!A198="","","M6 Puntos de control")</f>
        <v/>
      </c>
      <c r="AB1194" s="17" t="str">
        <f>IF(M6_Puntos_Control!A198="","",IF(M6_Puntos_Control!G198="","",M6_Puntos_Control!G198))</f>
        <v/>
      </c>
      <c r="AC1194" s="17" t="str">
        <f>IF(M6_Puntos_Control!A198="","",IF(M6_Puntos_Control!K198="Sí",IF(COUNTIFS(M6_Puntos_Control!$A$9:A198,M6_Puntos_Control!A198,M6_Puntos_Control!$D$9:D198,M6_Puntos_Control!D198,M6_Puntos_Control!$G$9:G198,M6_Puntos_Control!G198,M6_Puntos_Control!$H$9:H198,M6_Puntos_Control!H198,M6_Puntos_Control!$K$9:K198,"Sí")=1,IF(M6_Puntos_Control!M198="","",M6_Puntos_Control!M198),""),""))</f>
        <v/>
      </c>
      <c r="AD1194" s="17" t="str">
        <f>IF(M6_Puntos_Control!A198="","","RD")</f>
        <v/>
      </c>
      <c r="AE1194" s="17" t="str">
        <f>IF(M6_Puntos_Control!A198="","",IF(M6_Puntos_Control!O198="","",M6_Puntos_Control!O198))</f>
        <v/>
      </c>
      <c r="AF1194" s="17" t="str">
        <f>IF(M6_Puntos_Control!A198="","",IF(M6_Puntos_Control!P198="","",M6_Puntos_Control!P198))</f>
        <v/>
      </c>
      <c r="AG1194" s="17" t="str">
        <f>IF(M6_Puntos_Control!A198="","",IF(M6_Puntos_Control!Q198="","",M6_Puntos_Control!Q198))</f>
        <v/>
      </c>
      <c r="AH1194" s="17" t="str">
        <f>IF(M6_Puntos_Control!A198="","",IF(M6_Puntos_Control!I198="","",M6_Puntos_Control!I198))</f>
        <v/>
      </c>
      <c r="AI1194" s="17" t="str">
        <f>IF(M6_Puntos_Control!A198="","","M6_Puntos_Control!198")</f>
        <v/>
      </c>
      <c r="AJ1194" s="17" t="str">
        <f>IF(M6_Puntos_Control!A198="","",IF(M6_Puntos_Control!K198&lt;&gt;"Sí","Punto de comparación",IF(COUNTIFS(M6_Puntos_Control!$A$9:A198,M6_Puntos_Control!A198,M6_Puntos_Control!$D$9:D198,M6_Puntos_Control!D198,M6_Puntos_Control!$G$9:G198,M6_Puntos_Control!G198,M6_Puntos_Control!$H$9:H198,M6_Puntos_Control!H198,M6_Puntos_Control!$K$9:K198,"Sí")=1,IF(M6_Puntos_Control!M198="","Pendiente de resultado","Punto oficial"),"Revisar: varios puntos oficiales")))</f>
        <v/>
      </c>
    </row>
    <row r="1195" spans="1:36" ht="55.5" customHeight="1">
      <c r="A1195" s="6" t="str">
        <f t="array" ref="A1195">IF(1191&gt;$S$1204,"",INDEX($T$5:$AJ$1204,MATCH(1191,$S$5:$S$1204,0),1))</f>
        <v/>
      </c>
      <c r="B1195" s="8" t="str">
        <f t="array" ref="B1195">IF(1191&gt;$S$1204,"",INDEX($T$5:$AJ$1204,MATCH(1191,$S$5:$S$1204,0),2))</f>
        <v/>
      </c>
      <c r="C1195" s="10" t="str">
        <f t="array" ref="C1195">IF(1191&gt;$S$1204,"",INDEX($T$5:$AJ$1204,MATCH(1191,$S$5:$S$1204,0),3))</f>
        <v/>
      </c>
      <c r="D1195" s="8" t="str">
        <f t="array" ref="D1195">IF(1191&gt;$S$1204,"",INDEX($T$5:$AJ$1204,MATCH(1191,$S$5:$S$1204,0),4))</f>
        <v/>
      </c>
      <c r="E1195" s="8" t="str">
        <f t="array" ref="E1195">IF(1191&gt;$S$1204,"",INDEX($T$5:$AJ$1204,MATCH(1191,$S$5:$S$1204,0),5))</f>
        <v/>
      </c>
      <c r="F1195" s="8" t="str">
        <f t="array" ref="F1195">IF(1191&gt;$S$1204,"",INDEX($T$5:$AJ$1204,MATCH(1191,$S$5:$S$1204,0),6))</f>
        <v/>
      </c>
      <c r="G1195" s="8" t="str">
        <f t="array" ref="G1195">IF(1191&gt;$S$1204,"",INDEX($T$5:$AJ$1204,MATCH(1191,$S$5:$S$1204,0),7))</f>
        <v/>
      </c>
      <c r="H1195" s="8" t="str">
        <f t="array" ref="H1195">IF(1191&gt;$S$1204,"",INDEX($T$5:$AJ$1204,MATCH(1191,$S$5:$S$1204,0),8))</f>
        <v/>
      </c>
      <c r="I1195" s="8" t="str">
        <f t="array" ref="I1195">IF(1191&gt;$S$1204,"",INDEX($T$5:$AJ$1204,MATCH(1191,$S$5:$S$1204,0),9))</f>
        <v/>
      </c>
      <c r="J1195" s="14" t="str">
        <f t="array" ref="J1195">IF(1191&gt;$S$1204,"",INDEX($T$5:$AJ$1204,MATCH(1191,$S$5:$S$1204,0),10))</f>
        <v/>
      </c>
      <c r="K1195" s="8" t="str">
        <f t="array" ref="K1195">IF(1191&gt;$S$1204,"",INDEX($T$5:$AJ$1204,MATCH(1191,$S$5:$S$1204,0),11))</f>
        <v/>
      </c>
      <c r="L1195" s="8" t="str">
        <f t="array" ref="L1195">IF(1191&gt;$S$1204,"",INDEX($T$5:$AJ$1204,MATCH(1191,$S$5:$S$1204,0),12))</f>
        <v/>
      </c>
      <c r="M1195" s="8" t="str">
        <f t="array" ref="M1195">IF(1191&gt;$S$1204,"",INDEX($T$5:$AJ$1204,MATCH(1191,$S$5:$S$1204,0),13))</f>
        <v/>
      </c>
      <c r="N1195" s="8" t="str">
        <f t="array" ref="N1195">IF(1191&gt;$S$1204,"",INDEX($T$5:$AJ$1204,MATCH(1191,$S$5:$S$1204,0),14))</f>
        <v/>
      </c>
      <c r="O1195" s="15" t="str">
        <f t="array" ref="O1195">IF(1191&gt;$S$1204,"",INDEX($T$5:$AJ$1204,MATCH(1191,$S$5:$S$1204,0),15))</f>
        <v/>
      </c>
      <c r="P1195" s="8" t="str">
        <f t="array" ref="P1195">IF(1191&gt;$S$1204,"",INDEX($T$5:$AJ$1204,MATCH(1191,$S$5:$S$1204,0),16))</f>
        <v/>
      </c>
      <c r="Q1195" s="8" t="str">
        <f t="array" ref="Q1195">IF(1191&gt;$S$1204,"",INDEX($T$5:$AJ$1204,MATCH(1191,$S$5:$S$1204,0),17))</f>
        <v/>
      </c>
      <c r="R1195" s="17"/>
      <c r="S1195" s="17">
        <f>S1194+IF(M6_Puntos_Control!A199="",0,1)</f>
        <v>0</v>
      </c>
      <c r="T1195" s="17" t="str">
        <f>IF(M6_Puntos_Control!A199="","",IF(M6_Puntos_Control!A199="","",M6_Puntos_Control!A199))</f>
        <v/>
      </c>
      <c r="U1195" s="17" t="str">
        <f>IF(M6_Puntos_Control!A199="","",IF(M6_Puntos_Control!R199="","",M6_Puntos_Control!R199))</f>
        <v/>
      </c>
      <c r="V1195" s="17" t="str">
        <f>IF(M6_Puntos_Control!A199="","",IF(M6_Puntos_Control!D199="","",M6_Puntos_Control!D199))</f>
        <v/>
      </c>
      <c r="W1195" s="17" t="str">
        <f>IF(M6_Puntos_Control!A199="","",IF(M6_Puntos_Control!B199="","",M6_Puntos_Control!B199))</f>
        <v/>
      </c>
      <c r="X1195" s="17" t="str">
        <f>IF(M6_Puntos_Control!A199="","",IF(M6_Puntos_Control!C199="","",M6_Puntos_Control!C199))</f>
        <v/>
      </c>
      <c r="Y1195" s="17" t="str">
        <f>IF(M6_Puntos_Control!A199="","",IF(M6_Puntos_Control!E199="","",M6_Puntos_Control!E199))</f>
        <v/>
      </c>
      <c r="Z1195" s="17" t="str">
        <f>IF(M6_Puntos_Control!A199="","",IF(M6_Puntos_Control!F199="","",M6_Puntos_Control!F199))</f>
        <v/>
      </c>
      <c r="AA1195" s="17" t="str">
        <f>IF(M6_Puntos_Control!A199="","","M6 Puntos de control")</f>
        <v/>
      </c>
      <c r="AB1195" s="17" t="str">
        <f>IF(M6_Puntos_Control!A199="","",IF(M6_Puntos_Control!G199="","",M6_Puntos_Control!G199))</f>
        <v/>
      </c>
      <c r="AC1195" s="17" t="str">
        <f>IF(M6_Puntos_Control!A199="","",IF(M6_Puntos_Control!K199="Sí",IF(COUNTIFS(M6_Puntos_Control!$A$9:A199,M6_Puntos_Control!A199,M6_Puntos_Control!$D$9:D199,M6_Puntos_Control!D199,M6_Puntos_Control!$G$9:G199,M6_Puntos_Control!G199,M6_Puntos_Control!$H$9:H199,M6_Puntos_Control!H199,M6_Puntos_Control!$K$9:K199,"Sí")=1,IF(M6_Puntos_Control!M199="","",M6_Puntos_Control!M199),""),""))</f>
        <v/>
      </c>
      <c r="AD1195" s="17" t="str">
        <f>IF(M6_Puntos_Control!A199="","","RD")</f>
        <v/>
      </c>
      <c r="AE1195" s="17" t="str">
        <f>IF(M6_Puntos_Control!A199="","",IF(M6_Puntos_Control!O199="","",M6_Puntos_Control!O199))</f>
        <v/>
      </c>
      <c r="AF1195" s="17" t="str">
        <f>IF(M6_Puntos_Control!A199="","",IF(M6_Puntos_Control!P199="","",M6_Puntos_Control!P199))</f>
        <v/>
      </c>
      <c r="AG1195" s="17" t="str">
        <f>IF(M6_Puntos_Control!A199="","",IF(M6_Puntos_Control!Q199="","",M6_Puntos_Control!Q199))</f>
        <v/>
      </c>
      <c r="AH1195" s="17" t="str">
        <f>IF(M6_Puntos_Control!A199="","",IF(M6_Puntos_Control!I199="","",M6_Puntos_Control!I199))</f>
        <v/>
      </c>
      <c r="AI1195" s="17" t="str">
        <f>IF(M6_Puntos_Control!A199="","","M6_Puntos_Control!199")</f>
        <v/>
      </c>
      <c r="AJ1195" s="17" t="str">
        <f>IF(M6_Puntos_Control!A199="","",IF(M6_Puntos_Control!K199&lt;&gt;"Sí","Punto de comparación",IF(COUNTIFS(M6_Puntos_Control!$A$9:A199,M6_Puntos_Control!A199,M6_Puntos_Control!$D$9:D199,M6_Puntos_Control!D199,M6_Puntos_Control!$G$9:G199,M6_Puntos_Control!G199,M6_Puntos_Control!$H$9:H199,M6_Puntos_Control!H199,M6_Puntos_Control!$K$9:K199,"Sí")=1,IF(M6_Puntos_Control!M199="","Pendiente de resultado","Punto oficial"),"Revisar: varios puntos oficiales")))</f>
        <v/>
      </c>
    </row>
    <row r="1196" spans="1:36" ht="55.5" customHeight="1">
      <c r="A1196" s="6" t="str">
        <f t="array" ref="A1196">IF(1192&gt;$S$1204,"",INDEX($T$5:$AJ$1204,MATCH(1192,$S$5:$S$1204,0),1))</f>
        <v/>
      </c>
      <c r="B1196" s="8" t="str">
        <f t="array" ref="B1196">IF(1192&gt;$S$1204,"",INDEX($T$5:$AJ$1204,MATCH(1192,$S$5:$S$1204,0),2))</f>
        <v/>
      </c>
      <c r="C1196" s="10" t="str">
        <f t="array" ref="C1196">IF(1192&gt;$S$1204,"",INDEX($T$5:$AJ$1204,MATCH(1192,$S$5:$S$1204,0),3))</f>
        <v/>
      </c>
      <c r="D1196" s="8" t="str">
        <f t="array" ref="D1196">IF(1192&gt;$S$1204,"",INDEX($T$5:$AJ$1204,MATCH(1192,$S$5:$S$1204,0),4))</f>
        <v/>
      </c>
      <c r="E1196" s="8" t="str">
        <f t="array" ref="E1196">IF(1192&gt;$S$1204,"",INDEX($T$5:$AJ$1204,MATCH(1192,$S$5:$S$1204,0),5))</f>
        <v/>
      </c>
      <c r="F1196" s="8" t="str">
        <f t="array" ref="F1196">IF(1192&gt;$S$1204,"",INDEX($T$5:$AJ$1204,MATCH(1192,$S$5:$S$1204,0),6))</f>
        <v/>
      </c>
      <c r="G1196" s="8" t="str">
        <f t="array" ref="G1196">IF(1192&gt;$S$1204,"",INDEX($T$5:$AJ$1204,MATCH(1192,$S$5:$S$1204,0),7))</f>
        <v/>
      </c>
      <c r="H1196" s="8" t="str">
        <f t="array" ref="H1196">IF(1192&gt;$S$1204,"",INDEX($T$5:$AJ$1204,MATCH(1192,$S$5:$S$1204,0),8))</f>
        <v/>
      </c>
      <c r="I1196" s="8" t="str">
        <f t="array" ref="I1196">IF(1192&gt;$S$1204,"",INDEX($T$5:$AJ$1204,MATCH(1192,$S$5:$S$1204,0),9))</f>
        <v/>
      </c>
      <c r="J1196" s="14" t="str">
        <f t="array" ref="J1196">IF(1192&gt;$S$1204,"",INDEX($T$5:$AJ$1204,MATCH(1192,$S$5:$S$1204,0),10))</f>
        <v/>
      </c>
      <c r="K1196" s="8" t="str">
        <f t="array" ref="K1196">IF(1192&gt;$S$1204,"",INDEX($T$5:$AJ$1204,MATCH(1192,$S$5:$S$1204,0),11))</f>
        <v/>
      </c>
      <c r="L1196" s="8" t="str">
        <f t="array" ref="L1196">IF(1192&gt;$S$1204,"",INDEX($T$5:$AJ$1204,MATCH(1192,$S$5:$S$1204,0),12))</f>
        <v/>
      </c>
      <c r="M1196" s="8" t="str">
        <f t="array" ref="M1196">IF(1192&gt;$S$1204,"",INDEX($T$5:$AJ$1204,MATCH(1192,$S$5:$S$1204,0),13))</f>
        <v/>
      </c>
      <c r="N1196" s="8" t="str">
        <f t="array" ref="N1196">IF(1192&gt;$S$1204,"",INDEX($T$5:$AJ$1204,MATCH(1192,$S$5:$S$1204,0),14))</f>
        <v/>
      </c>
      <c r="O1196" s="15" t="str">
        <f t="array" ref="O1196">IF(1192&gt;$S$1204,"",INDEX($T$5:$AJ$1204,MATCH(1192,$S$5:$S$1204,0),15))</f>
        <v/>
      </c>
      <c r="P1196" s="8" t="str">
        <f t="array" ref="P1196">IF(1192&gt;$S$1204,"",INDEX($T$5:$AJ$1204,MATCH(1192,$S$5:$S$1204,0),16))</f>
        <v/>
      </c>
      <c r="Q1196" s="8" t="str">
        <f t="array" ref="Q1196">IF(1192&gt;$S$1204,"",INDEX($T$5:$AJ$1204,MATCH(1192,$S$5:$S$1204,0),17))</f>
        <v/>
      </c>
      <c r="R1196" s="17"/>
      <c r="S1196" s="17">
        <f>S1195+IF(M6_Puntos_Control!A200="",0,1)</f>
        <v>0</v>
      </c>
      <c r="T1196" s="17" t="str">
        <f>IF(M6_Puntos_Control!A200="","",IF(M6_Puntos_Control!A200="","",M6_Puntos_Control!A200))</f>
        <v/>
      </c>
      <c r="U1196" s="17" t="str">
        <f>IF(M6_Puntos_Control!A200="","",IF(M6_Puntos_Control!R200="","",M6_Puntos_Control!R200))</f>
        <v/>
      </c>
      <c r="V1196" s="17" t="str">
        <f>IF(M6_Puntos_Control!A200="","",IF(M6_Puntos_Control!D200="","",M6_Puntos_Control!D200))</f>
        <v/>
      </c>
      <c r="W1196" s="17" t="str">
        <f>IF(M6_Puntos_Control!A200="","",IF(M6_Puntos_Control!B200="","",M6_Puntos_Control!B200))</f>
        <v/>
      </c>
      <c r="X1196" s="17" t="str">
        <f>IF(M6_Puntos_Control!A200="","",IF(M6_Puntos_Control!C200="","",M6_Puntos_Control!C200))</f>
        <v/>
      </c>
      <c r="Y1196" s="17" t="str">
        <f>IF(M6_Puntos_Control!A200="","",IF(M6_Puntos_Control!E200="","",M6_Puntos_Control!E200))</f>
        <v/>
      </c>
      <c r="Z1196" s="17" t="str">
        <f>IF(M6_Puntos_Control!A200="","",IF(M6_Puntos_Control!F200="","",M6_Puntos_Control!F200))</f>
        <v/>
      </c>
      <c r="AA1196" s="17" t="str">
        <f>IF(M6_Puntos_Control!A200="","","M6 Puntos de control")</f>
        <v/>
      </c>
      <c r="AB1196" s="17" t="str">
        <f>IF(M6_Puntos_Control!A200="","",IF(M6_Puntos_Control!G200="","",M6_Puntos_Control!G200))</f>
        <v/>
      </c>
      <c r="AC1196" s="17" t="str">
        <f>IF(M6_Puntos_Control!A200="","",IF(M6_Puntos_Control!K200="Sí",IF(COUNTIFS(M6_Puntos_Control!$A$9:A200,M6_Puntos_Control!A200,M6_Puntos_Control!$D$9:D200,M6_Puntos_Control!D200,M6_Puntos_Control!$G$9:G200,M6_Puntos_Control!G200,M6_Puntos_Control!$H$9:H200,M6_Puntos_Control!H200,M6_Puntos_Control!$K$9:K200,"Sí")=1,IF(M6_Puntos_Control!M200="","",M6_Puntos_Control!M200),""),""))</f>
        <v/>
      </c>
      <c r="AD1196" s="17" t="str">
        <f>IF(M6_Puntos_Control!A200="","","RD")</f>
        <v/>
      </c>
      <c r="AE1196" s="17" t="str">
        <f>IF(M6_Puntos_Control!A200="","",IF(M6_Puntos_Control!O200="","",M6_Puntos_Control!O200))</f>
        <v/>
      </c>
      <c r="AF1196" s="17" t="str">
        <f>IF(M6_Puntos_Control!A200="","",IF(M6_Puntos_Control!P200="","",M6_Puntos_Control!P200))</f>
        <v/>
      </c>
      <c r="AG1196" s="17" t="str">
        <f>IF(M6_Puntos_Control!A200="","",IF(M6_Puntos_Control!Q200="","",M6_Puntos_Control!Q200))</f>
        <v/>
      </c>
      <c r="AH1196" s="17" t="str">
        <f>IF(M6_Puntos_Control!A200="","",IF(M6_Puntos_Control!I200="","",M6_Puntos_Control!I200))</f>
        <v/>
      </c>
      <c r="AI1196" s="17" t="str">
        <f>IF(M6_Puntos_Control!A200="","","M6_Puntos_Control!200")</f>
        <v/>
      </c>
      <c r="AJ1196" s="17" t="str">
        <f>IF(M6_Puntos_Control!A200="","",IF(M6_Puntos_Control!K200&lt;&gt;"Sí","Punto de comparación",IF(COUNTIFS(M6_Puntos_Control!$A$9:A200,M6_Puntos_Control!A200,M6_Puntos_Control!$D$9:D200,M6_Puntos_Control!D200,M6_Puntos_Control!$G$9:G200,M6_Puntos_Control!G200,M6_Puntos_Control!$H$9:H200,M6_Puntos_Control!H200,M6_Puntos_Control!$K$9:K200,"Sí")=1,IF(M6_Puntos_Control!M200="","Pendiente de resultado","Punto oficial"),"Revisar: varios puntos oficiales")))</f>
        <v/>
      </c>
    </row>
    <row r="1197" spans="1:36" ht="55.5" customHeight="1">
      <c r="A1197" s="6" t="str">
        <f t="array" ref="A1197">IF(1193&gt;$S$1204,"",INDEX($T$5:$AJ$1204,MATCH(1193,$S$5:$S$1204,0),1))</f>
        <v/>
      </c>
      <c r="B1197" s="8" t="str">
        <f t="array" ref="B1197">IF(1193&gt;$S$1204,"",INDEX($T$5:$AJ$1204,MATCH(1193,$S$5:$S$1204,0),2))</f>
        <v/>
      </c>
      <c r="C1197" s="10" t="str">
        <f t="array" ref="C1197">IF(1193&gt;$S$1204,"",INDEX($T$5:$AJ$1204,MATCH(1193,$S$5:$S$1204,0),3))</f>
        <v/>
      </c>
      <c r="D1197" s="8" t="str">
        <f t="array" ref="D1197">IF(1193&gt;$S$1204,"",INDEX($T$5:$AJ$1204,MATCH(1193,$S$5:$S$1204,0),4))</f>
        <v/>
      </c>
      <c r="E1197" s="8" t="str">
        <f t="array" ref="E1197">IF(1193&gt;$S$1204,"",INDEX($T$5:$AJ$1204,MATCH(1193,$S$5:$S$1204,0),5))</f>
        <v/>
      </c>
      <c r="F1197" s="8" t="str">
        <f t="array" ref="F1197">IF(1193&gt;$S$1204,"",INDEX($T$5:$AJ$1204,MATCH(1193,$S$5:$S$1204,0),6))</f>
        <v/>
      </c>
      <c r="G1197" s="8" t="str">
        <f t="array" ref="G1197">IF(1193&gt;$S$1204,"",INDEX($T$5:$AJ$1204,MATCH(1193,$S$5:$S$1204,0),7))</f>
        <v/>
      </c>
      <c r="H1197" s="8" t="str">
        <f t="array" ref="H1197">IF(1193&gt;$S$1204,"",INDEX($T$5:$AJ$1204,MATCH(1193,$S$5:$S$1204,0),8))</f>
        <v/>
      </c>
      <c r="I1197" s="8" t="str">
        <f t="array" ref="I1197">IF(1193&gt;$S$1204,"",INDEX($T$5:$AJ$1204,MATCH(1193,$S$5:$S$1204,0),9))</f>
        <v/>
      </c>
      <c r="J1197" s="14" t="str">
        <f t="array" ref="J1197">IF(1193&gt;$S$1204,"",INDEX($T$5:$AJ$1204,MATCH(1193,$S$5:$S$1204,0),10))</f>
        <v/>
      </c>
      <c r="K1197" s="8" t="str">
        <f t="array" ref="K1197">IF(1193&gt;$S$1204,"",INDEX($T$5:$AJ$1204,MATCH(1193,$S$5:$S$1204,0),11))</f>
        <v/>
      </c>
      <c r="L1197" s="8" t="str">
        <f t="array" ref="L1197">IF(1193&gt;$S$1204,"",INDEX($T$5:$AJ$1204,MATCH(1193,$S$5:$S$1204,0),12))</f>
        <v/>
      </c>
      <c r="M1197" s="8" t="str">
        <f t="array" ref="M1197">IF(1193&gt;$S$1204,"",INDEX($T$5:$AJ$1204,MATCH(1193,$S$5:$S$1204,0),13))</f>
        <v/>
      </c>
      <c r="N1197" s="8" t="str">
        <f t="array" ref="N1197">IF(1193&gt;$S$1204,"",INDEX($T$5:$AJ$1204,MATCH(1193,$S$5:$S$1204,0),14))</f>
        <v/>
      </c>
      <c r="O1197" s="15" t="str">
        <f t="array" ref="O1197">IF(1193&gt;$S$1204,"",INDEX($T$5:$AJ$1204,MATCH(1193,$S$5:$S$1204,0),15))</f>
        <v/>
      </c>
      <c r="P1197" s="8" t="str">
        <f t="array" ref="P1197">IF(1193&gt;$S$1204,"",INDEX($T$5:$AJ$1204,MATCH(1193,$S$5:$S$1204,0),16))</f>
        <v/>
      </c>
      <c r="Q1197" s="8" t="str">
        <f t="array" ref="Q1197">IF(1193&gt;$S$1204,"",INDEX($T$5:$AJ$1204,MATCH(1193,$S$5:$S$1204,0),17))</f>
        <v/>
      </c>
      <c r="R1197" s="17"/>
      <c r="S1197" s="17">
        <f>S1196+IF(M6_Puntos_Control!A201="",0,1)</f>
        <v>0</v>
      </c>
      <c r="T1197" s="17" t="str">
        <f>IF(M6_Puntos_Control!A201="","",IF(M6_Puntos_Control!A201="","",M6_Puntos_Control!A201))</f>
        <v/>
      </c>
      <c r="U1197" s="17" t="str">
        <f>IF(M6_Puntos_Control!A201="","",IF(M6_Puntos_Control!R201="","",M6_Puntos_Control!R201))</f>
        <v/>
      </c>
      <c r="V1197" s="17" t="str">
        <f>IF(M6_Puntos_Control!A201="","",IF(M6_Puntos_Control!D201="","",M6_Puntos_Control!D201))</f>
        <v/>
      </c>
      <c r="W1197" s="17" t="str">
        <f>IF(M6_Puntos_Control!A201="","",IF(M6_Puntos_Control!B201="","",M6_Puntos_Control!B201))</f>
        <v/>
      </c>
      <c r="X1197" s="17" t="str">
        <f>IF(M6_Puntos_Control!A201="","",IF(M6_Puntos_Control!C201="","",M6_Puntos_Control!C201))</f>
        <v/>
      </c>
      <c r="Y1197" s="17" t="str">
        <f>IF(M6_Puntos_Control!A201="","",IF(M6_Puntos_Control!E201="","",M6_Puntos_Control!E201))</f>
        <v/>
      </c>
      <c r="Z1197" s="17" t="str">
        <f>IF(M6_Puntos_Control!A201="","",IF(M6_Puntos_Control!F201="","",M6_Puntos_Control!F201))</f>
        <v/>
      </c>
      <c r="AA1197" s="17" t="str">
        <f>IF(M6_Puntos_Control!A201="","","M6 Puntos de control")</f>
        <v/>
      </c>
      <c r="AB1197" s="17" t="str">
        <f>IF(M6_Puntos_Control!A201="","",IF(M6_Puntos_Control!G201="","",M6_Puntos_Control!G201))</f>
        <v/>
      </c>
      <c r="AC1197" s="17" t="str">
        <f>IF(M6_Puntos_Control!A201="","",IF(M6_Puntos_Control!K201="Sí",IF(COUNTIFS(M6_Puntos_Control!$A$9:A201,M6_Puntos_Control!A201,M6_Puntos_Control!$D$9:D201,M6_Puntos_Control!D201,M6_Puntos_Control!$G$9:G201,M6_Puntos_Control!G201,M6_Puntos_Control!$H$9:H201,M6_Puntos_Control!H201,M6_Puntos_Control!$K$9:K201,"Sí")=1,IF(M6_Puntos_Control!M201="","",M6_Puntos_Control!M201),""),""))</f>
        <v/>
      </c>
      <c r="AD1197" s="17" t="str">
        <f>IF(M6_Puntos_Control!A201="","","RD")</f>
        <v/>
      </c>
      <c r="AE1197" s="17" t="str">
        <f>IF(M6_Puntos_Control!A201="","",IF(M6_Puntos_Control!O201="","",M6_Puntos_Control!O201))</f>
        <v/>
      </c>
      <c r="AF1197" s="17" t="str">
        <f>IF(M6_Puntos_Control!A201="","",IF(M6_Puntos_Control!P201="","",M6_Puntos_Control!P201))</f>
        <v/>
      </c>
      <c r="AG1197" s="17" t="str">
        <f>IF(M6_Puntos_Control!A201="","",IF(M6_Puntos_Control!Q201="","",M6_Puntos_Control!Q201))</f>
        <v/>
      </c>
      <c r="AH1197" s="17" t="str">
        <f>IF(M6_Puntos_Control!A201="","",IF(M6_Puntos_Control!I201="","",M6_Puntos_Control!I201))</f>
        <v/>
      </c>
      <c r="AI1197" s="17" t="str">
        <f>IF(M6_Puntos_Control!A201="","","M6_Puntos_Control!201")</f>
        <v/>
      </c>
      <c r="AJ1197" s="17" t="str">
        <f>IF(M6_Puntos_Control!A201="","",IF(M6_Puntos_Control!K201&lt;&gt;"Sí","Punto de comparación",IF(COUNTIFS(M6_Puntos_Control!$A$9:A201,M6_Puntos_Control!A201,M6_Puntos_Control!$D$9:D201,M6_Puntos_Control!D201,M6_Puntos_Control!$G$9:G201,M6_Puntos_Control!G201,M6_Puntos_Control!$H$9:H201,M6_Puntos_Control!H201,M6_Puntos_Control!$K$9:K201,"Sí")=1,IF(M6_Puntos_Control!M201="","Pendiente de resultado","Punto oficial"),"Revisar: varios puntos oficiales")))</f>
        <v/>
      </c>
    </row>
    <row r="1198" spans="1:36" ht="55.5" customHeight="1">
      <c r="A1198" s="6" t="str">
        <f t="array" ref="A1198">IF(1194&gt;$S$1204,"",INDEX($T$5:$AJ$1204,MATCH(1194,$S$5:$S$1204,0),1))</f>
        <v/>
      </c>
      <c r="B1198" s="8" t="str">
        <f t="array" ref="B1198">IF(1194&gt;$S$1204,"",INDEX($T$5:$AJ$1204,MATCH(1194,$S$5:$S$1204,0),2))</f>
        <v/>
      </c>
      <c r="C1198" s="10" t="str">
        <f t="array" ref="C1198">IF(1194&gt;$S$1204,"",INDEX($T$5:$AJ$1204,MATCH(1194,$S$5:$S$1204,0),3))</f>
        <v/>
      </c>
      <c r="D1198" s="8" t="str">
        <f t="array" ref="D1198">IF(1194&gt;$S$1204,"",INDEX($T$5:$AJ$1204,MATCH(1194,$S$5:$S$1204,0),4))</f>
        <v/>
      </c>
      <c r="E1198" s="8" t="str">
        <f t="array" ref="E1198">IF(1194&gt;$S$1204,"",INDEX($T$5:$AJ$1204,MATCH(1194,$S$5:$S$1204,0),5))</f>
        <v/>
      </c>
      <c r="F1198" s="8" t="str">
        <f t="array" ref="F1198">IF(1194&gt;$S$1204,"",INDEX($T$5:$AJ$1204,MATCH(1194,$S$5:$S$1204,0),6))</f>
        <v/>
      </c>
      <c r="G1198" s="8" t="str">
        <f t="array" ref="G1198">IF(1194&gt;$S$1204,"",INDEX($T$5:$AJ$1204,MATCH(1194,$S$5:$S$1204,0),7))</f>
        <v/>
      </c>
      <c r="H1198" s="8" t="str">
        <f t="array" ref="H1198">IF(1194&gt;$S$1204,"",INDEX($T$5:$AJ$1204,MATCH(1194,$S$5:$S$1204,0),8))</f>
        <v/>
      </c>
      <c r="I1198" s="8" t="str">
        <f t="array" ref="I1198">IF(1194&gt;$S$1204,"",INDEX($T$5:$AJ$1204,MATCH(1194,$S$5:$S$1204,0),9))</f>
        <v/>
      </c>
      <c r="J1198" s="14" t="str">
        <f t="array" ref="J1198">IF(1194&gt;$S$1204,"",INDEX($T$5:$AJ$1204,MATCH(1194,$S$5:$S$1204,0),10))</f>
        <v/>
      </c>
      <c r="K1198" s="8" t="str">
        <f t="array" ref="K1198">IF(1194&gt;$S$1204,"",INDEX($T$5:$AJ$1204,MATCH(1194,$S$5:$S$1204,0),11))</f>
        <v/>
      </c>
      <c r="L1198" s="8" t="str">
        <f t="array" ref="L1198">IF(1194&gt;$S$1204,"",INDEX($T$5:$AJ$1204,MATCH(1194,$S$5:$S$1204,0),12))</f>
        <v/>
      </c>
      <c r="M1198" s="8" t="str">
        <f t="array" ref="M1198">IF(1194&gt;$S$1204,"",INDEX($T$5:$AJ$1204,MATCH(1194,$S$5:$S$1204,0),13))</f>
        <v/>
      </c>
      <c r="N1198" s="8" t="str">
        <f t="array" ref="N1198">IF(1194&gt;$S$1204,"",INDEX($T$5:$AJ$1204,MATCH(1194,$S$5:$S$1204,0),14))</f>
        <v/>
      </c>
      <c r="O1198" s="15" t="str">
        <f t="array" ref="O1198">IF(1194&gt;$S$1204,"",INDEX($T$5:$AJ$1204,MATCH(1194,$S$5:$S$1204,0),15))</f>
        <v/>
      </c>
      <c r="P1198" s="8" t="str">
        <f t="array" ref="P1198">IF(1194&gt;$S$1204,"",INDEX($T$5:$AJ$1204,MATCH(1194,$S$5:$S$1204,0),16))</f>
        <v/>
      </c>
      <c r="Q1198" s="8" t="str">
        <f t="array" ref="Q1198">IF(1194&gt;$S$1204,"",INDEX($T$5:$AJ$1204,MATCH(1194,$S$5:$S$1204,0),17))</f>
        <v/>
      </c>
      <c r="R1198" s="17"/>
      <c r="S1198" s="17">
        <f>S1197+IF(M6_Puntos_Control!A202="",0,1)</f>
        <v>0</v>
      </c>
      <c r="T1198" s="17" t="str">
        <f>IF(M6_Puntos_Control!A202="","",IF(M6_Puntos_Control!A202="","",M6_Puntos_Control!A202))</f>
        <v/>
      </c>
      <c r="U1198" s="17" t="str">
        <f>IF(M6_Puntos_Control!A202="","",IF(M6_Puntos_Control!R202="","",M6_Puntos_Control!R202))</f>
        <v/>
      </c>
      <c r="V1198" s="17" t="str">
        <f>IF(M6_Puntos_Control!A202="","",IF(M6_Puntos_Control!D202="","",M6_Puntos_Control!D202))</f>
        <v/>
      </c>
      <c r="W1198" s="17" t="str">
        <f>IF(M6_Puntos_Control!A202="","",IF(M6_Puntos_Control!B202="","",M6_Puntos_Control!B202))</f>
        <v/>
      </c>
      <c r="X1198" s="17" t="str">
        <f>IF(M6_Puntos_Control!A202="","",IF(M6_Puntos_Control!C202="","",M6_Puntos_Control!C202))</f>
        <v/>
      </c>
      <c r="Y1198" s="17" t="str">
        <f>IF(M6_Puntos_Control!A202="","",IF(M6_Puntos_Control!E202="","",M6_Puntos_Control!E202))</f>
        <v/>
      </c>
      <c r="Z1198" s="17" t="str">
        <f>IF(M6_Puntos_Control!A202="","",IF(M6_Puntos_Control!F202="","",M6_Puntos_Control!F202))</f>
        <v/>
      </c>
      <c r="AA1198" s="17" t="str">
        <f>IF(M6_Puntos_Control!A202="","","M6 Puntos de control")</f>
        <v/>
      </c>
      <c r="AB1198" s="17" t="str">
        <f>IF(M6_Puntos_Control!A202="","",IF(M6_Puntos_Control!G202="","",M6_Puntos_Control!G202))</f>
        <v/>
      </c>
      <c r="AC1198" s="17" t="str">
        <f>IF(M6_Puntos_Control!A202="","",IF(M6_Puntos_Control!K202="Sí",IF(COUNTIFS(M6_Puntos_Control!$A$9:A202,M6_Puntos_Control!A202,M6_Puntos_Control!$D$9:D202,M6_Puntos_Control!D202,M6_Puntos_Control!$G$9:G202,M6_Puntos_Control!G202,M6_Puntos_Control!$H$9:H202,M6_Puntos_Control!H202,M6_Puntos_Control!$K$9:K202,"Sí")=1,IF(M6_Puntos_Control!M202="","",M6_Puntos_Control!M202),""),""))</f>
        <v/>
      </c>
      <c r="AD1198" s="17" t="str">
        <f>IF(M6_Puntos_Control!A202="","","RD")</f>
        <v/>
      </c>
      <c r="AE1198" s="17" t="str">
        <f>IF(M6_Puntos_Control!A202="","",IF(M6_Puntos_Control!O202="","",M6_Puntos_Control!O202))</f>
        <v/>
      </c>
      <c r="AF1198" s="17" t="str">
        <f>IF(M6_Puntos_Control!A202="","",IF(M6_Puntos_Control!P202="","",M6_Puntos_Control!P202))</f>
        <v/>
      </c>
      <c r="AG1198" s="17" t="str">
        <f>IF(M6_Puntos_Control!A202="","",IF(M6_Puntos_Control!Q202="","",M6_Puntos_Control!Q202))</f>
        <v/>
      </c>
      <c r="AH1198" s="17" t="str">
        <f>IF(M6_Puntos_Control!A202="","",IF(M6_Puntos_Control!I202="","",M6_Puntos_Control!I202))</f>
        <v/>
      </c>
      <c r="AI1198" s="17" t="str">
        <f>IF(M6_Puntos_Control!A202="","","M6_Puntos_Control!202")</f>
        <v/>
      </c>
      <c r="AJ1198" s="17" t="str">
        <f>IF(M6_Puntos_Control!A202="","",IF(M6_Puntos_Control!K202&lt;&gt;"Sí","Punto de comparación",IF(COUNTIFS(M6_Puntos_Control!$A$9:A202,M6_Puntos_Control!A202,M6_Puntos_Control!$D$9:D202,M6_Puntos_Control!D202,M6_Puntos_Control!$G$9:G202,M6_Puntos_Control!G202,M6_Puntos_Control!$H$9:H202,M6_Puntos_Control!H202,M6_Puntos_Control!$K$9:K202,"Sí")=1,IF(M6_Puntos_Control!M202="","Pendiente de resultado","Punto oficial"),"Revisar: varios puntos oficiales")))</f>
        <v/>
      </c>
    </row>
    <row r="1199" spans="1:36" ht="55.5" customHeight="1">
      <c r="A1199" s="6" t="str">
        <f t="array" ref="A1199">IF(1195&gt;$S$1204,"",INDEX($T$5:$AJ$1204,MATCH(1195,$S$5:$S$1204,0),1))</f>
        <v/>
      </c>
      <c r="B1199" s="8" t="str">
        <f t="array" ref="B1199">IF(1195&gt;$S$1204,"",INDEX($T$5:$AJ$1204,MATCH(1195,$S$5:$S$1204,0),2))</f>
        <v/>
      </c>
      <c r="C1199" s="10" t="str">
        <f t="array" ref="C1199">IF(1195&gt;$S$1204,"",INDEX($T$5:$AJ$1204,MATCH(1195,$S$5:$S$1204,0),3))</f>
        <v/>
      </c>
      <c r="D1199" s="8" t="str">
        <f t="array" ref="D1199">IF(1195&gt;$S$1204,"",INDEX($T$5:$AJ$1204,MATCH(1195,$S$5:$S$1204,0),4))</f>
        <v/>
      </c>
      <c r="E1199" s="8" t="str">
        <f t="array" ref="E1199">IF(1195&gt;$S$1204,"",INDEX($T$5:$AJ$1204,MATCH(1195,$S$5:$S$1204,0),5))</f>
        <v/>
      </c>
      <c r="F1199" s="8" t="str">
        <f t="array" ref="F1199">IF(1195&gt;$S$1204,"",INDEX($T$5:$AJ$1204,MATCH(1195,$S$5:$S$1204,0),6))</f>
        <v/>
      </c>
      <c r="G1199" s="8" t="str">
        <f t="array" ref="G1199">IF(1195&gt;$S$1204,"",INDEX($T$5:$AJ$1204,MATCH(1195,$S$5:$S$1204,0),7))</f>
        <v/>
      </c>
      <c r="H1199" s="8" t="str">
        <f t="array" ref="H1199">IF(1195&gt;$S$1204,"",INDEX($T$5:$AJ$1204,MATCH(1195,$S$5:$S$1204,0),8))</f>
        <v/>
      </c>
      <c r="I1199" s="8" t="str">
        <f t="array" ref="I1199">IF(1195&gt;$S$1204,"",INDEX($T$5:$AJ$1204,MATCH(1195,$S$5:$S$1204,0),9))</f>
        <v/>
      </c>
      <c r="J1199" s="14" t="str">
        <f t="array" ref="J1199">IF(1195&gt;$S$1204,"",INDEX($T$5:$AJ$1204,MATCH(1195,$S$5:$S$1204,0),10))</f>
        <v/>
      </c>
      <c r="K1199" s="8" t="str">
        <f t="array" ref="K1199">IF(1195&gt;$S$1204,"",INDEX($T$5:$AJ$1204,MATCH(1195,$S$5:$S$1204,0),11))</f>
        <v/>
      </c>
      <c r="L1199" s="8" t="str">
        <f t="array" ref="L1199">IF(1195&gt;$S$1204,"",INDEX($T$5:$AJ$1204,MATCH(1195,$S$5:$S$1204,0),12))</f>
        <v/>
      </c>
      <c r="M1199" s="8" t="str">
        <f t="array" ref="M1199">IF(1195&gt;$S$1204,"",INDEX($T$5:$AJ$1204,MATCH(1195,$S$5:$S$1204,0),13))</f>
        <v/>
      </c>
      <c r="N1199" s="8" t="str">
        <f t="array" ref="N1199">IF(1195&gt;$S$1204,"",INDEX($T$5:$AJ$1204,MATCH(1195,$S$5:$S$1204,0),14))</f>
        <v/>
      </c>
      <c r="O1199" s="15" t="str">
        <f t="array" ref="O1199">IF(1195&gt;$S$1204,"",INDEX($T$5:$AJ$1204,MATCH(1195,$S$5:$S$1204,0),15))</f>
        <v/>
      </c>
      <c r="P1199" s="8" t="str">
        <f t="array" ref="P1199">IF(1195&gt;$S$1204,"",INDEX($T$5:$AJ$1204,MATCH(1195,$S$5:$S$1204,0),16))</f>
        <v/>
      </c>
      <c r="Q1199" s="8" t="str">
        <f t="array" ref="Q1199">IF(1195&gt;$S$1204,"",INDEX($T$5:$AJ$1204,MATCH(1195,$S$5:$S$1204,0),17))</f>
        <v/>
      </c>
      <c r="R1199" s="17"/>
      <c r="S1199" s="17">
        <f>S1198+IF(M6_Puntos_Control!A203="",0,1)</f>
        <v>0</v>
      </c>
      <c r="T1199" s="17" t="str">
        <f>IF(M6_Puntos_Control!A203="","",IF(M6_Puntos_Control!A203="","",M6_Puntos_Control!A203))</f>
        <v/>
      </c>
      <c r="U1199" s="17" t="str">
        <f>IF(M6_Puntos_Control!A203="","",IF(M6_Puntos_Control!R203="","",M6_Puntos_Control!R203))</f>
        <v/>
      </c>
      <c r="V1199" s="17" t="str">
        <f>IF(M6_Puntos_Control!A203="","",IF(M6_Puntos_Control!D203="","",M6_Puntos_Control!D203))</f>
        <v/>
      </c>
      <c r="W1199" s="17" t="str">
        <f>IF(M6_Puntos_Control!A203="","",IF(M6_Puntos_Control!B203="","",M6_Puntos_Control!B203))</f>
        <v/>
      </c>
      <c r="X1199" s="17" t="str">
        <f>IF(M6_Puntos_Control!A203="","",IF(M6_Puntos_Control!C203="","",M6_Puntos_Control!C203))</f>
        <v/>
      </c>
      <c r="Y1199" s="17" t="str">
        <f>IF(M6_Puntos_Control!A203="","",IF(M6_Puntos_Control!E203="","",M6_Puntos_Control!E203))</f>
        <v/>
      </c>
      <c r="Z1199" s="17" t="str">
        <f>IF(M6_Puntos_Control!A203="","",IF(M6_Puntos_Control!F203="","",M6_Puntos_Control!F203))</f>
        <v/>
      </c>
      <c r="AA1199" s="17" t="str">
        <f>IF(M6_Puntos_Control!A203="","","M6 Puntos de control")</f>
        <v/>
      </c>
      <c r="AB1199" s="17" t="str">
        <f>IF(M6_Puntos_Control!A203="","",IF(M6_Puntos_Control!G203="","",M6_Puntos_Control!G203))</f>
        <v/>
      </c>
      <c r="AC1199" s="17" t="str">
        <f>IF(M6_Puntos_Control!A203="","",IF(M6_Puntos_Control!K203="Sí",IF(COUNTIFS(M6_Puntos_Control!$A$9:A203,M6_Puntos_Control!A203,M6_Puntos_Control!$D$9:D203,M6_Puntos_Control!D203,M6_Puntos_Control!$G$9:G203,M6_Puntos_Control!G203,M6_Puntos_Control!$H$9:H203,M6_Puntos_Control!H203,M6_Puntos_Control!$K$9:K203,"Sí")=1,IF(M6_Puntos_Control!M203="","",M6_Puntos_Control!M203),""),""))</f>
        <v/>
      </c>
      <c r="AD1199" s="17" t="str">
        <f>IF(M6_Puntos_Control!A203="","","RD")</f>
        <v/>
      </c>
      <c r="AE1199" s="17" t="str">
        <f>IF(M6_Puntos_Control!A203="","",IF(M6_Puntos_Control!O203="","",M6_Puntos_Control!O203))</f>
        <v/>
      </c>
      <c r="AF1199" s="17" t="str">
        <f>IF(M6_Puntos_Control!A203="","",IF(M6_Puntos_Control!P203="","",M6_Puntos_Control!P203))</f>
        <v/>
      </c>
      <c r="AG1199" s="17" t="str">
        <f>IF(M6_Puntos_Control!A203="","",IF(M6_Puntos_Control!Q203="","",M6_Puntos_Control!Q203))</f>
        <v/>
      </c>
      <c r="AH1199" s="17" t="str">
        <f>IF(M6_Puntos_Control!A203="","",IF(M6_Puntos_Control!I203="","",M6_Puntos_Control!I203))</f>
        <v/>
      </c>
      <c r="AI1199" s="17" t="str">
        <f>IF(M6_Puntos_Control!A203="","","M6_Puntos_Control!203")</f>
        <v/>
      </c>
      <c r="AJ1199" s="17" t="str">
        <f>IF(M6_Puntos_Control!A203="","",IF(M6_Puntos_Control!K203&lt;&gt;"Sí","Punto de comparación",IF(COUNTIFS(M6_Puntos_Control!$A$9:A203,M6_Puntos_Control!A203,M6_Puntos_Control!$D$9:D203,M6_Puntos_Control!D203,M6_Puntos_Control!$G$9:G203,M6_Puntos_Control!G203,M6_Puntos_Control!$H$9:H203,M6_Puntos_Control!H203,M6_Puntos_Control!$K$9:K203,"Sí")=1,IF(M6_Puntos_Control!M203="","Pendiente de resultado","Punto oficial"),"Revisar: varios puntos oficiales")))</f>
        <v/>
      </c>
    </row>
    <row r="1200" spans="1:36" ht="55.5" customHeight="1">
      <c r="A1200" s="6" t="str">
        <f t="array" ref="A1200">IF(1196&gt;$S$1204,"",INDEX($T$5:$AJ$1204,MATCH(1196,$S$5:$S$1204,0),1))</f>
        <v/>
      </c>
      <c r="B1200" s="8" t="str">
        <f t="array" ref="B1200">IF(1196&gt;$S$1204,"",INDEX($T$5:$AJ$1204,MATCH(1196,$S$5:$S$1204,0),2))</f>
        <v/>
      </c>
      <c r="C1200" s="10" t="str">
        <f t="array" ref="C1200">IF(1196&gt;$S$1204,"",INDEX($T$5:$AJ$1204,MATCH(1196,$S$5:$S$1204,0),3))</f>
        <v/>
      </c>
      <c r="D1200" s="8" t="str">
        <f t="array" ref="D1200">IF(1196&gt;$S$1204,"",INDEX($T$5:$AJ$1204,MATCH(1196,$S$5:$S$1204,0),4))</f>
        <v/>
      </c>
      <c r="E1200" s="8" t="str">
        <f t="array" ref="E1200">IF(1196&gt;$S$1204,"",INDEX($T$5:$AJ$1204,MATCH(1196,$S$5:$S$1204,0),5))</f>
        <v/>
      </c>
      <c r="F1200" s="8" t="str">
        <f t="array" ref="F1200">IF(1196&gt;$S$1204,"",INDEX($T$5:$AJ$1204,MATCH(1196,$S$5:$S$1204,0),6))</f>
        <v/>
      </c>
      <c r="G1200" s="8" t="str">
        <f t="array" ref="G1200">IF(1196&gt;$S$1204,"",INDEX($T$5:$AJ$1204,MATCH(1196,$S$5:$S$1204,0),7))</f>
        <v/>
      </c>
      <c r="H1200" s="8" t="str">
        <f t="array" ref="H1200">IF(1196&gt;$S$1204,"",INDEX($T$5:$AJ$1204,MATCH(1196,$S$5:$S$1204,0),8))</f>
        <v/>
      </c>
      <c r="I1200" s="8" t="str">
        <f t="array" ref="I1200">IF(1196&gt;$S$1204,"",INDEX($T$5:$AJ$1204,MATCH(1196,$S$5:$S$1204,0),9))</f>
        <v/>
      </c>
      <c r="J1200" s="14" t="str">
        <f t="array" ref="J1200">IF(1196&gt;$S$1204,"",INDEX($T$5:$AJ$1204,MATCH(1196,$S$5:$S$1204,0),10))</f>
        <v/>
      </c>
      <c r="K1200" s="8" t="str">
        <f t="array" ref="K1200">IF(1196&gt;$S$1204,"",INDEX($T$5:$AJ$1204,MATCH(1196,$S$5:$S$1204,0),11))</f>
        <v/>
      </c>
      <c r="L1200" s="8" t="str">
        <f t="array" ref="L1200">IF(1196&gt;$S$1204,"",INDEX($T$5:$AJ$1204,MATCH(1196,$S$5:$S$1204,0),12))</f>
        <v/>
      </c>
      <c r="M1200" s="8" t="str">
        <f t="array" ref="M1200">IF(1196&gt;$S$1204,"",INDEX($T$5:$AJ$1204,MATCH(1196,$S$5:$S$1204,0),13))</f>
        <v/>
      </c>
      <c r="N1200" s="8" t="str">
        <f t="array" ref="N1200">IF(1196&gt;$S$1204,"",INDEX($T$5:$AJ$1204,MATCH(1196,$S$5:$S$1204,0),14))</f>
        <v/>
      </c>
      <c r="O1200" s="15" t="str">
        <f t="array" ref="O1200">IF(1196&gt;$S$1204,"",INDEX($T$5:$AJ$1204,MATCH(1196,$S$5:$S$1204,0),15))</f>
        <v/>
      </c>
      <c r="P1200" s="8" t="str">
        <f t="array" ref="P1200">IF(1196&gt;$S$1204,"",INDEX($T$5:$AJ$1204,MATCH(1196,$S$5:$S$1204,0),16))</f>
        <v/>
      </c>
      <c r="Q1200" s="8" t="str">
        <f t="array" ref="Q1200">IF(1196&gt;$S$1204,"",INDEX($T$5:$AJ$1204,MATCH(1196,$S$5:$S$1204,0),17))</f>
        <v/>
      </c>
      <c r="R1200" s="17"/>
      <c r="S1200" s="17">
        <f>S1199+IF(M6_Puntos_Control!A204="",0,1)</f>
        <v>0</v>
      </c>
      <c r="T1200" s="17" t="str">
        <f>IF(M6_Puntos_Control!A204="","",IF(M6_Puntos_Control!A204="","",M6_Puntos_Control!A204))</f>
        <v/>
      </c>
      <c r="U1200" s="17" t="str">
        <f>IF(M6_Puntos_Control!A204="","",IF(M6_Puntos_Control!R204="","",M6_Puntos_Control!R204))</f>
        <v/>
      </c>
      <c r="V1200" s="17" t="str">
        <f>IF(M6_Puntos_Control!A204="","",IF(M6_Puntos_Control!D204="","",M6_Puntos_Control!D204))</f>
        <v/>
      </c>
      <c r="W1200" s="17" t="str">
        <f>IF(M6_Puntos_Control!A204="","",IF(M6_Puntos_Control!B204="","",M6_Puntos_Control!B204))</f>
        <v/>
      </c>
      <c r="X1200" s="17" t="str">
        <f>IF(M6_Puntos_Control!A204="","",IF(M6_Puntos_Control!C204="","",M6_Puntos_Control!C204))</f>
        <v/>
      </c>
      <c r="Y1200" s="17" t="str">
        <f>IF(M6_Puntos_Control!A204="","",IF(M6_Puntos_Control!E204="","",M6_Puntos_Control!E204))</f>
        <v/>
      </c>
      <c r="Z1200" s="17" t="str">
        <f>IF(M6_Puntos_Control!A204="","",IF(M6_Puntos_Control!F204="","",M6_Puntos_Control!F204))</f>
        <v/>
      </c>
      <c r="AA1200" s="17" t="str">
        <f>IF(M6_Puntos_Control!A204="","","M6 Puntos de control")</f>
        <v/>
      </c>
      <c r="AB1200" s="17" t="str">
        <f>IF(M6_Puntos_Control!A204="","",IF(M6_Puntos_Control!G204="","",M6_Puntos_Control!G204))</f>
        <v/>
      </c>
      <c r="AC1200" s="17" t="str">
        <f>IF(M6_Puntos_Control!A204="","",IF(M6_Puntos_Control!K204="Sí",IF(COUNTIFS(M6_Puntos_Control!$A$9:A204,M6_Puntos_Control!A204,M6_Puntos_Control!$D$9:D204,M6_Puntos_Control!D204,M6_Puntos_Control!$G$9:G204,M6_Puntos_Control!G204,M6_Puntos_Control!$H$9:H204,M6_Puntos_Control!H204,M6_Puntos_Control!$K$9:K204,"Sí")=1,IF(M6_Puntos_Control!M204="","",M6_Puntos_Control!M204),""),""))</f>
        <v/>
      </c>
      <c r="AD1200" s="17" t="str">
        <f>IF(M6_Puntos_Control!A204="","","RD")</f>
        <v/>
      </c>
      <c r="AE1200" s="17" t="str">
        <f>IF(M6_Puntos_Control!A204="","",IF(M6_Puntos_Control!O204="","",M6_Puntos_Control!O204))</f>
        <v/>
      </c>
      <c r="AF1200" s="17" t="str">
        <f>IF(M6_Puntos_Control!A204="","",IF(M6_Puntos_Control!P204="","",M6_Puntos_Control!P204))</f>
        <v/>
      </c>
      <c r="AG1200" s="17" t="str">
        <f>IF(M6_Puntos_Control!A204="","",IF(M6_Puntos_Control!Q204="","",M6_Puntos_Control!Q204))</f>
        <v/>
      </c>
      <c r="AH1200" s="17" t="str">
        <f>IF(M6_Puntos_Control!A204="","",IF(M6_Puntos_Control!I204="","",M6_Puntos_Control!I204))</f>
        <v/>
      </c>
      <c r="AI1200" s="17" t="str">
        <f>IF(M6_Puntos_Control!A204="","","M6_Puntos_Control!204")</f>
        <v/>
      </c>
      <c r="AJ1200" s="17" t="str">
        <f>IF(M6_Puntos_Control!A204="","",IF(M6_Puntos_Control!K204&lt;&gt;"Sí","Punto de comparación",IF(COUNTIFS(M6_Puntos_Control!$A$9:A204,M6_Puntos_Control!A204,M6_Puntos_Control!$D$9:D204,M6_Puntos_Control!D204,M6_Puntos_Control!$G$9:G204,M6_Puntos_Control!G204,M6_Puntos_Control!$H$9:H204,M6_Puntos_Control!H204,M6_Puntos_Control!$K$9:K204,"Sí")=1,IF(M6_Puntos_Control!M204="","Pendiente de resultado","Punto oficial"),"Revisar: varios puntos oficiales")))</f>
        <v/>
      </c>
    </row>
    <row r="1201" spans="1:36" ht="55.5" customHeight="1">
      <c r="A1201" s="6" t="str">
        <f t="array" ref="A1201">IF(1197&gt;$S$1204,"",INDEX($T$5:$AJ$1204,MATCH(1197,$S$5:$S$1204,0),1))</f>
        <v/>
      </c>
      <c r="B1201" s="8" t="str">
        <f t="array" ref="B1201">IF(1197&gt;$S$1204,"",INDEX($T$5:$AJ$1204,MATCH(1197,$S$5:$S$1204,0),2))</f>
        <v/>
      </c>
      <c r="C1201" s="10" t="str">
        <f t="array" ref="C1201">IF(1197&gt;$S$1204,"",INDEX($T$5:$AJ$1204,MATCH(1197,$S$5:$S$1204,0),3))</f>
        <v/>
      </c>
      <c r="D1201" s="8" t="str">
        <f t="array" ref="D1201">IF(1197&gt;$S$1204,"",INDEX($T$5:$AJ$1204,MATCH(1197,$S$5:$S$1204,0),4))</f>
        <v/>
      </c>
      <c r="E1201" s="8" t="str">
        <f t="array" ref="E1201">IF(1197&gt;$S$1204,"",INDEX($T$5:$AJ$1204,MATCH(1197,$S$5:$S$1204,0),5))</f>
        <v/>
      </c>
      <c r="F1201" s="8" t="str">
        <f t="array" ref="F1201">IF(1197&gt;$S$1204,"",INDEX($T$5:$AJ$1204,MATCH(1197,$S$5:$S$1204,0),6))</f>
        <v/>
      </c>
      <c r="G1201" s="8" t="str">
        <f t="array" ref="G1201">IF(1197&gt;$S$1204,"",INDEX($T$5:$AJ$1204,MATCH(1197,$S$5:$S$1204,0),7))</f>
        <v/>
      </c>
      <c r="H1201" s="8" t="str">
        <f t="array" ref="H1201">IF(1197&gt;$S$1204,"",INDEX($T$5:$AJ$1204,MATCH(1197,$S$5:$S$1204,0),8))</f>
        <v/>
      </c>
      <c r="I1201" s="8" t="str">
        <f t="array" ref="I1201">IF(1197&gt;$S$1204,"",INDEX($T$5:$AJ$1204,MATCH(1197,$S$5:$S$1204,0),9))</f>
        <v/>
      </c>
      <c r="J1201" s="14" t="str">
        <f t="array" ref="J1201">IF(1197&gt;$S$1204,"",INDEX($T$5:$AJ$1204,MATCH(1197,$S$5:$S$1204,0),10))</f>
        <v/>
      </c>
      <c r="K1201" s="8" t="str">
        <f t="array" ref="K1201">IF(1197&gt;$S$1204,"",INDEX($T$5:$AJ$1204,MATCH(1197,$S$5:$S$1204,0),11))</f>
        <v/>
      </c>
      <c r="L1201" s="8" t="str">
        <f t="array" ref="L1201">IF(1197&gt;$S$1204,"",INDEX($T$5:$AJ$1204,MATCH(1197,$S$5:$S$1204,0),12))</f>
        <v/>
      </c>
      <c r="M1201" s="8" t="str">
        <f t="array" ref="M1201">IF(1197&gt;$S$1204,"",INDEX($T$5:$AJ$1204,MATCH(1197,$S$5:$S$1204,0),13))</f>
        <v/>
      </c>
      <c r="N1201" s="8" t="str">
        <f t="array" ref="N1201">IF(1197&gt;$S$1204,"",INDEX($T$5:$AJ$1204,MATCH(1197,$S$5:$S$1204,0),14))</f>
        <v/>
      </c>
      <c r="O1201" s="15" t="str">
        <f t="array" ref="O1201">IF(1197&gt;$S$1204,"",INDEX($T$5:$AJ$1204,MATCH(1197,$S$5:$S$1204,0),15))</f>
        <v/>
      </c>
      <c r="P1201" s="8" t="str">
        <f t="array" ref="P1201">IF(1197&gt;$S$1204,"",INDEX($T$5:$AJ$1204,MATCH(1197,$S$5:$S$1204,0),16))</f>
        <v/>
      </c>
      <c r="Q1201" s="8" t="str">
        <f t="array" ref="Q1201">IF(1197&gt;$S$1204,"",INDEX($T$5:$AJ$1204,MATCH(1197,$S$5:$S$1204,0),17))</f>
        <v/>
      </c>
      <c r="R1201" s="17"/>
      <c r="S1201" s="17">
        <f>S1200+IF(M6_Puntos_Control!A205="",0,1)</f>
        <v>0</v>
      </c>
      <c r="T1201" s="17" t="str">
        <f>IF(M6_Puntos_Control!A205="","",IF(M6_Puntos_Control!A205="","",M6_Puntos_Control!A205))</f>
        <v/>
      </c>
      <c r="U1201" s="17" t="str">
        <f>IF(M6_Puntos_Control!A205="","",IF(M6_Puntos_Control!R205="","",M6_Puntos_Control!R205))</f>
        <v/>
      </c>
      <c r="V1201" s="17" t="str">
        <f>IF(M6_Puntos_Control!A205="","",IF(M6_Puntos_Control!D205="","",M6_Puntos_Control!D205))</f>
        <v/>
      </c>
      <c r="W1201" s="17" t="str">
        <f>IF(M6_Puntos_Control!A205="","",IF(M6_Puntos_Control!B205="","",M6_Puntos_Control!B205))</f>
        <v/>
      </c>
      <c r="X1201" s="17" t="str">
        <f>IF(M6_Puntos_Control!A205="","",IF(M6_Puntos_Control!C205="","",M6_Puntos_Control!C205))</f>
        <v/>
      </c>
      <c r="Y1201" s="17" t="str">
        <f>IF(M6_Puntos_Control!A205="","",IF(M6_Puntos_Control!E205="","",M6_Puntos_Control!E205))</f>
        <v/>
      </c>
      <c r="Z1201" s="17" t="str">
        <f>IF(M6_Puntos_Control!A205="","",IF(M6_Puntos_Control!F205="","",M6_Puntos_Control!F205))</f>
        <v/>
      </c>
      <c r="AA1201" s="17" t="str">
        <f>IF(M6_Puntos_Control!A205="","","M6 Puntos de control")</f>
        <v/>
      </c>
      <c r="AB1201" s="17" t="str">
        <f>IF(M6_Puntos_Control!A205="","",IF(M6_Puntos_Control!G205="","",M6_Puntos_Control!G205))</f>
        <v/>
      </c>
      <c r="AC1201" s="17" t="str">
        <f>IF(M6_Puntos_Control!A205="","",IF(M6_Puntos_Control!K205="Sí",IF(COUNTIFS(M6_Puntos_Control!$A$9:A205,M6_Puntos_Control!A205,M6_Puntos_Control!$D$9:D205,M6_Puntos_Control!D205,M6_Puntos_Control!$G$9:G205,M6_Puntos_Control!G205,M6_Puntos_Control!$H$9:H205,M6_Puntos_Control!H205,M6_Puntos_Control!$K$9:K205,"Sí")=1,IF(M6_Puntos_Control!M205="","",M6_Puntos_Control!M205),""),""))</f>
        <v/>
      </c>
      <c r="AD1201" s="17" t="str">
        <f>IF(M6_Puntos_Control!A205="","","RD")</f>
        <v/>
      </c>
      <c r="AE1201" s="17" t="str">
        <f>IF(M6_Puntos_Control!A205="","",IF(M6_Puntos_Control!O205="","",M6_Puntos_Control!O205))</f>
        <v/>
      </c>
      <c r="AF1201" s="17" t="str">
        <f>IF(M6_Puntos_Control!A205="","",IF(M6_Puntos_Control!P205="","",M6_Puntos_Control!P205))</f>
        <v/>
      </c>
      <c r="AG1201" s="17" t="str">
        <f>IF(M6_Puntos_Control!A205="","",IF(M6_Puntos_Control!Q205="","",M6_Puntos_Control!Q205))</f>
        <v/>
      </c>
      <c r="AH1201" s="17" t="str">
        <f>IF(M6_Puntos_Control!A205="","",IF(M6_Puntos_Control!I205="","",M6_Puntos_Control!I205))</f>
        <v/>
      </c>
      <c r="AI1201" s="17" t="str">
        <f>IF(M6_Puntos_Control!A205="","","M6_Puntos_Control!205")</f>
        <v/>
      </c>
      <c r="AJ1201" s="17" t="str">
        <f>IF(M6_Puntos_Control!A205="","",IF(M6_Puntos_Control!K205&lt;&gt;"Sí","Punto de comparación",IF(COUNTIFS(M6_Puntos_Control!$A$9:A205,M6_Puntos_Control!A205,M6_Puntos_Control!$D$9:D205,M6_Puntos_Control!D205,M6_Puntos_Control!$G$9:G205,M6_Puntos_Control!G205,M6_Puntos_Control!$H$9:H205,M6_Puntos_Control!H205,M6_Puntos_Control!$K$9:K205,"Sí")=1,IF(M6_Puntos_Control!M205="","Pendiente de resultado","Punto oficial"),"Revisar: varios puntos oficiales")))</f>
        <v/>
      </c>
    </row>
    <row r="1202" spans="1:36" ht="55.5" customHeight="1">
      <c r="A1202" s="6" t="str">
        <f t="array" ref="A1202">IF(1198&gt;$S$1204,"",INDEX($T$5:$AJ$1204,MATCH(1198,$S$5:$S$1204,0),1))</f>
        <v/>
      </c>
      <c r="B1202" s="8" t="str">
        <f t="array" ref="B1202">IF(1198&gt;$S$1204,"",INDEX($T$5:$AJ$1204,MATCH(1198,$S$5:$S$1204,0),2))</f>
        <v/>
      </c>
      <c r="C1202" s="10" t="str">
        <f t="array" ref="C1202">IF(1198&gt;$S$1204,"",INDEX($T$5:$AJ$1204,MATCH(1198,$S$5:$S$1204,0),3))</f>
        <v/>
      </c>
      <c r="D1202" s="8" t="str">
        <f t="array" ref="D1202">IF(1198&gt;$S$1204,"",INDEX($T$5:$AJ$1204,MATCH(1198,$S$5:$S$1204,0),4))</f>
        <v/>
      </c>
      <c r="E1202" s="8" t="str">
        <f t="array" ref="E1202">IF(1198&gt;$S$1204,"",INDEX($T$5:$AJ$1204,MATCH(1198,$S$5:$S$1204,0),5))</f>
        <v/>
      </c>
      <c r="F1202" s="8" t="str">
        <f t="array" ref="F1202">IF(1198&gt;$S$1204,"",INDEX($T$5:$AJ$1204,MATCH(1198,$S$5:$S$1204,0),6))</f>
        <v/>
      </c>
      <c r="G1202" s="8" t="str">
        <f t="array" ref="G1202">IF(1198&gt;$S$1204,"",INDEX($T$5:$AJ$1204,MATCH(1198,$S$5:$S$1204,0),7))</f>
        <v/>
      </c>
      <c r="H1202" s="8" t="str">
        <f t="array" ref="H1202">IF(1198&gt;$S$1204,"",INDEX($T$5:$AJ$1204,MATCH(1198,$S$5:$S$1204,0),8))</f>
        <v/>
      </c>
      <c r="I1202" s="8" t="str">
        <f t="array" ref="I1202">IF(1198&gt;$S$1204,"",INDEX($T$5:$AJ$1204,MATCH(1198,$S$5:$S$1204,0),9))</f>
        <v/>
      </c>
      <c r="J1202" s="14" t="str">
        <f t="array" ref="J1202">IF(1198&gt;$S$1204,"",INDEX($T$5:$AJ$1204,MATCH(1198,$S$5:$S$1204,0),10))</f>
        <v/>
      </c>
      <c r="K1202" s="8" t="str">
        <f t="array" ref="K1202">IF(1198&gt;$S$1204,"",INDEX($T$5:$AJ$1204,MATCH(1198,$S$5:$S$1204,0),11))</f>
        <v/>
      </c>
      <c r="L1202" s="8" t="str">
        <f t="array" ref="L1202">IF(1198&gt;$S$1204,"",INDEX($T$5:$AJ$1204,MATCH(1198,$S$5:$S$1204,0),12))</f>
        <v/>
      </c>
      <c r="M1202" s="8" t="str">
        <f t="array" ref="M1202">IF(1198&gt;$S$1204,"",INDEX($T$5:$AJ$1204,MATCH(1198,$S$5:$S$1204,0),13))</f>
        <v/>
      </c>
      <c r="N1202" s="8" t="str">
        <f t="array" ref="N1202">IF(1198&gt;$S$1204,"",INDEX($T$5:$AJ$1204,MATCH(1198,$S$5:$S$1204,0),14))</f>
        <v/>
      </c>
      <c r="O1202" s="15" t="str">
        <f t="array" ref="O1202">IF(1198&gt;$S$1204,"",INDEX($T$5:$AJ$1204,MATCH(1198,$S$5:$S$1204,0),15))</f>
        <v/>
      </c>
      <c r="P1202" s="8" t="str">
        <f t="array" ref="P1202">IF(1198&gt;$S$1204,"",INDEX($T$5:$AJ$1204,MATCH(1198,$S$5:$S$1204,0),16))</f>
        <v/>
      </c>
      <c r="Q1202" s="8" t="str">
        <f t="array" ref="Q1202">IF(1198&gt;$S$1204,"",INDEX($T$5:$AJ$1204,MATCH(1198,$S$5:$S$1204,0),17))</f>
        <v/>
      </c>
      <c r="R1202" s="17"/>
      <c r="S1202" s="17">
        <f>S1201+IF(M6_Puntos_Control!A206="",0,1)</f>
        <v>0</v>
      </c>
      <c r="T1202" s="17" t="str">
        <f>IF(M6_Puntos_Control!A206="","",IF(M6_Puntos_Control!A206="","",M6_Puntos_Control!A206))</f>
        <v/>
      </c>
      <c r="U1202" s="17" t="str">
        <f>IF(M6_Puntos_Control!A206="","",IF(M6_Puntos_Control!R206="","",M6_Puntos_Control!R206))</f>
        <v/>
      </c>
      <c r="V1202" s="17" t="str">
        <f>IF(M6_Puntos_Control!A206="","",IF(M6_Puntos_Control!D206="","",M6_Puntos_Control!D206))</f>
        <v/>
      </c>
      <c r="W1202" s="17" t="str">
        <f>IF(M6_Puntos_Control!A206="","",IF(M6_Puntos_Control!B206="","",M6_Puntos_Control!B206))</f>
        <v/>
      </c>
      <c r="X1202" s="17" t="str">
        <f>IF(M6_Puntos_Control!A206="","",IF(M6_Puntos_Control!C206="","",M6_Puntos_Control!C206))</f>
        <v/>
      </c>
      <c r="Y1202" s="17" t="str">
        <f>IF(M6_Puntos_Control!A206="","",IF(M6_Puntos_Control!E206="","",M6_Puntos_Control!E206))</f>
        <v/>
      </c>
      <c r="Z1202" s="17" t="str">
        <f>IF(M6_Puntos_Control!A206="","",IF(M6_Puntos_Control!F206="","",M6_Puntos_Control!F206))</f>
        <v/>
      </c>
      <c r="AA1202" s="17" t="str">
        <f>IF(M6_Puntos_Control!A206="","","M6 Puntos de control")</f>
        <v/>
      </c>
      <c r="AB1202" s="17" t="str">
        <f>IF(M6_Puntos_Control!A206="","",IF(M6_Puntos_Control!G206="","",M6_Puntos_Control!G206))</f>
        <v/>
      </c>
      <c r="AC1202" s="17" t="str">
        <f>IF(M6_Puntos_Control!A206="","",IF(M6_Puntos_Control!K206="Sí",IF(COUNTIFS(M6_Puntos_Control!$A$9:A206,M6_Puntos_Control!A206,M6_Puntos_Control!$D$9:D206,M6_Puntos_Control!D206,M6_Puntos_Control!$G$9:G206,M6_Puntos_Control!G206,M6_Puntos_Control!$H$9:H206,M6_Puntos_Control!H206,M6_Puntos_Control!$K$9:K206,"Sí")=1,IF(M6_Puntos_Control!M206="","",M6_Puntos_Control!M206),""),""))</f>
        <v/>
      </c>
      <c r="AD1202" s="17" t="str">
        <f>IF(M6_Puntos_Control!A206="","","RD")</f>
        <v/>
      </c>
      <c r="AE1202" s="17" t="str">
        <f>IF(M6_Puntos_Control!A206="","",IF(M6_Puntos_Control!O206="","",M6_Puntos_Control!O206))</f>
        <v/>
      </c>
      <c r="AF1202" s="17" t="str">
        <f>IF(M6_Puntos_Control!A206="","",IF(M6_Puntos_Control!P206="","",M6_Puntos_Control!P206))</f>
        <v/>
      </c>
      <c r="AG1202" s="17" t="str">
        <f>IF(M6_Puntos_Control!A206="","",IF(M6_Puntos_Control!Q206="","",M6_Puntos_Control!Q206))</f>
        <v/>
      </c>
      <c r="AH1202" s="17" t="str">
        <f>IF(M6_Puntos_Control!A206="","",IF(M6_Puntos_Control!I206="","",M6_Puntos_Control!I206))</f>
        <v/>
      </c>
      <c r="AI1202" s="17" t="str">
        <f>IF(M6_Puntos_Control!A206="","","M6_Puntos_Control!206")</f>
        <v/>
      </c>
      <c r="AJ1202" s="17" t="str">
        <f>IF(M6_Puntos_Control!A206="","",IF(M6_Puntos_Control!K206&lt;&gt;"Sí","Punto de comparación",IF(COUNTIFS(M6_Puntos_Control!$A$9:A206,M6_Puntos_Control!A206,M6_Puntos_Control!$D$9:D206,M6_Puntos_Control!D206,M6_Puntos_Control!$G$9:G206,M6_Puntos_Control!G206,M6_Puntos_Control!$H$9:H206,M6_Puntos_Control!H206,M6_Puntos_Control!$K$9:K206,"Sí")=1,IF(M6_Puntos_Control!M206="","Pendiente de resultado","Punto oficial"),"Revisar: varios puntos oficiales")))</f>
        <v/>
      </c>
    </row>
    <row r="1203" spans="1:36" ht="55.5" customHeight="1">
      <c r="A1203" s="6" t="str">
        <f t="array" ref="A1203">IF(1199&gt;$S$1204,"",INDEX($T$5:$AJ$1204,MATCH(1199,$S$5:$S$1204,0),1))</f>
        <v/>
      </c>
      <c r="B1203" s="8" t="str">
        <f t="array" ref="B1203">IF(1199&gt;$S$1204,"",INDEX($T$5:$AJ$1204,MATCH(1199,$S$5:$S$1204,0),2))</f>
        <v/>
      </c>
      <c r="C1203" s="10" t="str">
        <f t="array" ref="C1203">IF(1199&gt;$S$1204,"",INDEX($T$5:$AJ$1204,MATCH(1199,$S$5:$S$1204,0),3))</f>
        <v/>
      </c>
      <c r="D1203" s="8" t="str">
        <f t="array" ref="D1203">IF(1199&gt;$S$1204,"",INDEX($T$5:$AJ$1204,MATCH(1199,$S$5:$S$1204,0),4))</f>
        <v/>
      </c>
      <c r="E1203" s="8" t="str">
        <f t="array" ref="E1203">IF(1199&gt;$S$1204,"",INDEX($T$5:$AJ$1204,MATCH(1199,$S$5:$S$1204,0),5))</f>
        <v/>
      </c>
      <c r="F1203" s="8" t="str">
        <f t="array" ref="F1203">IF(1199&gt;$S$1204,"",INDEX($T$5:$AJ$1204,MATCH(1199,$S$5:$S$1204,0),6))</f>
        <v/>
      </c>
      <c r="G1203" s="8" t="str">
        <f t="array" ref="G1203">IF(1199&gt;$S$1204,"",INDEX($T$5:$AJ$1204,MATCH(1199,$S$5:$S$1204,0),7))</f>
        <v/>
      </c>
      <c r="H1203" s="8" t="str">
        <f t="array" ref="H1203">IF(1199&gt;$S$1204,"",INDEX($T$5:$AJ$1204,MATCH(1199,$S$5:$S$1204,0),8))</f>
        <v/>
      </c>
      <c r="I1203" s="8" t="str">
        <f t="array" ref="I1203">IF(1199&gt;$S$1204,"",INDEX($T$5:$AJ$1204,MATCH(1199,$S$5:$S$1204,0),9))</f>
        <v/>
      </c>
      <c r="J1203" s="14" t="str">
        <f t="array" ref="J1203">IF(1199&gt;$S$1204,"",INDEX($T$5:$AJ$1204,MATCH(1199,$S$5:$S$1204,0),10))</f>
        <v/>
      </c>
      <c r="K1203" s="8" t="str">
        <f t="array" ref="K1203">IF(1199&gt;$S$1204,"",INDEX($T$5:$AJ$1204,MATCH(1199,$S$5:$S$1204,0),11))</f>
        <v/>
      </c>
      <c r="L1203" s="8" t="str">
        <f t="array" ref="L1203">IF(1199&gt;$S$1204,"",INDEX($T$5:$AJ$1204,MATCH(1199,$S$5:$S$1204,0),12))</f>
        <v/>
      </c>
      <c r="M1203" s="8" t="str">
        <f t="array" ref="M1203">IF(1199&gt;$S$1204,"",INDEX($T$5:$AJ$1204,MATCH(1199,$S$5:$S$1204,0),13))</f>
        <v/>
      </c>
      <c r="N1203" s="8" t="str">
        <f t="array" ref="N1203">IF(1199&gt;$S$1204,"",INDEX($T$5:$AJ$1204,MATCH(1199,$S$5:$S$1204,0),14))</f>
        <v/>
      </c>
      <c r="O1203" s="15" t="str">
        <f t="array" ref="O1203">IF(1199&gt;$S$1204,"",INDEX($T$5:$AJ$1204,MATCH(1199,$S$5:$S$1204,0),15))</f>
        <v/>
      </c>
      <c r="P1203" s="8" t="str">
        <f t="array" ref="P1203">IF(1199&gt;$S$1204,"",INDEX($T$5:$AJ$1204,MATCH(1199,$S$5:$S$1204,0),16))</f>
        <v/>
      </c>
      <c r="Q1203" s="8" t="str">
        <f t="array" ref="Q1203">IF(1199&gt;$S$1204,"",INDEX($T$5:$AJ$1204,MATCH(1199,$S$5:$S$1204,0),17))</f>
        <v/>
      </c>
      <c r="R1203" s="17"/>
      <c r="S1203" s="17">
        <f>S1202+IF(M6_Puntos_Control!A207="",0,1)</f>
        <v>0</v>
      </c>
      <c r="T1203" s="17" t="str">
        <f>IF(M6_Puntos_Control!A207="","",IF(M6_Puntos_Control!A207="","",M6_Puntos_Control!A207))</f>
        <v/>
      </c>
      <c r="U1203" s="17" t="str">
        <f>IF(M6_Puntos_Control!A207="","",IF(M6_Puntos_Control!R207="","",M6_Puntos_Control!R207))</f>
        <v/>
      </c>
      <c r="V1203" s="17" t="str">
        <f>IF(M6_Puntos_Control!A207="","",IF(M6_Puntos_Control!D207="","",M6_Puntos_Control!D207))</f>
        <v/>
      </c>
      <c r="W1203" s="17" t="str">
        <f>IF(M6_Puntos_Control!A207="","",IF(M6_Puntos_Control!B207="","",M6_Puntos_Control!B207))</f>
        <v/>
      </c>
      <c r="X1203" s="17" t="str">
        <f>IF(M6_Puntos_Control!A207="","",IF(M6_Puntos_Control!C207="","",M6_Puntos_Control!C207))</f>
        <v/>
      </c>
      <c r="Y1203" s="17" t="str">
        <f>IF(M6_Puntos_Control!A207="","",IF(M6_Puntos_Control!E207="","",M6_Puntos_Control!E207))</f>
        <v/>
      </c>
      <c r="Z1203" s="17" t="str">
        <f>IF(M6_Puntos_Control!A207="","",IF(M6_Puntos_Control!F207="","",M6_Puntos_Control!F207))</f>
        <v/>
      </c>
      <c r="AA1203" s="17" t="str">
        <f>IF(M6_Puntos_Control!A207="","","M6 Puntos de control")</f>
        <v/>
      </c>
      <c r="AB1203" s="17" t="str">
        <f>IF(M6_Puntos_Control!A207="","",IF(M6_Puntos_Control!G207="","",M6_Puntos_Control!G207))</f>
        <v/>
      </c>
      <c r="AC1203" s="17" t="str">
        <f>IF(M6_Puntos_Control!A207="","",IF(M6_Puntos_Control!K207="Sí",IF(COUNTIFS(M6_Puntos_Control!$A$9:A207,M6_Puntos_Control!A207,M6_Puntos_Control!$D$9:D207,M6_Puntos_Control!D207,M6_Puntos_Control!$G$9:G207,M6_Puntos_Control!G207,M6_Puntos_Control!$H$9:H207,M6_Puntos_Control!H207,M6_Puntos_Control!$K$9:K207,"Sí")=1,IF(M6_Puntos_Control!M207="","",M6_Puntos_Control!M207),""),""))</f>
        <v/>
      </c>
      <c r="AD1203" s="17" t="str">
        <f>IF(M6_Puntos_Control!A207="","","RD")</f>
        <v/>
      </c>
      <c r="AE1203" s="17" t="str">
        <f>IF(M6_Puntos_Control!A207="","",IF(M6_Puntos_Control!O207="","",M6_Puntos_Control!O207))</f>
        <v/>
      </c>
      <c r="AF1203" s="17" t="str">
        <f>IF(M6_Puntos_Control!A207="","",IF(M6_Puntos_Control!P207="","",M6_Puntos_Control!P207))</f>
        <v/>
      </c>
      <c r="AG1203" s="17" t="str">
        <f>IF(M6_Puntos_Control!A207="","",IF(M6_Puntos_Control!Q207="","",M6_Puntos_Control!Q207))</f>
        <v/>
      </c>
      <c r="AH1203" s="17" t="str">
        <f>IF(M6_Puntos_Control!A207="","",IF(M6_Puntos_Control!I207="","",M6_Puntos_Control!I207))</f>
        <v/>
      </c>
      <c r="AI1203" s="17" t="str">
        <f>IF(M6_Puntos_Control!A207="","","M6_Puntos_Control!207")</f>
        <v/>
      </c>
      <c r="AJ1203" s="17" t="str">
        <f>IF(M6_Puntos_Control!A207="","",IF(M6_Puntos_Control!K207&lt;&gt;"Sí","Punto de comparación",IF(COUNTIFS(M6_Puntos_Control!$A$9:A207,M6_Puntos_Control!A207,M6_Puntos_Control!$D$9:D207,M6_Puntos_Control!D207,M6_Puntos_Control!$G$9:G207,M6_Puntos_Control!G207,M6_Puntos_Control!$H$9:H207,M6_Puntos_Control!H207,M6_Puntos_Control!$K$9:K207,"Sí")=1,IF(M6_Puntos_Control!M207="","Pendiente de resultado","Punto oficial"),"Revisar: varios puntos oficiales")))</f>
        <v/>
      </c>
    </row>
    <row r="1204" spans="1:36" ht="55.5" customHeight="1">
      <c r="A1204" s="6" t="str">
        <f t="array" ref="A1204">IF(1200&gt;$S$1204,"",INDEX($T$5:$AJ$1204,MATCH(1200,$S$5:$S$1204,0),1))</f>
        <v/>
      </c>
      <c r="B1204" s="8" t="str">
        <f t="array" ref="B1204">IF(1200&gt;$S$1204,"",INDEX($T$5:$AJ$1204,MATCH(1200,$S$5:$S$1204,0),2))</f>
        <v/>
      </c>
      <c r="C1204" s="10" t="str">
        <f t="array" ref="C1204">IF(1200&gt;$S$1204,"",INDEX($T$5:$AJ$1204,MATCH(1200,$S$5:$S$1204,0),3))</f>
        <v/>
      </c>
      <c r="D1204" s="8" t="str">
        <f t="array" ref="D1204">IF(1200&gt;$S$1204,"",INDEX($T$5:$AJ$1204,MATCH(1200,$S$5:$S$1204,0),4))</f>
        <v/>
      </c>
      <c r="E1204" s="8" t="str">
        <f t="array" ref="E1204">IF(1200&gt;$S$1204,"",INDEX($T$5:$AJ$1204,MATCH(1200,$S$5:$S$1204,0),5))</f>
        <v/>
      </c>
      <c r="F1204" s="8" t="str">
        <f t="array" ref="F1204">IF(1200&gt;$S$1204,"",INDEX($T$5:$AJ$1204,MATCH(1200,$S$5:$S$1204,0),6))</f>
        <v/>
      </c>
      <c r="G1204" s="8" t="str">
        <f t="array" ref="G1204">IF(1200&gt;$S$1204,"",INDEX($T$5:$AJ$1204,MATCH(1200,$S$5:$S$1204,0),7))</f>
        <v/>
      </c>
      <c r="H1204" s="8" t="str">
        <f t="array" ref="H1204">IF(1200&gt;$S$1204,"",INDEX($T$5:$AJ$1204,MATCH(1200,$S$5:$S$1204,0),8))</f>
        <v/>
      </c>
      <c r="I1204" s="8" t="str">
        <f t="array" ref="I1204">IF(1200&gt;$S$1204,"",INDEX($T$5:$AJ$1204,MATCH(1200,$S$5:$S$1204,0),9))</f>
        <v/>
      </c>
      <c r="J1204" s="14" t="str">
        <f t="array" ref="J1204">IF(1200&gt;$S$1204,"",INDEX($T$5:$AJ$1204,MATCH(1200,$S$5:$S$1204,0),10))</f>
        <v/>
      </c>
      <c r="K1204" s="8" t="str">
        <f t="array" ref="K1204">IF(1200&gt;$S$1204,"",INDEX($T$5:$AJ$1204,MATCH(1200,$S$5:$S$1204,0),11))</f>
        <v/>
      </c>
      <c r="L1204" s="8" t="str">
        <f t="array" ref="L1204">IF(1200&gt;$S$1204,"",INDEX($T$5:$AJ$1204,MATCH(1200,$S$5:$S$1204,0),12))</f>
        <v/>
      </c>
      <c r="M1204" s="8" t="str">
        <f t="array" ref="M1204">IF(1200&gt;$S$1204,"",INDEX($T$5:$AJ$1204,MATCH(1200,$S$5:$S$1204,0),13))</f>
        <v/>
      </c>
      <c r="N1204" s="8" t="str">
        <f t="array" ref="N1204">IF(1200&gt;$S$1204,"",INDEX($T$5:$AJ$1204,MATCH(1200,$S$5:$S$1204,0),14))</f>
        <v/>
      </c>
      <c r="O1204" s="15" t="str">
        <f t="array" ref="O1204">IF(1200&gt;$S$1204,"",INDEX($T$5:$AJ$1204,MATCH(1200,$S$5:$S$1204,0),15))</f>
        <v/>
      </c>
      <c r="P1204" s="8" t="str">
        <f t="array" ref="P1204">IF(1200&gt;$S$1204,"",INDEX($T$5:$AJ$1204,MATCH(1200,$S$5:$S$1204,0),16))</f>
        <v/>
      </c>
      <c r="Q1204" s="8" t="str">
        <f t="array" ref="Q1204">IF(1200&gt;$S$1204,"",INDEX($T$5:$AJ$1204,MATCH(1200,$S$5:$S$1204,0),17))</f>
        <v/>
      </c>
      <c r="R1204" s="17"/>
      <c r="S1204" s="17">
        <f>S1203+IF(M6_Puntos_Control!A208="",0,1)</f>
        <v>0</v>
      </c>
      <c r="T1204" s="17" t="str">
        <f>IF(M6_Puntos_Control!A208="","",IF(M6_Puntos_Control!A208="","",M6_Puntos_Control!A208))</f>
        <v/>
      </c>
      <c r="U1204" s="17" t="str">
        <f>IF(M6_Puntos_Control!A208="","",IF(M6_Puntos_Control!R208="","",M6_Puntos_Control!R208))</f>
        <v/>
      </c>
      <c r="V1204" s="17" t="str">
        <f>IF(M6_Puntos_Control!A208="","",IF(M6_Puntos_Control!D208="","",M6_Puntos_Control!D208))</f>
        <v/>
      </c>
      <c r="W1204" s="17" t="str">
        <f>IF(M6_Puntos_Control!A208="","",IF(M6_Puntos_Control!B208="","",M6_Puntos_Control!B208))</f>
        <v/>
      </c>
      <c r="X1204" s="17" t="str">
        <f>IF(M6_Puntos_Control!A208="","",IF(M6_Puntos_Control!C208="","",M6_Puntos_Control!C208))</f>
        <v/>
      </c>
      <c r="Y1204" s="17" t="str">
        <f>IF(M6_Puntos_Control!A208="","",IF(M6_Puntos_Control!E208="","",M6_Puntos_Control!E208))</f>
        <v/>
      </c>
      <c r="Z1204" s="17" t="str">
        <f>IF(M6_Puntos_Control!A208="","",IF(M6_Puntos_Control!F208="","",M6_Puntos_Control!F208))</f>
        <v/>
      </c>
      <c r="AA1204" s="17" t="str">
        <f>IF(M6_Puntos_Control!A208="","","M6 Puntos de control")</f>
        <v/>
      </c>
      <c r="AB1204" s="17" t="str">
        <f>IF(M6_Puntos_Control!A208="","",IF(M6_Puntos_Control!G208="","",M6_Puntos_Control!G208))</f>
        <v/>
      </c>
      <c r="AC1204" s="17" t="str">
        <f>IF(M6_Puntos_Control!A208="","",IF(M6_Puntos_Control!K208="Sí",IF(COUNTIFS(M6_Puntos_Control!$A$9:A208,M6_Puntos_Control!A208,M6_Puntos_Control!$D$9:D208,M6_Puntos_Control!D208,M6_Puntos_Control!$G$9:G208,M6_Puntos_Control!G208,M6_Puntos_Control!$H$9:H208,M6_Puntos_Control!H208,M6_Puntos_Control!$K$9:K208,"Sí")=1,IF(M6_Puntos_Control!M208="","",M6_Puntos_Control!M208),""),""))</f>
        <v/>
      </c>
      <c r="AD1204" s="17" t="str">
        <f>IF(M6_Puntos_Control!A208="","","RD")</f>
        <v/>
      </c>
      <c r="AE1204" s="17" t="str">
        <f>IF(M6_Puntos_Control!A208="","",IF(M6_Puntos_Control!O208="","",M6_Puntos_Control!O208))</f>
        <v/>
      </c>
      <c r="AF1204" s="17" t="str">
        <f>IF(M6_Puntos_Control!A208="","",IF(M6_Puntos_Control!P208="","",M6_Puntos_Control!P208))</f>
        <v/>
      </c>
      <c r="AG1204" s="17" t="str">
        <f>IF(M6_Puntos_Control!A208="","",IF(M6_Puntos_Control!Q208="","",M6_Puntos_Control!Q208))</f>
        <v/>
      </c>
      <c r="AH1204" s="17" t="str">
        <f>IF(M6_Puntos_Control!A208="","",IF(M6_Puntos_Control!I208="","",M6_Puntos_Control!I208))</f>
        <v/>
      </c>
      <c r="AI1204" s="17" t="str">
        <f>IF(M6_Puntos_Control!A208="","","M6_Puntos_Control!208")</f>
        <v/>
      </c>
      <c r="AJ1204" s="17" t="str">
        <f>IF(M6_Puntos_Control!A208="","",IF(M6_Puntos_Control!K208&lt;&gt;"Sí","Punto de comparación",IF(COUNTIFS(M6_Puntos_Control!$A$9:A208,M6_Puntos_Control!A208,M6_Puntos_Control!$D$9:D208,M6_Puntos_Control!D208,M6_Puntos_Control!$G$9:G208,M6_Puntos_Control!G208,M6_Puntos_Control!$H$9:H208,M6_Puntos_Control!H208,M6_Puntos_Control!$K$9:K208,"Sí")=1,IF(M6_Puntos_Control!M208="","Pendiente de resultado","Punto oficial"),"Revisar: varios puntos oficiales")))</f>
        <v/>
      </c>
    </row>
    <row r="1205" spans="1:36" ht="14.25" customHeight="1">
      <c r="A1205" s="21"/>
      <c r="B1205" s="22"/>
      <c r="C1205" s="22"/>
      <c r="D1205" s="22"/>
      <c r="E1205" s="22"/>
      <c r="F1205" s="22"/>
      <c r="G1205" s="22"/>
      <c r="H1205" s="22"/>
      <c r="I1205" s="22"/>
      <c r="J1205" s="22"/>
      <c r="K1205" s="22"/>
      <c r="L1205" s="22"/>
      <c r="M1205" s="22"/>
      <c r="N1205" s="22"/>
      <c r="O1205" s="22"/>
      <c r="P1205" s="22"/>
      <c r="Q1205" s="22"/>
    </row>
    <row r="1206" spans="1:36" ht="14.25" customHeight="1">
      <c r="A1206" s="21"/>
      <c r="B1206" s="22"/>
      <c r="C1206" s="22"/>
      <c r="D1206" s="22"/>
      <c r="E1206" s="22"/>
      <c r="F1206" s="22"/>
      <c r="G1206" s="22"/>
      <c r="H1206" s="22"/>
      <c r="I1206" s="22"/>
      <c r="J1206" s="22"/>
      <c r="K1206" s="22"/>
      <c r="L1206" s="22"/>
      <c r="M1206" s="22"/>
      <c r="N1206" s="22"/>
      <c r="O1206" s="22"/>
      <c r="P1206" s="22"/>
      <c r="Q1206" s="22"/>
    </row>
  </sheetData>
  <autoFilter ref="A4:Q1204" xr:uid="{00000000-0009-0000-0000-000001000000}"/>
  <mergeCells count="5">
    <mergeCell ref="A1:B3"/>
    <mergeCell ref="C1:O3"/>
    <mergeCell ref="P1:Q1"/>
    <mergeCell ref="P2:Q2"/>
    <mergeCell ref="P3:Q3"/>
  </mergeCells>
  <pageMargins left="0.70866141732283472" right="0.70866141732283472" top="0.74803149606299213" bottom="0.74803149606299213" header="0" footer="0"/>
  <pageSetup scale="2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00"/>
  <sheetViews>
    <sheetView workbookViewId="0">
      <selection sqref="A1:Q1"/>
    </sheetView>
  </sheetViews>
  <sheetFormatPr baseColWidth="10" defaultColWidth="12.59765625" defaultRowHeight="15" customHeight="1"/>
  <cols>
    <col min="1" max="1" width="18" customWidth="1"/>
    <col min="2" max="2" width="22" customWidth="1"/>
    <col min="3" max="3" width="30" customWidth="1"/>
    <col min="4" max="4" width="12" customWidth="1"/>
    <col min="5" max="5" width="24" customWidth="1"/>
    <col min="6" max="6" width="22" customWidth="1"/>
    <col min="7" max="7" width="20" customWidth="1"/>
    <col min="8" max="8" width="26" customWidth="1"/>
    <col min="9" max="10" width="18" customWidth="1"/>
    <col min="11" max="11" width="20" customWidth="1"/>
    <col min="12" max="12" width="16" customWidth="1"/>
    <col min="13" max="13" width="18" customWidth="1"/>
    <col min="14" max="14" width="20" customWidth="1"/>
    <col min="15" max="15" width="12" customWidth="1"/>
    <col min="16" max="16" width="34" customWidth="1"/>
    <col min="17" max="17" width="30" customWidth="1"/>
    <col min="18" max="18" width="45" customWidth="1"/>
  </cols>
  <sheetData>
    <row r="1" spans="1:18" ht="36.75" customHeight="1">
      <c r="A1" s="25" t="s">
        <v>82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13.8">
      <c r="A2" s="7" t="s">
        <v>5</v>
      </c>
      <c r="B2" s="42" t="s">
        <v>84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8" ht="24">
      <c r="A3" s="7" t="s">
        <v>6</v>
      </c>
      <c r="B3" s="42" t="s">
        <v>86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8" ht="13.8">
      <c r="A4" s="7" t="s">
        <v>88</v>
      </c>
      <c r="B4" s="42" t="s">
        <v>89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8" ht="13.8">
      <c r="A5" s="7" t="s">
        <v>91</v>
      </c>
      <c r="B5" s="42" t="s">
        <v>93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8" ht="13.8">
      <c r="A6" s="7" t="s">
        <v>94</v>
      </c>
      <c r="B6" s="42" t="s">
        <v>95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8" spans="1:18" ht="50.25" customHeight="1">
      <c r="A8" s="9" t="s">
        <v>32</v>
      </c>
      <c r="B8" s="9" t="s">
        <v>46</v>
      </c>
      <c r="C8" s="9" t="s">
        <v>48</v>
      </c>
      <c r="D8" s="9" t="s">
        <v>43</v>
      </c>
      <c r="E8" s="9" t="s">
        <v>50</v>
      </c>
      <c r="F8" s="9" t="s">
        <v>97</v>
      </c>
      <c r="G8" s="9" t="s">
        <v>56</v>
      </c>
      <c r="H8" s="9" t="s">
        <v>98</v>
      </c>
      <c r="I8" s="9" t="s">
        <v>99</v>
      </c>
      <c r="J8" s="9" t="s">
        <v>100</v>
      </c>
      <c r="K8" s="9" t="s">
        <v>101</v>
      </c>
      <c r="L8" s="9" t="s">
        <v>102</v>
      </c>
      <c r="M8" s="9" t="s">
        <v>105</v>
      </c>
      <c r="N8" s="9" t="s">
        <v>106</v>
      </c>
      <c r="O8" s="9" t="s">
        <v>61</v>
      </c>
      <c r="P8" s="9" t="s">
        <v>63</v>
      </c>
      <c r="Q8" s="9" t="s">
        <v>65</v>
      </c>
      <c r="R8" s="9" t="s">
        <v>110</v>
      </c>
    </row>
    <row r="9" spans="1:18" ht="13.8">
      <c r="A9" s="2"/>
      <c r="B9" s="2"/>
      <c r="C9" s="2"/>
      <c r="D9" s="11"/>
      <c r="E9" s="2"/>
      <c r="F9" s="2"/>
      <c r="G9" s="2"/>
      <c r="H9" s="2"/>
      <c r="I9" s="2"/>
      <c r="J9" s="2"/>
      <c r="K9" s="2"/>
      <c r="L9" s="2"/>
      <c r="M9" s="12"/>
      <c r="N9" s="2"/>
      <c r="O9" s="2"/>
      <c r="P9" s="2"/>
      <c r="Q9" s="2"/>
      <c r="R9" s="2"/>
    </row>
    <row r="10" spans="1:18" ht="13.8">
      <c r="A10" s="2"/>
      <c r="B10" s="2"/>
      <c r="C10" s="2"/>
      <c r="D10" s="11"/>
      <c r="E10" s="2"/>
      <c r="F10" s="2"/>
      <c r="G10" s="2"/>
      <c r="H10" s="2"/>
      <c r="I10" s="2"/>
      <c r="J10" s="2"/>
      <c r="K10" s="2"/>
      <c r="L10" s="2"/>
      <c r="M10" s="12"/>
      <c r="N10" s="2"/>
      <c r="O10" s="2"/>
      <c r="P10" s="2"/>
      <c r="Q10" s="2"/>
      <c r="R10" s="2"/>
    </row>
    <row r="11" spans="1:18" ht="13.8">
      <c r="A11" s="2"/>
      <c r="B11" s="2"/>
      <c r="C11" s="2"/>
      <c r="D11" s="11"/>
      <c r="E11" s="2"/>
      <c r="F11" s="2"/>
      <c r="G11" s="2"/>
      <c r="H11" s="2"/>
      <c r="I11" s="2"/>
      <c r="J11" s="2"/>
      <c r="K11" s="2"/>
      <c r="L11" s="2"/>
      <c r="M11" s="12"/>
      <c r="N11" s="2"/>
      <c r="O11" s="2"/>
      <c r="P11" s="2"/>
      <c r="Q11" s="2"/>
      <c r="R11" s="2"/>
    </row>
    <row r="12" spans="1:18" ht="13.8">
      <c r="A12" s="2"/>
      <c r="B12" s="2"/>
      <c r="C12" s="2"/>
      <c r="D12" s="11"/>
      <c r="E12" s="2"/>
      <c r="F12" s="2"/>
      <c r="G12" s="2"/>
      <c r="H12" s="2"/>
      <c r="I12" s="2"/>
      <c r="J12" s="2"/>
      <c r="K12" s="2"/>
      <c r="L12" s="2"/>
      <c r="M12" s="12"/>
      <c r="N12" s="2"/>
      <c r="O12" s="2"/>
      <c r="P12" s="2"/>
      <c r="Q12" s="2"/>
      <c r="R12" s="2"/>
    </row>
    <row r="13" spans="1:18" ht="13.8">
      <c r="A13" s="2"/>
      <c r="B13" s="2"/>
      <c r="C13" s="2"/>
      <c r="D13" s="11"/>
      <c r="E13" s="2"/>
      <c r="F13" s="2"/>
      <c r="G13" s="2"/>
      <c r="H13" s="2"/>
      <c r="I13" s="2"/>
      <c r="J13" s="2"/>
      <c r="K13" s="2"/>
      <c r="L13" s="2"/>
      <c r="M13" s="12"/>
      <c r="N13" s="2"/>
      <c r="O13" s="2"/>
      <c r="P13" s="2"/>
      <c r="Q13" s="2"/>
      <c r="R13" s="2"/>
    </row>
    <row r="14" spans="1:18" ht="13.8">
      <c r="A14" s="2"/>
      <c r="B14" s="2"/>
      <c r="C14" s="2"/>
      <c r="D14" s="11"/>
      <c r="E14" s="2"/>
      <c r="F14" s="2"/>
      <c r="G14" s="2"/>
      <c r="H14" s="2"/>
      <c r="I14" s="2"/>
      <c r="J14" s="2"/>
      <c r="K14" s="2"/>
      <c r="L14" s="2"/>
      <c r="M14" s="12" t="str">
        <f t="shared" ref="M14:M208" si="0">IF(AND(J14&lt;&gt;"",L14="Sí"),J14,"")</f>
        <v/>
      </c>
      <c r="N14" s="2"/>
      <c r="O14" s="2"/>
      <c r="P14" s="2"/>
      <c r="Q14" s="2"/>
      <c r="R14" s="2"/>
    </row>
    <row r="15" spans="1:18" ht="13.8">
      <c r="A15" s="2"/>
      <c r="B15" s="2"/>
      <c r="C15" s="2"/>
      <c r="D15" s="11"/>
      <c r="E15" s="2"/>
      <c r="F15" s="2"/>
      <c r="G15" s="2"/>
      <c r="H15" s="2"/>
      <c r="I15" s="2"/>
      <c r="J15" s="2"/>
      <c r="K15" s="2"/>
      <c r="L15" s="2"/>
      <c r="M15" s="12" t="str">
        <f t="shared" si="0"/>
        <v/>
      </c>
      <c r="N15" s="2"/>
      <c r="O15" s="2"/>
      <c r="P15" s="2"/>
      <c r="Q15" s="2"/>
      <c r="R15" s="2"/>
    </row>
    <row r="16" spans="1:18" ht="13.8">
      <c r="A16" s="2"/>
      <c r="B16" s="2"/>
      <c r="C16" s="2"/>
      <c r="D16" s="11"/>
      <c r="E16" s="2"/>
      <c r="F16" s="2"/>
      <c r="G16" s="2"/>
      <c r="H16" s="2"/>
      <c r="I16" s="2"/>
      <c r="J16" s="2"/>
      <c r="K16" s="2"/>
      <c r="L16" s="2"/>
      <c r="M16" s="12" t="str">
        <f t="shared" si="0"/>
        <v/>
      </c>
      <c r="N16" s="2"/>
      <c r="O16" s="2"/>
      <c r="P16" s="2"/>
      <c r="Q16" s="2"/>
      <c r="R16" s="2"/>
    </row>
    <row r="17" spans="1:18" ht="13.8">
      <c r="A17" s="2"/>
      <c r="B17" s="2"/>
      <c r="C17" s="2"/>
      <c r="D17" s="11"/>
      <c r="E17" s="2"/>
      <c r="F17" s="2"/>
      <c r="G17" s="2"/>
      <c r="H17" s="2"/>
      <c r="I17" s="2"/>
      <c r="J17" s="2"/>
      <c r="K17" s="2"/>
      <c r="L17" s="2"/>
      <c r="M17" s="12" t="str">
        <f t="shared" si="0"/>
        <v/>
      </c>
      <c r="N17" s="2"/>
      <c r="O17" s="2"/>
      <c r="P17" s="2"/>
      <c r="Q17" s="2"/>
      <c r="R17" s="2"/>
    </row>
    <row r="18" spans="1:18" ht="13.8">
      <c r="A18" s="2"/>
      <c r="B18" s="2"/>
      <c r="C18" s="2"/>
      <c r="D18" s="11"/>
      <c r="E18" s="2"/>
      <c r="F18" s="2"/>
      <c r="G18" s="2"/>
      <c r="H18" s="2"/>
      <c r="I18" s="2"/>
      <c r="J18" s="2"/>
      <c r="K18" s="2"/>
      <c r="L18" s="2"/>
      <c r="M18" s="12" t="str">
        <f t="shared" si="0"/>
        <v/>
      </c>
      <c r="N18" s="2"/>
      <c r="O18" s="2"/>
      <c r="P18" s="2"/>
      <c r="Q18" s="2"/>
      <c r="R18" s="2"/>
    </row>
    <row r="19" spans="1:18" ht="13.8">
      <c r="A19" s="2"/>
      <c r="B19" s="2"/>
      <c r="C19" s="2"/>
      <c r="D19" s="11"/>
      <c r="E19" s="2"/>
      <c r="F19" s="2"/>
      <c r="G19" s="2"/>
      <c r="H19" s="2"/>
      <c r="I19" s="2"/>
      <c r="J19" s="2"/>
      <c r="K19" s="2"/>
      <c r="L19" s="2"/>
      <c r="M19" s="12" t="str">
        <f t="shared" si="0"/>
        <v/>
      </c>
      <c r="N19" s="2"/>
      <c r="O19" s="2"/>
      <c r="P19" s="2"/>
      <c r="Q19" s="2"/>
      <c r="R19" s="2"/>
    </row>
    <row r="20" spans="1:18" ht="13.8">
      <c r="A20" s="2"/>
      <c r="B20" s="2"/>
      <c r="C20" s="2"/>
      <c r="D20" s="11"/>
      <c r="E20" s="2"/>
      <c r="F20" s="2"/>
      <c r="G20" s="2"/>
      <c r="H20" s="2"/>
      <c r="I20" s="2"/>
      <c r="J20" s="2"/>
      <c r="K20" s="2"/>
      <c r="L20" s="2"/>
      <c r="M20" s="12" t="str">
        <f t="shared" si="0"/>
        <v/>
      </c>
      <c r="N20" s="2"/>
      <c r="O20" s="2"/>
      <c r="P20" s="2"/>
      <c r="Q20" s="2"/>
      <c r="R20" s="2"/>
    </row>
    <row r="21" spans="1:18" ht="15.75" customHeight="1">
      <c r="A21" s="2"/>
      <c r="B21" s="2"/>
      <c r="C21" s="2"/>
      <c r="D21" s="11"/>
      <c r="E21" s="2"/>
      <c r="F21" s="2"/>
      <c r="G21" s="2"/>
      <c r="H21" s="2"/>
      <c r="I21" s="2"/>
      <c r="J21" s="2"/>
      <c r="K21" s="2"/>
      <c r="L21" s="2"/>
      <c r="M21" s="12" t="str">
        <f t="shared" si="0"/>
        <v/>
      </c>
      <c r="N21" s="2"/>
      <c r="O21" s="2"/>
      <c r="P21" s="2"/>
      <c r="Q21" s="2"/>
      <c r="R21" s="2"/>
    </row>
    <row r="22" spans="1:18" ht="15.75" customHeight="1">
      <c r="A22" s="2"/>
      <c r="B22" s="2"/>
      <c r="C22" s="2"/>
      <c r="D22" s="11"/>
      <c r="E22" s="2"/>
      <c r="F22" s="2"/>
      <c r="G22" s="2"/>
      <c r="H22" s="2"/>
      <c r="I22" s="2"/>
      <c r="J22" s="2"/>
      <c r="K22" s="2"/>
      <c r="L22" s="2"/>
      <c r="M22" s="12" t="str">
        <f t="shared" si="0"/>
        <v/>
      </c>
      <c r="N22" s="2"/>
      <c r="O22" s="2"/>
      <c r="P22" s="2"/>
      <c r="Q22" s="2"/>
      <c r="R22" s="2"/>
    </row>
    <row r="23" spans="1:18" ht="15.75" customHeight="1">
      <c r="A23" s="2"/>
      <c r="B23" s="2"/>
      <c r="C23" s="2"/>
      <c r="D23" s="11"/>
      <c r="E23" s="2"/>
      <c r="F23" s="2"/>
      <c r="G23" s="2"/>
      <c r="H23" s="2"/>
      <c r="I23" s="2"/>
      <c r="J23" s="2"/>
      <c r="K23" s="2"/>
      <c r="L23" s="2"/>
      <c r="M23" s="12" t="str">
        <f t="shared" si="0"/>
        <v/>
      </c>
      <c r="N23" s="2"/>
      <c r="O23" s="2"/>
      <c r="P23" s="2"/>
      <c r="Q23" s="2"/>
      <c r="R23" s="2"/>
    </row>
    <row r="24" spans="1:18" ht="15.75" customHeight="1">
      <c r="A24" s="2"/>
      <c r="B24" s="2"/>
      <c r="C24" s="2"/>
      <c r="D24" s="11"/>
      <c r="E24" s="2"/>
      <c r="F24" s="2"/>
      <c r="G24" s="2"/>
      <c r="H24" s="2"/>
      <c r="I24" s="2"/>
      <c r="J24" s="2"/>
      <c r="K24" s="2"/>
      <c r="L24" s="2"/>
      <c r="M24" s="12" t="str">
        <f t="shared" si="0"/>
        <v/>
      </c>
      <c r="N24" s="2"/>
      <c r="O24" s="2"/>
      <c r="P24" s="2"/>
      <c r="Q24" s="2"/>
      <c r="R24" s="2"/>
    </row>
    <row r="25" spans="1:18" ht="15.75" customHeight="1">
      <c r="A25" s="2"/>
      <c r="B25" s="2"/>
      <c r="C25" s="2"/>
      <c r="D25" s="11"/>
      <c r="E25" s="2"/>
      <c r="F25" s="2"/>
      <c r="G25" s="2"/>
      <c r="H25" s="2"/>
      <c r="I25" s="2"/>
      <c r="J25" s="2"/>
      <c r="K25" s="2"/>
      <c r="L25" s="2"/>
      <c r="M25" s="12" t="str">
        <f t="shared" si="0"/>
        <v/>
      </c>
      <c r="N25" s="2"/>
      <c r="O25" s="2"/>
      <c r="P25" s="2"/>
      <c r="Q25" s="2"/>
      <c r="R25" s="2"/>
    </row>
    <row r="26" spans="1:18" ht="15.75" customHeight="1">
      <c r="A26" s="2"/>
      <c r="B26" s="2"/>
      <c r="C26" s="2"/>
      <c r="D26" s="11"/>
      <c r="E26" s="2"/>
      <c r="F26" s="2"/>
      <c r="G26" s="2"/>
      <c r="H26" s="2"/>
      <c r="I26" s="2"/>
      <c r="J26" s="2"/>
      <c r="K26" s="2"/>
      <c r="L26" s="2"/>
      <c r="M26" s="12" t="str">
        <f t="shared" si="0"/>
        <v/>
      </c>
      <c r="N26" s="2"/>
      <c r="O26" s="2"/>
      <c r="P26" s="2"/>
      <c r="Q26" s="2"/>
      <c r="R26" s="2"/>
    </row>
    <row r="27" spans="1:18" ht="15.75" customHeight="1">
      <c r="A27" s="2"/>
      <c r="B27" s="2"/>
      <c r="C27" s="2"/>
      <c r="D27" s="11"/>
      <c r="E27" s="2"/>
      <c r="F27" s="2"/>
      <c r="G27" s="2"/>
      <c r="H27" s="2"/>
      <c r="I27" s="2"/>
      <c r="J27" s="2"/>
      <c r="K27" s="2"/>
      <c r="L27" s="2"/>
      <c r="M27" s="12" t="str">
        <f t="shared" si="0"/>
        <v/>
      </c>
      <c r="N27" s="2"/>
      <c r="O27" s="2"/>
      <c r="P27" s="2"/>
      <c r="Q27" s="2"/>
      <c r="R27" s="2"/>
    </row>
    <row r="28" spans="1:18" ht="15.75" customHeight="1">
      <c r="A28" s="2"/>
      <c r="B28" s="2"/>
      <c r="C28" s="2"/>
      <c r="D28" s="11"/>
      <c r="E28" s="2"/>
      <c r="F28" s="2"/>
      <c r="G28" s="2"/>
      <c r="H28" s="2"/>
      <c r="I28" s="2"/>
      <c r="J28" s="2"/>
      <c r="K28" s="2"/>
      <c r="L28" s="2"/>
      <c r="M28" s="12" t="str">
        <f t="shared" si="0"/>
        <v/>
      </c>
      <c r="N28" s="2"/>
      <c r="O28" s="2"/>
      <c r="P28" s="2"/>
      <c r="Q28" s="2"/>
      <c r="R28" s="2"/>
    </row>
    <row r="29" spans="1:18" ht="15.75" customHeight="1">
      <c r="A29" s="2"/>
      <c r="B29" s="2"/>
      <c r="C29" s="2"/>
      <c r="D29" s="11"/>
      <c r="E29" s="2"/>
      <c r="F29" s="2"/>
      <c r="G29" s="2"/>
      <c r="H29" s="2"/>
      <c r="I29" s="2"/>
      <c r="J29" s="2"/>
      <c r="K29" s="2"/>
      <c r="L29" s="2"/>
      <c r="M29" s="12" t="str">
        <f t="shared" si="0"/>
        <v/>
      </c>
      <c r="N29" s="2"/>
      <c r="O29" s="2"/>
      <c r="P29" s="2"/>
      <c r="Q29" s="2"/>
      <c r="R29" s="2"/>
    </row>
    <row r="30" spans="1:18" ht="15.75" customHeight="1">
      <c r="A30" s="2"/>
      <c r="B30" s="2"/>
      <c r="C30" s="2"/>
      <c r="D30" s="11"/>
      <c r="E30" s="2"/>
      <c r="F30" s="2"/>
      <c r="G30" s="2"/>
      <c r="H30" s="2"/>
      <c r="I30" s="2"/>
      <c r="J30" s="2"/>
      <c r="K30" s="2"/>
      <c r="L30" s="2"/>
      <c r="M30" s="12" t="str">
        <f t="shared" si="0"/>
        <v/>
      </c>
      <c r="N30" s="2"/>
      <c r="O30" s="2"/>
      <c r="P30" s="2"/>
      <c r="Q30" s="2"/>
      <c r="R30" s="2"/>
    </row>
    <row r="31" spans="1:18" ht="15.75" customHeight="1">
      <c r="A31" s="2"/>
      <c r="B31" s="2"/>
      <c r="C31" s="2"/>
      <c r="D31" s="11"/>
      <c r="E31" s="2"/>
      <c r="F31" s="2"/>
      <c r="G31" s="2"/>
      <c r="H31" s="2"/>
      <c r="I31" s="2"/>
      <c r="J31" s="2"/>
      <c r="K31" s="2"/>
      <c r="L31" s="2"/>
      <c r="M31" s="12" t="str">
        <f t="shared" si="0"/>
        <v/>
      </c>
      <c r="N31" s="2"/>
      <c r="O31" s="2"/>
      <c r="P31" s="2"/>
      <c r="Q31" s="2"/>
      <c r="R31" s="2"/>
    </row>
    <row r="32" spans="1:18" ht="15.75" customHeight="1">
      <c r="A32" s="2"/>
      <c r="B32" s="2"/>
      <c r="C32" s="2"/>
      <c r="D32" s="11"/>
      <c r="E32" s="2"/>
      <c r="F32" s="2"/>
      <c r="G32" s="2"/>
      <c r="H32" s="2"/>
      <c r="I32" s="2"/>
      <c r="J32" s="2"/>
      <c r="K32" s="2"/>
      <c r="L32" s="2"/>
      <c r="M32" s="12" t="str">
        <f t="shared" si="0"/>
        <v/>
      </c>
      <c r="N32" s="2"/>
      <c r="O32" s="2"/>
      <c r="P32" s="2"/>
      <c r="Q32" s="2"/>
      <c r="R32" s="2"/>
    </row>
    <row r="33" spans="1:18" ht="15.75" customHeight="1">
      <c r="A33" s="2"/>
      <c r="B33" s="2"/>
      <c r="C33" s="2"/>
      <c r="D33" s="11"/>
      <c r="E33" s="2"/>
      <c r="F33" s="2"/>
      <c r="G33" s="2"/>
      <c r="H33" s="2"/>
      <c r="I33" s="2"/>
      <c r="J33" s="2"/>
      <c r="K33" s="2"/>
      <c r="L33" s="2"/>
      <c r="M33" s="12" t="str">
        <f t="shared" si="0"/>
        <v/>
      </c>
      <c r="N33" s="2"/>
      <c r="O33" s="2"/>
      <c r="P33" s="2"/>
      <c r="Q33" s="2"/>
      <c r="R33" s="2"/>
    </row>
    <row r="34" spans="1:18" ht="15.75" customHeight="1">
      <c r="A34" s="2"/>
      <c r="B34" s="2"/>
      <c r="C34" s="2"/>
      <c r="D34" s="11"/>
      <c r="E34" s="2"/>
      <c r="F34" s="2"/>
      <c r="G34" s="2"/>
      <c r="H34" s="2"/>
      <c r="I34" s="2"/>
      <c r="J34" s="2"/>
      <c r="K34" s="2"/>
      <c r="L34" s="2"/>
      <c r="M34" s="12" t="str">
        <f t="shared" si="0"/>
        <v/>
      </c>
      <c r="N34" s="2"/>
      <c r="O34" s="2"/>
      <c r="P34" s="2"/>
      <c r="Q34" s="2"/>
      <c r="R34" s="2"/>
    </row>
    <row r="35" spans="1:18" ht="15.75" customHeight="1">
      <c r="A35" s="2"/>
      <c r="B35" s="2"/>
      <c r="C35" s="2"/>
      <c r="D35" s="11"/>
      <c r="E35" s="2"/>
      <c r="F35" s="2"/>
      <c r="G35" s="2"/>
      <c r="H35" s="2"/>
      <c r="I35" s="2"/>
      <c r="J35" s="2"/>
      <c r="K35" s="2"/>
      <c r="L35" s="2"/>
      <c r="M35" s="12" t="str">
        <f t="shared" si="0"/>
        <v/>
      </c>
      <c r="N35" s="2"/>
      <c r="O35" s="2"/>
      <c r="P35" s="2"/>
      <c r="Q35" s="2"/>
      <c r="R35" s="2"/>
    </row>
    <row r="36" spans="1:18" ht="15.75" customHeight="1">
      <c r="A36" s="2"/>
      <c r="B36" s="2"/>
      <c r="C36" s="2"/>
      <c r="D36" s="11"/>
      <c r="E36" s="2"/>
      <c r="F36" s="2"/>
      <c r="G36" s="2"/>
      <c r="H36" s="2"/>
      <c r="I36" s="2"/>
      <c r="J36" s="2"/>
      <c r="K36" s="2"/>
      <c r="L36" s="2"/>
      <c r="M36" s="12" t="str">
        <f t="shared" si="0"/>
        <v/>
      </c>
      <c r="N36" s="2"/>
      <c r="O36" s="2"/>
      <c r="P36" s="2"/>
      <c r="Q36" s="2"/>
      <c r="R36" s="2"/>
    </row>
    <row r="37" spans="1:18" ht="15.75" customHeight="1">
      <c r="A37" s="2"/>
      <c r="B37" s="2"/>
      <c r="C37" s="2"/>
      <c r="D37" s="11"/>
      <c r="E37" s="2"/>
      <c r="F37" s="2"/>
      <c r="G37" s="2"/>
      <c r="H37" s="2"/>
      <c r="I37" s="2"/>
      <c r="J37" s="2"/>
      <c r="K37" s="2"/>
      <c r="L37" s="2"/>
      <c r="M37" s="12" t="str">
        <f t="shared" si="0"/>
        <v/>
      </c>
      <c r="N37" s="2"/>
      <c r="O37" s="2"/>
      <c r="P37" s="2"/>
      <c r="Q37" s="2"/>
      <c r="R37" s="2"/>
    </row>
    <row r="38" spans="1:18" ht="15.75" customHeight="1">
      <c r="A38" s="2"/>
      <c r="B38" s="2"/>
      <c r="C38" s="2"/>
      <c r="D38" s="11"/>
      <c r="E38" s="2"/>
      <c r="F38" s="2"/>
      <c r="G38" s="2"/>
      <c r="H38" s="2"/>
      <c r="I38" s="2"/>
      <c r="J38" s="2"/>
      <c r="K38" s="2"/>
      <c r="L38" s="2"/>
      <c r="M38" s="12" t="str">
        <f t="shared" si="0"/>
        <v/>
      </c>
      <c r="N38" s="2"/>
      <c r="O38" s="2"/>
      <c r="P38" s="2"/>
      <c r="Q38" s="2"/>
      <c r="R38" s="2"/>
    </row>
    <row r="39" spans="1:18" ht="15.75" customHeight="1">
      <c r="A39" s="2"/>
      <c r="B39" s="2"/>
      <c r="C39" s="2"/>
      <c r="D39" s="11"/>
      <c r="E39" s="2"/>
      <c r="F39" s="2"/>
      <c r="G39" s="2"/>
      <c r="H39" s="2"/>
      <c r="I39" s="2"/>
      <c r="J39" s="2"/>
      <c r="K39" s="2"/>
      <c r="L39" s="2"/>
      <c r="M39" s="12" t="str">
        <f t="shared" si="0"/>
        <v/>
      </c>
      <c r="N39" s="2"/>
      <c r="O39" s="2"/>
      <c r="P39" s="2"/>
      <c r="Q39" s="2"/>
      <c r="R39" s="2"/>
    </row>
    <row r="40" spans="1:18" ht="15.75" customHeight="1">
      <c r="A40" s="2"/>
      <c r="B40" s="2"/>
      <c r="C40" s="2"/>
      <c r="D40" s="11"/>
      <c r="E40" s="2"/>
      <c r="F40" s="2"/>
      <c r="G40" s="2"/>
      <c r="H40" s="2"/>
      <c r="I40" s="2"/>
      <c r="J40" s="2"/>
      <c r="K40" s="2"/>
      <c r="L40" s="2"/>
      <c r="M40" s="12" t="str">
        <f t="shared" si="0"/>
        <v/>
      </c>
      <c r="N40" s="2"/>
      <c r="O40" s="2"/>
      <c r="P40" s="2"/>
      <c r="Q40" s="2"/>
      <c r="R40" s="2"/>
    </row>
    <row r="41" spans="1:18" ht="15.75" customHeight="1">
      <c r="A41" s="2"/>
      <c r="B41" s="2"/>
      <c r="C41" s="2"/>
      <c r="D41" s="11"/>
      <c r="E41" s="2"/>
      <c r="F41" s="2"/>
      <c r="G41" s="2"/>
      <c r="H41" s="2"/>
      <c r="I41" s="2"/>
      <c r="J41" s="2"/>
      <c r="K41" s="2"/>
      <c r="L41" s="2"/>
      <c r="M41" s="12" t="str">
        <f t="shared" si="0"/>
        <v/>
      </c>
      <c r="N41" s="2"/>
      <c r="O41" s="2"/>
      <c r="P41" s="2"/>
      <c r="Q41" s="2"/>
      <c r="R41" s="2"/>
    </row>
    <row r="42" spans="1:18" ht="15.75" customHeight="1">
      <c r="A42" s="2"/>
      <c r="B42" s="2"/>
      <c r="C42" s="2"/>
      <c r="D42" s="11"/>
      <c r="E42" s="2"/>
      <c r="F42" s="2"/>
      <c r="G42" s="2"/>
      <c r="H42" s="2"/>
      <c r="I42" s="2"/>
      <c r="J42" s="2"/>
      <c r="K42" s="2"/>
      <c r="L42" s="2"/>
      <c r="M42" s="12" t="str">
        <f t="shared" si="0"/>
        <v/>
      </c>
      <c r="N42" s="2"/>
      <c r="O42" s="2"/>
      <c r="P42" s="2"/>
      <c r="Q42" s="2"/>
      <c r="R42" s="2"/>
    </row>
    <row r="43" spans="1:18" ht="15.75" customHeight="1">
      <c r="A43" s="2"/>
      <c r="B43" s="2"/>
      <c r="C43" s="2"/>
      <c r="D43" s="11"/>
      <c r="E43" s="2"/>
      <c r="F43" s="2"/>
      <c r="G43" s="2"/>
      <c r="H43" s="2"/>
      <c r="I43" s="2"/>
      <c r="J43" s="2"/>
      <c r="K43" s="2"/>
      <c r="L43" s="2"/>
      <c r="M43" s="12" t="str">
        <f t="shared" si="0"/>
        <v/>
      </c>
      <c r="N43" s="2"/>
      <c r="O43" s="2"/>
      <c r="P43" s="2"/>
      <c r="Q43" s="2"/>
      <c r="R43" s="2"/>
    </row>
    <row r="44" spans="1:18" ht="15.75" customHeight="1">
      <c r="A44" s="2"/>
      <c r="B44" s="2"/>
      <c r="C44" s="2"/>
      <c r="D44" s="11"/>
      <c r="E44" s="2"/>
      <c r="F44" s="2"/>
      <c r="G44" s="2"/>
      <c r="H44" s="2"/>
      <c r="I44" s="2"/>
      <c r="J44" s="2"/>
      <c r="K44" s="2"/>
      <c r="L44" s="2"/>
      <c r="M44" s="12" t="str">
        <f t="shared" si="0"/>
        <v/>
      </c>
      <c r="N44" s="2"/>
      <c r="O44" s="2"/>
      <c r="P44" s="2"/>
      <c r="Q44" s="2"/>
      <c r="R44" s="2"/>
    </row>
    <row r="45" spans="1:18" ht="15.75" customHeight="1">
      <c r="A45" s="2"/>
      <c r="B45" s="2"/>
      <c r="C45" s="2"/>
      <c r="D45" s="11"/>
      <c r="E45" s="2"/>
      <c r="F45" s="2"/>
      <c r="G45" s="2"/>
      <c r="H45" s="2"/>
      <c r="I45" s="2"/>
      <c r="J45" s="2"/>
      <c r="K45" s="2"/>
      <c r="L45" s="2"/>
      <c r="M45" s="12" t="str">
        <f t="shared" si="0"/>
        <v/>
      </c>
      <c r="N45" s="2"/>
      <c r="O45" s="2"/>
      <c r="P45" s="2"/>
      <c r="Q45" s="2"/>
      <c r="R45" s="2"/>
    </row>
    <row r="46" spans="1:18" ht="15.75" customHeight="1">
      <c r="A46" s="2"/>
      <c r="B46" s="2"/>
      <c r="C46" s="2"/>
      <c r="D46" s="11"/>
      <c r="E46" s="2"/>
      <c r="F46" s="2"/>
      <c r="G46" s="2"/>
      <c r="H46" s="2"/>
      <c r="I46" s="2"/>
      <c r="J46" s="2"/>
      <c r="K46" s="2"/>
      <c r="L46" s="2"/>
      <c r="M46" s="12" t="str">
        <f t="shared" si="0"/>
        <v/>
      </c>
      <c r="N46" s="2"/>
      <c r="O46" s="2"/>
      <c r="P46" s="2"/>
      <c r="Q46" s="2"/>
      <c r="R46" s="2"/>
    </row>
    <row r="47" spans="1:18" ht="15.75" customHeight="1">
      <c r="A47" s="2"/>
      <c r="B47" s="2"/>
      <c r="C47" s="2"/>
      <c r="D47" s="11"/>
      <c r="E47" s="2"/>
      <c r="F47" s="2"/>
      <c r="G47" s="2"/>
      <c r="H47" s="2"/>
      <c r="I47" s="2"/>
      <c r="J47" s="2"/>
      <c r="K47" s="2"/>
      <c r="L47" s="2"/>
      <c r="M47" s="12" t="str">
        <f t="shared" si="0"/>
        <v/>
      </c>
      <c r="N47" s="2"/>
      <c r="O47" s="2"/>
      <c r="P47" s="2"/>
      <c r="Q47" s="2"/>
      <c r="R47" s="2"/>
    </row>
    <row r="48" spans="1:18" ht="15.75" customHeight="1">
      <c r="A48" s="2"/>
      <c r="B48" s="2"/>
      <c r="C48" s="2"/>
      <c r="D48" s="11"/>
      <c r="E48" s="2"/>
      <c r="F48" s="2"/>
      <c r="G48" s="2"/>
      <c r="H48" s="2"/>
      <c r="I48" s="2"/>
      <c r="J48" s="2"/>
      <c r="K48" s="2"/>
      <c r="L48" s="2"/>
      <c r="M48" s="12" t="str">
        <f t="shared" si="0"/>
        <v/>
      </c>
      <c r="N48" s="2"/>
      <c r="O48" s="2"/>
      <c r="P48" s="2"/>
      <c r="Q48" s="2"/>
      <c r="R48" s="2"/>
    </row>
    <row r="49" spans="1:18" ht="15.75" customHeight="1">
      <c r="A49" s="2"/>
      <c r="B49" s="2"/>
      <c r="C49" s="2"/>
      <c r="D49" s="11"/>
      <c r="E49" s="2"/>
      <c r="F49" s="2"/>
      <c r="G49" s="2"/>
      <c r="H49" s="2"/>
      <c r="I49" s="2"/>
      <c r="J49" s="2"/>
      <c r="K49" s="2"/>
      <c r="L49" s="2"/>
      <c r="M49" s="12" t="str">
        <f t="shared" si="0"/>
        <v/>
      </c>
      <c r="N49" s="2"/>
      <c r="O49" s="2"/>
      <c r="P49" s="2"/>
      <c r="Q49" s="2"/>
      <c r="R49" s="2"/>
    </row>
    <row r="50" spans="1:18" ht="15.75" customHeight="1">
      <c r="A50" s="2"/>
      <c r="B50" s="2"/>
      <c r="C50" s="2"/>
      <c r="D50" s="11"/>
      <c r="E50" s="2"/>
      <c r="F50" s="2"/>
      <c r="G50" s="2"/>
      <c r="H50" s="2"/>
      <c r="I50" s="2"/>
      <c r="J50" s="2"/>
      <c r="K50" s="2"/>
      <c r="L50" s="2"/>
      <c r="M50" s="12" t="str">
        <f t="shared" si="0"/>
        <v/>
      </c>
      <c r="N50" s="2"/>
      <c r="O50" s="2"/>
      <c r="P50" s="2"/>
      <c r="Q50" s="2"/>
      <c r="R50" s="2"/>
    </row>
    <row r="51" spans="1:18" ht="15.75" customHeight="1">
      <c r="A51" s="2"/>
      <c r="B51" s="2"/>
      <c r="C51" s="2"/>
      <c r="D51" s="11"/>
      <c r="E51" s="2"/>
      <c r="F51" s="2"/>
      <c r="G51" s="2"/>
      <c r="H51" s="2"/>
      <c r="I51" s="2"/>
      <c r="J51" s="2"/>
      <c r="K51" s="2"/>
      <c r="L51" s="2"/>
      <c r="M51" s="12" t="str">
        <f t="shared" si="0"/>
        <v/>
      </c>
      <c r="N51" s="2"/>
      <c r="O51" s="2"/>
      <c r="P51" s="2"/>
      <c r="Q51" s="2"/>
      <c r="R51" s="2"/>
    </row>
    <row r="52" spans="1:18" ht="15.75" customHeight="1">
      <c r="A52" s="2"/>
      <c r="B52" s="2"/>
      <c r="C52" s="2"/>
      <c r="D52" s="11"/>
      <c r="E52" s="2"/>
      <c r="F52" s="2"/>
      <c r="G52" s="2"/>
      <c r="H52" s="2"/>
      <c r="I52" s="2"/>
      <c r="J52" s="2"/>
      <c r="K52" s="2"/>
      <c r="L52" s="2"/>
      <c r="M52" s="12" t="str">
        <f t="shared" si="0"/>
        <v/>
      </c>
      <c r="N52" s="2"/>
      <c r="O52" s="2"/>
      <c r="P52" s="2"/>
      <c r="Q52" s="2"/>
      <c r="R52" s="2"/>
    </row>
    <row r="53" spans="1:18" ht="15.75" customHeight="1">
      <c r="A53" s="2"/>
      <c r="B53" s="2"/>
      <c r="C53" s="2"/>
      <c r="D53" s="11"/>
      <c r="E53" s="2"/>
      <c r="F53" s="2"/>
      <c r="G53" s="2"/>
      <c r="H53" s="2"/>
      <c r="I53" s="2"/>
      <c r="J53" s="2"/>
      <c r="K53" s="2"/>
      <c r="L53" s="2"/>
      <c r="M53" s="12" t="str">
        <f t="shared" si="0"/>
        <v/>
      </c>
      <c r="N53" s="2"/>
      <c r="O53" s="2"/>
      <c r="P53" s="2"/>
      <c r="Q53" s="2"/>
      <c r="R53" s="2"/>
    </row>
    <row r="54" spans="1:18" ht="15.75" customHeight="1">
      <c r="A54" s="2"/>
      <c r="B54" s="2"/>
      <c r="C54" s="2"/>
      <c r="D54" s="11"/>
      <c r="E54" s="2"/>
      <c r="F54" s="2"/>
      <c r="G54" s="2"/>
      <c r="H54" s="2"/>
      <c r="I54" s="2"/>
      <c r="J54" s="2"/>
      <c r="K54" s="2"/>
      <c r="L54" s="2"/>
      <c r="M54" s="12" t="str">
        <f t="shared" si="0"/>
        <v/>
      </c>
      <c r="N54" s="2"/>
      <c r="O54" s="2"/>
      <c r="P54" s="2"/>
      <c r="Q54" s="2"/>
      <c r="R54" s="2"/>
    </row>
    <row r="55" spans="1:18" ht="15.75" customHeight="1">
      <c r="A55" s="2"/>
      <c r="B55" s="2"/>
      <c r="C55" s="2"/>
      <c r="D55" s="11"/>
      <c r="E55" s="2"/>
      <c r="F55" s="2"/>
      <c r="G55" s="2"/>
      <c r="H55" s="2"/>
      <c r="I55" s="2"/>
      <c r="J55" s="2"/>
      <c r="K55" s="2"/>
      <c r="L55" s="2"/>
      <c r="M55" s="12" t="str">
        <f t="shared" si="0"/>
        <v/>
      </c>
      <c r="N55" s="2"/>
      <c r="O55" s="2"/>
      <c r="P55" s="2"/>
      <c r="Q55" s="2"/>
      <c r="R55" s="2"/>
    </row>
    <row r="56" spans="1:18" ht="15.75" customHeight="1">
      <c r="A56" s="2"/>
      <c r="B56" s="2"/>
      <c r="C56" s="2"/>
      <c r="D56" s="11"/>
      <c r="E56" s="2"/>
      <c r="F56" s="2"/>
      <c r="G56" s="2"/>
      <c r="H56" s="2"/>
      <c r="I56" s="2"/>
      <c r="J56" s="2"/>
      <c r="K56" s="2"/>
      <c r="L56" s="2"/>
      <c r="M56" s="12" t="str">
        <f t="shared" si="0"/>
        <v/>
      </c>
      <c r="N56" s="2"/>
      <c r="O56" s="2"/>
      <c r="P56" s="2"/>
      <c r="Q56" s="2"/>
      <c r="R56" s="2"/>
    </row>
    <row r="57" spans="1:18" ht="15.75" customHeight="1">
      <c r="A57" s="2"/>
      <c r="B57" s="2"/>
      <c r="C57" s="2"/>
      <c r="D57" s="11"/>
      <c r="E57" s="2"/>
      <c r="F57" s="2"/>
      <c r="G57" s="2"/>
      <c r="H57" s="2"/>
      <c r="I57" s="2"/>
      <c r="J57" s="2"/>
      <c r="K57" s="2"/>
      <c r="L57" s="2"/>
      <c r="M57" s="12" t="str">
        <f t="shared" si="0"/>
        <v/>
      </c>
      <c r="N57" s="2"/>
      <c r="O57" s="2"/>
      <c r="P57" s="2"/>
      <c r="Q57" s="2"/>
      <c r="R57" s="2"/>
    </row>
    <row r="58" spans="1:18" ht="15.75" customHeight="1">
      <c r="A58" s="2"/>
      <c r="B58" s="2"/>
      <c r="C58" s="2"/>
      <c r="D58" s="11"/>
      <c r="E58" s="2"/>
      <c r="F58" s="2"/>
      <c r="G58" s="2"/>
      <c r="H58" s="2"/>
      <c r="I58" s="2"/>
      <c r="J58" s="2"/>
      <c r="K58" s="2"/>
      <c r="L58" s="2"/>
      <c r="M58" s="12" t="str">
        <f t="shared" si="0"/>
        <v/>
      </c>
      <c r="N58" s="2"/>
      <c r="O58" s="2"/>
      <c r="P58" s="2"/>
      <c r="Q58" s="2"/>
      <c r="R58" s="2"/>
    </row>
    <row r="59" spans="1:18" ht="15.75" customHeight="1">
      <c r="A59" s="2"/>
      <c r="B59" s="2"/>
      <c r="C59" s="2"/>
      <c r="D59" s="11"/>
      <c r="E59" s="2"/>
      <c r="F59" s="2"/>
      <c r="G59" s="2"/>
      <c r="H59" s="2"/>
      <c r="I59" s="2"/>
      <c r="J59" s="2"/>
      <c r="K59" s="2"/>
      <c r="L59" s="2"/>
      <c r="M59" s="12" t="str">
        <f t="shared" si="0"/>
        <v/>
      </c>
      <c r="N59" s="2"/>
      <c r="O59" s="2"/>
      <c r="P59" s="2"/>
      <c r="Q59" s="2"/>
      <c r="R59" s="2"/>
    </row>
    <row r="60" spans="1:18" ht="15.75" customHeight="1">
      <c r="A60" s="2"/>
      <c r="B60" s="2"/>
      <c r="C60" s="2"/>
      <c r="D60" s="11"/>
      <c r="E60" s="2"/>
      <c r="F60" s="2"/>
      <c r="G60" s="2"/>
      <c r="H60" s="2"/>
      <c r="I60" s="2"/>
      <c r="J60" s="2"/>
      <c r="K60" s="2"/>
      <c r="L60" s="2"/>
      <c r="M60" s="12" t="str">
        <f t="shared" si="0"/>
        <v/>
      </c>
      <c r="N60" s="2"/>
      <c r="O60" s="2"/>
      <c r="P60" s="2"/>
      <c r="Q60" s="2"/>
      <c r="R60" s="2"/>
    </row>
    <row r="61" spans="1:18" ht="15.75" customHeight="1">
      <c r="A61" s="2"/>
      <c r="B61" s="2"/>
      <c r="C61" s="2"/>
      <c r="D61" s="11"/>
      <c r="E61" s="2"/>
      <c r="F61" s="2"/>
      <c r="G61" s="2"/>
      <c r="H61" s="2"/>
      <c r="I61" s="2"/>
      <c r="J61" s="2"/>
      <c r="K61" s="2"/>
      <c r="L61" s="2"/>
      <c r="M61" s="12" t="str">
        <f t="shared" si="0"/>
        <v/>
      </c>
      <c r="N61" s="2"/>
      <c r="O61" s="2"/>
      <c r="P61" s="2"/>
      <c r="Q61" s="2"/>
      <c r="R61" s="2"/>
    </row>
    <row r="62" spans="1:18" ht="15.75" customHeight="1">
      <c r="A62" s="2"/>
      <c r="B62" s="2"/>
      <c r="C62" s="2"/>
      <c r="D62" s="11"/>
      <c r="E62" s="2"/>
      <c r="F62" s="2"/>
      <c r="G62" s="2"/>
      <c r="H62" s="2"/>
      <c r="I62" s="2"/>
      <c r="J62" s="2"/>
      <c r="K62" s="2"/>
      <c r="L62" s="2"/>
      <c r="M62" s="12" t="str">
        <f t="shared" si="0"/>
        <v/>
      </c>
      <c r="N62" s="2"/>
      <c r="O62" s="2"/>
      <c r="P62" s="2"/>
      <c r="Q62" s="2"/>
      <c r="R62" s="2"/>
    </row>
    <row r="63" spans="1:18" ht="15.75" customHeight="1">
      <c r="A63" s="2"/>
      <c r="B63" s="2"/>
      <c r="C63" s="2"/>
      <c r="D63" s="11"/>
      <c r="E63" s="2"/>
      <c r="F63" s="2"/>
      <c r="G63" s="2"/>
      <c r="H63" s="2"/>
      <c r="I63" s="2"/>
      <c r="J63" s="2"/>
      <c r="K63" s="2"/>
      <c r="L63" s="2"/>
      <c r="M63" s="12" t="str">
        <f t="shared" si="0"/>
        <v/>
      </c>
      <c r="N63" s="2"/>
      <c r="O63" s="2"/>
      <c r="P63" s="2"/>
      <c r="Q63" s="2"/>
      <c r="R63" s="2"/>
    </row>
    <row r="64" spans="1:18" ht="15.75" customHeight="1">
      <c r="A64" s="2"/>
      <c r="B64" s="2"/>
      <c r="C64" s="2"/>
      <c r="D64" s="11"/>
      <c r="E64" s="2"/>
      <c r="F64" s="2"/>
      <c r="G64" s="2"/>
      <c r="H64" s="2"/>
      <c r="I64" s="2"/>
      <c r="J64" s="2"/>
      <c r="K64" s="2"/>
      <c r="L64" s="2"/>
      <c r="M64" s="12" t="str">
        <f t="shared" si="0"/>
        <v/>
      </c>
      <c r="N64" s="2"/>
      <c r="O64" s="2"/>
      <c r="P64" s="2"/>
      <c r="Q64" s="2"/>
      <c r="R64" s="2"/>
    </row>
    <row r="65" spans="1:18" ht="15.75" customHeight="1">
      <c r="A65" s="2"/>
      <c r="B65" s="2"/>
      <c r="C65" s="2"/>
      <c r="D65" s="11"/>
      <c r="E65" s="2"/>
      <c r="F65" s="2"/>
      <c r="G65" s="2"/>
      <c r="H65" s="2"/>
      <c r="I65" s="2"/>
      <c r="J65" s="2"/>
      <c r="K65" s="2"/>
      <c r="L65" s="2"/>
      <c r="M65" s="12" t="str">
        <f t="shared" si="0"/>
        <v/>
      </c>
      <c r="N65" s="2"/>
      <c r="O65" s="2"/>
      <c r="P65" s="2"/>
      <c r="Q65" s="2"/>
      <c r="R65" s="2"/>
    </row>
    <row r="66" spans="1:18" ht="15.75" customHeight="1">
      <c r="A66" s="2"/>
      <c r="B66" s="2"/>
      <c r="C66" s="2"/>
      <c r="D66" s="11"/>
      <c r="E66" s="2"/>
      <c r="F66" s="2"/>
      <c r="G66" s="2"/>
      <c r="H66" s="2"/>
      <c r="I66" s="2"/>
      <c r="J66" s="2"/>
      <c r="K66" s="2"/>
      <c r="L66" s="2"/>
      <c r="M66" s="12" t="str">
        <f t="shared" si="0"/>
        <v/>
      </c>
      <c r="N66" s="2"/>
      <c r="O66" s="2"/>
      <c r="P66" s="2"/>
      <c r="Q66" s="2"/>
      <c r="R66" s="2"/>
    </row>
    <row r="67" spans="1:18" ht="15.75" customHeight="1">
      <c r="A67" s="2"/>
      <c r="B67" s="2"/>
      <c r="C67" s="2"/>
      <c r="D67" s="11"/>
      <c r="E67" s="2"/>
      <c r="F67" s="2"/>
      <c r="G67" s="2"/>
      <c r="H67" s="2"/>
      <c r="I67" s="2"/>
      <c r="J67" s="2"/>
      <c r="K67" s="2"/>
      <c r="L67" s="2"/>
      <c r="M67" s="12" t="str">
        <f t="shared" si="0"/>
        <v/>
      </c>
      <c r="N67" s="2"/>
      <c r="O67" s="2"/>
      <c r="P67" s="2"/>
      <c r="Q67" s="2"/>
      <c r="R67" s="2"/>
    </row>
    <row r="68" spans="1:18" ht="15.75" customHeight="1">
      <c r="A68" s="2"/>
      <c r="B68" s="2"/>
      <c r="C68" s="2"/>
      <c r="D68" s="11"/>
      <c r="E68" s="2"/>
      <c r="F68" s="2"/>
      <c r="G68" s="2"/>
      <c r="H68" s="2"/>
      <c r="I68" s="2"/>
      <c r="J68" s="2"/>
      <c r="K68" s="2"/>
      <c r="L68" s="2"/>
      <c r="M68" s="12" t="str">
        <f t="shared" si="0"/>
        <v/>
      </c>
      <c r="N68" s="2"/>
      <c r="O68" s="2"/>
      <c r="P68" s="2"/>
      <c r="Q68" s="2"/>
      <c r="R68" s="2"/>
    </row>
    <row r="69" spans="1:18" ht="15.75" customHeight="1">
      <c r="A69" s="2"/>
      <c r="B69" s="2"/>
      <c r="C69" s="2"/>
      <c r="D69" s="11"/>
      <c r="E69" s="2"/>
      <c r="F69" s="2"/>
      <c r="G69" s="2"/>
      <c r="H69" s="2"/>
      <c r="I69" s="2"/>
      <c r="J69" s="2"/>
      <c r="K69" s="2"/>
      <c r="L69" s="2"/>
      <c r="M69" s="12" t="str">
        <f t="shared" si="0"/>
        <v/>
      </c>
      <c r="N69" s="2"/>
      <c r="O69" s="2"/>
      <c r="P69" s="2"/>
      <c r="Q69" s="2"/>
      <c r="R69" s="2"/>
    </row>
    <row r="70" spans="1:18" ht="15.75" customHeight="1">
      <c r="A70" s="2"/>
      <c r="B70" s="2"/>
      <c r="C70" s="2"/>
      <c r="D70" s="11"/>
      <c r="E70" s="2"/>
      <c r="F70" s="2"/>
      <c r="G70" s="2"/>
      <c r="H70" s="2"/>
      <c r="I70" s="2"/>
      <c r="J70" s="2"/>
      <c r="K70" s="2"/>
      <c r="L70" s="2"/>
      <c r="M70" s="12" t="str">
        <f t="shared" si="0"/>
        <v/>
      </c>
      <c r="N70" s="2"/>
      <c r="O70" s="2"/>
      <c r="P70" s="2"/>
      <c r="Q70" s="2"/>
      <c r="R70" s="2"/>
    </row>
    <row r="71" spans="1:18" ht="15.75" customHeight="1">
      <c r="A71" s="2"/>
      <c r="B71" s="2"/>
      <c r="C71" s="2"/>
      <c r="D71" s="11"/>
      <c r="E71" s="2"/>
      <c r="F71" s="2"/>
      <c r="G71" s="2"/>
      <c r="H71" s="2"/>
      <c r="I71" s="2"/>
      <c r="J71" s="2"/>
      <c r="K71" s="2"/>
      <c r="L71" s="2"/>
      <c r="M71" s="12" t="str">
        <f t="shared" si="0"/>
        <v/>
      </c>
      <c r="N71" s="2"/>
      <c r="O71" s="2"/>
      <c r="P71" s="2"/>
      <c r="Q71" s="2"/>
      <c r="R71" s="2"/>
    </row>
    <row r="72" spans="1:18" ht="15.75" customHeight="1">
      <c r="A72" s="2"/>
      <c r="B72" s="2"/>
      <c r="C72" s="2"/>
      <c r="D72" s="11"/>
      <c r="E72" s="2"/>
      <c r="F72" s="2"/>
      <c r="G72" s="2"/>
      <c r="H72" s="2"/>
      <c r="I72" s="2"/>
      <c r="J72" s="2"/>
      <c r="K72" s="2"/>
      <c r="L72" s="2"/>
      <c r="M72" s="12" t="str">
        <f t="shared" si="0"/>
        <v/>
      </c>
      <c r="N72" s="2"/>
      <c r="O72" s="2"/>
      <c r="P72" s="2"/>
      <c r="Q72" s="2"/>
      <c r="R72" s="2"/>
    </row>
    <row r="73" spans="1:18" ht="15.75" customHeight="1">
      <c r="A73" s="2"/>
      <c r="B73" s="2"/>
      <c r="C73" s="2"/>
      <c r="D73" s="11"/>
      <c r="E73" s="2"/>
      <c r="F73" s="2"/>
      <c r="G73" s="2"/>
      <c r="H73" s="2"/>
      <c r="I73" s="2"/>
      <c r="J73" s="2"/>
      <c r="K73" s="2"/>
      <c r="L73" s="2"/>
      <c r="M73" s="12" t="str">
        <f t="shared" si="0"/>
        <v/>
      </c>
      <c r="N73" s="2"/>
      <c r="O73" s="2"/>
      <c r="P73" s="2"/>
      <c r="Q73" s="2"/>
      <c r="R73" s="2"/>
    </row>
    <row r="74" spans="1:18" ht="15.75" customHeight="1">
      <c r="A74" s="2"/>
      <c r="B74" s="2"/>
      <c r="C74" s="2"/>
      <c r="D74" s="11"/>
      <c r="E74" s="2"/>
      <c r="F74" s="2"/>
      <c r="G74" s="2"/>
      <c r="H74" s="2"/>
      <c r="I74" s="2"/>
      <c r="J74" s="2"/>
      <c r="K74" s="2"/>
      <c r="L74" s="2"/>
      <c r="M74" s="12" t="str">
        <f t="shared" si="0"/>
        <v/>
      </c>
      <c r="N74" s="2"/>
      <c r="O74" s="2"/>
      <c r="P74" s="2"/>
      <c r="Q74" s="2"/>
      <c r="R74" s="2"/>
    </row>
    <row r="75" spans="1:18" ht="15.75" customHeight="1">
      <c r="A75" s="2"/>
      <c r="B75" s="2"/>
      <c r="C75" s="2"/>
      <c r="D75" s="11"/>
      <c r="E75" s="2"/>
      <c r="F75" s="2"/>
      <c r="G75" s="2"/>
      <c r="H75" s="2"/>
      <c r="I75" s="2"/>
      <c r="J75" s="2"/>
      <c r="K75" s="2"/>
      <c r="L75" s="2"/>
      <c r="M75" s="12" t="str">
        <f t="shared" si="0"/>
        <v/>
      </c>
      <c r="N75" s="2"/>
      <c r="O75" s="2"/>
      <c r="P75" s="2"/>
      <c r="Q75" s="2"/>
      <c r="R75" s="2"/>
    </row>
    <row r="76" spans="1:18" ht="15.75" customHeight="1">
      <c r="A76" s="2"/>
      <c r="B76" s="2"/>
      <c r="C76" s="2"/>
      <c r="D76" s="11"/>
      <c r="E76" s="2"/>
      <c r="F76" s="2"/>
      <c r="G76" s="2"/>
      <c r="H76" s="2"/>
      <c r="I76" s="2"/>
      <c r="J76" s="2"/>
      <c r="K76" s="2"/>
      <c r="L76" s="2"/>
      <c r="M76" s="12" t="str">
        <f t="shared" si="0"/>
        <v/>
      </c>
      <c r="N76" s="2"/>
      <c r="O76" s="2"/>
      <c r="P76" s="2"/>
      <c r="Q76" s="2"/>
      <c r="R76" s="2"/>
    </row>
    <row r="77" spans="1:18" ht="15.75" customHeight="1">
      <c r="A77" s="2"/>
      <c r="B77" s="2"/>
      <c r="C77" s="2"/>
      <c r="D77" s="11"/>
      <c r="E77" s="2"/>
      <c r="F77" s="2"/>
      <c r="G77" s="2"/>
      <c r="H77" s="2"/>
      <c r="I77" s="2"/>
      <c r="J77" s="2"/>
      <c r="K77" s="2"/>
      <c r="L77" s="2"/>
      <c r="M77" s="12" t="str">
        <f t="shared" si="0"/>
        <v/>
      </c>
      <c r="N77" s="2"/>
      <c r="O77" s="2"/>
      <c r="P77" s="2"/>
      <c r="Q77" s="2"/>
      <c r="R77" s="2"/>
    </row>
    <row r="78" spans="1:18" ht="15.75" customHeight="1">
      <c r="A78" s="2"/>
      <c r="B78" s="2"/>
      <c r="C78" s="2"/>
      <c r="D78" s="11"/>
      <c r="E78" s="2"/>
      <c r="F78" s="2"/>
      <c r="G78" s="2"/>
      <c r="H78" s="2"/>
      <c r="I78" s="2"/>
      <c r="J78" s="2"/>
      <c r="K78" s="2"/>
      <c r="L78" s="2"/>
      <c r="M78" s="12" t="str">
        <f t="shared" si="0"/>
        <v/>
      </c>
      <c r="N78" s="2"/>
      <c r="O78" s="2"/>
      <c r="P78" s="2"/>
      <c r="Q78" s="2"/>
      <c r="R78" s="2"/>
    </row>
    <row r="79" spans="1:18" ht="15.75" customHeight="1">
      <c r="A79" s="2"/>
      <c r="B79" s="2"/>
      <c r="C79" s="2"/>
      <c r="D79" s="11"/>
      <c r="E79" s="2"/>
      <c r="F79" s="2"/>
      <c r="G79" s="2"/>
      <c r="H79" s="2"/>
      <c r="I79" s="2"/>
      <c r="J79" s="2"/>
      <c r="K79" s="2"/>
      <c r="L79" s="2"/>
      <c r="M79" s="12" t="str">
        <f t="shared" si="0"/>
        <v/>
      </c>
      <c r="N79" s="2"/>
      <c r="O79" s="2"/>
      <c r="P79" s="2"/>
      <c r="Q79" s="2"/>
      <c r="R79" s="2"/>
    </row>
    <row r="80" spans="1:18" ht="15.75" customHeight="1">
      <c r="A80" s="2"/>
      <c r="B80" s="2"/>
      <c r="C80" s="2"/>
      <c r="D80" s="11"/>
      <c r="E80" s="2"/>
      <c r="F80" s="2"/>
      <c r="G80" s="2"/>
      <c r="H80" s="2"/>
      <c r="I80" s="2"/>
      <c r="J80" s="2"/>
      <c r="K80" s="2"/>
      <c r="L80" s="2"/>
      <c r="M80" s="12" t="str">
        <f t="shared" si="0"/>
        <v/>
      </c>
      <c r="N80" s="2"/>
      <c r="O80" s="2"/>
      <c r="P80" s="2"/>
      <c r="Q80" s="2"/>
      <c r="R80" s="2"/>
    </row>
    <row r="81" spans="1:18" ht="15.75" customHeight="1">
      <c r="A81" s="2"/>
      <c r="B81" s="2"/>
      <c r="C81" s="2"/>
      <c r="D81" s="11"/>
      <c r="E81" s="2"/>
      <c r="F81" s="2"/>
      <c r="G81" s="2"/>
      <c r="H81" s="2"/>
      <c r="I81" s="2"/>
      <c r="J81" s="2"/>
      <c r="K81" s="2"/>
      <c r="L81" s="2"/>
      <c r="M81" s="12" t="str">
        <f t="shared" si="0"/>
        <v/>
      </c>
      <c r="N81" s="2"/>
      <c r="O81" s="2"/>
      <c r="P81" s="2"/>
      <c r="Q81" s="2"/>
      <c r="R81" s="2"/>
    </row>
    <row r="82" spans="1:18" ht="15.75" customHeight="1">
      <c r="A82" s="2"/>
      <c r="B82" s="2"/>
      <c r="C82" s="2"/>
      <c r="D82" s="11"/>
      <c r="E82" s="2"/>
      <c r="F82" s="2"/>
      <c r="G82" s="2"/>
      <c r="H82" s="2"/>
      <c r="I82" s="2"/>
      <c r="J82" s="2"/>
      <c r="K82" s="2"/>
      <c r="L82" s="2"/>
      <c r="M82" s="12" t="str">
        <f t="shared" si="0"/>
        <v/>
      </c>
      <c r="N82" s="2"/>
      <c r="O82" s="2"/>
      <c r="P82" s="2"/>
      <c r="Q82" s="2"/>
      <c r="R82" s="2"/>
    </row>
    <row r="83" spans="1:18" ht="15.75" customHeight="1">
      <c r="A83" s="2"/>
      <c r="B83" s="2"/>
      <c r="C83" s="2"/>
      <c r="D83" s="11"/>
      <c r="E83" s="2"/>
      <c r="F83" s="2"/>
      <c r="G83" s="2"/>
      <c r="H83" s="2"/>
      <c r="I83" s="2"/>
      <c r="J83" s="2"/>
      <c r="K83" s="2"/>
      <c r="L83" s="2"/>
      <c r="M83" s="12" t="str">
        <f t="shared" si="0"/>
        <v/>
      </c>
      <c r="N83" s="2"/>
      <c r="O83" s="2"/>
      <c r="P83" s="2"/>
      <c r="Q83" s="2"/>
      <c r="R83" s="2"/>
    </row>
    <row r="84" spans="1:18" ht="15.75" customHeight="1">
      <c r="A84" s="2"/>
      <c r="B84" s="2"/>
      <c r="C84" s="2"/>
      <c r="D84" s="11"/>
      <c r="E84" s="2"/>
      <c r="F84" s="2"/>
      <c r="G84" s="2"/>
      <c r="H84" s="2"/>
      <c r="I84" s="2"/>
      <c r="J84" s="2"/>
      <c r="K84" s="2"/>
      <c r="L84" s="2"/>
      <c r="M84" s="12" t="str">
        <f t="shared" si="0"/>
        <v/>
      </c>
      <c r="N84" s="2"/>
      <c r="O84" s="2"/>
      <c r="P84" s="2"/>
      <c r="Q84" s="2"/>
      <c r="R84" s="2"/>
    </row>
    <row r="85" spans="1:18" ht="15.75" customHeight="1">
      <c r="A85" s="2"/>
      <c r="B85" s="2"/>
      <c r="C85" s="2"/>
      <c r="D85" s="11"/>
      <c r="E85" s="2"/>
      <c r="F85" s="2"/>
      <c r="G85" s="2"/>
      <c r="H85" s="2"/>
      <c r="I85" s="2"/>
      <c r="J85" s="2"/>
      <c r="K85" s="2"/>
      <c r="L85" s="2"/>
      <c r="M85" s="12" t="str">
        <f t="shared" si="0"/>
        <v/>
      </c>
      <c r="N85" s="2"/>
      <c r="O85" s="2"/>
      <c r="P85" s="2"/>
      <c r="Q85" s="2"/>
      <c r="R85" s="2"/>
    </row>
    <row r="86" spans="1:18" ht="15.75" customHeight="1">
      <c r="A86" s="2"/>
      <c r="B86" s="2"/>
      <c r="C86" s="2"/>
      <c r="D86" s="11"/>
      <c r="E86" s="2"/>
      <c r="F86" s="2"/>
      <c r="G86" s="2"/>
      <c r="H86" s="2"/>
      <c r="I86" s="2"/>
      <c r="J86" s="2"/>
      <c r="K86" s="2"/>
      <c r="L86" s="2"/>
      <c r="M86" s="12" t="str">
        <f t="shared" si="0"/>
        <v/>
      </c>
      <c r="N86" s="2"/>
      <c r="O86" s="2"/>
      <c r="P86" s="2"/>
      <c r="Q86" s="2"/>
      <c r="R86" s="2"/>
    </row>
    <row r="87" spans="1:18" ht="15.75" customHeight="1">
      <c r="A87" s="2"/>
      <c r="B87" s="2"/>
      <c r="C87" s="2"/>
      <c r="D87" s="11"/>
      <c r="E87" s="2"/>
      <c r="F87" s="2"/>
      <c r="G87" s="2"/>
      <c r="H87" s="2"/>
      <c r="I87" s="2"/>
      <c r="J87" s="2"/>
      <c r="K87" s="2"/>
      <c r="L87" s="2"/>
      <c r="M87" s="12" t="str">
        <f t="shared" si="0"/>
        <v/>
      </c>
      <c r="N87" s="2"/>
      <c r="O87" s="2"/>
      <c r="P87" s="2"/>
      <c r="Q87" s="2"/>
      <c r="R87" s="2"/>
    </row>
    <row r="88" spans="1:18" ht="15.75" customHeight="1">
      <c r="A88" s="2"/>
      <c r="B88" s="2"/>
      <c r="C88" s="2"/>
      <c r="D88" s="11"/>
      <c r="E88" s="2"/>
      <c r="F88" s="2"/>
      <c r="G88" s="2"/>
      <c r="H88" s="2"/>
      <c r="I88" s="2"/>
      <c r="J88" s="2"/>
      <c r="K88" s="2"/>
      <c r="L88" s="2"/>
      <c r="M88" s="12" t="str">
        <f t="shared" si="0"/>
        <v/>
      </c>
      <c r="N88" s="2"/>
      <c r="O88" s="2"/>
      <c r="P88" s="2"/>
      <c r="Q88" s="2"/>
      <c r="R88" s="2"/>
    </row>
    <row r="89" spans="1:18" ht="15.75" customHeight="1">
      <c r="A89" s="2"/>
      <c r="B89" s="2"/>
      <c r="C89" s="2"/>
      <c r="D89" s="11"/>
      <c r="E89" s="2"/>
      <c r="F89" s="2"/>
      <c r="G89" s="2"/>
      <c r="H89" s="2"/>
      <c r="I89" s="2"/>
      <c r="J89" s="2"/>
      <c r="K89" s="2"/>
      <c r="L89" s="2"/>
      <c r="M89" s="12" t="str">
        <f t="shared" si="0"/>
        <v/>
      </c>
      <c r="N89" s="2"/>
      <c r="O89" s="2"/>
      <c r="P89" s="2"/>
      <c r="Q89" s="2"/>
      <c r="R89" s="2"/>
    </row>
    <row r="90" spans="1:18" ht="15.75" customHeight="1">
      <c r="A90" s="2"/>
      <c r="B90" s="2"/>
      <c r="C90" s="2"/>
      <c r="D90" s="11"/>
      <c r="E90" s="2"/>
      <c r="F90" s="2"/>
      <c r="G90" s="2"/>
      <c r="H90" s="2"/>
      <c r="I90" s="2"/>
      <c r="J90" s="2"/>
      <c r="K90" s="2"/>
      <c r="L90" s="2"/>
      <c r="M90" s="12" t="str">
        <f t="shared" si="0"/>
        <v/>
      </c>
      <c r="N90" s="2"/>
      <c r="O90" s="2"/>
      <c r="P90" s="2"/>
      <c r="Q90" s="2"/>
      <c r="R90" s="2"/>
    </row>
    <row r="91" spans="1:18" ht="15.75" customHeight="1">
      <c r="A91" s="2"/>
      <c r="B91" s="2"/>
      <c r="C91" s="2"/>
      <c r="D91" s="11"/>
      <c r="E91" s="2"/>
      <c r="F91" s="2"/>
      <c r="G91" s="2"/>
      <c r="H91" s="2"/>
      <c r="I91" s="2"/>
      <c r="J91" s="2"/>
      <c r="K91" s="2"/>
      <c r="L91" s="2"/>
      <c r="M91" s="12" t="str">
        <f t="shared" si="0"/>
        <v/>
      </c>
      <c r="N91" s="2"/>
      <c r="O91" s="2"/>
      <c r="P91" s="2"/>
      <c r="Q91" s="2"/>
      <c r="R91" s="2"/>
    </row>
    <row r="92" spans="1:18" ht="15.75" customHeight="1">
      <c r="A92" s="2"/>
      <c r="B92" s="2"/>
      <c r="C92" s="2"/>
      <c r="D92" s="11"/>
      <c r="E92" s="2"/>
      <c r="F92" s="2"/>
      <c r="G92" s="2"/>
      <c r="H92" s="2"/>
      <c r="I92" s="2"/>
      <c r="J92" s="2"/>
      <c r="K92" s="2"/>
      <c r="L92" s="2"/>
      <c r="M92" s="12" t="str">
        <f t="shared" si="0"/>
        <v/>
      </c>
      <c r="N92" s="2"/>
      <c r="O92" s="2"/>
      <c r="P92" s="2"/>
      <c r="Q92" s="2"/>
      <c r="R92" s="2"/>
    </row>
    <row r="93" spans="1:18" ht="15.75" customHeight="1">
      <c r="A93" s="2"/>
      <c r="B93" s="2"/>
      <c r="C93" s="2"/>
      <c r="D93" s="11"/>
      <c r="E93" s="2"/>
      <c r="F93" s="2"/>
      <c r="G93" s="2"/>
      <c r="H93" s="2"/>
      <c r="I93" s="2"/>
      <c r="J93" s="2"/>
      <c r="K93" s="2"/>
      <c r="L93" s="2"/>
      <c r="M93" s="12" t="str">
        <f t="shared" si="0"/>
        <v/>
      </c>
      <c r="N93" s="2"/>
      <c r="O93" s="2"/>
      <c r="P93" s="2"/>
      <c r="Q93" s="2"/>
      <c r="R93" s="2"/>
    </row>
    <row r="94" spans="1:18" ht="15.75" customHeight="1">
      <c r="A94" s="2"/>
      <c r="B94" s="2"/>
      <c r="C94" s="2"/>
      <c r="D94" s="11"/>
      <c r="E94" s="2"/>
      <c r="F94" s="2"/>
      <c r="G94" s="2"/>
      <c r="H94" s="2"/>
      <c r="I94" s="2"/>
      <c r="J94" s="2"/>
      <c r="K94" s="2"/>
      <c r="L94" s="2"/>
      <c r="M94" s="12" t="str">
        <f t="shared" si="0"/>
        <v/>
      </c>
      <c r="N94" s="2"/>
      <c r="O94" s="2"/>
      <c r="P94" s="2"/>
      <c r="Q94" s="2"/>
      <c r="R94" s="2"/>
    </row>
    <row r="95" spans="1:18" ht="15.75" customHeight="1">
      <c r="A95" s="2"/>
      <c r="B95" s="2"/>
      <c r="C95" s="2"/>
      <c r="D95" s="11"/>
      <c r="E95" s="2"/>
      <c r="F95" s="2"/>
      <c r="G95" s="2"/>
      <c r="H95" s="2"/>
      <c r="I95" s="2"/>
      <c r="J95" s="2"/>
      <c r="K95" s="2"/>
      <c r="L95" s="2"/>
      <c r="M95" s="12" t="str">
        <f t="shared" si="0"/>
        <v/>
      </c>
      <c r="N95" s="2"/>
      <c r="O95" s="2"/>
      <c r="P95" s="2"/>
      <c r="Q95" s="2"/>
      <c r="R95" s="2"/>
    </row>
    <row r="96" spans="1:18" ht="15.75" customHeight="1">
      <c r="A96" s="2"/>
      <c r="B96" s="2"/>
      <c r="C96" s="2"/>
      <c r="D96" s="11"/>
      <c r="E96" s="2"/>
      <c r="F96" s="2"/>
      <c r="G96" s="2"/>
      <c r="H96" s="2"/>
      <c r="I96" s="2"/>
      <c r="J96" s="2"/>
      <c r="K96" s="2"/>
      <c r="L96" s="2"/>
      <c r="M96" s="12" t="str">
        <f t="shared" si="0"/>
        <v/>
      </c>
      <c r="N96" s="2"/>
      <c r="O96" s="2"/>
      <c r="P96" s="2"/>
      <c r="Q96" s="2"/>
      <c r="R96" s="2"/>
    </row>
    <row r="97" spans="1:18" ht="15.75" customHeight="1">
      <c r="A97" s="2"/>
      <c r="B97" s="2"/>
      <c r="C97" s="2"/>
      <c r="D97" s="11"/>
      <c r="E97" s="2"/>
      <c r="F97" s="2"/>
      <c r="G97" s="2"/>
      <c r="H97" s="2"/>
      <c r="I97" s="2"/>
      <c r="J97" s="2"/>
      <c r="K97" s="2"/>
      <c r="L97" s="2"/>
      <c r="M97" s="12" t="str">
        <f t="shared" si="0"/>
        <v/>
      </c>
      <c r="N97" s="2"/>
      <c r="O97" s="2"/>
      <c r="P97" s="2"/>
      <c r="Q97" s="2"/>
      <c r="R97" s="2"/>
    </row>
    <row r="98" spans="1:18" ht="15.75" customHeight="1">
      <c r="A98" s="2"/>
      <c r="B98" s="2"/>
      <c r="C98" s="2"/>
      <c r="D98" s="11"/>
      <c r="E98" s="2"/>
      <c r="F98" s="2"/>
      <c r="G98" s="2"/>
      <c r="H98" s="2"/>
      <c r="I98" s="2"/>
      <c r="J98" s="2"/>
      <c r="K98" s="2"/>
      <c r="L98" s="2"/>
      <c r="M98" s="12" t="str">
        <f t="shared" si="0"/>
        <v/>
      </c>
      <c r="N98" s="2"/>
      <c r="O98" s="2"/>
      <c r="P98" s="2"/>
      <c r="Q98" s="2"/>
      <c r="R98" s="2"/>
    </row>
    <row r="99" spans="1:18" ht="15.75" customHeight="1">
      <c r="A99" s="2"/>
      <c r="B99" s="2"/>
      <c r="C99" s="2"/>
      <c r="D99" s="11"/>
      <c r="E99" s="2"/>
      <c r="F99" s="2"/>
      <c r="G99" s="2"/>
      <c r="H99" s="2"/>
      <c r="I99" s="2"/>
      <c r="J99" s="2"/>
      <c r="K99" s="2"/>
      <c r="L99" s="2"/>
      <c r="M99" s="12" t="str">
        <f t="shared" si="0"/>
        <v/>
      </c>
      <c r="N99" s="2"/>
      <c r="O99" s="2"/>
      <c r="P99" s="2"/>
      <c r="Q99" s="2"/>
      <c r="R99" s="2"/>
    </row>
    <row r="100" spans="1:18" ht="15.75" customHeight="1">
      <c r="A100" s="2"/>
      <c r="B100" s="2"/>
      <c r="C100" s="2"/>
      <c r="D100" s="11"/>
      <c r="E100" s="2"/>
      <c r="F100" s="2"/>
      <c r="G100" s="2"/>
      <c r="H100" s="2"/>
      <c r="I100" s="2"/>
      <c r="J100" s="2"/>
      <c r="K100" s="2"/>
      <c r="L100" s="2"/>
      <c r="M100" s="12" t="str">
        <f t="shared" si="0"/>
        <v/>
      </c>
      <c r="N100" s="2"/>
      <c r="O100" s="2"/>
      <c r="P100" s="2"/>
      <c r="Q100" s="2"/>
      <c r="R100" s="2"/>
    </row>
    <row r="101" spans="1:18" ht="15.75" customHeight="1">
      <c r="A101" s="2"/>
      <c r="B101" s="2"/>
      <c r="C101" s="2"/>
      <c r="D101" s="11"/>
      <c r="E101" s="2"/>
      <c r="F101" s="2"/>
      <c r="G101" s="2"/>
      <c r="H101" s="2"/>
      <c r="I101" s="2"/>
      <c r="J101" s="2"/>
      <c r="K101" s="2"/>
      <c r="L101" s="2"/>
      <c r="M101" s="12" t="str">
        <f t="shared" si="0"/>
        <v/>
      </c>
      <c r="N101" s="2"/>
      <c r="O101" s="2"/>
      <c r="P101" s="2"/>
      <c r="Q101" s="2"/>
      <c r="R101" s="2"/>
    </row>
    <row r="102" spans="1:18" ht="15.75" customHeight="1">
      <c r="A102" s="2"/>
      <c r="B102" s="2"/>
      <c r="C102" s="2"/>
      <c r="D102" s="11"/>
      <c r="E102" s="2"/>
      <c r="F102" s="2"/>
      <c r="G102" s="2"/>
      <c r="H102" s="2"/>
      <c r="I102" s="2"/>
      <c r="J102" s="2"/>
      <c r="K102" s="2"/>
      <c r="L102" s="2"/>
      <c r="M102" s="12" t="str">
        <f t="shared" si="0"/>
        <v/>
      </c>
      <c r="N102" s="2"/>
      <c r="O102" s="2"/>
      <c r="P102" s="2"/>
      <c r="Q102" s="2"/>
      <c r="R102" s="2"/>
    </row>
    <row r="103" spans="1:18" ht="15.75" customHeight="1">
      <c r="A103" s="2"/>
      <c r="B103" s="2"/>
      <c r="C103" s="2"/>
      <c r="D103" s="11"/>
      <c r="E103" s="2"/>
      <c r="F103" s="2"/>
      <c r="G103" s="2"/>
      <c r="H103" s="2"/>
      <c r="I103" s="2"/>
      <c r="J103" s="2"/>
      <c r="K103" s="2"/>
      <c r="L103" s="2"/>
      <c r="M103" s="12" t="str">
        <f t="shared" si="0"/>
        <v/>
      </c>
      <c r="N103" s="2"/>
      <c r="O103" s="2"/>
      <c r="P103" s="2"/>
      <c r="Q103" s="2"/>
      <c r="R103" s="2"/>
    </row>
    <row r="104" spans="1:18" ht="15.75" customHeight="1">
      <c r="A104" s="2"/>
      <c r="B104" s="2"/>
      <c r="C104" s="2"/>
      <c r="D104" s="11"/>
      <c r="E104" s="2"/>
      <c r="F104" s="2"/>
      <c r="G104" s="2"/>
      <c r="H104" s="2"/>
      <c r="I104" s="2"/>
      <c r="J104" s="2"/>
      <c r="K104" s="2"/>
      <c r="L104" s="2"/>
      <c r="M104" s="12" t="str">
        <f t="shared" si="0"/>
        <v/>
      </c>
      <c r="N104" s="2"/>
      <c r="O104" s="2"/>
      <c r="P104" s="2"/>
      <c r="Q104" s="2"/>
      <c r="R104" s="2"/>
    </row>
    <row r="105" spans="1:18" ht="15.75" customHeight="1">
      <c r="A105" s="2"/>
      <c r="B105" s="2"/>
      <c r="C105" s="2"/>
      <c r="D105" s="11"/>
      <c r="E105" s="2"/>
      <c r="F105" s="2"/>
      <c r="G105" s="2"/>
      <c r="H105" s="2"/>
      <c r="I105" s="2"/>
      <c r="J105" s="2"/>
      <c r="K105" s="2"/>
      <c r="L105" s="2"/>
      <c r="M105" s="12" t="str">
        <f t="shared" si="0"/>
        <v/>
      </c>
      <c r="N105" s="2"/>
      <c r="O105" s="2"/>
      <c r="P105" s="2"/>
      <c r="Q105" s="2"/>
      <c r="R105" s="2"/>
    </row>
    <row r="106" spans="1:18" ht="15.75" customHeight="1">
      <c r="A106" s="2"/>
      <c r="B106" s="2"/>
      <c r="C106" s="2"/>
      <c r="D106" s="11"/>
      <c r="E106" s="2"/>
      <c r="F106" s="2"/>
      <c r="G106" s="2"/>
      <c r="H106" s="2"/>
      <c r="I106" s="2"/>
      <c r="J106" s="2"/>
      <c r="K106" s="2"/>
      <c r="L106" s="2"/>
      <c r="M106" s="12" t="str">
        <f t="shared" si="0"/>
        <v/>
      </c>
      <c r="N106" s="2"/>
      <c r="O106" s="2"/>
      <c r="P106" s="2"/>
      <c r="Q106" s="2"/>
      <c r="R106" s="2"/>
    </row>
    <row r="107" spans="1:18" ht="15.75" customHeight="1">
      <c r="A107" s="2"/>
      <c r="B107" s="2"/>
      <c r="C107" s="2"/>
      <c r="D107" s="11"/>
      <c r="E107" s="2"/>
      <c r="F107" s="2"/>
      <c r="G107" s="2"/>
      <c r="H107" s="2"/>
      <c r="I107" s="2"/>
      <c r="J107" s="2"/>
      <c r="K107" s="2"/>
      <c r="L107" s="2"/>
      <c r="M107" s="12" t="str">
        <f t="shared" si="0"/>
        <v/>
      </c>
      <c r="N107" s="2"/>
      <c r="O107" s="2"/>
      <c r="P107" s="2"/>
      <c r="Q107" s="2"/>
      <c r="R107" s="2"/>
    </row>
    <row r="108" spans="1:18" ht="15.75" customHeight="1">
      <c r="A108" s="2"/>
      <c r="B108" s="2"/>
      <c r="C108" s="2"/>
      <c r="D108" s="11"/>
      <c r="E108" s="2"/>
      <c r="F108" s="2"/>
      <c r="G108" s="2"/>
      <c r="H108" s="2"/>
      <c r="I108" s="2"/>
      <c r="J108" s="2"/>
      <c r="K108" s="2"/>
      <c r="L108" s="2"/>
      <c r="M108" s="12" t="str">
        <f t="shared" si="0"/>
        <v/>
      </c>
      <c r="N108" s="2"/>
      <c r="O108" s="2"/>
      <c r="P108" s="2"/>
      <c r="Q108" s="2"/>
      <c r="R108" s="2"/>
    </row>
    <row r="109" spans="1:18" ht="15.75" customHeight="1">
      <c r="A109" s="2"/>
      <c r="B109" s="2"/>
      <c r="C109" s="2"/>
      <c r="D109" s="11"/>
      <c r="E109" s="2"/>
      <c r="F109" s="2"/>
      <c r="G109" s="2"/>
      <c r="H109" s="2"/>
      <c r="I109" s="2"/>
      <c r="J109" s="2"/>
      <c r="K109" s="2"/>
      <c r="L109" s="2"/>
      <c r="M109" s="12" t="str">
        <f t="shared" si="0"/>
        <v/>
      </c>
      <c r="N109" s="2"/>
      <c r="O109" s="2"/>
      <c r="P109" s="2"/>
      <c r="Q109" s="2"/>
      <c r="R109" s="2"/>
    </row>
    <row r="110" spans="1:18" ht="15.75" customHeight="1">
      <c r="A110" s="2"/>
      <c r="B110" s="2"/>
      <c r="C110" s="2"/>
      <c r="D110" s="11"/>
      <c r="E110" s="2"/>
      <c r="F110" s="2"/>
      <c r="G110" s="2"/>
      <c r="H110" s="2"/>
      <c r="I110" s="2"/>
      <c r="J110" s="2"/>
      <c r="K110" s="2"/>
      <c r="L110" s="2"/>
      <c r="M110" s="12" t="str">
        <f t="shared" si="0"/>
        <v/>
      </c>
      <c r="N110" s="2"/>
      <c r="O110" s="2"/>
      <c r="P110" s="2"/>
      <c r="Q110" s="2"/>
      <c r="R110" s="2"/>
    </row>
    <row r="111" spans="1:18" ht="15.75" customHeight="1">
      <c r="A111" s="2"/>
      <c r="B111" s="2"/>
      <c r="C111" s="2"/>
      <c r="D111" s="11"/>
      <c r="E111" s="2"/>
      <c r="F111" s="2"/>
      <c r="G111" s="2"/>
      <c r="H111" s="2"/>
      <c r="I111" s="2"/>
      <c r="J111" s="2"/>
      <c r="K111" s="2"/>
      <c r="L111" s="2"/>
      <c r="M111" s="12" t="str">
        <f t="shared" si="0"/>
        <v/>
      </c>
      <c r="N111" s="2"/>
      <c r="O111" s="2"/>
      <c r="P111" s="2"/>
      <c r="Q111" s="2"/>
      <c r="R111" s="2"/>
    </row>
    <row r="112" spans="1:18" ht="15.75" customHeight="1">
      <c r="A112" s="2"/>
      <c r="B112" s="2"/>
      <c r="C112" s="2"/>
      <c r="D112" s="11"/>
      <c r="E112" s="2"/>
      <c r="F112" s="2"/>
      <c r="G112" s="2"/>
      <c r="H112" s="2"/>
      <c r="I112" s="2"/>
      <c r="J112" s="2"/>
      <c r="K112" s="2"/>
      <c r="L112" s="2"/>
      <c r="M112" s="12" t="str">
        <f t="shared" si="0"/>
        <v/>
      </c>
      <c r="N112" s="2"/>
      <c r="O112" s="2"/>
      <c r="P112" s="2"/>
      <c r="Q112" s="2"/>
      <c r="R112" s="2"/>
    </row>
    <row r="113" spans="1:18" ht="15.75" customHeight="1">
      <c r="A113" s="2"/>
      <c r="B113" s="2"/>
      <c r="C113" s="2"/>
      <c r="D113" s="11"/>
      <c r="E113" s="2"/>
      <c r="F113" s="2"/>
      <c r="G113" s="2"/>
      <c r="H113" s="2"/>
      <c r="I113" s="2"/>
      <c r="J113" s="2"/>
      <c r="K113" s="2"/>
      <c r="L113" s="2"/>
      <c r="M113" s="12" t="str">
        <f t="shared" si="0"/>
        <v/>
      </c>
      <c r="N113" s="2"/>
      <c r="O113" s="2"/>
      <c r="P113" s="2"/>
      <c r="Q113" s="2"/>
      <c r="R113" s="2"/>
    </row>
    <row r="114" spans="1:18" ht="15.75" customHeight="1">
      <c r="A114" s="2"/>
      <c r="B114" s="2"/>
      <c r="C114" s="2"/>
      <c r="D114" s="11"/>
      <c r="E114" s="2"/>
      <c r="F114" s="2"/>
      <c r="G114" s="2"/>
      <c r="H114" s="2"/>
      <c r="I114" s="2"/>
      <c r="J114" s="2"/>
      <c r="K114" s="2"/>
      <c r="L114" s="2"/>
      <c r="M114" s="12" t="str">
        <f t="shared" si="0"/>
        <v/>
      </c>
      <c r="N114" s="2"/>
      <c r="O114" s="2"/>
      <c r="P114" s="2"/>
      <c r="Q114" s="2"/>
      <c r="R114" s="2"/>
    </row>
    <row r="115" spans="1:18" ht="15.75" customHeight="1">
      <c r="A115" s="2"/>
      <c r="B115" s="2"/>
      <c r="C115" s="2"/>
      <c r="D115" s="11"/>
      <c r="E115" s="2"/>
      <c r="F115" s="2"/>
      <c r="G115" s="2"/>
      <c r="H115" s="2"/>
      <c r="I115" s="2"/>
      <c r="J115" s="2"/>
      <c r="K115" s="2"/>
      <c r="L115" s="2"/>
      <c r="M115" s="12" t="str">
        <f t="shared" si="0"/>
        <v/>
      </c>
      <c r="N115" s="2"/>
      <c r="O115" s="2"/>
      <c r="P115" s="2"/>
      <c r="Q115" s="2"/>
      <c r="R115" s="2"/>
    </row>
    <row r="116" spans="1:18" ht="15.75" customHeight="1">
      <c r="A116" s="2"/>
      <c r="B116" s="2"/>
      <c r="C116" s="2"/>
      <c r="D116" s="11"/>
      <c r="E116" s="2"/>
      <c r="F116" s="2"/>
      <c r="G116" s="2"/>
      <c r="H116" s="2"/>
      <c r="I116" s="2"/>
      <c r="J116" s="2"/>
      <c r="K116" s="2"/>
      <c r="L116" s="2"/>
      <c r="M116" s="12" t="str">
        <f t="shared" si="0"/>
        <v/>
      </c>
      <c r="N116" s="2"/>
      <c r="O116" s="2"/>
      <c r="P116" s="2"/>
      <c r="Q116" s="2"/>
      <c r="R116" s="2"/>
    </row>
    <row r="117" spans="1:18" ht="15.75" customHeight="1">
      <c r="A117" s="2"/>
      <c r="B117" s="2"/>
      <c r="C117" s="2"/>
      <c r="D117" s="11"/>
      <c r="E117" s="2"/>
      <c r="F117" s="2"/>
      <c r="G117" s="2"/>
      <c r="H117" s="2"/>
      <c r="I117" s="2"/>
      <c r="J117" s="2"/>
      <c r="K117" s="2"/>
      <c r="L117" s="2"/>
      <c r="M117" s="12" t="str">
        <f t="shared" si="0"/>
        <v/>
      </c>
      <c r="N117" s="2"/>
      <c r="O117" s="2"/>
      <c r="P117" s="2"/>
      <c r="Q117" s="2"/>
      <c r="R117" s="2"/>
    </row>
    <row r="118" spans="1:18" ht="15.75" customHeight="1">
      <c r="A118" s="2"/>
      <c r="B118" s="2"/>
      <c r="C118" s="2"/>
      <c r="D118" s="11"/>
      <c r="E118" s="2"/>
      <c r="F118" s="2"/>
      <c r="G118" s="2"/>
      <c r="H118" s="2"/>
      <c r="I118" s="2"/>
      <c r="J118" s="2"/>
      <c r="K118" s="2"/>
      <c r="L118" s="2"/>
      <c r="M118" s="12" t="str">
        <f t="shared" si="0"/>
        <v/>
      </c>
      <c r="N118" s="2"/>
      <c r="O118" s="2"/>
      <c r="P118" s="2"/>
      <c r="Q118" s="2"/>
      <c r="R118" s="2"/>
    </row>
    <row r="119" spans="1:18" ht="15.75" customHeight="1">
      <c r="A119" s="2"/>
      <c r="B119" s="2"/>
      <c r="C119" s="2"/>
      <c r="D119" s="11"/>
      <c r="E119" s="2"/>
      <c r="F119" s="2"/>
      <c r="G119" s="2"/>
      <c r="H119" s="2"/>
      <c r="I119" s="2"/>
      <c r="J119" s="2"/>
      <c r="K119" s="2"/>
      <c r="L119" s="2"/>
      <c r="M119" s="12" t="str">
        <f t="shared" si="0"/>
        <v/>
      </c>
      <c r="N119" s="2"/>
      <c r="O119" s="2"/>
      <c r="P119" s="2"/>
      <c r="Q119" s="2"/>
      <c r="R119" s="2"/>
    </row>
    <row r="120" spans="1:18" ht="15.75" customHeight="1">
      <c r="A120" s="2"/>
      <c r="B120" s="2"/>
      <c r="C120" s="2"/>
      <c r="D120" s="11"/>
      <c r="E120" s="2"/>
      <c r="F120" s="2"/>
      <c r="G120" s="2"/>
      <c r="H120" s="2"/>
      <c r="I120" s="2"/>
      <c r="J120" s="2"/>
      <c r="K120" s="2"/>
      <c r="L120" s="2"/>
      <c r="M120" s="12" t="str">
        <f t="shared" si="0"/>
        <v/>
      </c>
      <c r="N120" s="2"/>
      <c r="O120" s="2"/>
      <c r="P120" s="2"/>
      <c r="Q120" s="2"/>
      <c r="R120" s="2"/>
    </row>
    <row r="121" spans="1:18" ht="15.75" customHeight="1">
      <c r="A121" s="2"/>
      <c r="B121" s="2"/>
      <c r="C121" s="2"/>
      <c r="D121" s="11"/>
      <c r="E121" s="2"/>
      <c r="F121" s="2"/>
      <c r="G121" s="2"/>
      <c r="H121" s="2"/>
      <c r="I121" s="2"/>
      <c r="J121" s="2"/>
      <c r="K121" s="2"/>
      <c r="L121" s="2"/>
      <c r="M121" s="12" t="str">
        <f t="shared" si="0"/>
        <v/>
      </c>
      <c r="N121" s="2"/>
      <c r="O121" s="2"/>
      <c r="P121" s="2"/>
      <c r="Q121" s="2"/>
      <c r="R121" s="2"/>
    </row>
    <row r="122" spans="1:18" ht="15.75" customHeight="1">
      <c r="A122" s="2"/>
      <c r="B122" s="2"/>
      <c r="C122" s="2"/>
      <c r="D122" s="11"/>
      <c r="E122" s="2"/>
      <c r="F122" s="2"/>
      <c r="G122" s="2"/>
      <c r="H122" s="2"/>
      <c r="I122" s="2"/>
      <c r="J122" s="2"/>
      <c r="K122" s="2"/>
      <c r="L122" s="2"/>
      <c r="M122" s="12" t="str">
        <f t="shared" si="0"/>
        <v/>
      </c>
      <c r="N122" s="2"/>
      <c r="O122" s="2"/>
      <c r="P122" s="2"/>
      <c r="Q122" s="2"/>
      <c r="R122" s="2"/>
    </row>
    <row r="123" spans="1:18" ht="15.75" customHeight="1">
      <c r="A123" s="2"/>
      <c r="B123" s="2"/>
      <c r="C123" s="2"/>
      <c r="D123" s="11"/>
      <c r="E123" s="2"/>
      <c r="F123" s="2"/>
      <c r="G123" s="2"/>
      <c r="H123" s="2"/>
      <c r="I123" s="2"/>
      <c r="J123" s="2"/>
      <c r="K123" s="2"/>
      <c r="L123" s="2"/>
      <c r="M123" s="12" t="str">
        <f t="shared" si="0"/>
        <v/>
      </c>
      <c r="N123" s="2"/>
      <c r="O123" s="2"/>
      <c r="P123" s="2"/>
      <c r="Q123" s="2"/>
      <c r="R123" s="2"/>
    </row>
    <row r="124" spans="1:18" ht="15.75" customHeight="1">
      <c r="A124" s="2"/>
      <c r="B124" s="2"/>
      <c r="C124" s="2"/>
      <c r="D124" s="11"/>
      <c r="E124" s="2"/>
      <c r="F124" s="2"/>
      <c r="G124" s="2"/>
      <c r="H124" s="2"/>
      <c r="I124" s="2"/>
      <c r="J124" s="2"/>
      <c r="K124" s="2"/>
      <c r="L124" s="2"/>
      <c r="M124" s="12" t="str">
        <f t="shared" si="0"/>
        <v/>
      </c>
      <c r="N124" s="2"/>
      <c r="O124" s="2"/>
      <c r="P124" s="2"/>
      <c r="Q124" s="2"/>
      <c r="R124" s="2"/>
    </row>
    <row r="125" spans="1:18" ht="15.75" customHeight="1">
      <c r="A125" s="2"/>
      <c r="B125" s="2"/>
      <c r="C125" s="2"/>
      <c r="D125" s="11"/>
      <c r="E125" s="2"/>
      <c r="F125" s="2"/>
      <c r="G125" s="2"/>
      <c r="H125" s="2"/>
      <c r="I125" s="2"/>
      <c r="J125" s="2"/>
      <c r="K125" s="2"/>
      <c r="L125" s="2"/>
      <c r="M125" s="12" t="str">
        <f t="shared" si="0"/>
        <v/>
      </c>
      <c r="N125" s="2"/>
      <c r="O125" s="2"/>
      <c r="P125" s="2"/>
      <c r="Q125" s="2"/>
      <c r="R125" s="2"/>
    </row>
    <row r="126" spans="1:18" ht="15.75" customHeight="1">
      <c r="A126" s="2"/>
      <c r="B126" s="2"/>
      <c r="C126" s="2"/>
      <c r="D126" s="11"/>
      <c r="E126" s="2"/>
      <c r="F126" s="2"/>
      <c r="G126" s="2"/>
      <c r="H126" s="2"/>
      <c r="I126" s="2"/>
      <c r="J126" s="2"/>
      <c r="K126" s="2"/>
      <c r="L126" s="2"/>
      <c r="M126" s="12" t="str">
        <f t="shared" si="0"/>
        <v/>
      </c>
      <c r="N126" s="2"/>
      <c r="O126" s="2"/>
      <c r="P126" s="2"/>
      <c r="Q126" s="2"/>
      <c r="R126" s="2"/>
    </row>
    <row r="127" spans="1:18" ht="15.75" customHeight="1">
      <c r="A127" s="2"/>
      <c r="B127" s="2"/>
      <c r="C127" s="2"/>
      <c r="D127" s="11"/>
      <c r="E127" s="2"/>
      <c r="F127" s="2"/>
      <c r="G127" s="2"/>
      <c r="H127" s="2"/>
      <c r="I127" s="2"/>
      <c r="J127" s="2"/>
      <c r="K127" s="2"/>
      <c r="L127" s="2"/>
      <c r="M127" s="12" t="str">
        <f t="shared" si="0"/>
        <v/>
      </c>
      <c r="N127" s="2"/>
      <c r="O127" s="2"/>
      <c r="P127" s="2"/>
      <c r="Q127" s="2"/>
      <c r="R127" s="2"/>
    </row>
    <row r="128" spans="1:18" ht="15.75" customHeight="1">
      <c r="A128" s="2"/>
      <c r="B128" s="2"/>
      <c r="C128" s="2"/>
      <c r="D128" s="11"/>
      <c r="E128" s="2"/>
      <c r="F128" s="2"/>
      <c r="G128" s="2"/>
      <c r="H128" s="2"/>
      <c r="I128" s="2"/>
      <c r="J128" s="2"/>
      <c r="K128" s="2"/>
      <c r="L128" s="2"/>
      <c r="M128" s="12" t="str">
        <f t="shared" si="0"/>
        <v/>
      </c>
      <c r="N128" s="2"/>
      <c r="O128" s="2"/>
      <c r="P128" s="2"/>
      <c r="Q128" s="2"/>
      <c r="R128" s="2"/>
    </row>
    <row r="129" spans="1:18" ht="15.75" customHeight="1">
      <c r="A129" s="2"/>
      <c r="B129" s="2"/>
      <c r="C129" s="2"/>
      <c r="D129" s="11"/>
      <c r="E129" s="2"/>
      <c r="F129" s="2"/>
      <c r="G129" s="2"/>
      <c r="H129" s="2"/>
      <c r="I129" s="2"/>
      <c r="J129" s="2"/>
      <c r="K129" s="2"/>
      <c r="L129" s="2"/>
      <c r="M129" s="12" t="str">
        <f t="shared" si="0"/>
        <v/>
      </c>
      <c r="N129" s="2"/>
      <c r="O129" s="2"/>
      <c r="P129" s="2"/>
      <c r="Q129" s="2"/>
      <c r="R129" s="2"/>
    </row>
    <row r="130" spans="1:18" ht="15.75" customHeight="1">
      <c r="A130" s="2"/>
      <c r="B130" s="2"/>
      <c r="C130" s="2"/>
      <c r="D130" s="11"/>
      <c r="E130" s="2"/>
      <c r="F130" s="2"/>
      <c r="G130" s="2"/>
      <c r="H130" s="2"/>
      <c r="I130" s="2"/>
      <c r="J130" s="2"/>
      <c r="K130" s="2"/>
      <c r="L130" s="2"/>
      <c r="M130" s="12" t="str">
        <f t="shared" si="0"/>
        <v/>
      </c>
      <c r="N130" s="2"/>
      <c r="O130" s="2"/>
      <c r="P130" s="2"/>
      <c r="Q130" s="2"/>
      <c r="R130" s="2"/>
    </row>
    <row r="131" spans="1:18" ht="15.75" customHeight="1">
      <c r="A131" s="2"/>
      <c r="B131" s="2"/>
      <c r="C131" s="2"/>
      <c r="D131" s="11"/>
      <c r="E131" s="2"/>
      <c r="F131" s="2"/>
      <c r="G131" s="2"/>
      <c r="H131" s="2"/>
      <c r="I131" s="2"/>
      <c r="J131" s="2"/>
      <c r="K131" s="2"/>
      <c r="L131" s="2"/>
      <c r="M131" s="12" t="str">
        <f t="shared" si="0"/>
        <v/>
      </c>
      <c r="N131" s="2"/>
      <c r="O131" s="2"/>
      <c r="P131" s="2"/>
      <c r="Q131" s="2"/>
      <c r="R131" s="2"/>
    </row>
    <row r="132" spans="1:18" ht="15.75" customHeight="1">
      <c r="A132" s="2"/>
      <c r="B132" s="2"/>
      <c r="C132" s="2"/>
      <c r="D132" s="11"/>
      <c r="E132" s="2"/>
      <c r="F132" s="2"/>
      <c r="G132" s="2"/>
      <c r="H132" s="2"/>
      <c r="I132" s="2"/>
      <c r="J132" s="2"/>
      <c r="K132" s="2"/>
      <c r="L132" s="2"/>
      <c r="M132" s="12" t="str">
        <f t="shared" si="0"/>
        <v/>
      </c>
      <c r="N132" s="2"/>
      <c r="O132" s="2"/>
      <c r="P132" s="2"/>
      <c r="Q132" s="2"/>
      <c r="R132" s="2"/>
    </row>
    <row r="133" spans="1:18" ht="15.75" customHeight="1">
      <c r="A133" s="2"/>
      <c r="B133" s="2"/>
      <c r="C133" s="2"/>
      <c r="D133" s="11"/>
      <c r="E133" s="2"/>
      <c r="F133" s="2"/>
      <c r="G133" s="2"/>
      <c r="H133" s="2"/>
      <c r="I133" s="2"/>
      <c r="J133" s="2"/>
      <c r="K133" s="2"/>
      <c r="L133" s="2"/>
      <c r="M133" s="12" t="str">
        <f t="shared" si="0"/>
        <v/>
      </c>
      <c r="N133" s="2"/>
      <c r="O133" s="2"/>
      <c r="P133" s="2"/>
      <c r="Q133" s="2"/>
      <c r="R133" s="2"/>
    </row>
    <row r="134" spans="1:18" ht="15.75" customHeight="1">
      <c r="A134" s="2"/>
      <c r="B134" s="2"/>
      <c r="C134" s="2"/>
      <c r="D134" s="11"/>
      <c r="E134" s="2"/>
      <c r="F134" s="2"/>
      <c r="G134" s="2"/>
      <c r="H134" s="2"/>
      <c r="I134" s="2"/>
      <c r="J134" s="2"/>
      <c r="K134" s="2"/>
      <c r="L134" s="2"/>
      <c r="M134" s="12" t="str">
        <f t="shared" si="0"/>
        <v/>
      </c>
      <c r="N134" s="2"/>
      <c r="O134" s="2"/>
      <c r="P134" s="2"/>
      <c r="Q134" s="2"/>
      <c r="R134" s="2"/>
    </row>
    <row r="135" spans="1:18" ht="15.75" customHeight="1">
      <c r="A135" s="2"/>
      <c r="B135" s="2"/>
      <c r="C135" s="2"/>
      <c r="D135" s="11"/>
      <c r="E135" s="2"/>
      <c r="F135" s="2"/>
      <c r="G135" s="2"/>
      <c r="H135" s="2"/>
      <c r="I135" s="2"/>
      <c r="J135" s="2"/>
      <c r="K135" s="2"/>
      <c r="L135" s="2"/>
      <c r="M135" s="12" t="str">
        <f t="shared" si="0"/>
        <v/>
      </c>
      <c r="N135" s="2"/>
      <c r="O135" s="2"/>
      <c r="P135" s="2"/>
      <c r="Q135" s="2"/>
      <c r="R135" s="2"/>
    </row>
    <row r="136" spans="1:18" ht="15.75" customHeight="1">
      <c r="A136" s="2"/>
      <c r="B136" s="2"/>
      <c r="C136" s="2"/>
      <c r="D136" s="11"/>
      <c r="E136" s="2"/>
      <c r="F136" s="2"/>
      <c r="G136" s="2"/>
      <c r="H136" s="2"/>
      <c r="I136" s="2"/>
      <c r="J136" s="2"/>
      <c r="K136" s="2"/>
      <c r="L136" s="2"/>
      <c r="M136" s="12" t="str">
        <f t="shared" si="0"/>
        <v/>
      </c>
      <c r="N136" s="2"/>
      <c r="O136" s="2"/>
      <c r="P136" s="2"/>
      <c r="Q136" s="2"/>
      <c r="R136" s="2"/>
    </row>
    <row r="137" spans="1:18" ht="15.75" customHeight="1">
      <c r="A137" s="2"/>
      <c r="B137" s="2"/>
      <c r="C137" s="2"/>
      <c r="D137" s="11"/>
      <c r="E137" s="2"/>
      <c r="F137" s="2"/>
      <c r="G137" s="2"/>
      <c r="H137" s="2"/>
      <c r="I137" s="2"/>
      <c r="J137" s="2"/>
      <c r="K137" s="2"/>
      <c r="L137" s="2"/>
      <c r="M137" s="12" t="str">
        <f t="shared" si="0"/>
        <v/>
      </c>
      <c r="N137" s="2"/>
      <c r="O137" s="2"/>
      <c r="P137" s="2"/>
      <c r="Q137" s="2"/>
      <c r="R137" s="2"/>
    </row>
    <row r="138" spans="1:18" ht="15.75" customHeight="1">
      <c r="A138" s="2"/>
      <c r="B138" s="2"/>
      <c r="C138" s="2"/>
      <c r="D138" s="11"/>
      <c r="E138" s="2"/>
      <c r="F138" s="2"/>
      <c r="G138" s="2"/>
      <c r="H138" s="2"/>
      <c r="I138" s="2"/>
      <c r="J138" s="2"/>
      <c r="K138" s="2"/>
      <c r="L138" s="2"/>
      <c r="M138" s="12" t="str">
        <f t="shared" si="0"/>
        <v/>
      </c>
      <c r="N138" s="2"/>
      <c r="O138" s="2"/>
      <c r="P138" s="2"/>
      <c r="Q138" s="2"/>
      <c r="R138" s="2"/>
    </row>
    <row r="139" spans="1:18" ht="15.75" customHeight="1">
      <c r="A139" s="2"/>
      <c r="B139" s="2"/>
      <c r="C139" s="2"/>
      <c r="D139" s="11"/>
      <c r="E139" s="2"/>
      <c r="F139" s="2"/>
      <c r="G139" s="2"/>
      <c r="H139" s="2"/>
      <c r="I139" s="2"/>
      <c r="J139" s="2"/>
      <c r="K139" s="2"/>
      <c r="L139" s="2"/>
      <c r="M139" s="12" t="str">
        <f t="shared" si="0"/>
        <v/>
      </c>
      <c r="N139" s="2"/>
      <c r="O139" s="2"/>
      <c r="P139" s="2"/>
      <c r="Q139" s="2"/>
      <c r="R139" s="2"/>
    </row>
    <row r="140" spans="1:18" ht="15.75" customHeight="1">
      <c r="A140" s="2"/>
      <c r="B140" s="2"/>
      <c r="C140" s="2"/>
      <c r="D140" s="11"/>
      <c r="E140" s="2"/>
      <c r="F140" s="2"/>
      <c r="G140" s="2"/>
      <c r="H140" s="2"/>
      <c r="I140" s="2"/>
      <c r="J140" s="2"/>
      <c r="K140" s="2"/>
      <c r="L140" s="2"/>
      <c r="M140" s="12" t="str">
        <f t="shared" si="0"/>
        <v/>
      </c>
      <c r="N140" s="2"/>
      <c r="O140" s="2"/>
      <c r="P140" s="2"/>
      <c r="Q140" s="2"/>
      <c r="R140" s="2"/>
    </row>
    <row r="141" spans="1:18" ht="15.75" customHeight="1">
      <c r="A141" s="2"/>
      <c r="B141" s="2"/>
      <c r="C141" s="2"/>
      <c r="D141" s="11"/>
      <c r="E141" s="2"/>
      <c r="F141" s="2"/>
      <c r="G141" s="2"/>
      <c r="H141" s="2"/>
      <c r="I141" s="2"/>
      <c r="J141" s="2"/>
      <c r="K141" s="2"/>
      <c r="L141" s="2"/>
      <c r="M141" s="12" t="str">
        <f t="shared" si="0"/>
        <v/>
      </c>
      <c r="N141" s="2"/>
      <c r="O141" s="2"/>
      <c r="P141" s="2"/>
      <c r="Q141" s="2"/>
      <c r="R141" s="2"/>
    </row>
    <row r="142" spans="1:18" ht="15.75" customHeight="1">
      <c r="A142" s="2"/>
      <c r="B142" s="2"/>
      <c r="C142" s="2"/>
      <c r="D142" s="11"/>
      <c r="E142" s="2"/>
      <c r="F142" s="2"/>
      <c r="G142" s="2"/>
      <c r="H142" s="2"/>
      <c r="I142" s="2"/>
      <c r="J142" s="2"/>
      <c r="K142" s="2"/>
      <c r="L142" s="2"/>
      <c r="M142" s="12" t="str">
        <f t="shared" si="0"/>
        <v/>
      </c>
      <c r="N142" s="2"/>
      <c r="O142" s="2"/>
      <c r="P142" s="2"/>
      <c r="Q142" s="2"/>
      <c r="R142" s="2"/>
    </row>
    <row r="143" spans="1:18" ht="15.75" customHeight="1">
      <c r="A143" s="2"/>
      <c r="B143" s="2"/>
      <c r="C143" s="2"/>
      <c r="D143" s="11"/>
      <c r="E143" s="2"/>
      <c r="F143" s="2"/>
      <c r="G143" s="2"/>
      <c r="H143" s="2"/>
      <c r="I143" s="2"/>
      <c r="J143" s="2"/>
      <c r="K143" s="2"/>
      <c r="L143" s="2"/>
      <c r="M143" s="12" t="str">
        <f t="shared" si="0"/>
        <v/>
      </c>
      <c r="N143" s="2"/>
      <c r="O143" s="2"/>
      <c r="P143" s="2"/>
      <c r="Q143" s="2"/>
      <c r="R143" s="2"/>
    </row>
    <row r="144" spans="1:18" ht="15.75" customHeight="1">
      <c r="A144" s="2"/>
      <c r="B144" s="2"/>
      <c r="C144" s="2"/>
      <c r="D144" s="11"/>
      <c r="E144" s="2"/>
      <c r="F144" s="2"/>
      <c r="G144" s="2"/>
      <c r="H144" s="2"/>
      <c r="I144" s="2"/>
      <c r="J144" s="2"/>
      <c r="K144" s="2"/>
      <c r="L144" s="2"/>
      <c r="M144" s="12" t="str">
        <f t="shared" si="0"/>
        <v/>
      </c>
      <c r="N144" s="2"/>
      <c r="O144" s="2"/>
      <c r="P144" s="2"/>
      <c r="Q144" s="2"/>
      <c r="R144" s="2"/>
    </row>
    <row r="145" spans="1:18" ht="15.75" customHeight="1">
      <c r="A145" s="2"/>
      <c r="B145" s="2"/>
      <c r="C145" s="2"/>
      <c r="D145" s="11"/>
      <c r="E145" s="2"/>
      <c r="F145" s="2"/>
      <c r="G145" s="2"/>
      <c r="H145" s="2"/>
      <c r="I145" s="2"/>
      <c r="J145" s="2"/>
      <c r="K145" s="2"/>
      <c r="L145" s="2"/>
      <c r="M145" s="12" t="str">
        <f t="shared" si="0"/>
        <v/>
      </c>
      <c r="N145" s="2"/>
      <c r="O145" s="2"/>
      <c r="P145" s="2"/>
      <c r="Q145" s="2"/>
      <c r="R145" s="2"/>
    </row>
    <row r="146" spans="1:18" ht="15.75" customHeight="1">
      <c r="A146" s="2"/>
      <c r="B146" s="2"/>
      <c r="C146" s="2"/>
      <c r="D146" s="11"/>
      <c r="E146" s="2"/>
      <c r="F146" s="2"/>
      <c r="G146" s="2"/>
      <c r="H146" s="2"/>
      <c r="I146" s="2"/>
      <c r="J146" s="2"/>
      <c r="K146" s="2"/>
      <c r="L146" s="2"/>
      <c r="M146" s="12" t="str">
        <f t="shared" si="0"/>
        <v/>
      </c>
      <c r="N146" s="2"/>
      <c r="O146" s="2"/>
      <c r="P146" s="2"/>
      <c r="Q146" s="2"/>
      <c r="R146" s="2"/>
    </row>
    <row r="147" spans="1:18" ht="15.75" customHeight="1">
      <c r="A147" s="2"/>
      <c r="B147" s="2"/>
      <c r="C147" s="2"/>
      <c r="D147" s="11"/>
      <c r="E147" s="2"/>
      <c r="F147" s="2"/>
      <c r="G147" s="2"/>
      <c r="H147" s="2"/>
      <c r="I147" s="2"/>
      <c r="J147" s="2"/>
      <c r="K147" s="2"/>
      <c r="L147" s="2"/>
      <c r="M147" s="12" t="str">
        <f t="shared" si="0"/>
        <v/>
      </c>
      <c r="N147" s="2"/>
      <c r="O147" s="2"/>
      <c r="P147" s="2"/>
      <c r="Q147" s="2"/>
      <c r="R147" s="2"/>
    </row>
    <row r="148" spans="1:18" ht="15.75" customHeight="1">
      <c r="A148" s="2"/>
      <c r="B148" s="2"/>
      <c r="C148" s="2"/>
      <c r="D148" s="11"/>
      <c r="E148" s="2"/>
      <c r="F148" s="2"/>
      <c r="G148" s="2"/>
      <c r="H148" s="2"/>
      <c r="I148" s="2"/>
      <c r="J148" s="2"/>
      <c r="K148" s="2"/>
      <c r="L148" s="2"/>
      <c r="M148" s="12" t="str">
        <f t="shared" si="0"/>
        <v/>
      </c>
      <c r="N148" s="2"/>
      <c r="O148" s="2"/>
      <c r="P148" s="2"/>
      <c r="Q148" s="2"/>
      <c r="R148" s="2"/>
    </row>
    <row r="149" spans="1:18" ht="15.75" customHeight="1">
      <c r="A149" s="2"/>
      <c r="B149" s="2"/>
      <c r="C149" s="2"/>
      <c r="D149" s="11"/>
      <c r="E149" s="2"/>
      <c r="F149" s="2"/>
      <c r="G149" s="2"/>
      <c r="H149" s="2"/>
      <c r="I149" s="2"/>
      <c r="J149" s="2"/>
      <c r="K149" s="2"/>
      <c r="L149" s="2"/>
      <c r="M149" s="12" t="str">
        <f t="shared" si="0"/>
        <v/>
      </c>
      <c r="N149" s="2"/>
      <c r="O149" s="2"/>
      <c r="P149" s="2"/>
      <c r="Q149" s="2"/>
      <c r="R149" s="2"/>
    </row>
    <row r="150" spans="1:18" ht="15.75" customHeight="1">
      <c r="A150" s="2"/>
      <c r="B150" s="2"/>
      <c r="C150" s="2"/>
      <c r="D150" s="11"/>
      <c r="E150" s="2"/>
      <c r="F150" s="2"/>
      <c r="G150" s="2"/>
      <c r="H150" s="2"/>
      <c r="I150" s="2"/>
      <c r="J150" s="2"/>
      <c r="K150" s="2"/>
      <c r="L150" s="2"/>
      <c r="M150" s="12" t="str">
        <f t="shared" si="0"/>
        <v/>
      </c>
      <c r="N150" s="2"/>
      <c r="O150" s="2"/>
      <c r="P150" s="2"/>
      <c r="Q150" s="2"/>
      <c r="R150" s="2"/>
    </row>
    <row r="151" spans="1:18" ht="15.75" customHeight="1">
      <c r="A151" s="2"/>
      <c r="B151" s="2"/>
      <c r="C151" s="2"/>
      <c r="D151" s="11"/>
      <c r="E151" s="2"/>
      <c r="F151" s="2"/>
      <c r="G151" s="2"/>
      <c r="H151" s="2"/>
      <c r="I151" s="2"/>
      <c r="J151" s="2"/>
      <c r="K151" s="2"/>
      <c r="L151" s="2"/>
      <c r="M151" s="12" t="str">
        <f t="shared" si="0"/>
        <v/>
      </c>
      <c r="N151" s="2"/>
      <c r="O151" s="2"/>
      <c r="P151" s="2"/>
      <c r="Q151" s="2"/>
      <c r="R151" s="2"/>
    </row>
    <row r="152" spans="1:18" ht="15.75" customHeight="1">
      <c r="A152" s="2"/>
      <c r="B152" s="2"/>
      <c r="C152" s="2"/>
      <c r="D152" s="11"/>
      <c r="E152" s="2"/>
      <c r="F152" s="2"/>
      <c r="G152" s="2"/>
      <c r="H152" s="2"/>
      <c r="I152" s="2"/>
      <c r="J152" s="2"/>
      <c r="K152" s="2"/>
      <c r="L152" s="2"/>
      <c r="M152" s="12" t="str">
        <f t="shared" si="0"/>
        <v/>
      </c>
      <c r="N152" s="2"/>
      <c r="O152" s="2"/>
      <c r="P152" s="2"/>
      <c r="Q152" s="2"/>
      <c r="R152" s="2"/>
    </row>
    <row r="153" spans="1:18" ht="15.75" customHeight="1">
      <c r="A153" s="2"/>
      <c r="B153" s="2"/>
      <c r="C153" s="2"/>
      <c r="D153" s="11"/>
      <c r="E153" s="2"/>
      <c r="F153" s="2"/>
      <c r="G153" s="2"/>
      <c r="H153" s="2"/>
      <c r="I153" s="2"/>
      <c r="J153" s="2"/>
      <c r="K153" s="2"/>
      <c r="L153" s="2"/>
      <c r="M153" s="12" t="str">
        <f t="shared" si="0"/>
        <v/>
      </c>
      <c r="N153" s="2"/>
      <c r="O153" s="2"/>
      <c r="P153" s="2"/>
      <c r="Q153" s="2"/>
      <c r="R153" s="2"/>
    </row>
    <row r="154" spans="1:18" ht="15.75" customHeight="1">
      <c r="A154" s="2"/>
      <c r="B154" s="2"/>
      <c r="C154" s="2"/>
      <c r="D154" s="11"/>
      <c r="E154" s="2"/>
      <c r="F154" s="2"/>
      <c r="G154" s="2"/>
      <c r="H154" s="2"/>
      <c r="I154" s="2"/>
      <c r="J154" s="2"/>
      <c r="K154" s="2"/>
      <c r="L154" s="2"/>
      <c r="M154" s="12" t="str">
        <f t="shared" si="0"/>
        <v/>
      </c>
      <c r="N154" s="2"/>
      <c r="O154" s="2"/>
      <c r="P154" s="2"/>
      <c r="Q154" s="2"/>
      <c r="R154" s="2"/>
    </row>
    <row r="155" spans="1:18" ht="15.75" customHeight="1">
      <c r="A155" s="2"/>
      <c r="B155" s="2"/>
      <c r="C155" s="2"/>
      <c r="D155" s="11"/>
      <c r="E155" s="2"/>
      <c r="F155" s="2"/>
      <c r="G155" s="2"/>
      <c r="H155" s="2"/>
      <c r="I155" s="2"/>
      <c r="J155" s="2"/>
      <c r="K155" s="2"/>
      <c r="L155" s="2"/>
      <c r="M155" s="12" t="str">
        <f t="shared" si="0"/>
        <v/>
      </c>
      <c r="N155" s="2"/>
      <c r="O155" s="2"/>
      <c r="P155" s="2"/>
      <c r="Q155" s="2"/>
      <c r="R155" s="2"/>
    </row>
    <row r="156" spans="1:18" ht="15.75" customHeight="1">
      <c r="A156" s="2"/>
      <c r="B156" s="2"/>
      <c r="C156" s="2"/>
      <c r="D156" s="11"/>
      <c r="E156" s="2"/>
      <c r="F156" s="2"/>
      <c r="G156" s="2"/>
      <c r="H156" s="2"/>
      <c r="I156" s="2"/>
      <c r="J156" s="2"/>
      <c r="K156" s="2"/>
      <c r="L156" s="2"/>
      <c r="M156" s="12" t="str">
        <f t="shared" si="0"/>
        <v/>
      </c>
      <c r="N156" s="2"/>
      <c r="O156" s="2"/>
      <c r="P156" s="2"/>
      <c r="Q156" s="2"/>
      <c r="R156" s="2"/>
    </row>
    <row r="157" spans="1:18" ht="15.75" customHeight="1">
      <c r="A157" s="2"/>
      <c r="B157" s="2"/>
      <c r="C157" s="2"/>
      <c r="D157" s="11"/>
      <c r="E157" s="2"/>
      <c r="F157" s="2"/>
      <c r="G157" s="2"/>
      <c r="H157" s="2"/>
      <c r="I157" s="2"/>
      <c r="J157" s="2"/>
      <c r="K157" s="2"/>
      <c r="L157" s="2"/>
      <c r="M157" s="12" t="str">
        <f t="shared" si="0"/>
        <v/>
      </c>
      <c r="N157" s="2"/>
      <c r="O157" s="2"/>
      <c r="P157" s="2"/>
      <c r="Q157" s="2"/>
      <c r="R157" s="2"/>
    </row>
    <row r="158" spans="1:18" ht="15.75" customHeight="1">
      <c r="A158" s="2"/>
      <c r="B158" s="2"/>
      <c r="C158" s="2"/>
      <c r="D158" s="11"/>
      <c r="E158" s="2"/>
      <c r="F158" s="2"/>
      <c r="G158" s="2"/>
      <c r="H158" s="2"/>
      <c r="I158" s="2"/>
      <c r="J158" s="2"/>
      <c r="K158" s="2"/>
      <c r="L158" s="2"/>
      <c r="M158" s="12" t="str">
        <f t="shared" si="0"/>
        <v/>
      </c>
      <c r="N158" s="2"/>
      <c r="O158" s="2"/>
      <c r="P158" s="2"/>
      <c r="Q158" s="2"/>
      <c r="R158" s="2"/>
    </row>
    <row r="159" spans="1:18" ht="15.75" customHeight="1">
      <c r="A159" s="2"/>
      <c r="B159" s="2"/>
      <c r="C159" s="2"/>
      <c r="D159" s="11"/>
      <c r="E159" s="2"/>
      <c r="F159" s="2"/>
      <c r="G159" s="2"/>
      <c r="H159" s="2"/>
      <c r="I159" s="2"/>
      <c r="J159" s="2"/>
      <c r="K159" s="2"/>
      <c r="L159" s="2"/>
      <c r="M159" s="12" t="str">
        <f t="shared" si="0"/>
        <v/>
      </c>
      <c r="N159" s="2"/>
      <c r="O159" s="2"/>
      <c r="P159" s="2"/>
      <c r="Q159" s="2"/>
      <c r="R159" s="2"/>
    </row>
    <row r="160" spans="1:18" ht="15.75" customHeight="1">
      <c r="A160" s="2"/>
      <c r="B160" s="2"/>
      <c r="C160" s="2"/>
      <c r="D160" s="11"/>
      <c r="E160" s="2"/>
      <c r="F160" s="2"/>
      <c r="G160" s="2"/>
      <c r="H160" s="2"/>
      <c r="I160" s="2"/>
      <c r="J160" s="2"/>
      <c r="K160" s="2"/>
      <c r="L160" s="2"/>
      <c r="M160" s="12" t="str">
        <f t="shared" si="0"/>
        <v/>
      </c>
      <c r="N160" s="2"/>
      <c r="O160" s="2"/>
      <c r="P160" s="2"/>
      <c r="Q160" s="2"/>
      <c r="R160" s="2"/>
    </row>
    <row r="161" spans="1:18" ht="15.75" customHeight="1">
      <c r="A161" s="2"/>
      <c r="B161" s="2"/>
      <c r="C161" s="2"/>
      <c r="D161" s="11"/>
      <c r="E161" s="2"/>
      <c r="F161" s="2"/>
      <c r="G161" s="2"/>
      <c r="H161" s="2"/>
      <c r="I161" s="2"/>
      <c r="J161" s="2"/>
      <c r="K161" s="2"/>
      <c r="L161" s="2"/>
      <c r="M161" s="12" t="str">
        <f t="shared" si="0"/>
        <v/>
      </c>
      <c r="N161" s="2"/>
      <c r="O161" s="2"/>
      <c r="P161" s="2"/>
      <c r="Q161" s="2"/>
      <c r="R161" s="2"/>
    </row>
    <row r="162" spans="1:18" ht="15.75" customHeight="1">
      <c r="A162" s="2"/>
      <c r="B162" s="2"/>
      <c r="C162" s="2"/>
      <c r="D162" s="11"/>
      <c r="E162" s="2"/>
      <c r="F162" s="2"/>
      <c r="G162" s="2"/>
      <c r="H162" s="2"/>
      <c r="I162" s="2"/>
      <c r="J162" s="2"/>
      <c r="K162" s="2"/>
      <c r="L162" s="2"/>
      <c r="M162" s="12" t="str">
        <f t="shared" si="0"/>
        <v/>
      </c>
      <c r="N162" s="2"/>
      <c r="O162" s="2"/>
      <c r="P162" s="2"/>
      <c r="Q162" s="2"/>
      <c r="R162" s="2"/>
    </row>
    <row r="163" spans="1:18" ht="15.75" customHeight="1">
      <c r="A163" s="2"/>
      <c r="B163" s="2"/>
      <c r="C163" s="2"/>
      <c r="D163" s="11"/>
      <c r="E163" s="2"/>
      <c r="F163" s="2"/>
      <c r="G163" s="2"/>
      <c r="H163" s="2"/>
      <c r="I163" s="2"/>
      <c r="J163" s="2"/>
      <c r="K163" s="2"/>
      <c r="L163" s="2"/>
      <c r="M163" s="12" t="str">
        <f t="shared" si="0"/>
        <v/>
      </c>
      <c r="N163" s="2"/>
      <c r="O163" s="2"/>
      <c r="P163" s="2"/>
      <c r="Q163" s="2"/>
      <c r="R163" s="2"/>
    </row>
    <row r="164" spans="1:18" ht="15.75" customHeight="1">
      <c r="A164" s="2"/>
      <c r="B164" s="2"/>
      <c r="C164" s="2"/>
      <c r="D164" s="11"/>
      <c r="E164" s="2"/>
      <c r="F164" s="2"/>
      <c r="G164" s="2"/>
      <c r="H164" s="2"/>
      <c r="I164" s="2"/>
      <c r="J164" s="2"/>
      <c r="K164" s="2"/>
      <c r="L164" s="2"/>
      <c r="M164" s="12" t="str">
        <f t="shared" si="0"/>
        <v/>
      </c>
      <c r="N164" s="2"/>
      <c r="O164" s="2"/>
      <c r="P164" s="2"/>
      <c r="Q164" s="2"/>
      <c r="R164" s="2"/>
    </row>
    <row r="165" spans="1:18" ht="15.75" customHeight="1">
      <c r="A165" s="2"/>
      <c r="B165" s="2"/>
      <c r="C165" s="2"/>
      <c r="D165" s="11"/>
      <c r="E165" s="2"/>
      <c r="F165" s="2"/>
      <c r="G165" s="2"/>
      <c r="H165" s="2"/>
      <c r="I165" s="2"/>
      <c r="J165" s="2"/>
      <c r="K165" s="2"/>
      <c r="L165" s="2"/>
      <c r="M165" s="12" t="str">
        <f t="shared" si="0"/>
        <v/>
      </c>
      <c r="N165" s="2"/>
      <c r="O165" s="2"/>
      <c r="P165" s="2"/>
      <c r="Q165" s="2"/>
      <c r="R165" s="2"/>
    </row>
    <row r="166" spans="1:18" ht="15.75" customHeight="1">
      <c r="A166" s="2"/>
      <c r="B166" s="2"/>
      <c r="C166" s="2"/>
      <c r="D166" s="11"/>
      <c r="E166" s="2"/>
      <c r="F166" s="2"/>
      <c r="G166" s="2"/>
      <c r="H166" s="2"/>
      <c r="I166" s="2"/>
      <c r="J166" s="2"/>
      <c r="K166" s="2"/>
      <c r="L166" s="2"/>
      <c r="M166" s="12" t="str">
        <f t="shared" si="0"/>
        <v/>
      </c>
      <c r="N166" s="2"/>
      <c r="O166" s="2"/>
      <c r="P166" s="2"/>
      <c r="Q166" s="2"/>
      <c r="R166" s="2"/>
    </row>
    <row r="167" spans="1:18" ht="15.75" customHeight="1">
      <c r="A167" s="2"/>
      <c r="B167" s="2"/>
      <c r="C167" s="2"/>
      <c r="D167" s="11"/>
      <c r="E167" s="2"/>
      <c r="F167" s="2"/>
      <c r="G167" s="2"/>
      <c r="H167" s="2"/>
      <c r="I167" s="2"/>
      <c r="J167" s="2"/>
      <c r="K167" s="2"/>
      <c r="L167" s="2"/>
      <c r="M167" s="12" t="str">
        <f t="shared" si="0"/>
        <v/>
      </c>
      <c r="N167" s="2"/>
      <c r="O167" s="2"/>
      <c r="P167" s="2"/>
      <c r="Q167" s="2"/>
      <c r="R167" s="2"/>
    </row>
    <row r="168" spans="1:18" ht="15.75" customHeight="1">
      <c r="A168" s="2"/>
      <c r="B168" s="2"/>
      <c r="C168" s="2"/>
      <c r="D168" s="11"/>
      <c r="E168" s="2"/>
      <c r="F168" s="2"/>
      <c r="G168" s="2"/>
      <c r="H168" s="2"/>
      <c r="I168" s="2"/>
      <c r="J168" s="2"/>
      <c r="K168" s="2"/>
      <c r="L168" s="2"/>
      <c r="M168" s="12" t="str">
        <f t="shared" si="0"/>
        <v/>
      </c>
      <c r="N168" s="2"/>
      <c r="O168" s="2"/>
      <c r="P168" s="2"/>
      <c r="Q168" s="2"/>
      <c r="R168" s="2"/>
    </row>
    <row r="169" spans="1:18" ht="15.75" customHeight="1">
      <c r="A169" s="2"/>
      <c r="B169" s="2"/>
      <c r="C169" s="2"/>
      <c r="D169" s="11"/>
      <c r="E169" s="2"/>
      <c r="F169" s="2"/>
      <c r="G169" s="2"/>
      <c r="H169" s="2"/>
      <c r="I169" s="2"/>
      <c r="J169" s="2"/>
      <c r="K169" s="2"/>
      <c r="L169" s="2"/>
      <c r="M169" s="12" t="str">
        <f t="shared" si="0"/>
        <v/>
      </c>
      <c r="N169" s="2"/>
      <c r="O169" s="2"/>
      <c r="P169" s="2"/>
      <c r="Q169" s="2"/>
      <c r="R169" s="2"/>
    </row>
    <row r="170" spans="1:18" ht="15.75" customHeight="1">
      <c r="A170" s="2"/>
      <c r="B170" s="2"/>
      <c r="C170" s="2"/>
      <c r="D170" s="11"/>
      <c r="E170" s="2"/>
      <c r="F170" s="2"/>
      <c r="G170" s="2"/>
      <c r="H170" s="2"/>
      <c r="I170" s="2"/>
      <c r="J170" s="2"/>
      <c r="K170" s="2"/>
      <c r="L170" s="2"/>
      <c r="M170" s="12" t="str">
        <f t="shared" si="0"/>
        <v/>
      </c>
      <c r="N170" s="2"/>
      <c r="O170" s="2"/>
      <c r="P170" s="2"/>
      <c r="Q170" s="2"/>
      <c r="R170" s="2"/>
    </row>
    <row r="171" spans="1:18" ht="15.75" customHeight="1">
      <c r="A171" s="2"/>
      <c r="B171" s="2"/>
      <c r="C171" s="2"/>
      <c r="D171" s="11"/>
      <c r="E171" s="2"/>
      <c r="F171" s="2"/>
      <c r="G171" s="2"/>
      <c r="H171" s="2"/>
      <c r="I171" s="2"/>
      <c r="J171" s="2"/>
      <c r="K171" s="2"/>
      <c r="L171" s="2"/>
      <c r="M171" s="12" t="str">
        <f t="shared" si="0"/>
        <v/>
      </c>
      <c r="N171" s="2"/>
      <c r="O171" s="2"/>
      <c r="P171" s="2"/>
      <c r="Q171" s="2"/>
      <c r="R171" s="2"/>
    </row>
    <row r="172" spans="1:18" ht="15.75" customHeight="1">
      <c r="A172" s="2"/>
      <c r="B172" s="2"/>
      <c r="C172" s="2"/>
      <c r="D172" s="11"/>
      <c r="E172" s="2"/>
      <c r="F172" s="2"/>
      <c r="G172" s="2"/>
      <c r="H172" s="2"/>
      <c r="I172" s="2"/>
      <c r="J172" s="2"/>
      <c r="K172" s="2"/>
      <c r="L172" s="2"/>
      <c r="M172" s="12" t="str">
        <f t="shared" si="0"/>
        <v/>
      </c>
      <c r="N172" s="2"/>
      <c r="O172" s="2"/>
      <c r="P172" s="2"/>
      <c r="Q172" s="2"/>
      <c r="R172" s="2"/>
    </row>
    <row r="173" spans="1:18" ht="15.75" customHeight="1">
      <c r="A173" s="2"/>
      <c r="B173" s="2"/>
      <c r="C173" s="2"/>
      <c r="D173" s="11"/>
      <c r="E173" s="2"/>
      <c r="F173" s="2"/>
      <c r="G173" s="2"/>
      <c r="H173" s="2"/>
      <c r="I173" s="2"/>
      <c r="J173" s="2"/>
      <c r="K173" s="2"/>
      <c r="L173" s="2"/>
      <c r="M173" s="12" t="str">
        <f t="shared" si="0"/>
        <v/>
      </c>
      <c r="N173" s="2"/>
      <c r="O173" s="2"/>
      <c r="P173" s="2"/>
      <c r="Q173" s="2"/>
      <c r="R173" s="2"/>
    </row>
    <row r="174" spans="1:18" ht="15.75" customHeight="1">
      <c r="A174" s="2"/>
      <c r="B174" s="2"/>
      <c r="C174" s="2"/>
      <c r="D174" s="11"/>
      <c r="E174" s="2"/>
      <c r="F174" s="2"/>
      <c r="G174" s="2"/>
      <c r="H174" s="2"/>
      <c r="I174" s="2"/>
      <c r="J174" s="2"/>
      <c r="K174" s="2"/>
      <c r="L174" s="2"/>
      <c r="M174" s="12" t="str">
        <f t="shared" si="0"/>
        <v/>
      </c>
      <c r="N174" s="2"/>
      <c r="O174" s="2"/>
      <c r="P174" s="2"/>
      <c r="Q174" s="2"/>
      <c r="R174" s="2"/>
    </row>
    <row r="175" spans="1:18" ht="15.75" customHeight="1">
      <c r="A175" s="2"/>
      <c r="B175" s="2"/>
      <c r="C175" s="2"/>
      <c r="D175" s="11"/>
      <c r="E175" s="2"/>
      <c r="F175" s="2"/>
      <c r="G175" s="2"/>
      <c r="H175" s="2"/>
      <c r="I175" s="2"/>
      <c r="J175" s="2"/>
      <c r="K175" s="2"/>
      <c r="L175" s="2"/>
      <c r="M175" s="12" t="str">
        <f t="shared" si="0"/>
        <v/>
      </c>
      <c r="N175" s="2"/>
      <c r="O175" s="2"/>
      <c r="P175" s="2"/>
      <c r="Q175" s="2"/>
      <c r="R175" s="2"/>
    </row>
    <row r="176" spans="1:18" ht="15.75" customHeight="1">
      <c r="A176" s="2"/>
      <c r="B176" s="2"/>
      <c r="C176" s="2"/>
      <c r="D176" s="11"/>
      <c r="E176" s="2"/>
      <c r="F176" s="2"/>
      <c r="G176" s="2"/>
      <c r="H176" s="2"/>
      <c r="I176" s="2"/>
      <c r="J176" s="2"/>
      <c r="K176" s="2"/>
      <c r="L176" s="2"/>
      <c r="M176" s="12" t="str">
        <f t="shared" si="0"/>
        <v/>
      </c>
      <c r="N176" s="2"/>
      <c r="O176" s="2"/>
      <c r="P176" s="2"/>
      <c r="Q176" s="2"/>
      <c r="R176" s="2"/>
    </row>
    <row r="177" spans="1:18" ht="15.75" customHeight="1">
      <c r="A177" s="2"/>
      <c r="B177" s="2"/>
      <c r="C177" s="2"/>
      <c r="D177" s="11"/>
      <c r="E177" s="2"/>
      <c r="F177" s="2"/>
      <c r="G177" s="2"/>
      <c r="H177" s="2"/>
      <c r="I177" s="2"/>
      <c r="J177" s="2"/>
      <c r="K177" s="2"/>
      <c r="L177" s="2"/>
      <c r="M177" s="12" t="str">
        <f t="shared" si="0"/>
        <v/>
      </c>
      <c r="N177" s="2"/>
      <c r="O177" s="2"/>
      <c r="P177" s="2"/>
      <c r="Q177" s="2"/>
      <c r="R177" s="2"/>
    </row>
    <row r="178" spans="1:18" ht="15.75" customHeight="1">
      <c r="A178" s="2"/>
      <c r="B178" s="2"/>
      <c r="C178" s="2"/>
      <c r="D178" s="11"/>
      <c r="E178" s="2"/>
      <c r="F178" s="2"/>
      <c r="G178" s="2"/>
      <c r="H178" s="2"/>
      <c r="I178" s="2"/>
      <c r="J178" s="2"/>
      <c r="K178" s="2"/>
      <c r="L178" s="2"/>
      <c r="M178" s="12" t="str">
        <f t="shared" si="0"/>
        <v/>
      </c>
      <c r="N178" s="2"/>
      <c r="O178" s="2"/>
      <c r="P178" s="2"/>
      <c r="Q178" s="2"/>
      <c r="R178" s="2"/>
    </row>
    <row r="179" spans="1:18" ht="15.75" customHeight="1">
      <c r="A179" s="2"/>
      <c r="B179" s="2"/>
      <c r="C179" s="2"/>
      <c r="D179" s="11"/>
      <c r="E179" s="2"/>
      <c r="F179" s="2"/>
      <c r="G179" s="2"/>
      <c r="H179" s="2"/>
      <c r="I179" s="2"/>
      <c r="J179" s="2"/>
      <c r="K179" s="2"/>
      <c r="L179" s="2"/>
      <c r="M179" s="12" t="str">
        <f t="shared" si="0"/>
        <v/>
      </c>
      <c r="N179" s="2"/>
      <c r="O179" s="2"/>
      <c r="P179" s="2"/>
      <c r="Q179" s="2"/>
      <c r="R179" s="2"/>
    </row>
    <row r="180" spans="1:18" ht="15.75" customHeight="1">
      <c r="A180" s="2"/>
      <c r="B180" s="2"/>
      <c r="C180" s="2"/>
      <c r="D180" s="11"/>
      <c r="E180" s="2"/>
      <c r="F180" s="2"/>
      <c r="G180" s="2"/>
      <c r="H180" s="2"/>
      <c r="I180" s="2"/>
      <c r="J180" s="2"/>
      <c r="K180" s="2"/>
      <c r="L180" s="2"/>
      <c r="M180" s="12" t="str">
        <f t="shared" si="0"/>
        <v/>
      </c>
      <c r="N180" s="2"/>
      <c r="O180" s="2"/>
      <c r="P180" s="2"/>
      <c r="Q180" s="2"/>
      <c r="R180" s="2"/>
    </row>
    <row r="181" spans="1:18" ht="15.75" customHeight="1">
      <c r="A181" s="2"/>
      <c r="B181" s="2"/>
      <c r="C181" s="2"/>
      <c r="D181" s="11"/>
      <c r="E181" s="2"/>
      <c r="F181" s="2"/>
      <c r="G181" s="2"/>
      <c r="H181" s="2"/>
      <c r="I181" s="2"/>
      <c r="J181" s="2"/>
      <c r="K181" s="2"/>
      <c r="L181" s="2"/>
      <c r="M181" s="12" t="str">
        <f t="shared" si="0"/>
        <v/>
      </c>
      <c r="N181" s="2"/>
      <c r="O181" s="2"/>
      <c r="P181" s="2"/>
      <c r="Q181" s="2"/>
      <c r="R181" s="2"/>
    </row>
    <row r="182" spans="1:18" ht="15.75" customHeight="1">
      <c r="A182" s="2"/>
      <c r="B182" s="2"/>
      <c r="C182" s="2"/>
      <c r="D182" s="11"/>
      <c r="E182" s="2"/>
      <c r="F182" s="2"/>
      <c r="G182" s="2"/>
      <c r="H182" s="2"/>
      <c r="I182" s="2"/>
      <c r="J182" s="2"/>
      <c r="K182" s="2"/>
      <c r="L182" s="2"/>
      <c r="M182" s="12" t="str">
        <f t="shared" si="0"/>
        <v/>
      </c>
      <c r="N182" s="2"/>
      <c r="O182" s="2"/>
      <c r="P182" s="2"/>
      <c r="Q182" s="2"/>
      <c r="R182" s="2"/>
    </row>
    <row r="183" spans="1:18" ht="15.75" customHeight="1">
      <c r="A183" s="2"/>
      <c r="B183" s="2"/>
      <c r="C183" s="2"/>
      <c r="D183" s="11"/>
      <c r="E183" s="2"/>
      <c r="F183" s="2"/>
      <c r="G183" s="2"/>
      <c r="H183" s="2"/>
      <c r="I183" s="2"/>
      <c r="J183" s="2"/>
      <c r="K183" s="2"/>
      <c r="L183" s="2"/>
      <c r="M183" s="12" t="str">
        <f t="shared" si="0"/>
        <v/>
      </c>
      <c r="N183" s="2"/>
      <c r="O183" s="2"/>
      <c r="P183" s="2"/>
      <c r="Q183" s="2"/>
      <c r="R183" s="2"/>
    </row>
    <row r="184" spans="1:18" ht="15.75" customHeight="1">
      <c r="A184" s="2"/>
      <c r="B184" s="2"/>
      <c r="C184" s="2"/>
      <c r="D184" s="11"/>
      <c r="E184" s="2"/>
      <c r="F184" s="2"/>
      <c r="G184" s="2"/>
      <c r="H184" s="2"/>
      <c r="I184" s="2"/>
      <c r="J184" s="2"/>
      <c r="K184" s="2"/>
      <c r="L184" s="2"/>
      <c r="M184" s="12" t="str">
        <f t="shared" si="0"/>
        <v/>
      </c>
      <c r="N184" s="2"/>
      <c r="O184" s="2"/>
      <c r="P184" s="2"/>
      <c r="Q184" s="2"/>
      <c r="R184" s="2"/>
    </row>
    <row r="185" spans="1:18" ht="15.75" customHeight="1">
      <c r="A185" s="2"/>
      <c r="B185" s="2"/>
      <c r="C185" s="2"/>
      <c r="D185" s="11"/>
      <c r="E185" s="2"/>
      <c r="F185" s="2"/>
      <c r="G185" s="2"/>
      <c r="H185" s="2"/>
      <c r="I185" s="2"/>
      <c r="J185" s="2"/>
      <c r="K185" s="2"/>
      <c r="L185" s="2"/>
      <c r="M185" s="12" t="str">
        <f t="shared" si="0"/>
        <v/>
      </c>
      <c r="N185" s="2"/>
      <c r="O185" s="2"/>
      <c r="P185" s="2"/>
      <c r="Q185" s="2"/>
      <c r="R185" s="2"/>
    </row>
    <row r="186" spans="1:18" ht="15.75" customHeight="1">
      <c r="A186" s="2"/>
      <c r="B186" s="2"/>
      <c r="C186" s="2"/>
      <c r="D186" s="11"/>
      <c r="E186" s="2"/>
      <c r="F186" s="2"/>
      <c r="G186" s="2"/>
      <c r="H186" s="2"/>
      <c r="I186" s="2"/>
      <c r="J186" s="2"/>
      <c r="K186" s="2"/>
      <c r="L186" s="2"/>
      <c r="M186" s="12" t="str">
        <f t="shared" si="0"/>
        <v/>
      </c>
      <c r="N186" s="2"/>
      <c r="O186" s="2"/>
      <c r="P186" s="2"/>
      <c r="Q186" s="2"/>
      <c r="R186" s="2"/>
    </row>
    <row r="187" spans="1:18" ht="15.75" customHeight="1">
      <c r="A187" s="2"/>
      <c r="B187" s="2"/>
      <c r="C187" s="2"/>
      <c r="D187" s="11"/>
      <c r="E187" s="2"/>
      <c r="F187" s="2"/>
      <c r="G187" s="2"/>
      <c r="H187" s="2"/>
      <c r="I187" s="2"/>
      <c r="J187" s="2"/>
      <c r="K187" s="2"/>
      <c r="L187" s="2"/>
      <c r="M187" s="12" t="str">
        <f t="shared" si="0"/>
        <v/>
      </c>
      <c r="N187" s="2"/>
      <c r="O187" s="2"/>
      <c r="P187" s="2"/>
      <c r="Q187" s="2"/>
      <c r="R187" s="2"/>
    </row>
    <row r="188" spans="1:18" ht="15.75" customHeight="1">
      <c r="A188" s="2"/>
      <c r="B188" s="2"/>
      <c r="C188" s="2"/>
      <c r="D188" s="11"/>
      <c r="E188" s="2"/>
      <c r="F188" s="2"/>
      <c r="G188" s="2"/>
      <c r="H188" s="2"/>
      <c r="I188" s="2"/>
      <c r="J188" s="2"/>
      <c r="K188" s="2"/>
      <c r="L188" s="2"/>
      <c r="M188" s="12" t="str">
        <f t="shared" si="0"/>
        <v/>
      </c>
      <c r="N188" s="2"/>
      <c r="O188" s="2"/>
      <c r="P188" s="2"/>
      <c r="Q188" s="2"/>
      <c r="R188" s="2"/>
    </row>
    <row r="189" spans="1:18" ht="15.75" customHeight="1">
      <c r="A189" s="2"/>
      <c r="B189" s="2"/>
      <c r="C189" s="2"/>
      <c r="D189" s="11"/>
      <c r="E189" s="2"/>
      <c r="F189" s="2"/>
      <c r="G189" s="2"/>
      <c r="H189" s="2"/>
      <c r="I189" s="2"/>
      <c r="J189" s="2"/>
      <c r="K189" s="2"/>
      <c r="L189" s="2"/>
      <c r="M189" s="12" t="str">
        <f t="shared" si="0"/>
        <v/>
      </c>
      <c r="N189" s="2"/>
      <c r="O189" s="2"/>
      <c r="P189" s="2"/>
      <c r="Q189" s="2"/>
      <c r="R189" s="2"/>
    </row>
    <row r="190" spans="1:18" ht="15.75" customHeight="1">
      <c r="A190" s="2"/>
      <c r="B190" s="2"/>
      <c r="C190" s="2"/>
      <c r="D190" s="11"/>
      <c r="E190" s="2"/>
      <c r="F190" s="2"/>
      <c r="G190" s="2"/>
      <c r="H190" s="2"/>
      <c r="I190" s="2"/>
      <c r="J190" s="2"/>
      <c r="K190" s="2"/>
      <c r="L190" s="2"/>
      <c r="M190" s="12" t="str">
        <f t="shared" si="0"/>
        <v/>
      </c>
      <c r="N190" s="2"/>
      <c r="O190" s="2"/>
      <c r="P190" s="2"/>
      <c r="Q190" s="2"/>
      <c r="R190" s="2"/>
    </row>
    <row r="191" spans="1:18" ht="15.75" customHeight="1">
      <c r="A191" s="2"/>
      <c r="B191" s="2"/>
      <c r="C191" s="2"/>
      <c r="D191" s="11"/>
      <c r="E191" s="2"/>
      <c r="F191" s="2"/>
      <c r="G191" s="2"/>
      <c r="H191" s="2"/>
      <c r="I191" s="2"/>
      <c r="J191" s="2"/>
      <c r="K191" s="2"/>
      <c r="L191" s="2"/>
      <c r="M191" s="12" t="str">
        <f t="shared" si="0"/>
        <v/>
      </c>
      <c r="N191" s="2"/>
      <c r="O191" s="2"/>
      <c r="P191" s="2"/>
      <c r="Q191" s="2"/>
      <c r="R191" s="2"/>
    </row>
    <row r="192" spans="1:18" ht="15.75" customHeight="1">
      <c r="A192" s="2"/>
      <c r="B192" s="2"/>
      <c r="C192" s="2"/>
      <c r="D192" s="11"/>
      <c r="E192" s="2"/>
      <c r="F192" s="2"/>
      <c r="G192" s="2"/>
      <c r="H192" s="2"/>
      <c r="I192" s="2"/>
      <c r="J192" s="2"/>
      <c r="K192" s="2"/>
      <c r="L192" s="2"/>
      <c r="M192" s="12" t="str">
        <f t="shared" si="0"/>
        <v/>
      </c>
      <c r="N192" s="2"/>
      <c r="O192" s="2"/>
      <c r="P192" s="2"/>
      <c r="Q192" s="2"/>
      <c r="R192" s="2"/>
    </row>
    <row r="193" spans="1:18" ht="15.75" customHeight="1">
      <c r="A193" s="2"/>
      <c r="B193" s="2"/>
      <c r="C193" s="2"/>
      <c r="D193" s="11"/>
      <c r="E193" s="2"/>
      <c r="F193" s="2"/>
      <c r="G193" s="2"/>
      <c r="H193" s="2"/>
      <c r="I193" s="2"/>
      <c r="J193" s="2"/>
      <c r="K193" s="2"/>
      <c r="L193" s="2"/>
      <c r="M193" s="12" t="str">
        <f t="shared" si="0"/>
        <v/>
      </c>
      <c r="N193" s="2"/>
      <c r="O193" s="2"/>
      <c r="P193" s="2"/>
      <c r="Q193" s="2"/>
      <c r="R193" s="2"/>
    </row>
    <row r="194" spans="1:18" ht="15.75" customHeight="1">
      <c r="A194" s="2"/>
      <c r="B194" s="2"/>
      <c r="C194" s="2"/>
      <c r="D194" s="11"/>
      <c r="E194" s="2"/>
      <c r="F194" s="2"/>
      <c r="G194" s="2"/>
      <c r="H194" s="2"/>
      <c r="I194" s="2"/>
      <c r="J194" s="2"/>
      <c r="K194" s="2"/>
      <c r="L194" s="2"/>
      <c r="M194" s="12" t="str">
        <f t="shared" si="0"/>
        <v/>
      </c>
      <c r="N194" s="2"/>
      <c r="O194" s="2"/>
      <c r="P194" s="2"/>
      <c r="Q194" s="2"/>
      <c r="R194" s="2"/>
    </row>
    <row r="195" spans="1:18" ht="15.75" customHeight="1">
      <c r="A195" s="2"/>
      <c r="B195" s="2"/>
      <c r="C195" s="2"/>
      <c r="D195" s="11"/>
      <c r="E195" s="2"/>
      <c r="F195" s="2"/>
      <c r="G195" s="2"/>
      <c r="H195" s="2"/>
      <c r="I195" s="2"/>
      <c r="J195" s="2"/>
      <c r="K195" s="2"/>
      <c r="L195" s="2"/>
      <c r="M195" s="12" t="str">
        <f t="shared" si="0"/>
        <v/>
      </c>
      <c r="N195" s="2"/>
      <c r="O195" s="2"/>
      <c r="P195" s="2"/>
      <c r="Q195" s="2"/>
      <c r="R195" s="2"/>
    </row>
    <row r="196" spans="1:18" ht="15.75" customHeight="1">
      <c r="A196" s="2"/>
      <c r="B196" s="2"/>
      <c r="C196" s="2"/>
      <c r="D196" s="11"/>
      <c r="E196" s="2"/>
      <c r="F196" s="2"/>
      <c r="G196" s="2"/>
      <c r="H196" s="2"/>
      <c r="I196" s="2"/>
      <c r="J196" s="2"/>
      <c r="K196" s="2"/>
      <c r="L196" s="2"/>
      <c r="M196" s="12" t="str">
        <f t="shared" si="0"/>
        <v/>
      </c>
      <c r="N196" s="2"/>
      <c r="O196" s="2"/>
      <c r="P196" s="2"/>
      <c r="Q196" s="2"/>
      <c r="R196" s="2"/>
    </row>
    <row r="197" spans="1:18" ht="15.75" customHeight="1">
      <c r="A197" s="2"/>
      <c r="B197" s="2"/>
      <c r="C197" s="2"/>
      <c r="D197" s="11"/>
      <c r="E197" s="2"/>
      <c r="F197" s="2"/>
      <c r="G197" s="2"/>
      <c r="H197" s="2"/>
      <c r="I197" s="2"/>
      <c r="J197" s="2"/>
      <c r="K197" s="2"/>
      <c r="L197" s="2"/>
      <c r="M197" s="12" t="str">
        <f t="shared" si="0"/>
        <v/>
      </c>
      <c r="N197" s="2"/>
      <c r="O197" s="2"/>
      <c r="P197" s="2"/>
      <c r="Q197" s="2"/>
      <c r="R197" s="2"/>
    </row>
    <row r="198" spans="1:18" ht="15.75" customHeight="1">
      <c r="A198" s="2"/>
      <c r="B198" s="2"/>
      <c r="C198" s="2"/>
      <c r="D198" s="11"/>
      <c r="E198" s="2"/>
      <c r="F198" s="2"/>
      <c r="G198" s="2"/>
      <c r="H198" s="2"/>
      <c r="I198" s="2"/>
      <c r="J198" s="2"/>
      <c r="K198" s="2"/>
      <c r="L198" s="2"/>
      <c r="M198" s="12" t="str">
        <f t="shared" si="0"/>
        <v/>
      </c>
      <c r="N198" s="2"/>
      <c r="O198" s="2"/>
      <c r="P198" s="2"/>
      <c r="Q198" s="2"/>
      <c r="R198" s="2"/>
    </row>
    <row r="199" spans="1:18" ht="15.75" customHeight="1">
      <c r="A199" s="2"/>
      <c r="B199" s="2"/>
      <c r="C199" s="2"/>
      <c r="D199" s="11"/>
      <c r="E199" s="2"/>
      <c r="F199" s="2"/>
      <c r="G199" s="2"/>
      <c r="H199" s="2"/>
      <c r="I199" s="2"/>
      <c r="J199" s="2"/>
      <c r="K199" s="2"/>
      <c r="L199" s="2"/>
      <c r="M199" s="12" t="str">
        <f t="shared" si="0"/>
        <v/>
      </c>
      <c r="N199" s="2"/>
      <c r="O199" s="2"/>
      <c r="P199" s="2"/>
      <c r="Q199" s="2"/>
      <c r="R199" s="2"/>
    </row>
    <row r="200" spans="1:18" ht="15.75" customHeight="1">
      <c r="A200" s="2"/>
      <c r="B200" s="2"/>
      <c r="C200" s="2"/>
      <c r="D200" s="11"/>
      <c r="E200" s="2"/>
      <c r="F200" s="2"/>
      <c r="G200" s="2"/>
      <c r="H200" s="2"/>
      <c r="I200" s="2"/>
      <c r="J200" s="2"/>
      <c r="K200" s="2"/>
      <c r="L200" s="2"/>
      <c r="M200" s="12" t="str">
        <f t="shared" si="0"/>
        <v/>
      </c>
      <c r="N200" s="2"/>
      <c r="O200" s="2"/>
      <c r="P200" s="2"/>
      <c r="Q200" s="2"/>
      <c r="R200" s="2"/>
    </row>
    <row r="201" spans="1:18" ht="15.75" customHeight="1">
      <c r="A201" s="2"/>
      <c r="B201" s="2"/>
      <c r="C201" s="2"/>
      <c r="D201" s="11"/>
      <c r="E201" s="2"/>
      <c r="F201" s="2"/>
      <c r="G201" s="2"/>
      <c r="H201" s="2"/>
      <c r="I201" s="2"/>
      <c r="J201" s="2"/>
      <c r="K201" s="2"/>
      <c r="L201" s="2"/>
      <c r="M201" s="12" t="str">
        <f t="shared" si="0"/>
        <v/>
      </c>
      <c r="N201" s="2"/>
      <c r="O201" s="2"/>
      <c r="P201" s="2"/>
      <c r="Q201" s="2"/>
      <c r="R201" s="2"/>
    </row>
    <row r="202" spans="1:18" ht="15.75" customHeight="1">
      <c r="A202" s="2"/>
      <c r="B202" s="2"/>
      <c r="C202" s="2"/>
      <c r="D202" s="11"/>
      <c r="E202" s="2"/>
      <c r="F202" s="2"/>
      <c r="G202" s="2"/>
      <c r="H202" s="2"/>
      <c r="I202" s="2"/>
      <c r="J202" s="2"/>
      <c r="K202" s="2"/>
      <c r="L202" s="2"/>
      <c r="M202" s="12" t="str">
        <f t="shared" si="0"/>
        <v/>
      </c>
      <c r="N202" s="2"/>
      <c r="O202" s="2"/>
      <c r="P202" s="2"/>
      <c r="Q202" s="2"/>
      <c r="R202" s="2"/>
    </row>
    <row r="203" spans="1:18" ht="15.75" customHeight="1">
      <c r="A203" s="2"/>
      <c r="B203" s="2"/>
      <c r="C203" s="2"/>
      <c r="D203" s="11"/>
      <c r="E203" s="2"/>
      <c r="F203" s="2"/>
      <c r="G203" s="2"/>
      <c r="H203" s="2"/>
      <c r="I203" s="2"/>
      <c r="J203" s="2"/>
      <c r="K203" s="2"/>
      <c r="L203" s="2"/>
      <c r="M203" s="12" t="str">
        <f t="shared" si="0"/>
        <v/>
      </c>
      <c r="N203" s="2"/>
      <c r="O203" s="2"/>
      <c r="P203" s="2"/>
      <c r="Q203" s="2"/>
      <c r="R203" s="2"/>
    </row>
    <row r="204" spans="1:18" ht="15.75" customHeight="1">
      <c r="A204" s="2"/>
      <c r="B204" s="2"/>
      <c r="C204" s="2"/>
      <c r="D204" s="11"/>
      <c r="E204" s="2"/>
      <c r="F204" s="2"/>
      <c r="G204" s="2"/>
      <c r="H204" s="2"/>
      <c r="I204" s="2"/>
      <c r="J204" s="2"/>
      <c r="K204" s="2"/>
      <c r="L204" s="2"/>
      <c r="M204" s="12" t="str">
        <f t="shared" si="0"/>
        <v/>
      </c>
      <c r="N204" s="2"/>
      <c r="O204" s="2"/>
      <c r="P204" s="2"/>
      <c r="Q204" s="2"/>
      <c r="R204" s="2"/>
    </row>
    <row r="205" spans="1:18" ht="15.75" customHeight="1">
      <c r="A205" s="2"/>
      <c r="B205" s="2"/>
      <c r="C205" s="2"/>
      <c r="D205" s="11"/>
      <c r="E205" s="2"/>
      <c r="F205" s="2"/>
      <c r="G205" s="2"/>
      <c r="H205" s="2"/>
      <c r="I205" s="2"/>
      <c r="J205" s="2"/>
      <c r="K205" s="2"/>
      <c r="L205" s="2"/>
      <c r="M205" s="12" t="str">
        <f t="shared" si="0"/>
        <v/>
      </c>
      <c r="N205" s="2"/>
      <c r="O205" s="2"/>
      <c r="P205" s="2"/>
      <c r="Q205" s="2"/>
      <c r="R205" s="2"/>
    </row>
    <row r="206" spans="1:18" ht="15.75" customHeight="1">
      <c r="A206" s="2"/>
      <c r="B206" s="2"/>
      <c r="C206" s="2"/>
      <c r="D206" s="11"/>
      <c r="E206" s="2"/>
      <c r="F206" s="2"/>
      <c r="G206" s="2"/>
      <c r="H206" s="2"/>
      <c r="I206" s="2"/>
      <c r="J206" s="2"/>
      <c r="K206" s="2"/>
      <c r="L206" s="2"/>
      <c r="M206" s="12" t="str">
        <f t="shared" si="0"/>
        <v/>
      </c>
      <c r="N206" s="2"/>
      <c r="O206" s="2"/>
      <c r="P206" s="2"/>
      <c r="Q206" s="2"/>
      <c r="R206" s="2"/>
    </row>
    <row r="207" spans="1:18" ht="15.75" customHeight="1">
      <c r="A207" s="2"/>
      <c r="B207" s="2"/>
      <c r="C207" s="2"/>
      <c r="D207" s="11"/>
      <c r="E207" s="2"/>
      <c r="F207" s="2"/>
      <c r="G207" s="2"/>
      <c r="H207" s="2"/>
      <c r="I207" s="2"/>
      <c r="J207" s="2"/>
      <c r="K207" s="2"/>
      <c r="L207" s="2"/>
      <c r="M207" s="12" t="str">
        <f t="shared" si="0"/>
        <v/>
      </c>
      <c r="N207" s="2"/>
      <c r="O207" s="2"/>
      <c r="P207" s="2"/>
      <c r="Q207" s="2"/>
      <c r="R207" s="2"/>
    </row>
    <row r="208" spans="1:18" ht="15.75" customHeight="1">
      <c r="A208" s="2"/>
      <c r="B208" s="2"/>
      <c r="C208" s="2"/>
      <c r="D208" s="11"/>
      <c r="E208" s="2"/>
      <c r="F208" s="2"/>
      <c r="G208" s="2"/>
      <c r="H208" s="2"/>
      <c r="I208" s="2"/>
      <c r="J208" s="2"/>
      <c r="K208" s="2"/>
      <c r="L208" s="2"/>
      <c r="M208" s="12" t="str">
        <f t="shared" si="0"/>
        <v/>
      </c>
      <c r="N208" s="2"/>
      <c r="O208" s="2"/>
      <c r="P208" s="2"/>
      <c r="Q208" s="2"/>
      <c r="R208" s="2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6:Q6"/>
    <mergeCell ref="A1:Q1"/>
    <mergeCell ref="B2:Q2"/>
    <mergeCell ref="B3:Q3"/>
    <mergeCell ref="B4:Q4"/>
    <mergeCell ref="B5:Q5"/>
  </mergeCells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000"/>
  <sheetViews>
    <sheetView workbookViewId="0"/>
  </sheetViews>
  <sheetFormatPr baseColWidth="10" defaultColWidth="12.59765625" defaultRowHeight="15" customHeight="1"/>
  <cols>
    <col min="1" max="1" width="18" customWidth="1"/>
    <col min="2" max="2" width="22" customWidth="1"/>
    <col min="3" max="3" width="30" customWidth="1"/>
    <col min="4" max="4" width="12" customWidth="1"/>
    <col min="5" max="5" width="24" customWidth="1"/>
    <col min="6" max="6" width="22" customWidth="1"/>
    <col min="7" max="7" width="20" customWidth="1"/>
    <col min="8" max="8" width="17" customWidth="1"/>
    <col min="9" max="10" width="15" customWidth="1"/>
    <col min="11" max="11" width="21" customWidth="1"/>
    <col min="12" max="12" width="20" customWidth="1"/>
    <col min="13" max="13" width="18" customWidth="1"/>
    <col min="14" max="14" width="20" customWidth="1"/>
    <col min="15" max="15" width="12" customWidth="1"/>
    <col min="16" max="16" width="34" customWidth="1"/>
    <col min="17" max="17" width="30" customWidth="1"/>
    <col min="18" max="18" width="45" customWidth="1"/>
  </cols>
  <sheetData>
    <row r="1" spans="1:18" ht="36.75" customHeight="1">
      <c r="A1" s="25" t="s">
        <v>83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13.8">
      <c r="A2" s="7" t="s">
        <v>5</v>
      </c>
      <c r="B2" s="42" t="s">
        <v>85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8" ht="24">
      <c r="A3" s="7" t="s">
        <v>6</v>
      </c>
      <c r="B3" s="42" t="s">
        <v>87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8" ht="13.8">
      <c r="A4" s="7" t="s">
        <v>88</v>
      </c>
      <c r="B4" s="42" t="s">
        <v>90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8" ht="13.8">
      <c r="A5" s="7" t="s">
        <v>91</v>
      </c>
      <c r="B5" s="42" t="s">
        <v>92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8" ht="13.8">
      <c r="A6" s="7" t="s">
        <v>94</v>
      </c>
      <c r="B6" s="42" t="s">
        <v>96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8" spans="1:18" ht="50.25" customHeight="1">
      <c r="A8" s="9" t="s">
        <v>32</v>
      </c>
      <c r="B8" s="9" t="s">
        <v>46</v>
      </c>
      <c r="C8" s="9" t="s">
        <v>48</v>
      </c>
      <c r="D8" s="9" t="s">
        <v>43</v>
      </c>
      <c r="E8" s="9" t="s">
        <v>50</v>
      </c>
      <c r="F8" s="9" t="s">
        <v>97</v>
      </c>
      <c r="G8" s="9" t="s">
        <v>56</v>
      </c>
      <c r="H8" s="9" t="s">
        <v>103</v>
      </c>
      <c r="I8" s="9" t="s">
        <v>104</v>
      </c>
      <c r="J8" s="9" t="s">
        <v>107</v>
      </c>
      <c r="K8" s="9" t="s">
        <v>108</v>
      </c>
      <c r="L8" s="9" t="s">
        <v>109</v>
      </c>
      <c r="M8" s="9" t="s">
        <v>105</v>
      </c>
      <c r="N8" s="9" t="s">
        <v>106</v>
      </c>
      <c r="O8" s="9" t="s">
        <v>61</v>
      </c>
      <c r="P8" s="9" t="s">
        <v>63</v>
      </c>
      <c r="Q8" s="9" t="s">
        <v>65</v>
      </c>
      <c r="R8" s="9" t="s">
        <v>110</v>
      </c>
    </row>
    <row r="9" spans="1:18" ht="13.8">
      <c r="A9" s="2"/>
      <c r="B9" s="2"/>
      <c r="C9" s="2"/>
      <c r="D9" s="11"/>
      <c r="E9" s="2"/>
      <c r="F9" s="2"/>
      <c r="G9" s="2"/>
      <c r="H9" s="2"/>
      <c r="I9" s="13"/>
      <c r="J9" s="13"/>
      <c r="K9" s="2"/>
      <c r="L9" s="2"/>
      <c r="M9" s="12"/>
      <c r="N9" s="2"/>
      <c r="O9" s="2"/>
      <c r="P9" s="2"/>
      <c r="Q9" s="2"/>
      <c r="R9" s="2"/>
    </row>
    <row r="10" spans="1:18" ht="13.8">
      <c r="A10" s="2"/>
      <c r="B10" s="2"/>
      <c r="C10" s="2"/>
      <c r="D10" s="11"/>
      <c r="E10" s="2"/>
      <c r="F10" s="2"/>
      <c r="G10" s="2"/>
      <c r="H10" s="2"/>
      <c r="I10" s="13"/>
      <c r="J10" s="13"/>
      <c r="K10" s="2"/>
      <c r="L10" s="2"/>
      <c r="M10" s="12"/>
      <c r="N10" s="2"/>
      <c r="O10" s="2"/>
      <c r="P10" s="2"/>
      <c r="Q10" s="2"/>
    </row>
    <row r="11" spans="1:18" ht="13.8">
      <c r="A11" s="2"/>
      <c r="B11" s="2"/>
      <c r="C11" s="2"/>
      <c r="D11" s="11"/>
      <c r="E11" s="2"/>
      <c r="F11" s="2"/>
      <c r="G11" s="2"/>
      <c r="H11" s="2"/>
      <c r="I11" s="13"/>
      <c r="J11" s="13"/>
      <c r="K11" s="2"/>
      <c r="L11" s="2"/>
      <c r="M11" s="12"/>
      <c r="N11" s="2"/>
      <c r="O11" s="2"/>
      <c r="P11" s="2"/>
      <c r="Q11" s="2"/>
      <c r="R11" s="2"/>
    </row>
    <row r="12" spans="1:18" ht="13.8">
      <c r="A12" s="2"/>
      <c r="B12" s="2"/>
      <c r="C12" s="2"/>
      <c r="D12" s="11"/>
      <c r="E12" s="2"/>
      <c r="F12" s="2"/>
      <c r="G12" s="2"/>
      <c r="H12" s="2"/>
      <c r="I12" s="13"/>
      <c r="J12" s="13"/>
      <c r="K12" s="2"/>
      <c r="L12" s="2"/>
      <c r="M12" s="12" t="str">
        <f t="shared" ref="M12:M208" si="0">IF(K12="","",IF(G12="Ocupación simultánea",K12-IF(L12="",0,L12),K12))</f>
        <v/>
      </c>
      <c r="N12" s="2"/>
      <c r="O12" s="2"/>
      <c r="P12" s="2"/>
      <c r="Q12" s="2"/>
      <c r="R12" s="2"/>
    </row>
    <row r="13" spans="1:18" ht="13.8">
      <c r="A13" s="2"/>
      <c r="B13" s="2"/>
      <c r="C13" s="2"/>
      <c r="D13" s="11"/>
      <c r="E13" s="2"/>
      <c r="F13" s="2"/>
      <c r="G13" s="2"/>
      <c r="H13" s="2"/>
      <c r="I13" s="13"/>
      <c r="J13" s="13"/>
      <c r="K13" s="2"/>
      <c r="L13" s="2"/>
      <c r="M13" s="12" t="str">
        <f t="shared" si="0"/>
        <v/>
      </c>
      <c r="N13" s="2"/>
      <c r="O13" s="2"/>
      <c r="P13" s="2"/>
      <c r="Q13" s="2"/>
      <c r="R13" s="2"/>
    </row>
    <row r="14" spans="1:18" ht="13.8">
      <c r="A14" s="2"/>
      <c r="B14" s="2"/>
      <c r="C14" s="2"/>
      <c r="D14" s="11"/>
      <c r="E14" s="2"/>
      <c r="F14" s="2"/>
      <c r="G14" s="2"/>
      <c r="H14" s="2"/>
      <c r="I14" s="13"/>
      <c r="J14" s="13"/>
      <c r="K14" s="2"/>
      <c r="L14" s="2"/>
      <c r="M14" s="12" t="str">
        <f t="shared" si="0"/>
        <v/>
      </c>
      <c r="N14" s="2"/>
      <c r="O14" s="2"/>
      <c r="P14" s="2"/>
      <c r="Q14" s="2"/>
      <c r="R14" s="2"/>
    </row>
    <row r="15" spans="1:18" ht="13.8">
      <c r="A15" s="2"/>
      <c r="B15" s="2"/>
      <c r="C15" s="2"/>
      <c r="D15" s="11"/>
      <c r="E15" s="2"/>
      <c r="F15" s="2"/>
      <c r="G15" s="2"/>
      <c r="H15" s="2"/>
      <c r="I15" s="13"/>
      <c r="J15" s="13"/>
      <c r="K15" s="2"/>
      <c r="L15" s="2"/>
      <c r="M15" s="12" t="str">
        <f t="shared" si="0"/>
        <v/>
      </c>
      <c r="N15" s="2"/>
      <c r="O15" s="2"/>
      <c r="P15" s="2"/>
      <c r="Q15" s="2"/>
      <c r="R15" s="2"/>
    </row>
    <row r="16" spans="1:18" ht="13.8">
      <c r="A16" s="2"/>
      <c r="B16" s="2"/>
      <c r="C16" s="2"/>
      <c r="D16" s="11"/>
      <c r="E16" s="2"/>
      <c r="F16" s="2"/>
      <c r="G16" s="2"/>
      <c r="H16" s="2"/>
      <c r="I16" s="13"/>
      <c r="J16" s="13"/>
      <c r="K16" s="2"/>
      <c r="L16" s="2"/>
      <c r="M16" s="12" t="str">
        <f t="shared" si="0"/>
        <v/>
      </c>
      <c r="N16" s="2"/>
      <c r="O16" s="2"/>
      <c r="P16" s="2"/>
      <c r="Q16" s="2"/>
      <c r="R16" s="2"/>
    </row>
    <row r="17" spans="1:18" ht="13.8">
      <c r="A17" s="2"/>
      <c r="B17" s="2"/>
      <c r="C17" s="2"/>
      <c r="D17" s="11"/>
      <c r="E17" s="2"/>
      <c r="F17" s="2"/>
      <c r="G17" s="2"/>
      <c r="H17" s="2"/>
      <c r="I17" s="13"/>
      <c r="J17" s="13"/>
      <c r="K17" s="2"/>
      <c r="L17" s="2"/>
      <c r="M17" s="12" t="str">
        <f t="shared" si="0"/>
        <v/>
      </c>
      <c r="N17" s="2"/>
      <c r="O17" s="2"/>
      <c r="P17" s="2"/>
      <c r="Q17" s="2"/>
      <c r="R17" s="2"/>
    </row>
    <row r="18" spans="1:18" ht="13.8">
      <c r="A18" s="2"/>
      <c r="B18" s="2"/>
      <c r="C18" s="2"/>
      <c r="D18" s="11"/>
      <c r="E18" s="2"/>
      <c r="F18" s="2"/>
      <c r="G18" s="2"/>
      <c r="H18" s="2"/>
      <c r="I18" s="13"/>
      <c r="J18" s="13"/>
      <c r="K18" s="2"/>
      <c r="L18" s="2"/>
      <c r="M18" s="12" t="str">
        <f t="shared" si="0"/>
        <v/>
      </c>
      <c r="N18" s="2"/>
      <c r="O18" s="2"/>
      <c r="P18" s="2"/>
      <c r="Q18" s="2"/>
      <c r="R18" s="2"/>
    </row>
    <row r="19" spans="1:18" ht="13.8">
      <c r="A19" s="2"/>
      <c r="B19" s="2"/>
      <c r="C19" s="2"/>
      <c r="D19" s="11"/>
      <c r="E19" s="2"/>
      <c r="F19" s="2"/>
      <c r="G19" s="2"/>
      <c r="H19" s="2"/>
      <c r="I19" s="13"/>
      <c r="J19" s="13"/>
      <c r="K19" s="2"/>
      <c r="L19" s="2"/>
      <c r="M19" s="12" t="str">
        <f t="shared" si="0"/>
        <v/>
      </c>
      <c r="N19" s="2"/>
      <c r="O19" s="2"/>
      <c r="P19" s="2"/>
      <c r="Q19" s="2"/>
      <c r="R19" s="2"/>
    </row>
    <row r="20" spans="1:18" ht="13.8">
      <c r="A20" s="2"/>
      <c r="B20" s="2"/>
      <c r="C20" s="2"/>
      <c r="D20" s="11"/>
      <c r="E20" s="2"/>
      <c r="F20" s="2"/>
      <c r="G20" s="2"/>
      <c r="H20" s="2"/>
      <c r="I20" s="13"/>
      <c r="J20" s="13"/>
      <c r="K20" s="2"/>
      <c r="L20" s="2"/>
      <c r="M20" s="12" t="str">
        <f t="shared" si="0"/>
        <v/>
      </c>
      <c r="N20" s="2"/>
      <c r="O20" s="2"/>
      <c r="P20" s="2"/>
      <c r="Q20" s="2"/>
      <c r="R20" s="2"/>
    </row>
    <row r="21" spans="1:18" ht="15.75" customHeight="1">
      <c r="A21" s="2"/>
      <c r="B21" s="2"/>
      <c r="C21" s="2"/>
      <c r="D21" s="11"/>
      <c r="E21" s="2"/>
      <c r="F21" s="2"/>
      <c r="G21" s="2"/>
      <c r="H21" s="2"/>
      <c r="I21" s="13"/>
      <c r="J21" s="13"/>
      <c r="K21" s="2"/>
      <c r="L21" s="2"/>
      <c r="M21" s="12" t="str">
        <f t="shared" si="0"/>
        <v/>
      </c>
      <c r="N21" s="2"/>
      <c r="O21" s="2"/>
      <c r="P21" s="2"/>
      <c r="Q21" s="2"/>
      <c r="R21" s="2"/>
    </row>
    <row r="22" spans="1:18" ht="15.75" customHeight="1">
      <c r="A22" s="2"/>
      <c r="B22" s="2"/>
      <c r="C22" s="2"/>
      <c r="D22" s="11"/>
      <c r="E22" s="2"/>
      <c r="F22" s="2"/>
      <c r="G22" s="2"/>
      <c r="H22" s="2"/>
      <c r="I22" s="13"/>
      <c r="J22" s="13"/>
      <c r="K22" s="2"/>
      <c r="L22" s="2"/>
      <c r="M22" s="12" t="str">
        <f t="shared" si="0"/>
        <v/>
      </c>
      <c r="N22" s="2"/>
      <c r="O22" s="2"/>
      <c r="P22" s="2"/>
      <c r="Q22" s="2"/>
      <c r="R22" s="2"/>
    </row>
    <row r="23" spans="1:18" ht="15.75" customHeight="1">
      <c r="A23" s="2"/>
      <c r="B23" s="2"/>
      <c r="C23" s="2"/>
      <c r="D23" s="11"/>
      <c r="E23" s="2"/>
      <c r="F23" s="2"/>
      <c r="G23" s="2"/>
      <c r="H23" s="2"/>
      <c r="I23" s="13"/>
      <c r="J23" s="13"/>
      <c r="K23" s="2"/>
      <c r="L23" s="2"/>
      <c r="M23" s="12" t="str">
        <f t="shared" si="0"/>
        <v/>
      </c>
      <c r="N23" s="2"/>
      <c r="O23" s="2"/>
      <c r="P23" s="2"/>
      <c r="Q23" s="2"/>
      <c r="R23" s="2"/>
    </row>
    <row r="24" spans="1:18" ht="15.75" customHeight="1">
      <c r="A24" s="2"/>
      <c r="B24" s="2"/>
      <c r="C24" s="2"/>
      <c r="D24" s="11"/>
      <c r="E24" s="2"/>
      <c r="F24" s="2"/>
      <c r="G24" s="2"/>
      <c r="H24" s="2"/>
      <c r="I24" s="13"/>
      <c r="J24" s="13"/>
      <c r="K24" s="2"/>
      <c r="L24" s="2"/>
      <c r="M24" s="12" t="str">
        <f t="shared" si="0"/>
        <v/>
      </c>
      <c r="N24" s="2"/>
      <c r="O24" s="2"/>
      <c r="P24" s="2"/>
      <c r="Q24" s="2"/>
      <c r="R24" s="2"/>
    </row>
    <row r="25" spans="1:18" ht="15.75" customHeight="1">
      <c r="A25" s="2"/>
      <c r="B25" s="2"/>
      <c r="C25" s="2"/>
      <c r="D25" s="11"/>
      <c r="E25" s="2"/>
      <c r="F25" s="2"/>
      <c r="G25" s="2"/>
      <c r="H25" s="2"/>
      <c r="I25" s="13"/>
      <c r="J25" s="13"/>
      <c r="K25" s="2"/>
      <c r="L25" s="2"/>
      <c r="M25" s="12" t="str">
        <f t="shared" si="0"/>
        <v/>
      </c>
      <c r="N25" s="2"/>
      <c r="O25" s="2"/>
      <c r="P25" s="2"/>
      <c r="Q25" s="2"/>
      <c r="R25" s="2"/>
    </row>
    <row r="26" spans="1:18" ht="15.75" customHeight="1">
      <c r="A26" s="2"/>
      <c r="B26" s="2"/>
      <c r="C26" s="2"/>
      <c r="D26" s="11"/>
      <c r="E26" s="2"/>
      <c r="F26" s="2"/>
      <c r="G26" s="2"/>
      <c r="H26" s="2"/>
      <c r="I26" s="13"/>
      <c r="J26" s="13"/>
      <c r="K26" s="2"/>
      <c r="L26" s="2"/>
      <c r="M26" s="12" t="str">
        <f t="shared" si="0"/>
        <v/>
      </c>
      <c r="N26" s="2"/>
      <c r="O26" s="2"/>
      <c r="P26" s="2"/>
      <c r="Q26" s="2"/>
      <c r="R26" s="2"/>
    </row>
    <row r="27" spans="1:18" ht="15.75" customHeight="1">
      <c r="A27" s="2"/>
      <c r="B27" s="2"/>
      <c r="C27" s="2"/>
      <c r="D27" s="11"/>
      <c r="E27" s="2"/>
      <c r="F27" s="2"/>
      <c r="G27" s="2"/>
      <c r="H27" s="2"/>
      <c r="I27" s="13"/>
      <c r="J27" s="13"/>
      <c r="K27" s="2"/>
      <c r="L27" s="2"/>
      <c r="M27" s="12" t="str">
        <f t="shared" si="0"/>
        <v/>
      </c>
      <c r="N27" s="2"/>
      <c r="O27" s="2"/>
      <c r="P27" s="2"/>
      <c r="Q27" s="2"/>
      <c r="R27" s="2"/>
    </row>
    <row r="28" spans="1:18" ht="15.75" customHeight="1">
      <c r="A28" s="2"/>
      <c r="B28" s="2"/>
      <c r="C28" s="2"/>
      <c r="D28" s="11"/>
      <c r="E28" s="2"/>
      <c r="F28" s="2"/>
      <c r="G28" s="2"/>
      <c r="H28" s="2"/>
      <c r="I28" s="13"/>
      <c r="J28" s="13"/>
      <c r="K28" s="2"/>
      <c r="L28" s="2"/>
      <c r="M28" s="12" t="str">
        <f t="shared" si="0"/>
        <v/>
      </c>
      <c r="N28" s="2"/>
      <c r="O28" s="2"/>
      <c r="P28" s="2"/>
      <c r="Q28" s="2"/>
      <c r="R28" s="2"/>
    </row>
    <row r="29" spans="1:18" ht="15.75" customHeight="1">
      <c r="A29" s="2"/>
      <c r="B29" s="2"/>
      <c r="C29" s="2"/>
      <c r="D29" s="11"/>
      <c r="E29" s="2"/>
      <c r="F29" s="2"/>
      <c r="G29" s="2"/>
      <c r="H29" s="2"/>
      <c r="I29" s="13"/>
      <c r="J29" s="13"/>
      <c r="K29" s="2"/>
      <c r="L29" s="2"/>
      <c r="M29" s="12" t="str">
        <f t="shared" si="0"/>
        <v/>
      </c>
      <c r="N29" s="2"/>
      <c r="O29" s="2"/>
      <c r="P29" s="2"/>
      <c r="Q29" s="2"/>
      <c r="R29" s="2"/>
    </row>
    <row r="30" spans="1:18" ht="15.75" customHeight="1">
      <c r="A30" s="2"/>
      <c r="B30" s="2"/>
      <c r="C30" s="2"/>
      <c r="D30" s="11"/>
      <c r="E30" s="2"/>
      <c r="F30" s="2"/>
      <c r="G30" s="2"/>
      <c r="H30" s="2"/>
      <c r="I30" s="13"/>
      <c r="J30" s="13"/>
      <c r="K30" s="2"/>
      <c r="L30" s="2"/>
      <c r="M30" s="12" t="str">
        <f t="shared" si="0"/>
        <v/>
      </c>
      <c r="N30" s="2"/>
      <c r="O30" s="2"/>
      <c r="P30" s="2"/>
      <c r="Q30" s="2"/>
      <c r="R30" s="2"/>
    </row>
    <row r="31" spans="1:18" ht="15.75" customHeight="1">
      <c r="A31" s="2"/>
      <c r="B31" s="2"/>
      <c r="C31" s="2"/>
      <c r="D31" s="11"/>
      <c r="E31" s="2"/>
      <c r="F31" s="2"/>
      <c r="G31" s="2"/>
      <c r="H31" s="2"/>
      <c r="I31" s="13"/>
      <c r="J31" s="13"/>
      <c r="K31" s="2"/>
      <c r="L31" s="2"/>
      <c r="M31" s="12" t="str">
        <f t="shared" si="0"/>
        <v/>
      </c>
      <c r="N31" s="2"/>
      <c r="O31" s="2"/>
      <c r="P31" s="2"/>
      <c r="Q31" s="2"/>
      <c r="R31" s="2"/>
    </row>
    <row r="32" spans="1:18" ht="15.75" customHeight="1">
      <c r="A32" s="2"/>
      <c r="B32" s="2"/>
      <c r="C32" s="2"/>
      <c r="D32" s="11"/>
      <c r="E32" s="2"/>
      <c r="F32" s="2"/>
      <c r="G32" s="2"/>
      <c r="H32" s="2"/>
      <c r="I32" s="13"/>
      <c r="J32" s="13"/>
      <c r="K32" s="2"/>
      <c r="L32" s="2"/>
      <c r="M32" s="12" t="str">
        <f t="shared" si="0"/>
        <v/>
      </c>
      <c r="N32" s="2"/>
      <c r="O32" s="2"/>
      <c r="P32" s="2"/>
      <c r="Q32" s="2"/>
      <c r="R32" s="2"/>
    </row>
    <row r="33" spans="1:18" ht="15.75" customHeight="1">
      <c r="A33" s="2"/>
      <c r="B33" s="2"/>
      <c r="C33" s="2"/>
      <c r="D33" s="11"/>
      <c r="E33" s="2"/>
      <c r="F33" s="2"/>
      <c r="G33" s="2"/>
      <c r="H33" s="2"/>
      <c r="I33" s="13"/>
      <c r="J33" s="13"/>
      <c r="K33" s="2"/>
      <c r="L33" s="2"/>
      <c r="M33" s="12" t="str">
        <f t="shared" si="0"/>
        <v/>
      </c>
      <c r="N33" s="2"/>
      <c r="O33" s="2"/>
      <c r="P33" s="2"/>
      <c r="Q33" s="2"/>
      <c r="R33" s="2"/>
    </row>
    <row r="34" spans="1:18" ht="15.75" customHeight="1">
      <c r="A34" s="2"/>
      <c r="B34" s="2"/>
      <c r="C34" s="2"/>
      <c r="D34" s="11"/>
      <c r="E34" s="2"/>
      <c r="F34" s="2"/>
      <c r="G34" s="2"/>
      <c r="H34" s="2"/>
      <c r="I34" s="13"/>
      <c r="J34" s="13"/>
      <c r="K34" s="2"/>
      <c r="L34" s="2"/>
      <c r="M34" s="12" t="str">
        <f t="shared" si="0"/>
        <v/>
      </c>
      <c r="N34" s="2"/>
      <c r="O34" s="2"/>
      <c r="P34" s="2"/>
      <c r="Q34" s="2"/>
      <c r="R34" s="2"/>
    </row>
    <row r="35" spans="1:18" ht="15.75" customHeight="1">
      <c r="A35" s="2"/>
      <c r="B35" s="2"/>
      <c r="C35" s="2"/>
      <c r="D35" s="11"/>
      <c r="E35" s="2"/>
      <c r="F35" s="2"/>
      <c r="G35" s="2"/>
      <c r="H35" s="2"/>
      <c r="I35" s="13"/>
      <c r="J35" s="13"/>
      <c r="K35" s="2"/>
      <c r="L35" s="2"/>
      <c r="M35" s="12" t="str">
        <f t="shared" si="0"/>
        <v/>
      </c>
      <c r="N35" s="2"/>
      <c r="O35" s="2"/>
      <c r="P35" s="2"/>
      <c r="Q35" s="2"/>
      <c r="R35" s="2"/>
    </row>
    <row r="36" spans="1:18" ht="15.75" customHeight="1">
      <c r="A36" s="2"/>
      <c r="B36" s="2"/>
      <c r="C36" s="2"/>
      <c r="D36" s="11"/>
      <c r="E36" s="2"/>
      <c r="F36" s="2"/>
      <c r="G36" s="2"/>
      <c r="H36" s="2"/>
      <c r="I36" s="13"/>
      <c r="J36" s="13"/>
      <c r="K36" s="2"/>
      <c r="L36" s="2"/>
      <c r="M36" s="12" t="str">
        <f t="shared" si="0"/>
        <v/>
      </c>
      <c r="N36" s="2"/>
      <c r="O36" s="2"/>
      <c r="P36" s="2"/>
      <c r="Q36" s="2"/>
      <c r="R36" s="2"/>
    </row>
    <row r="37" spans="1:18" ht="15.75" customHeight="1">
      <c r="A37" s="2"/>
      <c r="B37" s="2"/>
      <c r="C37" s="2"/>
      <c r="D37" s="11"/>
      <c r="E37" s="2"/>
      <c r="F37" s="2"/>
      <c r="G37" s="2"/>
      <c r="H37" s="2"/>
      <c r="I37" s="13"/>
      <c r="J37" s="13"/>
      <c r="K37" s="2"/>
      <c r="L37" s="2"/>
      <c r="M37" s="12" t="str">
        <f t="shared" si="0"/>
        <v/>
      </c>
      <c r="N37" s="2"/>
      <c r="O37" s="2"/>
      <c r="P37" s="2"/>
      <c r="Q37" s="2"/>
      <c r="R37" s="2"/>
    </row>
    <row r="38" spans="1:18" ht="15.75" customHeight="1">
      <c r="A38" s="2"/>
      <c r="B38" s="2"/>
      <c r="C38" s="2"/>
      <c r="D38" s="11"/>
      <c r="E38" s="2"/>
      <c r="F38" s="2"/>
      <c r="G38" s="2"/>
      <c r="H38" s="2"/>
      <c r="I38" s="13"/>
      <c r="J38" s="13"/>
      <c r="K38" s="2"/>
      <c r="L38" s="2"/>
      <c r="M38" s="12" t="str">
        <f t="shared" si="0"/>
        <v/>
      </c>
      <c r="N38" s="2"/>
      <c r="O38" s="2"/>
      <c r="P38" s="2"/>
      <c r="Q38" s="2"/>
      <c r="R38" s="2"/>
    </row>
    <row r="39" spans="1:18" ht="15.75" customHeight="1">
      <c r="A39" s="2"/>
      <c r="B39" s="2"/>
      <c r="C39" s="2"/>
      <c r="D39" s="11"/>
      <c r="E39" s="2"/>
      <c r="F39" s="2"/>
      <c r="G39" s="2"/>
      <c r="H39" s="2"/>
      <c r="I39" s="13"/>
      <c r="J39" s="13"/>
      <c r="K39" s="2"/>
      <c r="L39" s="2"/>
      <c r="M39" s="12" t="str">
        <f t="shared" si="0"/>
        <v/>
      </c>
      <c r="N39" s="2"/>
      <c r="O39" s="2"/>
      <c r="P39" s="2"/>
      <c r="Q39" s="2"/>
      <c r="R39" s="2"/>
    </row>
    <row r="40" spans="1:18" ht="15.75" customHeight="1">
      <c r="A40" s="2"/>
      <c r="B40" s="2"/>
      <c r="C40" s="2"/>
      <c r="D40" s="11"/>
      <c r="E40" s="2"/>
      <c r="F40" s="2"/>
      <c r="G40" s="2"/>
      <c r="H40" s="2"/>
      <c r="I40" s="13"/>
      <c r="J40" s="13"/>
      <c r="K40" s="2"/>
      <c r="L40" s="2"/>
      <c r="M40" s="12" t="str">
        <f t="shared" si="0"/>
        <v/>
      </c>
      <c r="N40" s="2"/>
      <c r="O40" s="2"/>
      <c r="P40" s="2"/>
      <c r="Q40" s="2"/>
      <c r="R40" s="2"/>
    </row>
    <row r="41" spans="1:18" ht="15.75" customHeight="1">
      <c r="A41" s="2"/>
      <c r="B41" s="2"/>
      <c r="C41" s="2"/>
      <c r="D41" s="11"/>
      <c r="E41" s="2"/>
      <c r="F41" s="2"/>
      <c r="G41" s="2"/>
      <c r="H41" s="2"/>
      <c r="I41" s="13"/>
      <c r="J41" s="13"/>
      <c r="K41" s="2"/>
      <c r="L41" s="2"/>
      <c r="M41" s="12" t="str">
        <f t="shared" si="0"/>
        <v/>
      </c>
      <c r="N41" s="2"/>
      <c r="O41" s="2"/>
      <c r="P41" s="2"/>
      <c r="Q41" s="2"/>
      <c r="R41" s="2"/>
    </row>
    <row r="42" spans="1:18" ht="15.75" customHeight="1">
      <c r="A42" s="2"/>
      <c r="B42" s="2"/>
      <c r="C42" s="2"/>
      <c r="D42" s="11"/>
      <c r="E42" s="2"/>
      <c r="F42" s="2"/>
      <c r="G42" s="2"/>
      <c r="H42" s="2"/>
      <c r="I42" s="13"/>
      <c r="J42" s="13"/>
      <c r="K42" s="2"/>
      <c r="L42" s="2"/>
      <c r="M42" s="12" t="str">
        <f t="shared" si="0"/>
        <v/>
      </c>
      <c r="N42" s="2"/>
      <c r="O42" s="2"/>
      <c r="P42" s="2"/>
      <c r="Q42" s="2"/>
      <c r="R42" s="2"/>
    </row>
    <row r="43" spans="1:18" ht="15.75" customHeight="1">
      <c r="A43" s="2"/>
      <c r="B43" s="2"/>
      <c r="C43" s="2"/>
      <c r="D43" s="11"/>
      <c r="E43" s="2"/>
      <c r="F43" s="2"/>
      <c r="G43" s="2"/>
      <c r="H43" s="2"/>
      <c r="I43" s="13"/>
      <c r="J43" s="13"/>
      <c r="K43" s="2"/>
      <c r="L43" s="2"/>
      <c r="M43" s="12" t="str">
        <f t="shared" si="0"/>
        <v/>
      </c>
      <c r="N43" s="2"/>
      <c r="O43" s="2"/>
      <c r="P43" s="2"/>
      <c r="Q43" s="2"/>
      <c r="R43" s="2"/>
    </row>
    <row r="44" spans="1:18" ht="15.75" customHeight="1">
      <c r="A44" s="2"/>
      <c r="B44" s="2"/>
      <c r="C44" s="2"/>
      <c r="D44" s="11"/>
      <c r="E44" s="2"/>
      <c r="F44" s="2"/>
      <c r="G44" s="2"/>
      <c r="H44" s="2"/>
      <c r="I44" s="13"/>
      <c r="J44" s="13"/>
      <c r="K44" s="2"/>
      <c r="L44" s="2"/>
      <c r="M44" s="12" t="str">
        <f t="shared" si="0"/>
        <v/>
      </c>
      <c r="N44" s="2"/>
      <c r="O44" s="2"/>
      <c r="P44" s="2"/>
      <c r="Q44" s="2"/>
      <c r="R44" s="2"/>
    </row>
    <row r="45" spans="1:18" ht="15.75" customHeight="1">
      <c r="A45" s="2"/>
      <c r="B45" s="2"/>
      <c r="C45" s="2"/>
      <c r="D45" s="11"/>
      <c r="E45" s="2"/>
      <c r="F45" s="2"/>
      <c r="G45" s="2"/>
      <c r="H45" s="2"/>
      <c r="I45" s="13"/>
      <c r="J45" s="13"/>
      <c r="K45" s="2"/>
      <c r="L45" s="2"/>
      <c r="M45" s="12" t="str">
        <f t="shared" si="0"/>
        <v/>
      </c>
      <c r="N45" s="2"/>
      <c r="O45" s="2"/>
      <c r="P45" s="2"/>
      <c r="Q45" s="2"/>
      <c r="R45" s="2"/>
    </row>
    <row r="46" spans="1:18" ht="15.75" customHeight="1">
      <c r="A46" s="2"/>
      <c r="B46" s="2"/>
      <c r="C46" s="2"/>
      <c r="D46" s="11"/>
      <c r="E46" s="2"/>
      <c r="F46" s="2"/>
      <c r="G46" s="2"/>
      <c r="H46" s="2"/>
      <c r="I46" s="13"/>
      <c r="J46" s="13"/>
      <c r="K46" s="2"/>
      <c r="L46" s="2"/>
      <c r="M46" s="12" t="str">
        <f t="shared" si="0"/>
        <v/>
      </c>
      <c r="N46" s="2"/>
      <c r="O46" s="2"/>
      <c r="P46" s="2"/>
      <c r="Q46" s="2"/>
      <c r="R46" s="2"/>
    </row>
    <row r="47" spans="1:18" ht="15.75" customHeight="1">
      <c r="A47" s="2"/>
      <c r="B47" s="2"/>
      <c r="C47" s="2"/>
      <c r="D47" s="11"/>
      <c r="E47" s="2"/>
      <c r="F47" s="2"/>
      <c r="G47" s="2"/>
      <c r="H47" s="2"/>
      <c r="I47" s="13"/>
      <c r="J47" s="13"/>
      <c r="K47" s="2"/>
      <c r="L47" s="2"/>
      <c r="M47" s="12" t="str">
        <f t="shared" si="0"/>
        <v/>
      </c>
      <c r="N47" s="2"/>
      <c r="O47" s="2"/>
      <c r="P47" s="2"/>
      <c r="Q47" s="2"/>
      <c r="R47" s="2"/>
    </row>
    <row r="48" spans="1:18" ht="15.75" customHeight="1">
      <c r="A48" s="2"/>
      <c r="B48" s="2"/>
      <c r="C48" s="2"/>
      <c r="D48" s="11"/>
      <c r="E48" s="2"/>
      <c r="F48" s="2"/>
      <c r="G48" s="2"/>
      <c r="H48" s="2"/>
      <c r="I48" s="13"/>
      <c r="J48" s="13"/>
      <c r="K48" s="2"/>
      <c r="L48" s="2"/>
      <c r="M48" s="12" t="str">
        <f t="shared" si="0"/>
        <v/>
      </c>
      <c r="N48" s="2"/>
      <c r="O48" s="2"/>
      <c r="P48" s="2"/>
      <c r="Q48" s="2"/>
      <c r="R48" s="2"/>
    </row>
    <row r="49" spans="1:18" ht="15.75" customHeight="1">
      <c r="A49" s="2"/>
      <c r="B49" s="2"/>
      <c r="C49" s="2"/>
      <c r="D49" s="11"/>
      <c r="E49" s="2"/>
      <c r="F49" s="2"/>
      <c r="G49" s="2"/>
      <c r="H49" s="2"/>
      <c r="I49" s="13"/>
      <c r="J49" s="13"/>
      <c r="K49" s="2"/>
      <c r="L49" s="2"/>
      <c r="M49" s="12" t="str">
        <f t="shared" si="0"/>
        <v/>
      </c>
      <c r="N49" s="2"/>
      <c r="O49" s="2"/>
      <c r="P49" s="2"/>
      <c r="Q49" s="2"/>
      <c r="R49" s="2"/>
    </row>
    <row r="50" spans="1:18" ht="15.75" customHeight="1">
      <c r="A50" s="2"/>
      <c r="B50" s="2"/>
      <c r="C50" s="2"/>
      <c r="D50" s="11"/>
      <c r="E50" s="2"/>
      <c r="F50" s="2"/>
      <c r="G50" s="2"/>
      <c r="H50" s="2"/>
      <c r="I50" s="13"/>
      <c r="J50" s="13"/>
      <c r="K50" s="2"/>
      <c r="L50" s="2"/>
      <c r="M50" s="12" t="str">
        <f t="shared" si="0"/>
        <v/>
      </c>
      <c r="N50" s="2"/>
      <c r="O50" s="2"/>
      <c r="P50" s="2"/>
      <c r="Q50" s="2"/>
      <c r="R50" s="2"/>
    </row>
    <row r="51" spans="1:18" ht="15.75" customHeight="1">
      <c r="A51" s="2"/>
      <c r="B51" s="2"/>
      <c r="C51" s="2"/>
      <c r="D51" s="11"/>
      <c r="E51" s="2"/>
      <c r="F51" s="2"/>
      <c r="G51" s="2"/>
      <c r="H51" s="2"/>
      <c r="I51" s="13"/>
      <c r="J51" s="13"/>
      <c r="K51" s="2"/>
      <c r="L51" s="2"/>
      <c r="M51" s="12" t="str">
        <f t="shared" si="0"/>
        <v/>
      </c>
      <c r="N51" s="2"/>
      <c r="O51" s="2"/>
      <c r="P51" s="2"/>
      <c r="Q51" s="2"/>
      <c r="R51" s="2"/>
    </row>
    <row r="52" spans="1:18" ht="15.75" customHeight="1">
      <c r="A52" s="2"/>
      <c r="B52" s="2"/>
      <c r="C52" s="2"/>
      <c r="D52" s="11"/>
      <c r="E52" s="2"/>
      <c r="F52" s="2"/>
      <c r="G52" s="2"/>
      <c r="H52" s="2"/>
      <c r="I52" s="13"/>
      <c r="J52" s="13"/>
      <c r="K52" s="2"/>
      <c r="L52" s="2"/>
      <c r="M52" s="12" t="str">
        <f t="shared" si="0"/>
        <v/>
      </c>
      <c r="N52" s="2"/>
      <c r="O52" s="2"/>
      <c r="P52" s="2"/>
      <c r="Q52" s="2"/>
      <c r="R52" s="2"/>
    </row>
    <row r="53" spans="1:18" ht="15.75" customHeight="1">
      <c r="A53" s="2"/>
      <c r="B53" s="2"/>
      <c r="C53" s="2"/>
      <c r="D53" s="11"/>
      <c r="E53" s="2"/>
      <c r="F53" s="2"/>
      <c r="G53" s="2"/>
      <c r="H53" s="2"/>
      <c r="I53" s="13"/>
      <c r="J53" s="13"/>
      <c r="K53" s="2"/>
      <c r="L53" s="2"/>
      <c r="M53" s="12" t="str">
        <f t="shared" si="0"/>
        <v/>
      </c>
      <c r="N53" s="2"/>
      <c r="O53" s="2"/>
      <c r="P53" s="2"/>
      <c r="Q53" s="2"/>
      <c r="R53" s="2"/>
    </row>
    <row r="54" spans="1:18" ht="15.75" customHeight="1">
      <c r="A54" s="2"/>
      <c r="B54" s="2"/>
      <c r="C54" s="2"/>
      <c r="D54" s="11"/>
      <c r="E54" s="2"/>
      <c r="F54" s="2"/>
      <c r="G54" s="2"/>
      <c r="H54" s="2"/>
      <c r="I54" s="13"/>
      <c r="J54" s="13"/>
      <c r="K54" s="2"/>
      <c r="L54" s="2"/>
      <c r="M54" s="12" t="str">
        <f t="shared" si="0"/>
        <v/>
      </c>
      <c r="N54" s="2"/>
      <c r="O54" s="2"/>
      <c r="P54" s="2"/>
      <c r="Q54" s="2"/>
      <c r="R54" s="2"/>
    </row>
    <row r="55" spans="1:18" ht="15.75" customHeight="1">
      <c r="A55" s="2"/>
      <c r="B55" s="2"/>
      <c r="C55" s="2"/>
      <c r="D55" s="11"/>
      <c r="E55" s="2"/>
      <c r="F55" s="2"/>
      <c r="G55" s="2"/>
      <c r="H55" s="2"/>
      <c r="I55" s="13"/>
      <c r="J55" s="13"/>
      <c r="K55" s="2"/>
      <c r="L55" s="2"/>
      <c r="M55" s="12" t="str">
        <f t="shared" si="0"/>
        <v/>
      </c>
      <c r="N55" s="2"/>
      <c r="O55" s="2"/>
      <c r="P55" s="2"/>
      <c r="Q55" s="2"/>
      <c r="R55" s="2"/>
    </row>
    <row r="56" spans="1:18" ht="15.75" customHeight="1">
      <c r="A56" s="2"/>
      <c r="B56" s="2"/>
      <c r="C56" s="2"/>
      <c r="D56" s="11"/>
      <c r="E56" s="2"/>
      <c r="F56" s="2"/>
      <c r="G56" s="2"/>
      <c r="H56" s="2"/>
      <c r="I56" s="13"/>
      <c r="J56" s="13"/>
      <c r="K56" s="2"/>
      <c r="L56" s="2"/>
      <c r="M56" s="12" t="str">
        <f t="shared" si="0"/>
        <v/>
      </c>
      <c r="N56" s="2"/>
      <c r="O56" s="2"/>
      <c r="P56" s="2"/>
      <c r="Q56" s="2"/>
      <c r="R56" s="2"/>
    </row>
    <row r="57" spans="1:18" ht="15.75" customHeight="1">
      <c r="A57" s="2"/>
      <c r="B57" s="2"/>
      <c r="C57" s="2"/>
      <c r="D57" s="11"/>
      <c r="E57" s="2"/>
      <c r="F57" s="2"/>
      <c r="G57" s="2"/>
      <c r="H57" s="2"/>
      <c r="I57" s="13"/>
      <c r="J57" s="13"/>
      <c r="K57" s="2"/>
      <c r="L57" s="2"/>
      <c r="M57" s="12" t="str">
        <f t="shared" si="0"/>
        <v/>
      </c>
      <c r="N57" s="2"/>
      <c r="O57" s="2"/>
      <c r="P57" s="2"/>
      <c r="Q57" s="2"/>
      <c r="R57" s="2"/>
    </row>
    <row r="58" spans="1:18" ht="15.75" customHeight="1">
      <c r="A58" s="2"/>
      <c r="B58" s="2"/>
      <c r="C58" s="2"/>
      <c r="D58" s="11"/>
      <c r="E58" s="2"/>
      <c r="F58" s="2"/>
      <c r="G58" s="2"/>
      <c r="H58" s="2"/>
      <c r="I58" s="13"/>
      <c r="J58" s="13"/>
      <c r="K58" s="2"/>
      <c r="L58" s="2"/>
      <c r="M58" s="12" t="str">
        <f t="shared" si="0"/>
        <v/>
      </c>
      <c r="N58" s="2"/>
      <c r="O58" s="2"/>
      <c r="P58" s="2"/>
      <c r="Q58" s="2"/>
      <c r="R58" s="2"/>
    </row>
    <row r="59" spans="1:18" ht="15.75" customHeight="1">
      <c r="A59" s="2"/>
      <c r="B59" s="2"/>
      <c r="C59" s="2"/>
      <c r="D59" s="11"/>
      <c r="E59" s="2"/>
      <c r="F59" s="2"/>
      <c r="G59" s="2"/>
      <c r="H59" s="2"/>
      <c r="I59" s="13"/>
      <c r="J59" s="13"/>
      <c r="K59" s="2"/>
      <c r="L59" s="2"/>
      <c r="M59" s="12" t="str">
        <f t="shared" si="0"/>
        <v/>
      </c>
      <c r="N59" s="2"/>
      <c r="O59" s="2"/>
      <c r="P59" s="2"/>
      <c r="Q59" s="2"/>
      <c r="R59" s="2"/>
    </row>
    <row r="60" spans="1:18" ht="15.75" customHeight="1">
      <c r="A60" s="2"/>
      <c r="B60" s="2"/>
      <c r="C60" s="2"/>
      <c r="D60" s="11"/>
      <c r="E60" s="2"/>
      <c r="F60" s="2"/>
      <c r="G60" s="2"/>
      <c r="H60" s="2"/>
      <c r="I60" s="13"/>
      <c r="J60" s="13"/>
      <c r="K60" s="2"/>
      <c r="L60" s="2"/>
      <c r="M60" s="12" t="str">
        <f t="shared" si="0"/>
        <v/>
      </c>
      <c r="N60" s="2"/>
      <c r="O60" s="2"/>
      <c r="P60" s="2"/>
      <c r="Q60" s="2"/>
      <c r="R60" s="2"/>
    </row>
    <row r="61" spans="1:18" ht="15.75" customHeight="1">
      <c r="A61" s="2"/>
      <c r="B61" s="2"/>
      <c r="C61" s="2"/>
      <c r="D61" s="11"/>
      <c r="E61" s="2"/>
      <c r="F61" s="2"/>
      <c r="G61" s="2"/>
      <c r="H61" s="2"/>
      <c r="I61" s="13"/>
      <c r="J61" s="13"/>
      <c r="K61" s="2"/>
      <c r="L61" s="2"/>
      <c r="M61" s="12" t="str">
        <f t="shared" si="0"/>
        <v/>
      </c>
      <c r="N61" s="2"/>
      <c r="O61" s="2"/>
      <c r="P61" s="2"/>
      <c r="Q61" s="2"/>
      <c r="R61" s="2"/>
    </row>
    <row r="62" spans="1:18" ht="15.75" customHeight="1">
      <c r="A62" s="2"/>
      <c r="B62" s="2"/>
      <c r="C62" s="2"/>
      <c r="D62" s="11"/>
      <c r="E62" s="2"/>
      <c r="F62" s="2"/>
      <c r="G62" s="2"/>
      <c r="H62" s="2"/>
      <c r="I62" s="13"/>
      <c r="J62" s="13"/>
      <c r="K62" s="2"/>
      <c r="L62" s="2"/>
      <c r="M62" s="12" t="str">
        <f t="shared" si="0"/>
        <v/>
      </c>
      <c r="N62" s="2"/>
      <c r="O62" s="2"/>
      <c r="P62" s="2"/>
      <c r="Q62" s="2"/>
      <c r="R62" s="2"/>
    </row>
    <row r="63" spans="1:18" ht="15.75" customHeight="1">
      <c r="A63" s="2"/>
      <c r="B63" s="2"/>
      <c r="C63" s="2"/>
      <c r="D63" s="11"/>
      <c r="E63" s="2"/>
      <c r="F63" s="2"/>
      <c r="G63" s="2"/>
      <c r="H63" s="2"/>
      <c r="I63" s="13"/>
      <c r="J63" s="13"/>
      <c r="K63" s="2"/>
      <c r="L63" s="2"/>
      <c r="M63" s="12" t="str">
        <f t="shared" si="0"/>
        <v/>
      </c>
      <c r="N63" s="2"/>
      <c r="O63" s="2"/>
      <c r="P63" s="2"/>
      <c r="Q63" s="2"/>
      <c r="R63" s="2"/>
    </row>
    <row r="64" spans="1:18" ht="15.75" customHeight="1">
      <c r="A64" s="2"/>
      <c r="B64" s="2"/>
      <c r="C64" s="2"/>
      <c r="D64" s="11"/>
      <c r="E64" s="2"/>
      <c r="F64" s="2"/>
      <c r="G64" s="2"/>
      <c r="H64" s="2"/>
      <c r="I64" s="13"/>
      <c r="J64" s="13"/>
      <c r="K64" s="2"/>
      <c r="L64" s="2"/>
      <c r="M64" s="12" t="str">
        <f t="shared" si="0"/>
        <v/>
      </c>
      <c r="N64" s="2"/>
      <c r="O64" s="2"/>
      <c r="P64" s="2"/>
      <c r="Q64" s="2"/>
      <c r="R64" s="2"/>
    </row>
    <row r="65" spans="1:18" ht="15.75" customHeight="1">
      <c r="A65" s="2"/>
      <c r="B65" s="2"/>
      <c r="C65" s="2"/>
      <c r="D65" s="11"/>
      <c r="E65" s="2"/>
      <c r="F65" s="2"/>
      <c r="G65" s="2"/>
      <c r="H65" s="2"/>
      <c r="I65" s="13"/>
      <c r="J65" s="13"/>
      <c r="K65" s="2"/>
      <c r="L65" s="2"/>
      <c r="M65" s="12" t="str">
        <f t="shared" si="0"/>
        <v/>
      </c>
      <c r="N65" s="2"/>
      <c r="O65" s="2"/>
      <c r="P65" s="2"/>
      <c r="Q65" s="2"/>
      <c r="R65" s="2"/>
    </row>
    <row r="66" spans="1:18" ht="15.75" customHeight="1">
      <c r="A66" s="2"/>
      <c r="B66" s="2"/>
      <c r="C66" s="2"/>
      <c r="D66" s="11"/>
      <c r="E66" s="2"/>
      <c r="F66" s="2"/>
      <c r="G66" s="2"/>
      <c r="H66" s="2"/>
      <c r="I66" s="13"/>
      <c r="J66" s="13"/>
      <c r="K66" s="2"/>
      <c r="L66" s="2"/>
      <c r="M66" s="12" t="str">
        <f t="shared" si="0"/>
        <v/>
      </c>
      <c r="N66" s="2"/>
      <c r="O66" s="2"/>
      <c r="P66" s="2"/>
      <c r="Q66" s="2"/>
      <c r="R66" s="2"/>
    </row>
    <row r="67" spans="1:18" ht="15.75" customHeight="1">
      <c r="A67" s="2"/>
      <c r="B67" s="2"/>
      <c r="C67" s="2"/>
      <c r="D67" s="11"/>
      <c r="E67" s="2"/>
      <c r="F67" s="2"/>
      <c r="G67" s="2"/>
      <c r="H67" s="2"/>
      <c r="I67" s="13"/>
      <c r="J67" s="13"/>
      <c r="K67" s="2"/>
      <c r="L67" s="2"/>
      <c r="M67" s="12" t="str">
        <f t="shared" si="0"/>
        <v/>
      </c>
      <c r="N67" s="2"/>
      <c r="O67" s="2"/>
      <c r="P67" s="2"/>
      <c r="Q67" s="2"/>
      <c r="R67" s="2"/>
    </row>
    <row r="68" spans="1:18" ht="15.75" customHeight="1">
      <c r="A68" s="2"/>
      <c r="B68" s="2"/>
      <c r="C68" s="2"/>
      <c r="D68" s="11"/>
      <c r="E68" s="2"/>
      <c r="F68" s="2"/>
      <c r="G68" s="2"/>
      <c r="H68" s="2"/>
      <c r="I68" s="13"/>
      <c r="J68" s="13"/>
      <c r="K68" s="2"/>
      <c r="L68" s="2"/>
      <c r="M68" s="12" t="str">
        <f t="shared" si="0"/>
        <v/>
      </c>
      <c r="N68" s="2"/>
      <c r="O68" s="2"/>
      <c r="P68" s="2"/>
      <c r="Q68" s="2"/>
      <c r="R68" s="2"/>
    </row>
    <row r="69" spans="1:18" ht="15.75" customHeight="1">
      <c r="A69" s="2"/>
      <c r="B69" s="2"/>
      <c r="C69" s="2"/>
      <c r="D69" s="11"/>
      <c r="E69" s="2"/>
      <c r="F69" s="2"/>
      <c r="G69" s="2"/>
      <c r="H69" s="2"/>
      <c r="I69" s="13"/>
      <c r="J69" s="13"/>
      <c r="K69" s="2"/>
      <c r="L69" s="2"/>
      <c r="M69" s="12" t="str">
        <f t="shared" si="0"/>
        <v/>
      </c>
      <c r="N69" s="2"/>
      <c r="O69" s="2"/>
      <c r="P69" s="2"/>
      <c r="Q69" s="2"/>
      <c r="R69" s="2"/>
    </row>
    <row r="70" spans="1:18" ht="15.75" customHeight="1">
      <c r="A70" s="2"/>
      <c r="B70" s="2"/>
      <c r="C70" s="2"/>
      <c r="D70" s="11"/>
      <c r="E70" s="2"/>
      <c r="F70" s="2"/>
      <c r="G70" s="2"/>
      <c r="H70" s="2"/>
      <c r="I70" s="13"/>
      <c r="J70" s="13"/>
      <c r="K70" s="2"/>
      <c r="L70" s="2"/>
      <c r="M70" s="12" t="str">
        <f t="shared" si="0"/>
        <v/>
      </c>
      <c r="N70" s="2"/>
      <c r="O70" s="2"/>
      <c r="P70" s="2"/>
      <c r="Q70" s="2"/>
      <c r="R70" s="2"/>
    </row>
    <row r="71" spans="1:18" ht="15.75" customHeight="1">
      <c r="A71" s="2"/>
      <c r="B71" s="2"/>
      <c r="C71" s="2"/>
      <c r="D71" s="11"/>
      <c r="E71" s="2"/>
      <c r="F71" s="2"/>
      <c r="G71" s="2"/>
      <c r="H71" s="2"/>
      <c r="I71" s="13"/>
      <c r="J71" s="13"/>
      <c r="K71" s="2"/>
      <c r="L71" s="2"/>
      <c r="M71" s="12" t="str">
        <f t="shared" si="0"/>
        <v/>
      </c>
      <c r="N71" s="2"/>
      <c r="O71" s="2"/>
      <c r="P71" s="2"/>
      <c r="Q71" s="2"/>
      <c r="R71" s="2"/>
    </row>
    <row r="72" spans="1:18" ht="15.75" customHeight="1">
      <c r="A72" s="2"/>
      <c r="B72" s="2"/>
      <c r="C72" s="2"/>
      <c r="D72" s="11"/>
      <c r="E72" s="2"/>
      <c r="F72" s="2"/>
      <c r="G72" s="2"/>
      <c r="H72" s="2"/>
      <c r="I72" s="13"/>
      <c r="J72" s="13"/>
      <c r="K72" s="2"/>
      <c r="L72" s="2"/>
      <c r="M72" s="12" t="str">
        <f t="shared" si="0"/>
        <v/>
      </c>
      <c r="N72" s="2"/>
      <c r="O72" s="2"/>
      <c r="P72" s="2"/>
      <c r="Q72" s="2"/>
      <c r="R72" s="2"/>
    </row>
    <row r="73" spans="1:18" ht="15.75" customHeight="1">
      <c r="A73" s="2"/>
      <c r="B73" s="2"/>
      <c r="C73" s="2"/>
      <c r="D73" s="11"/>
      <c r="E73" s="2"/>
      <c r="F73" s="2"/>
      <c r="G73" s="2"/>
      <c r="H73" s="2"/>
      <c r="I73" s="13"/>
      <c r="J73" s="13"/>
      <c r="K73" s="2"/>
      <c r="L73" s="2"/>
      <c r="M73" s="12" t="str">
        <f t="shared" si="0"/>
        <v/>
      </c>
      <c r="N73" s="2"/>
      <c r="O73" s="2"/>
      <c r="P73" s="2"/>
      <c r="Q73" s="2"/>
      <c r="R73" s="2"/>
    </row>
    <row r="74" spans="1:18" ht="15.75" customHeight="1">
      <c r="A74" s="2"/>
      <c r="B74" s="2"/>
      <c r="C74" s="2"/>
      <c r="D74" s="11"/>
      <c r="E74" s="2"/>
      <c r="F74" s="2"/>
      <c r="G74" s="2"/>
      <c r="H74" s="2"/>
      <c r="I74" s="13"/>
      <c r="J74" s="13"/>
      <c r="K74" s="2"/>
      <c r="L74" s="2"/>
      <c r="M74" s="12" t="str">
        <f t="shared" si="0"/>
        <v/>
      </c>
      <c r="N74" s="2"/>
      <c r="O74" s="2"/>
      <c r="P74" s="2"/>
      <c r="Q74" s="2"/>
      <c r="R74" s="2"/>
    </row>
    <row r="75" spans="1:18" ht="15.75" customHeight="1">
      <c r="A75" s="2"/>
      <c r="B75" s="2"/>
      <c r="C75" s="2"/>
      <c r="D75" s="11"/>
      <c r="E75" s="2"/>
      <c r="F75" s="2"/>
      <c r="G75" s="2"/>
      <c r="H75" s="2"/>
      <c r="I75" s="13"/>
      <c r="J75" s="13"/>
      <c r="K75" s="2"/>
      <c r="L75" s="2"/>
      <c r="M75" s="12" t="str">
        <f t="shared" si="0"/>
        <v/>
      </c>
      <c r="N75" s="2"/>
      <c r="O75" s="2"/>
      <c r="P75" s="2"/>
      <c r="Q75" s="2"/>
      <c r="R75" s="2"/>
    </row>
    <row r="76" spans="1:18" ht="15.75" customHeight="1">
      <c r="A76" s="2"/>
      <c r="B76" s="2"/>
      <c r="C76" s="2"/>
      <c r="D76" s="11"/>
      <c r="E76" s="2"/>
      <c r="F76" s="2"/>
      <c r="G76" s="2"/>
      <c r="H76" s="2"/>
      <c r="I76" s="13"/>
      <c r="J76" s="13"/>
      <c r="K76" s="2"/>
      <c r="L76" s="2"/>
      <c r="M76" s="12" t="str">
        <f t="shared" si="0"/>
        <v/>
      </c>
      <c r="N76" s="2"/>
      <c r="O76" s="2"/>
      <c r="P76" s="2"/>
      <c r="Q76" s="2"/>
      <c r="R76" s="2"/>
    </row>
    <row r="77" spans="1:18" ht="15.75" customHeight="1">
      <c r="A77" s="2"/>
      <c r="B77" s="2"/>
      <c r="C77" s="2"/>
      <c r="D77" s="11"/>
      <c r="E77" s="2"/>
      <c r="F77" s="2"/>
      <c r="G77" s="2"/>
      <c r="H77" s="2"/>
      <c r="I77" s="13"/>
      <c r="J77" s="13"/>
      <c r="K77" s="2"/>
      <c r="L77" s="2"/>
      <c r="M77" s="12" t="str">
        <f t="shared" si="0"/>
        <v/>
      </c>
      <c r="N77" s="2"/>
      <c r="O77" s="2"/>
      <c r="P77" s="2"/>
      <c r="Q77" s="2"/>
      <c r="R77" s="2"/>
    </row>
    <row r="78" spans="1:18" ht="15.75" customHeight="1">
      <c r="A78" s="2"/>
      <c r="B78" s="2"/>
      <c r="C78" s="2"/>
      <c r="D78" s="11"/>
      <c r="E78" s="2"/>
      <c r="F78" s="2"/>
      <c r="G78" s="2"/>
      <c r="H78" s="2"/>
      <c r="I78" s="13"/>
      <c r="J78" s="13"/>
      <c r="K78" s="2"/>
      <c r="L78" s="2"/>
      <c r="M78" s="12" t="str">
        <f t="shared" si="0"/>
        <v/>
      </c>
      <c r="N78" s="2"/>
      <c r="O78" s="2"/>
      <c r="P78" s="2"/>
      <c r="Q78" s="2"/>
      <c r="R78" s="2"/>
    </row>
    <row r="79" spans="1:18" ht="15.75" customHeight="1">
      <c r="A79" s="2"/>
      <c r="B79" s="2"/>
      <c r="C79" s="2"/>
      <c r="D79" s="11"/>
      <c r="E79" s="2"/>
      <c r="F79" s="2"/>
      <c r="G79" s="2"/>
      <c r="H79" s="2"/>
      <c r="I79" s="13"/>
      <c r="J79" s="13"/>
      <c r="K79" s="2"/>
      <c r="L79" s="2"/>
      <c r="M79" s="12" t="str">
        <f t="shared" si="0"/>
        <v/>
      </c>
      <c r="N79" s="2"/>
      <c r="O79" s="2"/>
      <c r="P79" s="2"/>
      <c r="Q79" s="2"/>
      <c r="R79" s="2"/>
    </row>
    <row r="80" spans="1:18" ht="15.75" customHeight="1">
      <c r="A80" s="2"/>
      <c r="B80" s="2"/>
      <c r="C80" s="2"/>
      <c r="D80" s="11"/>
      <c r="E80" s="2"/>
      <c r="F80" s="2"/>
      <c r="G80" s="2"/>
      <c r="H80" s="2"/>
      <c r="I80" s="13"/>
      <c r="J80" s="13"/>
      <c r="K80" s="2"/>
      <c r="L80" s="2"/>
      <c r="M80" s="12" t="str">
        <f t="shared" si="0"/>
        <v/>
      </c>
      <c r="N80" s="2"/>
      <c r="O80" s="2"/>
      <c r="P80" s="2"/>
      <c r="Q80" s="2"/>
      <c r="R80" s="2"/>
    </row>
    <row r="81" spans="1:18" ht="15.75" customHeight="1">
      <c r="A81" s="2"/>
      <c r="B81" s="2"/>
      <c r="C81" s="2"/>
      <c r="D81" s="11"/>
      <c r="E81" s="2"/>
      <c r="F81" s="2"/>
      <c r="G81" s="2"/>
      <c r="H81" s="2"/>
      <c r="I81" s="13"/>
      <c r="J81" s="13"/>
      <c r="K81" s="2"/>
      <c r="L81" s="2"/>
      <c r="M81" s="12" t="str">
        <f t="shared" si="0"/>
        <v/>
      </c>
      <c r="N81" s="2"/>
      <c r="O81" s="2"/>
      <c r="P81" s="2"/>
      <c r="Q81" s="2"/>
      <c r="R81" s="2"/>
    </row>
    <row r="82" spans="1:18" ht="15.75" customHeight="1">
      <c r="A82" s="2"/>
      <c r="B82" s="2"/>
      <c r="C82" s="2"/>
      <c r="D82" s="11"/>
      <c r="E82" s="2"/>
      <c r="F82" s="2"/>
      <c r="G82" s="2"/>
      <c r="H82" s="2"/>
      <c r="I82" s="13"/>
      <c r="J82" s="13"/>
      <c r="K82" s="2"/>
      <c r="L82" s="2"/>
      <c r="M82" s="12" t="str">
        <f t="shared" si="0"/>
        <v/>
      </c>
      <c r="N82" s="2"/>
      <c r="O82" s="2"/>
      <c r="P82" s="2"/>
      <c r="Q82" s="2"/>
      <c r="R82" s="2"/>
    </row>
    <row r="83" spans="1:18" ht="15.75" customHeight="1">
      <c r="A83" s="2"/>
      <c r="B83" s="2"/>
      <c r="C83" s="2"/>
      <c r="D83" s="11"/>
      <c r="E83" s="2"/>
      <c r="F83" s="2"/>
      <c r="G83" s="2"/>
      <c r="H83" s="2"/>
      <c r="I83" s="13"/>
      <c r="J83" s="13"/>
      <c r="K83" s="2"/>
      <c r="L83" s="2"/>
      <c r="M83" s="12" t="str">
        <f t="shared" si="0"/>
        <v/>
      </c>
      <c r="N83" s="2"/>
      <c r="O83" s="2"/>
      <c r="P83" s="2"/>
      <c r="Q83" s="2"/>
      <c r="R83" s="2"/>
    </row>
    <row r="84" spans="1:18" ht="15.75" customHeight="1">
      <c r="A84" s="2"/>
      <c r="B84" s="2"/>
      <c r="C84" s="2"/>
      <c r="D84" s="11"/>
      <c r="E84" s="2"/>
      <c r="F84" s="2"/>
      <c r="G84" s="2"/>
      <c r="H84" s="2"/>
      <c r="I84" s="13"/>
      <c r="J84" s="13"/>
      <c r="K84" s="2"/>
      <c r="L84" s="2"/>
      <c r="M84" s="12" t="str">
        <f t="shared" si="0"/>
        <v/>
      </c>
      <c r="N84" s="2"/>
      <c r="O84" s="2"/>
      <c r="P84" s="2"/>
      <c r="Q84" s="2"/>
      <c r="R84" s="2"/>
    </row>
    <row r="85" spans="1:18" ht="15.75" customHeight="1">
      <c r="A85" s="2"/>
      <c r="B85" s="2"/>
      <c r="C85" s="2"/>
      <c r="D85" s="11"/>
      <c r="E85" s="2"/>
      <c r="F85" s="2"/>
      <c r="G85" s="2"/>
      <c r="H85" s="2"/>
      <c r="I85" s="13"/>
      <c r="J85" s="13"/>
      <c r="K85" s="2"/>
      <c r="L85" s="2"/>
      <c r="M85" s="12" t="str">
        <f t="shared" si="0"/>
        <v/>
      </c>
      <c r="N85" s="2"/>
      <c r="O85" s="2"/>
      <c r="P85" s="2"/>
      <c r="Q85" s="2"/>
      <c r="R85" s="2"/>
    </row>
    <row r="86" spans="1:18" ht="15.75" customHeight="1">
      <c r="A86" s="2"/>
      <c r="B86" s="2"/>
      <c r="C86" s="2"/>
      <c r="D86" s="11"/>
      <c r="E86" s="2"/>
      <c r="F86" s="2"/>
      <c r="G86" s="2"/>
      <c r="H86" s="2"/>
      <c r="I86" s="13"/>
      <c r="J86" s="13"/>
      <c r="K86" s="2"/>
      <c r="L86" s="2"/>
      <c r="M86" s="12" t="str">
        <f t="shared" si="0"/>
        <v/>
      </c>
      <c r="N86" s="2"/>
      <c r="O86" s="2"/>
      <c r="P86" s="2"/>
      <c r="Q86" s="2"/>
      <c r="R86" s="2"/>
    </row>
    <row r="87" spans="1:18" ht="15.75" customHeight="1">
      <c r="A87" s="2"/>
      <c r="B87" s="2"/>
      <c r="C87" s="2"/>
      <c r="D87" s="11"/>
      <c r="E87" s="2"/>
      <c r="F87" s="2"/>
      <c r="G87" s="2"/>
      <c r="H87" s="2"/>
      <c r="I87" s="13"/>
      <c r="J87" s="13"/>
      <c r="K87" s="2"/>
      <c r="L87" s="2"/>
      <c r="M87" s="12" t="str">
        <f t="shared" si="0"/>
        <v/>
      </c>
      <c r="N87" s="2"/>
      <c r="O87" s="2"/>
      <c r="P87" s="2"/>
      <c r="Q87" s="2"/>
      <c r="R87" s="2"/>
    </row>
    <row r="88" spans="1:18" ht="15.75" customHeight="1">
      <c r="A88" s="2"/>
      <c r="B88" s="2"/>
      <c r="C88" s="2"/>
      <c r="D88" s="11"/>
      <c r="E88" s="2"/>
      <c r="F88" s="2"/>
      <c r="G88" s="2"/>
      <c r="H88" s="2"/>
      <c r="I88" s="13"/>
      <c r="J88" s="13"/>
      <c r="K88" s="2"/>
      <c r="L88" s="2"/>
      <c r="M88" s="12" t="str">
        <f t="shared" si="0"/>
        <v/>
      </c>
      <c r="N88" s="2"/>
      <c r="O88" s="2"/>
      <c r="P88" s="2"/>
      <c r="Q88" s="2"/>
      <c r="R88" s="2"/>
    </row>
    <row r="89" spans="1:18" ht="15.75" customHeight="1">
      <c r="A89" s="2"/>
      <c r="B89" s="2"/>
      <c r="C89" s="2"/>
      <c r="D89" s="11"/>
      <c r="E89" s="2"/>
      <c r="F89" s="2"/>
      <c r="G89" s="2"/>
      <c r="H89" s="2"/>
      <c r="I89" s="13"/>
      <c r="J89" s="13"/>
      <c r="K89" s="2"/>
      <c r="L89" s="2"/>
      <c r="M89" s="12" t="str">
        <f t="shared" si="0"/>
        <v/>
      </c>
      <c r="N89" s="2"/>
      <c r="O89" s="2"/>
      <c r="P89" s="2"/>
      <c r="Q89" s="2"/>
      <c r="R89" s="2"/>
    </row>
    <row r="90" spans="1:18" ht="15.75" customHeight="1">
      <c r="A90" s="2"/>
      <c r="B90" s="2"/>
      <c r="C90" s="2"/>
      <c r="D90" s="11"/>
      <c r="E90" s="2"/>
      <c r="F90" s="2"/>
      <c r="G90" s="2"/>
      <c r="H90" s="2"/>
      <c r="I90" s="13"/>
      <c r="J90" s="13"/>
      <c r="K90" s="2"/>
      <c r="L90" s="2"/>
      <c r="M90" s="12" t="str">
        <f t="shared" si="0"/>
        <v/>
      </c>
      <c r="N90" s="2"/>
      <c r="O90" s="2"/>
      <c r="P90" s="2"/>
      <c r="Q90" s="2"/>
      <c r="R90" s="2"/>
    </row>
    <row r="91" spans="1:18" ht="15.75" customHeight="1">
      <c r="A91" s="2"/>
      <c r="B91" s="2"/>
      <c r="C91" s="2"/>
      <c r="D91" s="11"/>
      <c r="E91" s="2"/>
      <c r="F91" s="2"/>
      <c r="G91" s="2"/>
      <c r="H91" s="2"/>
      <c r="I91" s="13"/>
      <c r="J91" s="13"/>
      <c r="K91" s="2"/>
      <c r="L91" s="2"/>
      <c r="M91" s="12" t="str">
        <f t="shared" si="0"/>
        <v/>
      </c>
      <c r="N91" s="2"/>
      <c r="O91" s="2"/>
      <c r="P91" s="2"/>
      <c r="Q91" s="2"/>
      <c r="R91" s="2"/>
    </row>
    <row r="92" spans="1:18" ht="15.75" customHeight="1">
      <c r="A92" s="2"/>
      <c r="B92" s="2"/>
      <c r="C92" s="2"/>
      <c r="D92" s="11"/>
      <c r="E92" s="2"/>
      <c r="F92" s="2"/>
      <c r="G92" s="2"/>
      <c r="H92" s="2"/>
      <c r="I92" s="13"/>
      <c r="J92" s="13"/>
      <c r="K92" s="2"/>
      <c r="L92" s="2"/>
      <c r="M92" s="12" t="str">
        <f t="shared" si="0"/>
        <v/>
      </c>
      <c r="N92" s="2"/>
      <c r="O92" s="2"/>
      <c r="P92" s="2"/>
      <c r="Q92" s="2"/>
      <c r="R92" s="2"/>
    </row>
    <row r="93" spans="1:18" ht="15.75" customHeight="1">
      <c r="A93" s="2"/>
      <c r="B93" s="2"/>
      <c r="C93" s="2"/>
      <c r="D93" s="11"/>
      <c r="E93" s="2"/>
      <c r="F93" s="2"/>
      <c r="G93" s="2"/>
      <c r="H93" s="2"/>
      <c r="I93" s="13"/>
      <c r="J93" s="13"/>
      <c r="K93" s="2"/>
      <c r="L93" s="2"/>
      <c r="M93" s="12" t="str">
        <f t="shared" si="0"/>
        <v/>
      </c>
      <c r="N93" s="2"/>
      <c r="O93" s="2"/>
      <c r="P93" s="2"/>
      <c r="Q93" s="2"/>
      <c r="R93" s="2"/>
    </row>
    <row r="94" spans="1:18" ht="15.75" customHeight="1">
      <c r="A94" s="2"/>
      <c r="B94" s="2"/>
      <c r="C94" s="2"/>
      <c r="D94" s="11"/>
      <c r="E94" s="2"/>
      <c r="F94" s="2"/>
      <c r="G94" s="2"/>
      <c r="H94" s="2"/>
      <c r="I94" s="13"/>
      <c r="J94" s="13"/>
      <c r="K94" s="2"/>
      <c r="L94" s="2"/>
      <c r="M94" s="12" t="str">
        <f t="shared" si="0"/>
        <v/>
      </c>
      <c r="N94" s="2"/>
      <c r="O94" s="2"/>
      <c r="P94" s="2"/>
      <c r="Q94" s="2"/>
      <c r="R94" s="2"/>
    </row>
    <row r="95" spans="1:18" ht="15.75" customHeight="1">
      <c r="A95" s="2"/>
      <c r="B95" s="2"/>
      <c r="C95" s="2"/>
      <c r="D95" s="11"/>
      <c r="E95" s="2"/>
      <c r="F95" s="2"/>
      <c r="G95" s="2"/>
      <c r="H95" s="2"/>
      <c r="I95" s="13"/>
      <c r="J95" s="13"/>
      <c r="K95" s="2"/>
      <c r="L95" s="2"/>
      <c r="M95" s="12" t="str">
        <f t="shared" si="0"/>
        <v/>
      </c>
      <c r="N95" s="2"/>
      <c r="O95" s="2"/>
      <c r="P95" s="2"/>
      <c r="Q95" s="2"/>
      <c r="R95" s="2"/>
    </row>
    <row r="96" spans="1:18" ht="15.75" customHeight="1">
      <c r="A96" s="2"/>
      <c r="B96" s="2"/>
      <c r="C96" s="2"/>
      <c r="D96" s="11"/>
      <c r="E96" s="2"/>
      <c r="F96" s="2"/>
      <c r="G96" s="2"/>
      <c r="H96" s="2"/>
      <c r="I96" s="13"/>
      <c r="J96" s="13"/>
      <c r="K96" s="2"/>
      <c r="L96" s="2"/>
      <c r="M96" s="12" t="str">
        <f t="shared" si="0"/>
        <v/>
      </c>
      <c r="N96" s="2"/>
      <c r="O96" s="2"/>
      <c r="P96" s="2"/>
      <c r="Q96" s="2"/>
      <c r="R96" s="2"/>
    </row>
    <row r="97" spans="1:18" ht="15.75" customHeight="1">
      <c r="A97" s="2"/>
      <c r="B97" s="2"/>
      <c r="C97" s="2"/>
      <c r="D97" s="11"/>
      <c r="E97" s="2"/>
      <c r="F97" s="2"/>
      <c r="G97" s="2"/>
      <c r="H97" s="2"/>
      <c r="I97" s="13"/>
      <c r="J97" s="13"/>
      <c r="K97" s="2"/>
      <c r="L97" s="2"/>
      <c r="M97" s="12" t="str">
        <f t="shared" si="0"/>
        <v/>
      </c>
      <c r="N97" s="2"/>
      <c r="O97" s="2"/>
      <c r="P97" s="2"/>
      <c r="Q97" s="2"/>
      <c r="R97" s="2"/>
    </row>
    <row r="98" spans="1:18" ht="15.75" customHeight="1">
      <c r="A98" s="2"/>
      <c r="B98" s="2"/>
      <c r="C98" s="2"/>
      <c r="D98" s="11"/>
      <c r="E98" s="2"/>
      <c r="F98" s="2"/>
      <c r="G98" s="2"/>
      <c r="H98" s="2"/>
      <c r="I98" s="13"/>
      <c r="J98" s="13"/>
      <c r="K98" s="2"/>
      <c r="L98" s="2"/>
      <c r="M98" s="12" t="str">
        <f t="shared" si="0"/>
        <v/>
      </c>
      <c r="N98" s="2"/>
      <c r="O98" s="2"/>
      <c r="P98" s="2"/>
      <c r="Q98" s="2"/>
      <c r="R98" s="2"/>
    </row>
    <row r="99" spans="1:18" ht="15.75" customHeight="1">
      <c r="A99" s="2"/>
      <c r="B99" s="2"/>
      <c r="C99" s="2"/>
      <c r="D99" s="11"/>
      <c r="E99" s="2"/>
      <c r="F99" s="2"/>
      <c r="G99" s="2"/>
      <c r="H99" s="2"/>
      <c r="I99" s="13"/>
      <c r="J99" s="13"/>
      <c r="K99" s="2"/>
      <c r="L99" s="2"/>
      <c r="M99" s="12" t="str">
        <f t="shared" si="0"/>
        <v/>
      </c>
      <c r="N99" s="2"/>
      <c r="O99" s="2"/>
      <c r="P99" s="2"/>
      <c r="Q99" s="2"/>
      <c r="R99" s="2"/>
    </row>
    <row r="100" spans="1:18" ht="15.75" customHeight="1">
      <c r="A100" s="2"/>
      <c r="B100" s="2"/>
      <c r="C100" s="2"/>
      <c r="D100" s="11"/>
      <c r="E100" s="2"/>
      <c r="F100" s="2"/>
      <c r="G100" s="2"/>
      <c r="H100" s="2"/>
      <c r="I100" s="13"/>
      <c r="J100" s="13"/>
      <c r="K100" s="2"/>
      <c r="L100" s="2"/>
      <c r="M100" s="12" t="str">
        <f t="shared" si="0"/>
        <v/>
      </c>
      <c r="N100" s="2"/>
      <c r="O100" s="2"/>
      <c r="P100" s="2"/>
      <c r="Q100" s="2"/>
      <c r="R100" s="2"/>
    </row>
    <row r="101" spans="1:18" ht="15.75" customHeight="1">
      <c r="A101" s="2"/>
      <c r="B101" s="2"/>
      <c r="C101" s="2"/>
      <c r="D101" s="11"/>
      <c r="E101" s="2"/>
      <c r="F101" s="2"/>
      <c r="G101" s="2"/>
      <c r="H101" s="2"/>
      <c r="I101" s="13"/>
      <c r="J101" s="13"/>
      <c r="K101" s="2"/>
      <c r="L101" s="2"/>
      <c r="M101" s="12" t="str">
        <f t="shared" si="0"/>
        <v/>
      </c>
      <c r="N101" s="2"/>
      <c r="O101" s="2"/>
      <c r="P101" s="2"/>
      <c r="Q101" s="2"/>
      <c r="R101" s="2"/>
    </row>
    <row r="102" spans="1:18" ht="15.75" customHeight="1">
      <c r="A102" s="2"/>
      <c r="B102" s="2"/>
      <c r="C102" s="2"/>
      <c r="D102" s="11"/>
      <c r="E102" s="2"/>
      <c r="F102" s="2"/>
      <c r="G102" s="2"/>
      <c r="H102" s="2"/>
      <c r="I102" s="13"/>
      <c r="J102" s="13"/>
      <c r="K102" s="2"/>
      <c r="L102" s="2"/>
      <c r="M102" s="12" t="str">
        <f t="shared" si="0"/>
        <v/>
      </c>
      <c r="N102" s="2"/>
      <c r="O102" s="2"/>
      <c r="P102" s="2"/>
      <c r="Q102" s="2"/>
      <c r="R102" s="2"/>
    </row>
    <row r="103" spans="1:18" ht="15.75" customHeight="1">
      <c r="A103" s="2"/>
      <c r="B103" s="2"/>
      <c r="C103" s="2"/>
      <c r="D103" s="11"/>
      <c r="E103" s="2"/>
      <c r="F103" s="2"/>
      <c r="G103" s="2"/>
      <c r="H103" s="2"/>
      <c r="I103" s="13"/>
      <c r="J103" s="13"/>
      <c r="K103" s="2"/>
      <c r="L103" s="2"/>
      <c r="M103" s="12" t="str">
        <f t="shared" si="0"/>
        <v/>
      </c>
      <c r="N103" s="2"/>
      <c r="O103" s="2"/>
      <c r="P103" s="2"/>
      <c r="Q103" s="2"/>
      <c r="R103" s="2"/>
    </row>
    <row r="104" spans="1:18" ht="15.75" customHeight="1">
      <c r="A104" s="2"/>
      <c r="B104" s="2"/>
      <c r="C104" s="2"/>
      <c r="D104" s="11"/>
      <c r="E104" s="2"/>
      <c r="F104" s="2"/>
      <c r="G104" s="2"/>
      <c r="H104" s="2"/>
      <c r="I104" s="13"/>
      <c r="J104" s="13"/>
      <c r="K104" s="2"/>
      <c r="L104" s="2"/>
      <c r="M104" s="12" t="str">
        <f t="shared" si="0"/>
        <v/>
      </c>
      <c r="N104" s="2"/>
      <c r="O104" s="2"/>
      <c r="P104" s="2"/>
      <c r="Q104" s="2"/>
      <c r="R104" s="2"/>
    </row>
    <row r="105" spans="1:18" ht="15.75" customHeight="1">
      <c r="A105" s="2"/>
      <c r="B105" s="2"/>
      <c r="C105" s="2"/>
      <c r="D105" s="11"/>
      <c r="E105" s="2"/>
      <c r="F105" s="2"/>
      <c r="G105" s="2"/>
      <c r="H105" s="2"/>
      <c r="I105" s="13"/>
      <c r="J105" s="13"/>
      <c r="K105" s="2"/>
      <c r="L105" s="2"/>
      <c r="M105" s="12" t="str">
        <f t="shared" si="0"/>
        <v/>
      </c>
      <c r="N105" s="2"/>
      <c r="O105" s="2"/>
      <c r="P105" s="2"/>
      <c r="Q105" s="2"/>
      <c r="R105" s="2"/>
    </row>
    <row r="106" spans="1:18" ht="15.75" customHeight="1">
      <c r="A106" s="2"/>
      <c r="B106" s="2"/>
      <c r="C106" s="2"/>
      <c r="D106" s="11"/>
      <c r="E106" s="2"/>
      <c r="F106" s="2"/>
      <c r="G106" s="2"/>
      <c r="H106" s="2"/>
      <c r="I106" s="13"/>
      <c r="J106" s="13"/>
      <c r="K106" s="2"/>
      <c r="L106" s="2"/>
      <c r="M106" s="12" t="str">
        <f t="shared" si="0"/>
        <v/>
      </c>
      <c r="N106" s="2"/>
      <c r="O106" s="2"/>
      <c r="P106" s="2"/>
      <c r="Q106" s="2"/>
      <c r="R106" s="2"/>
    </row>
    <row r="107" spans="1:18" ht="15.75" customHeight="1">
      <c r="A107" s="2"/>
      <c r="B107" s="2"/>
      <c r="C107" s="2"/>
      <c r="D107" s="11"/>
      <c r="E107" s="2"/>
      <c r="F107" s="2"/>
      <c r="G107" s="2"/>
      <c r="H107" s="2"/>
      <c r="I107" s="13"/>
      <c r="J107" s="13"/>
      <c r="K107" s="2"/>
      <c r="L107" s="2"/>
      <c r="M107" s="12" t="str">
        <f t="shared" si="0"/>
        <v/>
      </c>
      <c r="N107" s="2"/>
      <c r="O107" s="2"/>
      <c r="P107" s="2"/>
      <c r="Q107" s="2"/>
      <c r="R107" s="2"/>
    </row>
    <row r="108" spans="1:18" ht="15.75" customHeight="1">
      <c r="A108" s="2"/>
      <c r="B108" s="2"/>
      <c r="C108" s="2"/>
      <c r="D108" s="11"/>
      <c r="E108" s="2"/>
      <c r="F108" s="2"/>
      <c r="G108" s="2"/>
      <c r="H108" s="2"/>
      <c r="I108" s="13"/>
      <c r="J108" s="13"/>
      <c r="K108" s="2"/>
      <c r="L108" s="2"/>
      <c r="M108" s="12" t="str">
        <f t="shared" si="0"/>
        <v/>
      </c>
      <c r="N108" s="2"/>
      <c r="O108" s="2"/>
      <c r="P108" s="2"/>
      <c r="Q108" s="2"/>
      <c r="R108" s="2"/>
    </row>
    <row r="109" spans="1:18" ht="15.75" customHeight="1">
      <c r="A109" s="2"/>
      <c r="B109" s="2"/>
      <c r="C109" s="2"/>
      <c r="D109" s="11"/>
      <c r="E109" s="2"/>
      <c r="F109" s="2"/>
      <c r="G109" s="2"/>
      <c r="H109" s="2"/>
      <c r="I109" s="13"/>
      <c r="J109" s="13"/>
      <c r="K109" s="2"/>
      <c r="L109" s="2"/>
      <c r="M109" s="12" t="str">
        <f t="shared" si="0"/>
        <v/>
      </c>
      <c r="N109" s="2"/>
      <c r="O109" s="2"/>
      <c r="P109" s="2"/>
      <c r="Q109" s="2"/>
      <c r="R109" s="2"/>
    </row>
    <row r="110" spans="1:18" ht="15.75" customHeight="1">
      <c r="A110" s="2"/>
      <c r="B110" s="2"/>
      <c r="C110" s="2"/>
      <c r="D110" s="11"/>
      <c r="E110" s="2"/>
      <c r="F110" s="2"/>
      <c r="G110" s="2"/>
      <c r="H110" s="2"/>
      <c r="I110" s="13"/>
      <c r="J110" s="13"/>
      <c r="K110" s="2"/>
      <c r="L110" s="2"/>
      <c r="M110" s="12" t="str">
        <f t="shared" si="0"/>
        <v/>
      </c>
      <c r="N110" s="2"/>
      <c r="O110" s="2"/>
      <c r="P110" s="2"/>
      <c r="Q110" s="2"/>
      <c r="R110" s="2"/>
    </row>
    <row r="111" spans="1:18" ht="15.75" customHeight="1">
      <c r="A111" s="2"/>
      <c r="B111" s="2"/>
      <c r="C111" s="2"/>
      <c r="D111" s="11"/>
      <c r="E111" s="2"/>
      <c r="F111" s="2"/>
      <c r="G111" s="2"/>
      <c r="H111" s="2"/>
      <c r="I111" s="13"/>
      <c r="J111" s="13"/>
      <c r="K111" s="2"/>
      <c r="L111" s="2"/>
      <c r="M111" s="12" t="str">
        <f t="shared" si="0"/>
        <v/>
      </c>
      <c r="N111" s="2"/>
      <c r="O111" s="2"/>
      <c r="P111" s="2"/>
      <c r="Q111" s="2"/>
      <c r="R111" s="2"/>
    </row>
    <row r="112" spans="1:18" ht="15.75" customHeight="1">
      <c r="A112" s="2"/>
      <c r="B112" s="2"/>
      <c r="C112" s="2"/>
      <c r="D112" s="11"/>
      <c r="E112" s="2"/>
      <c r="F112" s="2"/>
      <c r="G112" s="2"/>
      <c r="H112" s="2"/>
      <c r="I112" s="13"/>
      <c r="J112" s="13"/>
      <c r="K112" s="2"/>
      <c r="L112" s="2"/>
      <c r="M112" s="12" t="str">
        <f t="shared" si="0"/>
        <v/>
      </c>
      <c r="N112" s="2"/>
      <c r="O112" s="2"/>
      <c r="P112" s="2"/>
      <c r="Q112" s="2"/>
      <c r="R112" s="2"/>
    </row>
    <row r="113" spans="1:18" ht="15.75" customHeight="1">
      <c r="A113" s="2"/>
      <c r="B113" s="2"/>
      <c r="C113" s="2"/>
      <c r="D113" s="11"/>
      <c r="E113" s="2"/>
      <c r="F113" s="2"/>
      <c r="G113" s="2"/>
      <c r="H113" s="2"/>
      <c r="I113" s="13"/>
      <c r="J113" s="13"/>
      <c r="K113" s="2"/>
      <c r="L113" s="2"/>
      <c r="M113" s="12" t="str">
        <f t="shared" si="0"/>
        <v/>
      </c>
      <c r="N113" s="2"/>
      <c r="O113" s="2"/>
      <c r="P113" s="2"/>
      <c r="Q113" s="2"/>
      <c r="R113" s="2"/>
    </row>
    <row r="114" spans="1:18" ht="15.75" customHeight="1">
      <c r="A114" s="2"/>
      <c r="B114" s="2"/>
      <c r="C114" s="2"/>
      <c r="D114" s="11"/>
      <c r="E114" s="2"/>
      <c r="F114" s="2"/>
      <c r="G114" s="2"/>
      <c r="H114" s="2"/>
      <c r="I114" s="13"/>
      <c r="J114" s="13"/>
      <c r="K114" s="2"/>
      <c r="L114" s="2"/>
      <c r="M114" s="12" t="str">
        <f t="shared" si="0"/>
        <v/>
      </c>
      <c r="N114" s="2"/>
      <c r="O114" s="2"/>
      <c r="P114" s="2"/>
      <c r="Q114" s="2"/>
      <c r="R114" s="2"/>
    </row>
    <row r="115" spans="1:18" ht="15.75" customHeight="1">
      <c r="A115" s="2"/>
      <c r="B115" s="2"/>
      <c r="C115" s="2"/>
      <c r="D115" s="11"/>
      <c r="E115" s="2"/>
      <c r="F115" s="2"/>
      <c r="G115" s="2"/>
      <c r="H115" s="2"/>
      <c r="I115" s="13"/>
      <c r="J115" s="13"/>
      <c r="K115" s="2"/>
      <c r="L115" s="2"/>
      <c r="M115" s="12" t="str">
        <f t="shared" si="0"/>
        <v/>
      </c>
      <c r="N115" s="2"/>
      <c r="O115" s="2"/>
      <c r="P115" s="2"/>
      <c r="Q115" s="2"/>
      <c r="R115" s="2"/>
    </row>
    <row r="116" spans="1:18" ht="15.75" customHeight="1">
      <c r="A116" s="2"/>
      <c r="B116" s="2"/>
      <c r="C116" s="2"/>
      <c r="D116" s="11"/>
      <c r="E116" s="2"/>
      <c r="F116" s="2"/>
      <c r="G116" s="2"/>
      <c r="H116" s="2"/>
      <c r="I116" s="13"/>
      <c r="J116" s="13"/>
      <c r="K116" s="2"/>
      <c r="L116" s="2"/>
      <c r="M116" s="12" t="str">
        <f t="shared" si="0"/>
        <v/>
      </c>
      <c r="N116" s="2"/>
      <c r="O116" s="2"/>
      <c r="P116" s="2"/>
      <c r="Q116" s="2"/>
      <c r="R116" s="2"/>
    </row>
    <row r="117" spans="1:18" ht="15.75" customHeight="1">
      <c r="A117" s="2"/>
      <c r="B117" s="2"/>
      <c r="C117" s="2"/>
      <c r="D117" s="11"/>
      <c r="E117" s="2"/>
      <c r="F117" s="2"/>
      <c r="G117" s="2"/>
      <c r="H117" s="2"/>
      <c r="I117" s="13"/>
      <c r="J117" s="13"/>
      <c r="K117" s="2"/>
      <c r="L117" s="2"/>
      <c r="M117" s="12" t="str">
        <f t="shared" si="0"/>
        <v/>
      </c>
      <c r="N117" s="2"/>
      <c r="O117" s="2"/>
      <c r="P117" s="2"/>
      <c r="Q117" s="2"/>
      <c r="R117" s="2"/>
    </row>
    <row r="118" spans="1:18" ht="15.75" customHeight="1">
      <c r="A118" s="2"/>
      <c r="B118" s="2"/>
      <c r="C118" s="2"/>
      <c r="D118" s="11"/>
      <c r="E118" s="2"/>
      <c r="F118" s="2"/>
      <c r="G118" s="2"/>
      <c r="H118" s="2"/>
      <c r="I118" s="13"/>
      <c r="J118" s="13"/>
      <c r="K118" s="2"/>
      <c r="L118" s="2"/>
      <c r="M118" s="12" t="str">
        <f t="shared" si="0"/>
        <v/>
      </c>
      <c r="N118" s="2"/>
      <c r="O118" s="2"/>
      <c r="P118" s="2"/>
      <c r="Q118" s="2"/>
      <c r="R118" s="2"/>
    </row>
    <row r="119" spans="1:18" ht="15.75" customHeight="1">
      <c r="A119" s="2"/>
      <c r="B119" s="2"/>
      <c r="C119" s="2"/>
      <c r="D119" s="11"/>
      <c r="E119" s="2"/>
      <c r="F119" s="2"/>
      <c r="G119" s="2"/>
      <c r="H119" s="2"/>
      <c r="I119" s="13"/>
      <c r="J119" s="13"/>
      <c r="K119" s="2"/>
      <c r="L119" s="2"/>
      <c r="M119" s="12" t="str">
        <f t="shared" si="0"/>
        <v/>
      </c>
      <c r="N119" s="2"/>
      <c r="O119" s="2"/>
      <c r="P119" s="2"/>
      <c r="Q119" s="2"/>
      <c r="R119" s="2"/>
    </row>
    <row r="120" spans="1:18" ht="15.75" customHeight="1">
      <c r="A120" s="2"/>
      <c r="B120" s="2"/>
      <c r="C120" s="2"/>
      <c r="D120" s="11"/>
      <c r="E120" s="2"/>
      <c r="F120" s="2"/>
      <c r="G120" s="2"/>
      <c r="H120" s="2"/>
      <c r="I120" s="13"/>
      <c r="J120" s="13"/>
      <c r="K120" s="2"/>
      <c r="L120" s="2"/>
      <c r="M120" s="12" t="str">
        <f t="shared" si="0"/>
        <v/>
      </c>
      <c r="N120" s="2"/>
      <c r="O120" s="2"/>
      <c r="P120" s="2"/>
      <c r="Q120" s="2"/>
      <c r="R120" s="2"/>
    </row>
    <row r="121" spans="1:18" ht="15.75" customHeight="1">
      <c r="A121" s="2"/>
      <c r="B121" s="2"/>
      <c r="C121" s="2"/>
      <c r="D121" s="11"/>
      <c r="E121" s="2"/>
      <c r="F121" s="2"/>
      <c r="G121" s="2"/>
      <c r="H121" s="2"/>
      <c r="I121" s="13"/>
      <c r="J121" s="13"/>
      <c r="K121" s="2"/>
      <c r="L121" s="2"/>
      <c r="M121" s="12" t="str">
        <f t="shared" si="0"/>
        <v/>
      </c>
      <c r="N121" s="2"/>
      <c r="O121" s="2"/>
      <c r="P121" s="2"/>
      <c r="Q121" s="2"/>
      <c r="R121" s="2"/>
    </row>
    <row r="122" spans="1:18" ht="15.75" customHeight="1">
      <c r="A122" s="2"/>
      <c r="B122" s="2"/>
      <c r="C122" s="2"/>
      <c r="D122" s="11"/>
      <c r="E122" s="2"/>
      <c r="F122" s="2"/>
      <c r="G122" s="2"/>
      <c r="H122" s="2"/>
      <c r="I122" s="13"/>
      <c r="J122" s="13"/>
      <c r="K122" s="2"/>
      <c r="L122" s="2"/>
      <c r="M122" s="12" t="str">
        <f t="shared" si="0"/>
        <v/>
      </c>
      <c r="N122" s="2"/>
      <c r="O122" s="2"/>
      <c r="P122" s="2"/>
      <c r="Q122" s="2"/>
      <c r="R122" s="2"/>
    </row>
    <row r="123" spans="1:18" ht="15.75" customHeight="1">
      <c r="A123" s="2"/>
      <c r="B123" s="2"/>
      <c r="C123" s="2"/>
      <c r="D123" s="11"/>
      <c r="E123" s="2"/>
      <c r="F123" s="2"/>
      <c r="G123" s="2"/>
      <c r="H123" s="2"/>
      <c r="I123" s="13"/>
      <c r="J123" s="13"/>
      <c r="K123" s="2"/>
      <c r="L123" s="2"/>
      <c r="M123" s="12" t="str">
        <f t="shared" si="0"/>
        <v/>
      </c>
      <c r="N123" s="2"/>
      <c r="O123" s="2"/>
      <c r="P123" s="2"/>
      <c r="Q123" s="2"/>
      <c r="R123" s="2"/>
    </row>
    <row r="124" spans="1:18" ht="15.75" customHeight="1">
      <c r="A124" s="2"/>
      <c r="B124" s="2"/>
      <c r="C124" s="2"/>
      <c r="D124" s="11"/>
      <c r="E124" s="2"/>
      <c r="F124" s="2"/>
      <c r="G124" s="2"/>
      <c r="H124" s="2"/>
      <c r="I124" s="13"/>
      <c r="J124" s="13"/>
      <c r="K124" s="2"/>
      <c r="L124" s="2"/>
      <c r="M124" s="12" t="str">
        <f t="shared" si="0"/>
        <v/>
      </c>
      <c r="N124" s="2"/>
      <c r="O124" s="2"/>
      <c r="P124" s="2"/>
      <c r="Q124" s="2"/>
      <c r="R124" s="2"/>
    </row>
    <row r="125" spans="1:18" ht="15.75" customHeight="1">
      <c r="A125" s="2"/>
      <c r="B125" s="2"/>
      <c r="C125" s="2"/>
      <c r="D125" s="11"/>
      <c r="E125" s="2"/>
      <c r="F125" s="2"/>
      <c r="G125" s="2"/>
      <c r="H125" s="2"/>
      <c r="I125" s="13"/>
      <c r="J125" s="13"/>
      <c r="K125" s="2"/>
      <c r="L125" s="2"/>
      <c r="M125" s="12" t="str">
        <f t="shared" si="0"/>
        <v/>
      </c>
      <c r="N125" s="2"/>
      <c r="O125" s="2"/>
      <c r="P125" s="2"/>
      <c r="Q125" s="2"/>
      <c r="R125" s="2"/>
    </row>
    <row r="126" spans="1:18" ht="15.75" customHeight="1">
      <c r="A126" s="2"/>
      <c r="B126" s="2"/>
      <c r="C126" s="2"/>
      <c r="D126" s="11"/>
      <c r="E126" s="2"/>
      <c r="F126" s="2"/>
      <c r="G126" s="2"/>
      <c r="H126" s="2"/>
      <c r="I126" s="13"/>
      <c r="J126" s="13"/>
      <c r="K126" s="2"/>
      <c r="L126" s="2"/>
      <c r="M126" s="12" t="str">
        <f t="shared" si="0"/>
        <v/>
      </c>
      <c r="N126" s="2"/>
      <c r="O126" s="2"/>
      <c r="P126" s="2"/>
      <c r="Q126" s="2"/>
      <c r="R126" s="2"/>
    </row>
    <row r="127" spans="1:18" ht="15.75" customHeight="1">
      <c r="A127" s="2"/>
      <c r="B127" s="2"/>
      <c r="C127" s="2"/>
      <c r="D127" s="11"/>
      <c r="E127" s="2"/>
      <c r="F127" s="2"/>
      <c r="G127" s="2"/>
      <c r="H127" s="2"/>
      <c r="I127" s="13"/>
      <c r="J127" s="13"/>
      <c r="K127" s="2"/>
      <c r="L127" s="2"/>
      <c r="M127" s="12" t="str">
        <f t="shared" si="0"/>
        <v/>
      </c>
      <c r="N127" s="2"/>
      <c r="O127" s="2"/>
      <c r="P127" s="2"/>
      <c r="Q127" s="2"/>
      <c r="R127" s="2"/>
    </row>
    <row r="128" spans="1:18" ht="15.75" customHeight="1">
      <c r="A128" s="2"/>
      <c r="B128" s="2"/>
      <c r="C128" s="2"/>
      <c r="D128" s="11"/>
      <c r="E128" s="2"/>
      <c r="F128" s="2"/>
      <c r="G128" s="2"/>
      <c r="H128" s="2"/>
      <c r="I128" s="13"/>
      <c r="J128" s="13"/>
      <c r="K128" s="2"/>
      <c r="L128" s="2"/>
      <c r="M128" s="12" t="str">
        <f t="shared" si="0"/>
        <v/>
      </c>
      <c r="N128" s="2"/>
      <c r="O128" s="2"/>
      <c r="P128" s="2"/>
      <c r="Q128" s="2"/>
      <c r="R128" s="2"/>
    </row>
    <row r="129" spans="1:18" ht="15.75" customHeight="1">
      <c r="A129" s="2"/>
      <c r="B129" s="2"/>
      <c r="C129" s="2"/>
      <c r="D129" s="11"/>
      <c r="E129" s="2"/>
      <c r="F129" s="2"/>
      <c r="G129" s="2"/>
      <c r="H129" s="2"/>
      <c r="I129" s="13"/>
      <c r="J129" s="13"/>
      <c r="K129" s="2"/>
      <c r="L129" s="2"/>
      <c r="M129" s="12" t="str">
        <f t="shared" si="0"/>
        <v/>
      </c>
      <c r="N129" s="2"/>
      <c r="O129" s="2"/>
      <c r="P129" s="2"/>
      <c r="Q129" s="2"/>
      <c r="R129" s="2"/>
    </row>
    <row r="130" spans="1:18" ht="15.75" customHeight="1">
      <c r="A130" s="2"/>
      <c r="B130" s="2"/>
      <c r="C130" s="2"/>
      <c r="D130" s="11"/>
      <c r="E130" s="2"/>
      <c r="F130" s="2"/>
      <c r="G130" s="2"/>
      <c r="H130" s="2"/>
      <c r="I130" s="13"/>
      <c r="J130" s="13"/>
      <c r="K130" s="2"/>
      <c r="L130" s="2"/>
      <c r="M130" s="12" t="str">
        <f t="shared" si="0"/>
        <v/>
      </c>
      <c r="N130" s="2"/>
      <c r="O130" s="2"/>
      <c r="P130" s="2"/>
      <c r="Q130" s="2"/>
      <c r="R130" s="2"/>
    </row>
    <row r="131" spans="1:18" ht="15.75" customHeight="1">
      <c r="A131" s="2"/>
      <c r="B131" s="2"/>
      <c r="C131" s="2"/>
      <c r="D131" s="11"/>
      <c r="E131" s="2"/>
      <c r="F131" s="2"/>
      <c r="G131" s="2"/>
      <c r="H131" s="2"/>
      <c r="I131" s="13"/>
      <c r="J131" s="13"/>
      <c r="K131" s="2"/>
      <c r="L131" s="2"/>
      <c r="M131" s="12" t="str">
        <f t="shared" si="0"/>
        <v/>
      </c>
      <c r="N131" s="2"/>
      <c r="O131" s="2"/>
      <c r="P131" s="2"/>
      <c r="Q131" s="2"/>
      <c r="R131" s="2"/>
    </row>
    <row r="132" spans="1:18" ht="15.75" customHeight="1">
      <c r="A132" s="2"/>
      <c r="B132" s="2"/>
      <c r="C132" s="2"/>
      <c r="D132" s="11"/>
      <c r="E132" s="2"/>
      <c r="F132" s="2"/>
      <c r="G132" s="2"/>
      <c r="H132" s="2"/>
      <c r="I132" s="13"/>
      <c r="J132" s="13"/>
      <c r="K132" s="2"/>
      <c r="L132" s="2"/>
      <c r="M132" s="12" t="str">
        <f t="shared" si="0"/>
        <v/>
      </c>
      <c r="N132" s="2"/>
      <c r="O132" s="2"/>
      <c r="P132" s="2"/>
      <c r="Q132" s="2"/>
      <c r="R132" s="2"/>
    </row>
    <row r="133" spans="1:18" ht="15.75" customHeight="1">
      <c r="A133" s="2"/>
      <c r="B133" s="2"/>
      <c r="C133" s="2"/>
      <c r="D133" s="11"/>
      <c r="E133" s="2"/>
      <c r="F133" s="2"/>
      <c r="G133" s="2"/>
      <c r="H133" s="2"/>
      <c r="I133" s="13"/>
      <c r="J133" s="13"/>
      <c r="K133" s="2"/>
      <c r="L133" s="2"/>
      <c r="M133" s="12" t="str">
        <f t="shared" si="0"/>
        <v/>
      </c>
      <c r="N133" s="2"/>
      <c r="O133" s="2"/>
      <c r="P133" s="2"/>
      <c r="Q133" s="2"/>
      <c r="R133" s="2"/>
    </row>
    <row r="134" spans="1:18" ht="15.75" customHeight="1">
      <c r="A134" s="2"/>
      <c r="B134" s="2"/>
      <c r="C134" s="2"/>
      <c r="D134" s="11"/>
      <c r="E134" s="2"/>
      <c r="F134" s="2"/>
      <c r="G134" s="2"/>
      <c r="H134" s="2"/>
      <c r="I134" s="13"/>
      <c r="J134" s="13"/>
      <c r="K134" s="2"/>
      <c r="L134" s="2"/>
      <c r="M134" s="12" t="str">
        <f t="shared" si="0"/>
        <v/>
      </c>
      <c r="N134" s="2"/>
      <c r="O134" s="2"/>
      <c r="P134" s="2"/>
      <c r="Q134" s="2"/>
      <c r="R134" s="2"/>
    </row>
    <row r="135" spans="1:18" ht="15.75" customHeight="1">
      <c r="A135" s="2"/>
      <c r="B135" s="2"/>
      <c r="C135" s="2"/>
      <c r="D135" s="11"/>
      <c r="E135" s="2"/>
      <c r="F135" s="2"/>
      <c r="G135" s="2"/>
      <c r="H135" s="2"/>
      <c r="I135" s="13"/>
      <c r="J135" s="13"/>
      <c r="K135" s="2"/>
      <c r="L135" s="2"/>
      <c r="M135" s="12" t="str">
        <f t="shared" si="0"/>
        <v/>
      </c>
      <c r="N135" s="2"/>
      <c r="O135" s="2"/>
      <c r="P135" s="2"/>
      <c r="Q135" s="2"/>
      <c r="R135" s="2"/>
    </row>
    <row r="136" spans="1:18" ht="15.75" customHeight="1">
      <c r="A136" s="2"/>
      <c r="B136" s="2"/>
      <c r="C136" s="2"/>
      <c r="D136" s="11"/>
      <c r="E136" s="2"/>
      <c r="F136" s="2"/>
      <c r="G136" s="2"/>
      <c r="H136" s="2"/>
      <c r="I136" s="13"/>
      <c r="J136" s="13"/>
      <c r="K136" s="2"/>
      <c r="L136" s="2"/>
      <c r="M136" s="12" t="str">
        <f t="shared" si="0"/>
        <v/>
      </c>
      <c r="N136" s="2"/>
      <c r="O136" s="2"/>
      <c r="P136" s="2"/>
      <c r="Q136" s="2"/>
      <c r="R136" s="2"/>
    </row>
    <row r="137" spans="1:18" ht="15.75" customHeight="1">
      <c r="A137" s="2"/>
      <c r="B137" s="2"/>
      <c r="C137" s="2"/>
      <c r="D137" s="11"/>
      <c r="E137" s="2"/>
      <c r="F137" s="2"/>
      <c r="G137" s="2"/>
      <c r="H137" s="2"/>
      <c r="I137" s="13"/>
      <c r="J137" s="13"/>
      <c r="K137" s="2"/>
      <c r="L137" s="2"/>
      <c r="M137" s="12" t="str">
        <f t="shared" si="0"/>
        <v/>
      </c>
      <c r="N137" s="2"/>
      <c r="O137" s="2"/>
      <c r="P137" s="2"/>
      <c r="Q137" s="2"/>
      <c r="R137" s="2"/>
    </row>
    <row r="138" spans="1:18" ht="15.75" customHeight="1">
      <c r="A138" s="2"/>
      <c r="B138" s="2"/>
      <c r="C138" s="2"/>
      <c r="D138" s="11"/>
      <c r="E138" s="2"/>
      <c r="F138" s="2"/>
      <c r="G138" s="2"/>
      <c r="H138" s="2"/>
      <c r="I138" s="13"/>
      <c r="J138" s="13"/>
      <c r="K138" s="2"/>
      <c r="L138" s="2"/>
      <c r="M138" s="12" t="str">
        <f t="shared" si="0"/>
        <v/>
      </c>
      <c r="N138" s="2"/>
      <c r="O138" s="2"/>
      <c r="P138" s="2"/>
      <c r="Q138" s="2"/>
      <c r="R138" s="2"/>
    </row>
    <row r="139" spans="1:18" ht="15.75" customHeight="1">
      <c r="A139" s="2"/>
      <c r="B139" s="2"/>
      <c r="C139" s="2"/>
      <c r="D139" s="11"/>
      <c r="E139" s="2"/>
      <c r="F139" s="2"/>
      <c r="G139" s="2"/>
      <c r="H139" s="2"/>
      <c r="I139" s="13"/>
      <c r="J139" s="13"/>
      <c r="K139" s="2"/>
      <c r="L139" s="2"/>
      <c r="M139" s="12" t="str">
        <f t="shared" si="0"/>
        <v/>
      </c>
      <c r="N139" s="2"/>
      <c r="O139" s="2"/>
      <c r="P139" s="2"/>
      <c r="Q139" s="2"/>
      <c r="R139" s="2"/>
    </row>
    <row r="140" spans="1:18" ht="15.75" customHeight="1">
      <c r="A140" s="2"/>
      <c r="B140" s="2"/>
      <c r="C140" s="2"/>
      <c r="D140" s="11"/>
      <c r="E140" s="2"/>
      <c r="F140" s="2"/>
      <c r="G140" s="2"/>
      <c r="H140" s="2"/>
      <c r="I140" s="13"/>
      <c r="J140" s="13"/>
      <c r="K140" s="2"/>
      <c r="L140" s="2"/>
      <c r="M140" s="12" t="str">
        <f t="shared" si="0"/>
        <v/>
      </c>
      <c r="N140" s="2"/>
      <c r="O140" s="2"/>
      <c r="P140" s="2"/>
      <c r="Q140" s="2"/>
      <c r="R140" s="2"/>
    </row>
    <row r="141" spans="1:18" ht="15.75" customHeight="1">
      <c r="A141" s="2"/>
      <c r="B141" s="2"/>
      <c r="C141" s="2"/>
      <c r="D141" s="11"/>
      <c r="E141" s="2"/>
      <c r="F141" s="2"/>
      <c r="G141" s="2"/>
      <c r="H141" s="2"/>
      <c r="I141" s="13"/>
      <c r="J141" s="13"/>
      <c r="K141" s="2"/>
      <c r="L141" s="2"/>
      <c r="M141" s="12" t="str">
        <f t="shared" si="0"/>
        <v/>
      </c>
      <c r="N141" s="2"/>
      <c r="O141" s="2"/>
      <c r="P141" s="2"/>
      <c r="Q141" s="2"/>
      <c r="R141" s="2"/>
    </row>
    <row r="142" spans="1:18" ht="15.75" customHeight="1">
      <c r="A142" s="2"/>
      <c r="B142" s="2"/>
      <c r="C142" s="2"/>
      <c r="D142" s="11"/>
      <c r="E142" s="2"/>
      <c r="F142" s="2"/>
      <c r="G142" s="2"/>
      <c r="H142" s="2"/>
      <c r="I142" s="13"/>
      <c r="J142" s="13"/>
      <c r="K142" s="2"/>
      <c r="L142" s="2"/>
      <c r="M142" s="12" t="str">
        <f t="shared" si="0"/>
        <v/>
      </c>
      <c r="N142" s="2"/>
      <c r="O142" s="2"/>
      <c r="P142" s="2"/>
      <c r="Q142" s="2"/>
      <c r="R142" s="2"/>
    </row>
    <row r="143" spans="1:18" ht="15.75" customHeight="1">
      <c r="A143" s="2"/>
      <c r="B143" s="2"/>
      <c r="C143" s="2"/>
      <c r="D143" s="11"/>
      <c r="E143" s="2"/>
      <c r="F143" s="2"/>
      <c r="G143" s="2"/>
      <c r="H143" s="2"/>
      <c r="I143" s="13"/>
      <c r="J143" s="13"/>
      <c r="K143" s="2"/>
      <c r="L143" s="2"/>
      <c r="M143" s="12" t="str">
        <f t="shared" si="0"/>
        <v/>
      </c>
      <c r="N143" s="2"/>
      <c r="O143" s="2"/>
      <c r="P143" s="2"/>
      <c r="Q143" s="2"/>
      <c r="R143" s="2"/>
    </row>
    <row r="144" spans="1:18" ht="15.75" customHeight="1">
      <c r="A144" s="2"/>
      <c r="B144" s="2"/>
      <c r="C144" s="2"/>
      <c r="D144" s="11"/>
      <c r="E144" s="2"/>
      <c r="F144" s="2"/>
      <c r="G144" s="2"/>
      <c r="H144" s="2"/>
      <c r="I144" s="13"/>
      <c r="J144" s="13"/>
      <c r="K144" s="2"/>
      <c r="L144" s="2"/>
      <c r="M144" s="12" t="str">
        <f t="shared" si="0"/>
        <v/>
      </c>
      <c r="N144" s="2"/>
      <c r="O144" s="2"/>
      <c r="P144" s="2"/>
      <c r="Q144" s="2"/>
      <c r="R144" s="2"/>
    </row>
    <row r="145" spans="1:18" ht="15.75" customHeight="1">
      <c r="A145" s="2"/>
      <c r="B145" s="2"/>
      <c r="C145" s="2"/>
      <c r="D145" s="11"/>
      <c r="E145" s="2"/>
      <c r="F145" s="2"/>
      <c r="G145" s="2"/>
      <c r="H145" s="2"/>
      <c r="I145" s="13"/>
      <c r="J145" s="13"/>
      <c r="K145" s="2"/>
      <c r="L145" s="2"/>
      <c r="M145" s="12" t="str">
        <f t="shared" si="0"/>
        <v/>
      </c>
      <c r="N145" s="2"/>
      <c r="O145" s="2"/>
      <c r="P145" s="2"/>
      <c r="Q145" s="2"/>
      <c r="R145" s="2"/>
    </row>
    <row r="146" spans="1:18" ht="15.75" customHeight="1">
      <c r="A146" s="2"/>
      <c r="B146" s="2"/>
      <c r="C146" s="2"/>
      <c r="D146" s="11"/>
      <c r="E146" s="2"/>
      <c r="F146" s="2"/>
      <c r="G146" s="2"/>
      <c r="H146" s="2"/>
      <c r="I146" s="13"/>
      <c r="J146" s="13"/>
      <c r="K146" s="2"/>
      <c r="L146" s="2"/>
      <c r="M146" s="12" t="str">
        <f t="shared" si="0"/>
        <v/>
      </c>
      <c r="N146" s="2"/>
      <c r="O146" s="2"/>
      <c r="P146" s="2"/>
      <c r="Q146" s="2"/>
      <c r="R146" s="2"/>
    </row>
    <row r="147" spans="1:18" ht="15.75" customHeight="1">
      <c r="A147" s="2"/>
      <c r="B147" s="2"/>
      <c r="C147" s="2"/>
      <c r="D147" s="11"/>
      <c r="E147" s="2"/>
      <c r="F147" s="2"/>
      <c r="G147" s="2"/>
      <c r="H147" s="2"/>
      <c r="I147" s="13"/>
      <c r="J147" s="13"/>
      <c r="K147" s="2"/>
      <c r="L147" s="2"/>
      <c r="M147" s="12" t="str">
        <f t="shared" si="0"/>
        <v/>
      </c>
      <c r="N147" s="2"/>
      <c r="O147" s="2"/>
      <c r="P147" s="2"/>
      <c r="Q147" s="2"/>
      <c r="R147" s="2"/>
    </row>
    <row r="148" spans="1:18" ht="15.75" customHeight="1">
      <c r="A148" s="2"/>
      <c r="B148" s="2"/>
      <c r="C148" s="2"/>
      <c r="D148" s="11"/>
      <c r="E148" s="2"/>
      <c r="F148" s="2"/>
      <c r="G148" s="2"/>
      <c r="H148" s="2"/>
      <c r="I148" s="13"/>
      <c r="J148" s="13"/>
      <c r="K148" s="2"/>
      <c r="L148" s="2"/>
      <c r="M148" s="12" t="str">
        <f t="shared" si="0"/>
        <v/>
      </c>
      <c r="N148" s="2"/>
      <c r="O148" s="2"/>
      <c r="P148" s="2"/>
      <c r="Q148" s="2"/>
      <c r="R148" s="2"/>
    </row>
    <row r="149" spans="1:18" ht="15.75" customHeight="1">
      <c r="A149" s="2"/>
      <c r="B149" s="2"/>
      <c r="C149" s="2"/>
      <c r="D149" s="11"/>
      <c r="E149" s="2"/>
      <c r="F149" s="2"/>
      <c r="G149" s="2"/>
      <c r="H149" s="2"/>
      <c r="I149" s="13"/>
      <c r="J149" s="13"/>
      <c r="K149" s="2"/>
      <c r="L149" s="2"/>
      <c r="M149" s="12" t="str">
        <f t="shared" si="0"/>
        <v/>
      </c>
      <c r="N149" s="2"/>
      <c r="O149" s="2"/>
      <c r="P149" s="2"/>
      <c r="Q149" s="2"/>
      <c r="R149" s="2"/>
    </row>
    <row r="150" spans="1:18" ht="15.75" customHeight="1">
      <c r="A150" s="2"/>
      <c r="B150" s="2"/>
      <c r="C150" s="2"/>
      <c r="D150" s="11"/>
      <c r="E150" s="2"/>
      <c r="F150" s="2"/>
      <c r="G150" s="2"/>
      <c r="H150" s="2"/>
      <c r="I150" s="13"/>
      <c r="J150" s="13"/>
      <c r="K150" s="2"/>
      <c r="L150" s="2"/>
      <c r="M150" s="12" t="str">
        <f t="shared" si="0"/>
        <v/>
      </c>
      <c r="N150" s="2"/>
      <c r="O150" s="2"/>
      <c r="P150" s="2"/>
      <c r="Q150" s="2"/>
      <c r="R150" s="2"/>
    </row>
    <row r="151" spans="1:18" ht="15.75" customHeight="1">
      <c r="A151" s="2"/>
      <c r="B151" s="2"/>
      <c r="C151" s="2"/>
      <c r="D151" s="11"/>
      <c r="E151" s="2"/>
      <c r="F151" s="2"/>
      <c r="G151" s="2"/>
      <c r="H151" s="2"/>
      <c r="I151" s="13"/>
      <c r="J151" s="13"/>
      <c r="K151" s="2"/>
      <c r="L151" s="2"/>
      <c r="M151" s="12" t="str">
        <f t="shared" si="0"/>
        <v/>
      </c>
      <c r="N151" s="2"/>
      <c r="O151" s="2"/>
      <c r="P151" s="2"/>
      <c r="Q151" s="2"/>
      <c r="R151" s="2"/>
    </row>
    <row r="152" spans="1:18" ht="15.75" customHeight="1">
      <c r="A152" s="2"/>
      <c r="B152" s="2"/>
      <c r="C152" s="2"/>
      <c r="D152" s="11"/>
      <c r="E152" s="2"/>
      <c r="F152" s="2"/>
      <c r="G152" s="2"/>
      <c r="H152" s="2"/>
      <c r="I152" s="13"/>
      <c r="J152" s="13"/>
      <c r="K152" s="2"/>
      <c r="L152" s="2"/>
      <c r="M152" s="12" t="str">
        <f t="shared" si="0"/>
        <v/>
      </c>
      <c r="N152" s="2"/>
      <c r="O152" s="2"/>
      <c r="P152" s="2"/>
      <c r="Q152" s="2"/>
      <c r="R152" s="2"/>
    </row>
    <row r="153" spans="1:18" ht="15.75" customHeight="1">
      <c r="A153" s="2"/>
      <c r="B153" s="2"/>
      <c r="C153" s="2"/>
      <c r="D153" s="11"/>
      <c r="E153" s="2"/>
      <c r="F153" s="2"/>
      <c r="G153" s="2"/>
      <c r="H153" s="2"/>
      <c r="I153" s="13"/>
      <c r="J153" s="13"/>
      <c r="K153" s="2"/>
      <c r="L153" s="2"/>
      <c r="M153" s="12" t="str">
        <f t="shared" si="0"/>
        <v/>
      </c>
      <c r="N153" s="2"/>
      <c r="O153" s="2"/>
      <c r="P153" s="2"/>
      <c r="Q153" s="2"/>
      <c r="R153" s="2"/>
    </row>
    <row r="154" spans="1:18" ht="15.75" customHeight="1">
      <c r="A154" s="2"/>
      <c r="B154" s="2"/>
      <c r="C154" s="2"/>
      <c r="D154" s="11"/>
      <c r="E154" s="2"/>
      <c r="F154" s="2"/>
      <c r="G154" s="2"/>
      <c r="H154" s="2"/>
      <c r="I154" s="13"/>
      <c r="J154" s="13"/>
      <c r="K154" s="2"/>
      <c r="L154" s="2"/>
      <c r="M154" s="12" t="str">
        <f t="shared" si="0"/>
        <v/>
      </c>
      <c r="N154" s="2"/>
      <c r="O154" s="2"/>
      <c r="P154" s="2"/>
      <c r="Q154" s="2"/>
      <c r="R154" s="2"/>
    </row>
    <row r="155" spans="1:18" ht="15.75" customHeight="1">
      <c r="A155" s="2"/>
      <c r="B155" s="2"/>
      <c r="C155" s="2"/>
      <c r="D155" s="11"/>
      <c r="E155" s="2"/>
      <c r="F155" s="2"/>
      <c r="G155" s="2"/>
      <c r="H155" s="2"/>
      <c r="I155" s="13"/>
      <c r="J155" s="13"/>
      <c r="K155" s="2"/>
      <c r="L155" s="2"/>
      <c r="M155" s="12" t="str">
        <f t="shared" si="0"/>
        <v/>
      </c>
      <c r="N155" s="2"/>
      <c r="O155" s="2"/>
      <c r="P155" s="2"/>
      <c r="Q155" s="2"/>
      <c r="R155" s="2"/>
    </row>
    <row r="156" spans="1:18" ht="15.75" customHeight="1">
      <c r="A156" s="2"/>
      <c r="B156" s="2"/>
      <c r="C156" s="2"/>
      <c r="D156" s="11"/>
      <c r="E156" s="2"/>
      <c r="F156" s="2"/>
      <c r="G156" s="2"/>
      <c r="H156" s="2"/>
      <c r="I156" s="13"/>
      <c r="J156" s="13"/>
      <c r="K156" s="2"/>
      <c r="L156" s="2"/>
      <c r="M156" s="12" t="str">
        <f t="shared" si="0"/>
        <v/>
      </c>
      <c r="N156" s="2"/>
      <c r="O156" s="2"/>
      <c r="P156" s="2"/>
      <c r="Q156" s="2"/>
      <c r="R156" s="2"/>
    </row>
    <row r="157" spans="1:18" ht="15.75" customHeight="1">
      <c r="A157" s="2"/>
      <c r="B157" s="2"/>
      <c r="C157" s="2"/>
      <c r="D157" s="11"/>
      <c r="E157" s="2"/>
      <c r="F157" s="2"/>
      <c r="G157" s="2"/>
      <c r="H157" s="2"/>
      <c r="I157" s="13"/>
      <c r="J157" s="13"/>
      <c r="K157" s="2"/>
      <c r="L157" s="2"/>
      <c r="M157" s="12" t="str">
        <f t="shared" si="0"/>
        <v/>
      </c>
      <c r="N157" s="2"/>
      <c r="O157" s="2"/>
      <c r="P157" s="2"/>
      <c r="Q157" s="2"/>
      <c r="R157" s="2"/>
    </row>
    <row r="158" spans="1:18" ht="15.75" customHeight="1">
      <c r="A158" s="2"/>
      <c r="B158" s="2"/>
      <c r="C158" s="2"/>
      <c r="D158" s="11"/>
      <c r="E158" s="2"/>
      <c r="F158" s="2"/>
      <c r="G158" s="2"/>
      <c r="H158" s="2"/>
      <c r="I158" s="13"/>
      <c r="J158" s="13"/>
      <c r="K158" s="2"/>
      <c r="L158" s="2"/>
      <c r="M158" s="12" t="str">
        <f t="shared" si="0"/>
        <v/>
      </c>
      <c r="N158" s="2"/>
      <c r="O158" s="2"/>
      <c r="P158" s="2"/>
      <c r="Q158" s="2"/>
      <c r="R158" s="2"/>
    </row>
    <row r="159" spans="1:18" ht="15.75" customHeight="1">
      <c r="A159" s="2"/>
      <c r="B159" s="2"/>
      <c r="C159" s="2"/>
      <c r="D159" s="11"/>
      <c r="E159" s="2"/>
      <c r="F159" s="2"/>
      <c r="G159" s="2"/>
      <c r="H159" s="2"/>
      <c r="I159" s="13"/>
      <c r="J159" s="13"/>
      <c r="K159" s="2"/>
      <c r="L159" s="2"/>
      <c r="M159" s="12" t="str">
        <f t="shared" si="0"/>
        <v/>
      </c>
      <c r="N159" s="2"/>
      <c r="O159" s="2"/>
      <c r="P159" s="2"/>
      <c r="Q159" s="2"/>
      <c r="R159" s="2"/>
    </row>
    <row r="160" spans="1:18" ht="15.75" customHeight="1">
      <c r="A160" s="2"/>
      <c r="B160" s="2"/>
      <c r="C160" s="2"/>
      <c r="D160" s="11"/>
      <c r="E160" s="2"/>
      <c r="F160" s="2"/>
      <c r="G160" s="2"/>
      <c r="H160" s="2"/>
      <c r="I160" s="13"/>
      <c r="J160" s="13"/>
      <c r="K160" s="2"/>
      <c r="L160" s="2"/>
      <c r="M160" s="12" t="str">
        <f t="shared" si="0"/>
        <v/>
      </c>
      <c r="N160" s="2"/>
      <c r="O160" s="2"/>
      <c r="P160" s="2"/>
      <c r="Q160" s="2"/>
      <c r="R160" s="2"/>
    </row>
    <row r="161" spans="1:18" ht="15.75" customHeight="1">
      <c r="A161" s="2"/>
      <c r="B161" s="2"/>
      <c r="C161" s="2"/>
      <c r="D161" s="11"/>
      <c r="E161" s="2"/>
      <c r="F161" s="2"/>
      <c r="G161" s="2"/>
      <c r="H161" s="2"/>
      <c r="I161" s="13"/>
      <c r="J161" s="13"/>
      <c r="K161" s="2"/>
      <c r="L161" s="2"/>
      <c r="M161" s="12" t="str">
        <f t="shared" si="0"/>
        <v/>
      </c>
      <c r="N161" s="2"/>
      <c r="O161" s="2"/>
      <c r="P161" s="2"/>
      <c r="Q161" s="2"/>
      <c r="R161" s="2"/>
    </row>
    <row r="162" spans="1:18" ht="15.75" customHeight="1">
      <c r="A162" s="2"/>
      <c r="B162" s="2"/>
      <c r="C162" s="2"/>
      <c r="D162" s="11"/>
      <c r="E162" s="2"/>
      <c r="F162" s="2"/>
      <c r="G162" s="2"/>
      <c r="H162" s="2"/>
      <c r="I162" s="13"/>
      <c r="J162" s="13"/>
      <c r="K162" s="2"/>
      <c r="L162" s="2"/>
      <c r="M162" s="12" t="str">
        <f t="shared" si="0"/>
        <v/>
      </c>
      <c r="N162" s="2"/>
      <c r="O162" s="2"/>
      <c r="P162" s="2"/>
      <c r="Q162" s="2"/>
      <c r="R162" s="2"/>
    </row>
    <row r="163" spans="1:18" ht="15.75" customHeight="1">
      <c r="A163" s="2"/>
      <c r="B163" s="2"/>
      <c r="C163" s="2"/>
      <c r="D163" s="11"/>
      <c r="E163" s="2"/>
      <c r="F163" s="2"/>
      <c r="G163" s="2"/>
      <c r="H163" s="2"/>
      <c r="I163" s="13"/>
      <c r="J163" s="13"/>
      <c r="K163" s="2"/>
      <c r="L163" s="2"/>
      <c r="M163" s="12" t="str">
        <f t="shared" si="0"/>
        <v/>
      </c>
      <c r="N163" s="2"/>
      <c r="O163" s="2"/>
      <c r="P163" s="2"/>
      <c r="Q163" s="2"/>
      <c r="R163" s="2"/>
    </row>
    <row r="164" spans="1:18" ht="15.75" customHeight="1">
      <c r="A164" s="2"/>
      <c r="B164" s="2"/>
      <c r="C164" s="2"/>
      <c r="D164" s="11"/>
      <c r="E164" s="2"/>
      <c r="F164" s="2"/>
      <c r="G164" s="2"/>
      <c r="H164" s="2"/>
      <c r="I164" s="13"/>
      <c r="J164" s="13"/>
      <c r="K164" s="2"/>
      <c r="L164" s="2"/>
      <c r="M164" s="12" t="str">
        <f t="shared" si="0"/>
        <v/>
      </c>
      <c r="N164" s="2"/>
      <c r="O164" s="2"/>
      <c r="P164" s="2"/>
      <c r="Q164" s="2"/>
      <c r="R164" s="2"/>
    </row>
    <row r="165" spans="1:18" ht="15.75" customHeight="1">
      <c r="A165" s="2"/>
      <c r="B165" s="2"/>
      <c r="C165" s="2"/>
      <c r="D165" s="11"/>
      <c r="E165" s="2"/>
      <c r="F165" s="2"/>
      <c r="G165" s="2"/>
      <c r="H165" s="2"/>
      <c r="I165" s="13"/>
      <c r="J165" s="13"/>
      <c r="K165" s="2"/>
      <c r="L165" s="2"/>
      <c r="M165" s="12" t="str">
        <f t="shared" si="0"/>
        <v/>
      </c>
      <c r="N165" s="2"/>
      <c r="O165" s="2"/>
      <c r="P165" s="2"/>
      <c r="Q165" s="2"/>
      <c r="R165" s="2"/>
    </row>
    <row r="166" spans="1:18" ht="15.75" customHeight="1">
      <c r="A166" s="2"/>
      <c r="B166" s="2"/>
      <c r="C166" s="2"/>
      <c r="D166" s="11"/>
      <c r="E166" s="2"/>
      <c r="F166" s="2"/>
      <c r="G166" s="2"/>
      <c r="H166" s="2"/>
      <c r="I166" s="13"/>
      <c r="J166" s="13"/>
      <c r="K166" s="2"/>
      <c r="L166" s="2"/>
      <c r="M166" s="12" t="str">
        <f t="shared" si="0"/>
        <v/>
      </c>
      <c r="N166" s="2"/>
      <c r="O166" s="2"/>
      <c r="P166" s="2"/>
      <c r="Q166" s="2"/>
      <c r="R166" s="2"/>
    </row>
    <row r="167" spans="1:18" ht="15.75" customHeight="1">
      <c r="A167" s="2"/>
      <c r="B167" s="2"/>
      <c r="C167" s="2"/>
      <c r="D167" s="11"/>
      <c r="E167" s="2"/>
      <c r="F167" s="2"/>
      <c r="G167" s="2"/>
      <c r="H167" s="2"/>
      <c r="I167" s="13"/>
      <c r="J167" s="13"/>
      <c r="K167" s="2"/>
      <c r="L167" s="2"/>
      <c r="M167" s="12" t="str">
        <f t="shared" si="0"/>
        <v/>
      </c>
      <c r="N167" s="2"/>
      <c r="O167" s="2"/>
      <c r="P167" s="2"/>
      <c r="Q167" s="2"/>
      <c r="R167" s="2"/>
    </row>
    <row r="168" spans="1:18" ht="15.75" customHeight="1">
      <c r="A168" s="2"/>
      <c r="B168" s="2"/>
      <c r="C168" s="2"/>
      <c r="D168" s="11"/>
      <c r="E168" s="2"/>
      <c r="F168" s="2"/>
      <c r="G168" s="2"/>
      <c r="H168" s="2"/>
      <c r="I168" s="13"/>
      <c r="J168" s="13"/>
      <c r="K168" s="2"/>
      <c r="L168" s="2"/>
      <c r="M168" s="12" t="str">
        <f t="shared" si="0"/>
        <v/>
      </c>
      <c r="N168" s="2"/>
      <c r="O168" s="2"/>
      <c r="P168" s="2"/>
      <c r="Q168" s="2"/>
      <c r="R168" s="2"/>
    </row>
    <row r="169" spans="1:18" ht="15.75" customHeight="1">
      <c r="A169" s="2"/>
      <c r="B169" s="2"/>
      <c r="C169" s="2"/>
      <c r="D169" s="11"/>
      <c r="E169" s="2"/>
      <c r="F169" s="2"/>
      <c r="G169" s="2"/>
      <c r="H169" s="2"/>
      <c r="I169" s="13"/>
      <c r="J169" s="13"/>
      <c r="K169" s="2"/>
      <c r="L169" s="2"/>
      <c r="M169" s="12" t="str">
        <f t="shared" si="0"/>
        <v/>
      </c>
      <c r="N169" s="2"/>
      <c r="O169" s="2"/>
      <c r="P169" s="2"/>
      <c r="Q169" s="2"/>
      <c r="R169" s="2"/>
    </row>
    <row r="170" spans="1:18" ht="15.75" customHeight="1">
      <c r="A170" s="2"/>
      <c r="B170" s="2"/>
      <c r="C170" s="2"/>
      <c r="D170" s="11"/>
      <c r="E170" s="2"/>
      <c r="F170" s="2"/>
      <c r="G170" s="2"/>
      <c r="H170" s="2"/>
      <c r="I170" s="13"/>
      <c r="J170" s="13"/>
      <c r="K170" s="2"/>
      <c r="L170" s="2"/>
      <c r="M170" s="12" t="str">
        <f t="shared" si="0"/>
        <v/>
      </c>
      <c r="N170" s="2"/>
      <c r="O170" s="2"/>
      <c r="P170" s="2"/>
      <c r="Q170" s="2"/>
      <c r="R170" s="2"/>
    </row>
    <row r="171" spans="1:18" ht="15.75" customHeight="1">
      <c r="A171" s="2"/>
      <c r="B171" s="2"/>
      <c r="C171" s="2"/>
      <c r="D171" s="11"/>
      <c r="E171" s="2"/>
      <c r="F171" s="2"/>
      <c r="G171" s="2"/>
      <c r="H171" s="2"/>
      <c r="I171" s="13"/>
      <c r="J171" s="13"/>
      <c r="K171" s="2"/>
      <c r="L171" s="2"/>
      <c r="M171" s="12" t="str">
        <f t="shared" si="0"/>
        <v/>
      </c>
      <c r="N171" s="2"/>
      <c r="O171" s="2"/>
      <c r="P171" s="2"/>
      <c r="Q171" s="2"/>
      <c r="R171" s="2"/>
    </row>
    <row r="172" spans="1:18" ht="15.75" customHeight="1">
      <c r="A172" s="2"/>
      <c r="B172" s="2"/>
      <c r="C172" s="2"/>
      <c r="D172" s="11"/>
      <c r="E172" s="2"/>
      <c r="F172" s="2"/>
      <c r="G172" s="2"/>
      <c r="H172" s="2"/>
      <c r="I172" s="13"/>
      <c r="J172" s="13"/>
      <c r="K172" s="2"/>
      <c r="L172" s="2"/>
      <c r="M172" s="12" t="str">
        <f t="shared" si="0"/>
        <v/>
      </c>
      <c r="N172" s="2"/>
      <c r="O172" s="2"/>
      <c r="P172" s="2"/>
      <c r="Q172" s="2"/>
      <c r="R172" s="2"/>
    </row>
    <row r="173" spans="1:18" ht="15.75" customHeight="1">
      <c r="A173" s="2"/>
      <c r="B173" s="2"/>
      <c r="C173" s="2"/>
      <c r="D173" s="11"/>
      <c r="E173" s="2"/>
      <c r="F173" s="2"/>
      <c r="G173" s="2"/>
      <c r="H173" s="2"/>
      <c r="I173" s="13"/>
      <c r="J173" s="13"/>
      <c r="K173" s="2"/>
      <c r="L173" s="2"/>
      <c r="M173" s="12" t="str">
        <f t="shared" si="0"/>
        <v/>
      </c>
      <c r="N173" s="2"/>
      <c r="O173" s="2"/>
      <c r="P173" s="2"/>
      <c r="Q173" s="2"/>
      <c r="R173" s="2"/>
    </row>
    <row r="174" spans="1:18" ht="15.75" customHeight="1">
      <c r="A174" s="2"/>
      <c r="B174" s="2"/>
      <c r="C174" s="2"/>
      <c r="D174" s="11"/>
      <c r="E174" s="2"/>
      <c r="F174" s="2"/>
      <c r="G174" s="2"/>
      <c r="H174" s="2"/>
      <c r="I174" s="13"/>
      <c r="J174" s="13"/>
      <c r="K174" s="2"/>
      <c r="L174" s="2"/>
      <c r="M174" s="12" t="str">
        <f t="shared" si="0"/>
        <v/>
      </c>
      <c r="N174" s="2"/>
      <c r="O174" s="2"/>
      <c r="P174" s="2"/>
      <c r="Q174" s="2"/>
      <c r="R174" s="2"/>
    </row>
    <row r="175" spans="1:18" ht="15.75" customHeight="1">
      <c r="A175" s="2"/>
      <c r="B175" s="2"/>
      <c r="C175" s="2"/>
      <c r="D175" s="11"/>
      <c r="E175" s="2"/>
      <c r="F175" s="2"/>
      <c r="G175" s="2"/>
      <c r="H175" s="2"/>
      <c r="I175" s="13"/>
      <c r="J175" s="13"/>
      <c r="K175" s="2"/>
      <c r="L175" s="2"/>
      <c r="M175" s="12" t="str">
        <f t="shared" si="0"/>
        <v/>
      </c>
      <c r="N175" s="2"/>
      <c r="O175" s="2"/>
      <c r="P175" s="2"/>
      <c r="Q175" s="2"/>
      <c r="R175" s="2"/>
    </row>
    <row r="176" spans="1:18" ht="15.75" customHeight="1">
      <c r="A176" s="2"/>
      <c r="B176" s="2"/>
      <c r="C176" s="2"/>
      <c r="D176" s="11"/>
      <c r="E176" s="2"/>
      <c r="F176" s="2"/>
      <c r="G176" s="2"/>
      <c r="H176" s="2"/>
      <c r="I176" s="13"/>
      <c r="J176" s="13"/>
      <c r="K176" s="2"/>
      <c r="L176" s="2"/>
      <c r="M176" s="12" t="str">
        <f t="shared" si="0"/>
        <v/>
      </c>
      <c r="N176" s="2"/>
      <c r="O176" s="2"/>
      <c r="P176" s="2"/>
      <c r="Q176" s="2"/>
      <c r="R176" s="2"/>
    </row>
    <row r="177" spans="1:18" ht="15.75" customHeight="1">
      <c r="A177" s="2"/>
      <c r="B177" s="2"/>
      <c r="C177" s="2"/>
      <c r="D177" s="11"/>
      <c r="E177" s="2"/>
      <c r="F177" s="2"/>
      <c r="G177" s="2"/>
      <c r="H177" s="2"/>
      <c r="I177" s="13"/>
      <c r="J177" s="13"/>
      <c r="K177" s="2"/>
      <c r="L177" s="2"/>
      <c r="M177" s="12" t="str">
        <f t="shared" si="0"/>
        <v/>
      </c>
      <c r="N177" s="2"/>
      <c r="O177" s="2"/>
      <c r="P177" s="2"/>
      <c r="Q177" s="2"/>
      <c r="R177" s="2"/>
    </row>
    <row r="178" spans="1:18" ht="15.75" customHeight="1">
      <c r="A178" s="2"/>
      <c r="B178" s="2"/>
      <c r="C178" s="2"/>
      <c r="D178" s="11"/>
      <c r="E178" s="2"/>
      <c r="F178" s="2"/>
      <c r="G178" s="2"/>
      <c r="H178" s="2"/>
      <c r="I178" s="13"/>
      <c r="J178" s="13"/>
      <c r="K178" s="2"/>
      <c r="L178" s="2"/>
      <c r="M178" s="12" t="str">
        <f t="shared" si="0"/>
        <v/>
      </c>
      <c r="N178" s="2"/>
      <c r="O178" s="2"/>
      <c r="P178" s="2"/>
      <c r="Q178" s="2"/>
      <c r="R178" s="2"/>
    </row>
    <row r="179" spans="1:18" ht="15.75" customHeight="1">
      <c r="A179" s="2"/>
      <c r="B179" s="2"/>
      <c r="C179" s="2"/>
      <c r="D179" s="11"/>
      <c r="E179" s="2"/>
      <c r="F179" s="2"/>
      <c r="G179" s="2"/>
      <c r="H179" s="2"/>
      <c r="I179" s="13"/>
      <c r="J179" s="13"/>
      <c r="K179" s="2"/>
      <c r="L179" s="2"/>
      <c r="M179" s="12" t="str">
        <f t="shared" si="0"/>
        <v/>
      </c>
      <c r="N179" s="2"/>
      <c r="O179" s="2"/>
      <c r="P179" s="2"/>
      <c r="Q179" s="2"/>
      <c r="R179" s="2"/>
    </row>
    <row r="180" spans="1:18" ht="15.75" customHeight="1">
      <c r="A180" s="2"/>
      <c r="B180" s="2"/>
      <c r="C180" s="2"/>
      <c r="D180" s="11"/>
      <c r="E180" s="2"/>
      <c r="F180" s="2"/>
      <c r="G180" s="2"/>
      <c r="H180" s="2"/>
      <c r="I180" s="13"/>
      <c r="J180" s="13"/>
      <c r="K180" s="2"/>
      <c r="L180" s="2"/>
      <c r="M180" s="12" t="str">
        <f t="shared" si="0"/>
        <v/>
      </c>
      <c r="N180" s="2"/>
      <c r="O180" s="2"/>
      <c r="P180" s="2"/>
      <c r="Q180" s="2"/>
      <c r="R180" s="2"/>
    </row>
    <row r="181" spans="1:18" ht="15.75" customHeight="1">
      <c r="A181" s="2"/>
      <c r="B181" s="2"/>
      <c r="C181" s="2"/>
      <c r="D181" s="11"/>
      <c r="E181" s="2"/>
      <c r="F181" s="2"/>
      <c r="G181" s="2"/>
      <c r="H181" s="2"/>
      <c r="I181" s="13"/>
      <c r="J181" s="13"/>
      <c r="K181" s="2"/>
      <c r="L181" s="2"/>
      <c r="M181" s="12" t="str">
        <f t="shared" si="0"/>
        <v/>
      </c>
      <c r="N181" s="2"/>
      <c r="O181" s="2"/>
      <c r="P181" s="2"/>
      <c r="Q181" s="2"/>
      <c r="R181" s="2"/>
    </row>
    <row r="182" spans="1:18" ht="15.75" customHeight="1">
      <c r="A182" s="2"/>
      <c r="B182" s="2"/>
      <c r="C182" s="2"/>
      <c r="D182" s="11"/>
      <c r="E182" s="2"/>
      <c r="F182" s="2"/>
      <c r="G182" s="2"/>
      <c r="H182" s="2"/>
      <c r="I182" s="13"/>
      <c r="J182" s="13"/>
      <c r="K182" s="2"/>
      <c r="L182" s="2"/>
      <c r="M182" s="12" t="str">
        <f t="shared" si="0"/>
        <v/>
      </c>
      <c r="N182" s="2"/>
      <c r="O182" s="2"/>
      <c r="P182" s="2"/>
      <c r="Q182" s="2"/>
      <c r="R182" s="2"/>
    </row>
    <row r="183" spans="1:18" ht="15.75" customHeight="1">
      <c r="A183" s="2"/>
      <c r="B183" s="2"/>
      <c r="C183" s="2"/>
      <c r="D183" s="11"/>
      <c r="E183" s="2"/>
      <c r="F183" s="2"/>
      <c r="G183" s="2"/>
      <c r="H183" s="2"/>
      <c r="I183" s="13"/>
      <c r="J183" s="13"/>
      <c r="K183" s="2"/>
      <c r="L183" s="2"/>
      <c r="M183" s="12" t="str">
        <f t="shared" si="0"/>
        <v/>
      </c>
      <c r="N183" s="2"/>
      <c r="O183" s="2"/>
      <c r="P183" s="2"/>
      <c r="Q183" s="2"/>
      <c r="R183" s="2"/>
    </row>
    <row r="184" spans="1:18" ht="15.75" customHeight="1">
      <c r="A184" s="2"/>
      <c r="B184" s="2"/>
      <c r="C184" s="2"/>
      <c r="D184" s="11"/>
      <c r="E184" s="2"/>
      <c r="F184" s="2"/>
      <c r="G184" s="2"/>
      <c r="H184" s="2"/>
      <c r="I184" s="13"/>
      <c r="J184" s="13"/>
      <c r="K184" s="2"/>
      <c r="L184" s="2"/>
      <c r="M184" s="12" t="str">
        <f t="shared" si="0"/>
        <v/>
      </c>
      <c r="N184" s="2"/>
      <c r="O184" s="2"/>
      <c r="P184" s="2"/>
      <c r="Q184" s="2"/>
      <c r="R184" s="2"/>
    </row>
    <row r="185" spans="1:18" ht="15.75" customHeight="1">
      <c r="A185" s="2"/>
      <c r="B185" s="2"/>
      <c r="C185" s="2"/>
      <c r="D185" s="11"/>
      <c r="E185" s="2"/>
      <c r="F185" s="2"/>
      <c r="G185" s="2"/>
      <c r="H185" s="2"/>
      <c r="I185" s="13"/>
      <c r="J185" s="13"/>
      <c r="K185" s="2"/>
      <c r="L185" s="2"/>
      <c r="M185" s="12" t="str">
        <f t="shared" si="0"/>
        <v/>
      </c>
      <c r="N185" s="2"/>
      <c r="O185" s="2"/>
      <c r="P185" s="2"/>
      <c r="Q185" s="2"/>
      <c r="R185" s="2"/>
    </row>
    <row r="186" spans="1:18" ht="15.75" customHeight="1">
      <c r="A186" s="2"/>
      <c r="B186" s="2"/>
      <c r="C186" s="2"/>
      <c r="D186" s="11"/>
      <c r="E186" s="2"/>
      <c r="F186" s="2"/>
      <c r="G186" s="2"/>
      <c r="H186" s="2"/>
      <c r="I186" s="13"/>
      <c r="J186" s="13"/>
      <c r="K186" s="2"/>
      <c r="L186" s="2"/>
      <c r="M186" s="12" t="str">
        <f t="shared" si="0"/>
        <v/>
      </c>
      <c r="N186" s="2"/>
      <c r="O186" s="2"/>
      <c r="P186" s="2"/>
      <c r="Q186" s="2"/>
      <c r="R186" s="2"/>
    </row>
    <row r="187" spans="1:18" ht="15.75" customHeight="1">
      <c r="A187" s="2"/>
      <c r="B187" s="2"/>
      <c r="C187" s="2"/>
      <c r="D187" s="11"/>
      <c r="E187" s="2"/>
      <c r="F187" s="2"/>
      <c r="G187" s="2"/>
      <c r="H187" s="2"/>
      <c r="I187" s="13"/>
      <c r="J187" s="13"/>
      <c r="K187" s="2"/>
      <c r="L187" s="2"/>
      <c r="M187" s="12" t="str">
        <f t="shared" si="0"/>
        <v/>
      </c>
      <c r="N187" s="2"/>
      <c r="O187" s="2"/>
      <c r="P187" s="2"/>
      <c r="Q187" s="2"/>
      <c r="R187" s="2"/>
    </row>
    <row r="188" spans="1:18" ht="15.75" customHeight="1">
      <c r="A188" s="2"/>
      <c r="B188" s="2"/>
      <c r="C188" s="2"/>
      <c r="D188" s="11"/>
      <c r="E188" s="2"/>
      <c r="F188" s="2"/>
      <c r="G188" s="2"/>
      <c r="H188" s="2"/>
      <c r="I188" s="13"/>
      <c r="J188" s="13"/>
      <c r="K188" s="2"/>
      <c r="L188" s="2"/>
      <c r="M188" s="12" t="str">
        <f t="shared" si="0"/>
        <v/>
      </c>
      <c r="N188" s="2"/>
      <c r="O188" s="2"/>
      <c r="P188" s="2"/>
      <c r="Q188" s="2"/>
      <c r="R188" s="2"/>
    </row>
    <row r="189" spans="1:18" ht="15.75" customHeight="1">
      <c r="A189" s="2"/>
      <c r="B189" s="2"/>
      <c r="C189" s="2"/>
      <c r="D189" s="11"/>
      <c r="E189" s="2"/>
      <c r="F189" s="2"/>
      <c r="G189" s="2"/>
      <c r="H189" s="2"/>
      <c r="I189" s="13"/>
      <c r="J189" s="13"/>
      <c r="K189" s="2"/>
      <c r="L189" s="2"/>
      <c r="M189" s="12" t="str">
        <f t="shared" si="0"/>
        <v/>
      </c>
      <c r="N189" s="2"/>
      <c r="O189" s="2"/>
      <c r="P189" s="2"/>
      <c r="Q189" s="2"/>
      <c r="R189" s="2"/>
    </row>
    <row r="190" spans="1:18" ht="15.75" customHeight="1">
      <c r="A190" s="2"/>
      <c r="B190" s="2"/>
      <c r="C190" s="2"/>
      <c r="D190" s="11"/>
      <c r="E190" s="2"/>
      <c r="F190" s="2"/>
      <c r="G190" s="2"/>
      <c r="H190" s="2"/>
      <c r="I190" s="13"/>
      <c r="J190" s="13"/>
      <c r="K190" s="2"/>
      <c r="L190" s="2"/>
      <c r="M190" s="12" t="str">
        <f t="shared" si="0"/>
        <v/>
      </c>
      <c r="N190" s="2"/>
      <c r="O190" s="2"/>
      <c r="P190" s="2"/>
      <c r="Q190" s="2"/>
      <c r="R190" s="2"/>
    </row>
    <row r="191" spans="1:18" ht="15.75" customHeight="1">
      <c r="A191" s="2"/>
      <c r="B191" s="2"/>
      <c r="C191" s="2"/>
      <c r="D191" s="11"/>
      <c r="E191" s="2"/>
      <c r="F191" s="2"/>
      <c r="G191" s="2"/>
      <c r="H191" s="2"/>
      <c r="I191" s="13"/>
      <c r="J191" s="13"/>
      <c r="K191" s="2"/>
      <c r="L191" s="2"/>
      <c r="M191" s="12" t="str">
        <f t="shared" si="0"/>
        <v/>
      </c>
      <c r="N191" s="2"/>
      <c r="O191" s="2"/>
      <c r="P191" s="2"/>
      <c r="Q191" s="2"/>
      <c r="R191" s="2"/>
    </row>
    <row r="192" spans="1:18" ht="15.75" customHeight="1">
      <c r="A192" s="2"/>
      <c r="B192" s="2"/>
      <c r="C192" s="2"/>
      <c r="D192" s="11"/>
      <c r="E192" s="2"/>
      <c r="F192" s="2"/>
      <c r="G192" s="2"/>
      <c r="H192" s="2"/>
      <c r="I192" s="13"/>
      <c r="J192" s="13"/>
      <c r="K192" s="2"/>
      <c r="L192" s="2"/>
      <c r="M192" s="12" t="str">
        <f t="shared" si="0"/>
        <v/>
      </c>
      <c r="N192" s="2"/>
      <c r="O192" s="2"/>
      <c r="P192" s="2"/>
      <c r="Q192" s="2"/>
      <c r="R192" s="2"/>
    </row>
    <row r="193" spans="1:18" ht="15.75" customHeight="1">
      <c r="A193" s="2"/>
      <c r="B193" s="2"/>
      <c r="C193" s="2"/>
      <c r="D193" s="11"/>
      <c r="E193" s="2"/>
      <c r="F193" s="2"/>
      <c r="G193" s="2"/>
      <c r="H193" s="2"/>
      <c r="I193" s="13"/>
      <c r="J193" s="13"/>
      <c r="K193" s="2"/>
      <c r="L193" s="2"/>
      <c r="M193" s="12" t="str">
        <f t="shared" si="0"/>
        <v/>
      </c>
      <c r="N193" s="2"/>
      <c r="O193" s="2"/>
      <c r="P193" s="2"/>
      <c r="Q193" s="2"/>
      <c r="R193" s="2"/>
    </row>
    <row r="194" spans="1:18" ht="15.75" customHeight="1">
      <c r="A194" s="2"/>
      <c r="B194" s="2"/>
      <c r="C194" s="2"/>
      <c r="D194" s="11"/>
      <c r="E194" s="2"/>
      <c r="F194" s="2"/>
      <c r="G194" s="2"/>
      <c r="H194" s="2"/>
      <c r="I194" s="13"/>
      <c r="J194" s="13"/>
      <c r="K194" s="2"/>
      <c r="L194" s="2"/>
      <c r="M194" s="12" t="str">
        <f t="shared" si="0"/>
        <v/>
      </c>
      <c r="N194" s="2"/>
      <c r="O194" s="2"/>
      <c r="P194" s="2"/>
      <c r="Q194" s="2"/>
      <c r="R194" s="2"/>
    </row>
    <row r="195" spans="1:18" ht="15.75" customHeight="1">
      <c r="A195" s="2"/>
      <c r="B195" s="2"/>
      <c r="C195" s="2"/>
      <c r="D195" s="11"/>
      <c r="E195" s="2"/>
      <c r="F195" s="2"/>
      <c r="G195" s="2"/>
      <c r="H195" s="2"/>
      <c r="I195" s="13"/>
      <c r="J195" s="13"/>
      <c r="K195" s="2"/>
      <c r="L195" s="2"/>
      <c r="M195" s="12" t="str">
        <f t="shared" si="0"/>
        <v/>
      </c>
      <c r="N195" s="2"/>
      <c r="O195" s="2"/>
      <c r="P195" s="2"/>
      <c r="Q195" s="2"/>
      <c r="R195" s="2"/>
    </row>
    <row r="196" spans="1:18" ht="15.75" customHeight="1">
      <c r="A196" s="2"/>
      <c r="B196" s="2"/>
      <c r="C196" s="2"/>
      <c r="D196" s="11"/>
      <c r="E196" s="2"/>
      <c r="F196" s="2"/>
      <c r="G196" s="2"/>
      <c r="H196" s="2"/>
      <c r="I196" s="13"/>
      <c r="J196" s="13"/>
      <c r="K196" s="2"/>
      <c r="L196" s="2"/>
      <c r="M196" s="12" t="str">
        <f t="shared" si="0"/>
        <v/>
      </c>
      <c r="N196" s="2"/>
      <c r="O196" s="2"/>
      <c r="P196" s="2"/>
      <c r="Q196" s="2"/>
      <c r="R196" s="2"/>
    </row>
    <row r="197" spans="1:18" ht="15.75" customHeight="1">
      <c r="A197" s="2"/>
      <c r="B197" s="2"/>
      <c r="C197" s="2"/>
      <c r="D197" s="11"/>
      <c r="E197" s="2"/>
      <c r="F197" s="2"/>
      <c r="G197" s="2"/>
      <c r="H197" s="2"/>
      <c r="I197" s="13"/>
      <c r="J197" s="13"/>
      <c r="K197" s="2"/>
      <c r="L197" s="2"/>
      <c r="M197" s="12" t="str">
        <f t="shared" si="0"/>
        <v/>
      </c>
      <c r="N197" s="2"/>
      <c r="O197" s="2"/>
      <c r="P197" s="2"/>
      <c r="Q197" s="2"/>
      <c r="R197" s="2"/>
    </row>
    <row r="198" spans="1:18" ht="15.75" customHeight="1">
      <c r="A198" s="2"/>
      <c r="B198" s="2"/>
      <c r="C198" s="2"/>
      <c r="D198" s="11"/>
      <c r="E198" s="2"/>
      <c r="F198" s="2"/>
      <c r="G198" s="2"/>
      <c r="H198" s="2"/>
      <c r="I198" s="13"/>
      <c r="J198" s="13"/>
      <c r="K198" s="2"/>
      <c r="L198" s="2"/>
      <c r="M198" s="12" t="str">
        <f t="shared" si="0"/>
        <v/>
      </c>
      <c r="N198" s="2"/>
      <c r="O198" s="2"/>
      <c r="P198" s="2"/>
      <c r="Q198" s="2"/>
      <c r="R198" s="2"/>
    </row>
    <row r="199" spans="1:18" ht="15.75" customHeight="1">
      <c r="A199" s="2"/>
      <c r="B199" s="2"/>
      <c r="C199" s="2"/>
      <c r="D199" s="11"/>
      <c r="E199" s="2"/>
      <c r="F199" s="2"/>
      <c r="G199" s="2"/>
      <c r="H199" s="2"/>
      <c r="I199" s="13"/>
      <c r="J199" s="13"/>
      <c r="K199" s="2"/>
      <c r="L199" s="2"/>
      <c r="M199" s="12" t="str">
        <f t="shared" si="0"/>
        <v/>
      </c>
      <c r="N199" s="2"/>
      <c r="O199" s="2"/>
      <c r="P199" s="2"/>
      <c r="Q199" s="2"/>
      <c r="R199" s="2"/>
    </row>
    <row r="200" spans="1:18" ht="15.75" customHeight="1">
      <c r="A200" s="2"/>
      <c r="B200" s="2"/>
      <c r="C200" s="2"/>
      <c r="D200" s="11"/>
      <c r="E200" s="2"/>
      <c r="F200" s="2"/>
      <c r="G200" s="2"/>
      <c r="H200" s="2"/>
      <c r="I200" s="13"/>
      <c r="J200" s="13"/>
      <c r="K200" s="2"/>
      <c r="L200" s="2"/>
      <c r="M200" s="12" t="str">
        <f t="shared" si="0"/>
        <v/>
      </c>
      <c r="N200" s="2"/>
      <c r="O200" s="2"/>
      <c r="P200" s="2"/>
      <c r="Q200" s="2"/>
      <c r="R200" s="2"/>
    </row>
    <row r="201" spans="1:18" ht="15.75" customHeight="1">
      <c r="A201" s="2"/>
      <c r="B201" s="2"/>
      <c r="C201" s="2"/>
      <c r="D201" s="11"/>
      <c r="E201" s="2"/>
      <c r="F201" s="2"/>
      <c r="G201" s="2"/>
      <c r="H201" s="2"/>
      <c r="I201" s="13"/>
      <c r="J201" s="13"/>
      <c r="K201" s="2"/>
      <c r="L201" s="2"/>
      <c r="M201" s="12" t="str">
        <f t="shared" si="0"/>
        <v/>
      </c>
      <c r="N201" s="2"/>
      <c r="O201" s="2"/>
      <c r="P201" s="2"/>
      <c r="Q201" s="2"/>
      <c r="R201" s="2"/>
    </row>
    <row r="202" spans="1:18" ht="15.75" customHeight="1">
      <c r="A202" s="2"/>
      <c r="B202" s="2"/>
      <c r="C202" s="2"/>
      <c r="D202" s="11"/>
      <c r="E202" s="2"/>
      <c r="F202" s="2"/>
      <c r="G202" s="2"/>
      <c r="H202" s="2"/>
      <c r="I202" s="13"/>
      <c r="J202" s="13"/>
      <c r="K202" s="2"/>
      <c r="L202" s="2"/>
      <c r="M202" s="12" t="str">
        <f t="shared" si="0"/>
        <v/>
      </c>
      <c r="N202" s="2"/>
      <c r="O202" s="2"/>
      <c r="P202" s="2"/>
      <c r="Q202" s="2"/>
      <c r="R202" s="2"/>
    </row>
    <row r="203" spans="1:18" ht="15.75" customHeight="1">
      <c r="A203" s="2"/>
      <c r="B203" s="2"/>
      <c r="C203" s="2"/>
      <c r="D203" s="11"/>
      <c r="E203" s="2"/>
      <c r="F203" s="2"/>
      <c r="G203" s="2"/>
      <c r="H203" s="2"/>
      <c r="I203" s="13"/>
      <c r="J203" s="13"/>
      <c r="K203" s="2"/>
      <c r="L203" s="2"/>
      <c r="M203" s="12" t="str">
        <f t="shared" si="0"/>
        <v/>
      </c>
      <c r="N203" s="2"/>
      <c r="O203" s="2"/>
      <c r="P203" s="2"/>
      <c r="Q203" s="2"/>
      <c r="R203" s="2"/>
    </row>
    <row r="204" spans="1:18" ht="15.75" customHeight="1">
      <c r="A204" s="2"/>
      <c r="B204" s="2"/>
      <c r="C204" s="2"/>
      <c r="D204" s="11"/>
      <c r="E204" s="2"/>
      <c r="F204" s="2"/>
      <c r="G204" s="2"/>
      <c r="H204" s="2"/>
      <c r="I204" s="13"/>
      <c r="J204" s="13"/>
      <c r="K204" s="2"/>
      <c r="L204" s="2"/>
      <c r="M204" s="12" t="str">
        <f t="shared" si="0"/>
        <v/>
      </c>
      <c r="N204" s="2"/>
      <c r="O204" s="2"/>
      <c r="P204" s="2"/>
      <c r="Q204" s="2"/>
      <c r="R204" s="2"/>
    </row>
    <row r="205" spans="1:18" ht="15.75" customHeight="1">
      <c r="A205" s="2"/>
      <c r="B205" s="2"/>
      <c r="C205" s="2"/>
      <c r="D205" s="11"/>
      <c r="E205" s="2"/>
      <c r="F205" s="2"/>
      <c r="G205" s="2"/>
      <c r="H205" s="2"/>
      <c r="I205" s="13"/>
      <c r="J205" s="13"/>
      <c r="K205" s="2"/>
      <c r="L205" s="2"/>
      <c r="M205" s="12" t="str">
        <f t="shared" si="0"/>
        <v/>
      </c>
      <c r="N205" s="2"/>
      <c r="O205" s="2"/>
      <c r="P205" s="2"/>
      <c r="Q205" s="2"/>
      <c r="R205" s="2"/>
    </row>
    <row r="206" spans="1:18" ht="15.75" customHeight="1">
      <c r="A206" s="2"/>
      <c r="B206" s="2"/>
      <c r="C206" s="2"/>
      <c r="D206" s="11"/>
      <c r="E206" s="2"/>
      <c r="F206" s="2"/>
      <c r="G206" s="2"/>
      <c r="H206" s="2"/>
      <c r="I206" s="13"/>
      <c r="J206" s="13"/>
      <c r="K206" s="2"/>
      <c r="L206" s="2"/>
      <c r="M206" s="12" t="str">
        <f t="shared" si="0"/>
        <v/>
      </c>
      <c r="N206" s="2"/>
      <c r="O206" s="2"/>
      <c r="P206" s="2"/>
      <c r="Q206" s="2"/>
      <c r="R206" s="2"/>
    </row>
    <row r="207" spans="1:18" ht="15.75" customHeight="1">
      <c r="A207" s="2"/>
      <c r="B207" s="2"/>
      <c r="C207" s="2"/>
      <c r="D207" s="11"/>
      <c r="E207" s="2"/>
      <c r="F207" s="2"/>
      <c r="G207" s="2"/>
      <c r="H207" s="2"/>
      <c r="I207" s="13"/>
      <c r="J207" s="13"/>
      <c r="K207" s="2"/>
      <c r="L207" s="2"/>
      <c r="M207" s="12" t="str">
        <f t="shared" si="0"/>
        <v/>
      </c>
      <c r="N207" s="2"/>
      <c r="O207" s="2"/>
      <c r="P207" s="2"/>
      <c r="Q207" s="2"/>
      <c r="R207" s="2"/>
    </row>
    <row r="208" spans="1:18" ht="15.75" customHeight="1">
      <c r="A208" s="2"/>
      <c r="B208" s="2"/>
      <c r="C208" s="2"/>
      <c r="D208" s="11"/>
      <c r="E208" s="2"/>
      <c r="F208" s="2"/>
      <c r="G208" s="2"/>
      <c r="H208" s="2"/>
      <c r="I208" s="13"/>
      <c r="J208" s="13"/>
      <c r="K208" s="2"/>
      <c r="L208" s="2"/>
      <c r="M208" s="12" t="str">
        <f t="shared" si="0"/>
        <v/>
      </c>
      <c r="N208" s="2"/>
      <c r="O208" s="2"/>
      <c r="P208" s="2"/>
      <c r="Q208" s="2"/>
      <c r="R208" s="2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6:Q6"/>
    <mergeCell ref="A1:Q1"/>
    <mergeCell ref="B2:Q2"/>
    <mergeCell ref="B3:Q3"/>
    <mergeCell ref="B4:Q4"/>
    <mergeCell ref="B5:Q5"/>
  </mergeCells>
  <pageMargins left="0.7" right="0.7" top="0.75" bottom="0.75" header="0" footer="0"/>
  <pageSetup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000"/>
  <sheetViews>
    <sheetView workbookViewId="0"/>
  </sheetViews>
  <sheetFormatPr baseColWidth="10" defaultColWidth="12.59765625" defaultRowHeight="15" customHeight="1"/>
  <cols>
    <col min="1" max="1" width="18" customWidth="1"/>
    <col min="2" max="2" width="22" customWidth="1"/>
    <col min="3" max="3" width="30" customWidth="1"/>
    <col min="4" max="4" width="12" customWidth="1"/>
    <col min="5" max="5" width="24" customWidth="1"/>
    <col min="6" max="6" width="22" customWidth="1"/>
    <col min="7" max="7" width="20" customWidth="1"/>
    <col min="8" max="8" width="18" customWidth="1"/>
    <col min="9" max="9" width="17" customWidth="1"/>
    <col min="10" max="10" width="14" customWidth="1"/>
    <col min="11" max="11" width="22" customWidth="1"/>
    <col min="12" max="12" width="18" customWidth="1"/>
    <col min="13" max="13" width="20" customWidth="1"/>
    <col min="14" max="14" width="12" customWidth="1"/>
    <col min="15" max="15" width="34" customWidth="1"/>
    <col min="16" max="16" width="30" customWidth="1"/>
    <col min="17" max="17" width="45" customWidth="1"/>
  </cols>
  <sheetData>
    <row r="1" spans="1:17" ht="36.75" customHeight="1">
      <c r="A1" s="25" t="s">
        <v>111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7" ht="13.8">
      <c r="A2" s="7" t="s">
        <v>5</v>
      </c>
      <c r="B2" s="42" t="s">
        <v>112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7" ht="24">
      <c r="A3" s="7" t="s">
        <v>6</v>
      </c>
      <c r="B3" s="42" t="s">
        <v>113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7" ht="13.8">
      <c r="A4" s="7" t="s">
        <v>88</v>
      </c>
      <c r="B4" s="42" t="s">
        <v>114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7" ht="13.8">
      <c r="A5" s="7" t="s">
        <v>91</v>
      </c>
      <c r="B5" s="42" t="s">
        <v>115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7" ht="13.8">
      <c r="A6" s="7" t="s">
        <v>94</v>
      </c>
      <c r="B6" s="42" t="s">
        <v>116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8" spans="1:17" ht="50.25" customHeight="1">
      <c r="A8" s="9" t="s">
        <v>32</v>
      </c>
      <c r="B8" s="9" t="s">
        <v>46</v>
      </c>
      <c r="C8" s="9" t="s">
        <v>48</v>
      </c>
      <c r="D8" s="9" t="s">
        <v>43</v>
      </c>
      <c r="E8" s="9" t="s">
        <v>50</v>
      </c>
      <c r="F8" s="9" t="s">
        <v>97</v>
      </c>
      <c r="G8" s="9" t="s">
        <v>56</v>
      </c>
      <c r="H8" s="9" t="s">
        <v>117</v>
      </c>
      <c r="I8" s="9" t="s">
        <v>118</v>
      </c>
      <c r="J8" s="9" t="s">
        <v>119</v>
      </c>
      <c r="K8" s="9" t="s">
        <v>120</v>
      </c>
      <c r="L8" s="9" t="s">
        <v>105</v>
      </c>
      <c r="M8" s="9" t="s">
        <v>106</v>
      </c>
      <c r="N8" s="9" t="s">
        <v>61</v>
      </c>
      <c r="O8" s="9" t="s">
        <v>63</v>
      </c>
      <c r="P8" s="9" t="s">
        <v>65</v>
      </c>
      <c r="Q8" s="9" t="s">
        <v>110</v>
      </c>
    </row>
    <row r="9" spans="1:17" ht="13.8">
      <c r="A9" s="2"/>
      <c r="B9" s="2"/>
      <c r="C9" s="2"/>
      <c r="D9" s="11"/>
      <c r="E9" s="2"/>
      <c r="F9" s="2"/>
      <c r="G9" s="2"/>
      <c r="H9" s="13"/>
      <c r="I9" s="2"/>
      <c r="J9" s="2"/>
      <c r="K9" s="2"/>
      <c r="L9" s="12"/>
      <c r="M9" s="2"/>
      <c r="N9" s="2"/>
      <c r="O9" s="2"/>
      <c r="P9" s="2"/>
      <c r="Q9" s="2"/>
    </row>
    <row r="10" spans="1:17" ht="13.8">
      <c r="A10" s="16"/>
      <c r="B10" s="2"/>
      <c r="C10" s="2"/>
      <c r="D10" s="11"/>
      <c r="E10" s="2"/>
      <c r="F10" s="2"/>
      <c r="G10" s="2"/>
      <c r="H10" s="13"/>
      <c r="I10" s="2"/>
      <c r="J10" s="2"/>
      <c r="K10" s="2"/>
      <c r="L10" s="12"/>
      <c r="M10" s="2"/>
      <c r="N10" s="2"/>
      <c r="O10" s="2"/>
      <c r="P10" s="2"/>
      <c r="Q10" s="2"/>
    </row>
    <row r="11" spans="1:17" ht="13.8">
      <c r="A11" s="2"/>
      <c r="B11" s="2"/>
      <c r="C11" s="2"/>
      <c r="D11" s="11"/>
      <c r="E11" s="2"/>
      <c r="F11" s="2"/>
      <c r="G11" s="2"/>
      <c r="H11" s="13"/>
      <c r="I11" s="2"/>
      <c r="J11" s="2"/>
      <c r="K11" s="2"/>
      <c r="L11" s="12"/>
      <c r="M11" s="2"/>
      <c r="N11" s="2"/>
      <c r="O11" s="2"/>
      <c r="P11" s="2"/>
      <c r="Q11" s="2"/>
    </row>
    <row r="12" spans="1:17" ht="13.8">
      <c r="A12" s="16"/>
      <c r="B12" s="2"/>
      <c r="C12" s="2"/>
      <c r="D12" s="11"/>
      <c r="E12" s="2"/>
      <c r="F12" s="2"/>
      <c r="G12" s="2"/>
      <c r="H12" s="13"/>
      <c r="I12" s="2"/>
      <c r="J12" s="2"/>
      <c r="K12" s="2"/>
      <c r="L12" s="12"/>
      <c r="M12" s="2"/>
      <c r="N12" s="2"/>
      <c r="O12" s="2"/>
      <c r="P12" s="2"/>
      <c r="Q12" s="2"/>
    </row>
    <row r="13" spans="1:17" ht="34.200000000000003">
      <c r="A13" s="2"/>
      <c r="B13" s="2"/>
      <c r="C13" s="2"/>
      <c r="D13" s="11"/>
      <c r="E13" s="2"/>
      <c r="F13" s="2"/>
      <c r="G13" s="2"/>
      <c r="H13" s="13"/>
      <c r="I13" s="2"/>
      <c r="J13" s="2"/>
      <c r="K13" s="2"/>
      <c r="L13" s="12" t="str">
        <f t="shared" ref="L13:L208" si="0">IF(OR(I13="",J13=""),"",MAX(0,I13-J13+IF(K13="",0,K13)))</f>
        <v/>
      </c>
      <c r="M13" s="2"/>
      <c r="N13" s="2"/>
      <c r="O13" s="2"/>
      <c r="P13" s="2" t="s">
        <v>121</v>
      </c>
      <c r="Q13" s="2"/>
    </row>
    <row r="14" spans="1:17" ht="13.8">
      <c r="A14" s="2"/>
      <c r="B14" s="2"/>
      <c r="C14" s="2"/>
      <c r="D14" s="11"/>
      <c r="E14" s="2"/>
      <c r="F14" s="2"/>
      <c r="G14" s="2"/>
      <c r="H14" s="13"/>
      <c r="I14" s="2"/>
      <c r="J14" s="2"/>
      <c r="K14" s="2"/>
      <c r="L14" s="12" t="str">
        <f t="shared" si="0"/>
        <v/>
      </c>
      <c r="M14" s="2"/>
      <c r="N14" s="2"/>
      <c r="O14" s="2"/>
      <c r="P14" s="2"/>
      <c r="Q14" s="2"/>
    </row>
    <row r="15" spans="1:17" ht="13.8">
      <c r="A15" s="2"/>
      <c r="B15" s="2"/>
      <c r="C15" s="2"/>
      <c r="D15" s="11"/>
      <c r="E15" s="2"/>
      <c r="F15" s="2"/>
      <c r="G15" s="2"/>
      <c r="H15" s="13"/>
      <c r="I15" s="2"/>
      <c r="J15" s="2"/>
      <c r="K15" s="2"/>
      <c r="L15" s="12" t="str">
        <f t="shared" si="0"/>
        <v/>
      </c>
      <c r="M15" s="2"/>
      <c r="N15" s="2"/>
      <c r="O15" s="2"/>
      <c r="P15" s="2"/>
      <c r="Q15" s="2"/>
    </row>
    <row r="16" spans="1:17" ht="13.8">
      <c r="A16" s="2"/>
      <c r="B16" s="2"/>
      <c r="C16" s="2"/>
      <c r="D16" s="11"/>
      <c r="E16" s="2"/>
      <c r="F16" s="2"/>
      <c r="G16" s="2"/>
      <c r="H16" s="13"/>
      <c r="I16" s="2"/>
      <c r="J16" s="2"/>
      <c r="K16" s="2"/>
      <c r="L16" s="12" t="str">
        <f t="shared" si="0"/>
        <v/>
      </c>
      <c r="M16" s="2"/>
      <c r="N16" s="2"/>
      <c r="O16" s="2"/>
      <c r="P16" s="2"/>
      <c r="Q16" s="2"/>
    </row>
    <row r="17" spans="1:17" ht="13.8">
      <c r="A17" s="2"/>
      <c r="B17" s="2"/>
      <c r="C17" s="2"/>
      <c r="D17" s="11"/>
      <c r="E17" s="2"/>
      <c r="F17" s="2"/>
      <c r="G17" s="2"/>
      <c r="H17" s="13"/>
      <c r="I17" s="2"/>
      <c r="J17" s="2"/>
      <c r="K17" s="2"/>
      <c r="L17" s="12" t="str">
        <f t="shared" si="0"/>
        <v/>
      </c>
      <c r="M17" s="2"/>
      <c r="N17" s="2"/>
      <c r="O17" s="2"/>
      <c r="P17" s="2"/>
      <c r="Q17" s="2"/>
    </row>
    <row r="18" spans="1:17" ht="13.8">
      <c r="A18" s="2"/>
      <c r="B18" s="2"/>
      <c r="C18" s="2"/>
      <c r="D18" s="11"/>
      <c r="E18" s="2"/>
      <c r="F18" s="2"/>
      <c r="G18" s="2"/>
      <c r="H18" s="13"/>
      <c r="I18" s="2"/>
      <c r="J18" s="2"/>
      <c r="K18" s="2"/>
      <c r="L18" s="12" t="str">
        <f t="shared" si="0"/>
        <v/>
      </c>
      <c r="M18" s="2"/>
      <c r="N18" s="2"/>
      <c r="O18" s="2"/>
      <c r="P18" s="2"/>
      <c r="Q18" s="2"/>
    </row>
    <row r="19" spans="1:17" ht="13.8">
      <c r="A19" s="2"/>
      <c r="B19" s="2"/>
      <c r="C19" s="2"/>
      <c r="D19" s="11"/>
      <c r="E19" s="2"/>
      <c r="F19" s="2"/>
      <c r="G19" s="2"/>
      <c r="H19" s="13"/>
      <c r="I19" s="2"/>
      <c r="J19" s="2"/>
      <c r="K19" s="2"/>
      <c r="L19" s="12" t="str">
        <f t="shared" si="0"/>
        <v/>
      </c>
      <c r="M19" s="2"/>
      <c r="N19" s="2"/>
      <c r="O19" s="2"/>
      <c r="P19" s="2"/>
      <c r="Q19" s="2"/>
    </row>
    <row r="20" spans="1:17" ht="13.8">
      <c r="A20" s="2"/>
      <c r="B20" s="2"/>
      <c r="C20" s="2"/>
      <c r="D20" s="11"/>
      <c r="E20" s="2"/>
      <c r="F20" s="2"/>
      <c r="G20" s="2"/>
      <c r="H20" s="13"/>
      <c r="I20" s="2"/>
      <c r="J20" s="2"/>
      <c r="K20" s="2"/>
      <c r="L20" s="12" t="str">
        <f t="shared" si="0"/>
        <v/>
      </c>
      <c r="M20" s="2"/>
      <c r="N20" s="2"/>
      <c r="O20" s="2"/>
      <c r="P20" s="2"/>
      <c r="Q20" s="2"/>
    </row>
    <row r="21" spans="1:17" ht="15.75" customHeight="1">
      <c r="A21" s="2"/>
      <c r="B21" s="2"/>
      <c r="C21" s="2"/>
      <c r="D21" s="11"/>
      <c r="E21" s="2"/>
      <c r="F21" s="2"/>
      <c r="G21" s="2"/>
      <c r="H21" s="13"/>
      <c r="I21" s="2"/>
      <c r="J21" s="2"/>
      <c r="K21" s="2"/>
      <c r="L21" s="12" t="str">
        <f t="shared" si="0"/>
        <v/>
      </c>
      <c r="M21" s="2"/>
      <c r="N21" s="2"/>
      <c r="O21" s="2"/>
      <c r="P21" s="2"/>
      <c r="Q21" s="2"/>
    </row>
    <row r="22" spans="1:17" ht="15.75" customHeight="1">
      <c r="A22" s="2"/>
      <c r="B22" s="2"/>
      <c r="C22" s="2"/>
      <c r="D22" s="11"/>
      <c r="E22" s="2"/>
      <c r="F22" s="2"/>
      <c r="G22" s="2"/>
      <c r="H22" s="13"/>
      <c r="I22" s="2"/>
      <c r="J22" s="2"/>
      <c r="K22" s="2"/>
      <c r="L22" s="12" t="str">
        <f t="shared" si="0"/>
        <v/>
      </c>
      <c r="M22" s="2"/>
      <c r="N22" s="2"/>
      <c r="O22" s="2"/>
      <c r="P22" s="2"/>
      <c r="Q22" s="2"/>
    </row>
    <row r="23" spans="1:17" ht="15.75" customHeight="1">
      <c r="A23" s="2"/>
      <c r="B23" s="2"/>
      <c r="C23" s="2"/>
      <c r="D23" s="11"/>
      <c r="E23" s="2"/>
      <c r="F23" s="2"/>
      <c r="G23" s="2"/>
      <c r="H23" s="13"/>
      <c r="I23" s="2"/>
      <c r="J23" s="2"/>
      <c r="K23" s="2"/>
      <c r="L23" s="12" t="str">
        <f t="shared" si="0"/>
        <v/>
      </c>
      <c r="M23" s="2"/>
      <c r="N23" s="2"/>
      <c r="O23" s="2"/>
      <c r="P23" s="2"/>
      <c r="Q23" s="2"/>
    </row>
    <row r="24" spans="1:17" ht="15.75" customHeight="1">
      <c r="A24" s="2"/>
      <c r="B24" s="2"/>
      <c r="C24" s="2"/>
      <c r="D24" s="11"/>
      <c r="E24" s="2"/>
      <c r="F24" s="2"/>
      <c r="G24" s="2"/>
      <c r="H24" s="13"/>
      <c r="I24" s="2"/>
      <c r="J24" s="2"/>
      <c r="K24" s="2"/>
      <c r="L24" s="12" t="str">
        <f t="shared" si="0"/>
        <v/>
      </c>
      <c r="M24" s="2"/>
      <c r="N24" s="2"/>
      <c r="O24" s="2"/>
      <c r="P24" s="2"/>
      <c r="Q24" s="2"/>
    </row>
    <row r="25" spans="1:17" ht="15.75" customHeight="1">
      <c r="A25" s="2"/>
      <c r="B25" s="2"/>
      <c r="C25" s="2"/>
      <c r="D25" s="11"/>
      <c r="E25" s="2"/>
      <c r="F25" s="2"/>
      <c r="G25" s="2"/>
      <c r="H25" s="13"/>
      <c r="I25" s="2"/>
      <c r="J25" s="2"/>
      <c r="K25" s="2"/>
      <c r="L25" s="12" t="str">
        <f t="shared" si="0"/>
        <v/>
      </c>
      <c r="M25" s="2"/>
      <c r="N25" s="2"/>
      <c r="O25" s="2"/>
      <c r="P25" s="2"/>
      <c r="Q25" s="2"/>
    </row>
    <row r="26" spans="1:17" ht="15.75" customHeight="1">
      <c r="A26" s="2"/>
      <c r="B26" s="2"/>
      <c r="C26" s="2"/>
      <c r="D26" s="11"/>
      <c r="E26" s="2"/>
      <c r="F26" s="2"/>
      <c r="G26" s="2"/>
      <c r="H26" s="13"/>
      <c r="I26" s="2"/>
      <c r="J26" s="2"/>
      <c r="K26" s="2"/>
      <c r="L26" s="12" t="str">
        <f t="shared" si="0"/>
        <v/>
      </c>
      <c r="M26" s="2"/>
      <c r="N26" s="2"/>
      <c r="O26" s="2"/>
      <c r="P26" s="2"/>
      <c r="Q26" s="2"/>
    </row>
    <row r="27" spans="1:17" ht="15.75" customHeight="1">
      <c r="A27" s="2"/>
      <c r="B27" s="2"/>
      <c r="C27" s="2"/>
      <c r="D27" s="11"/>
      <c r="E27" s="2"/>
      <c r="F27" s="2"/>
      <c r="G27" s="2"/>
      <c r="H27" s="13"/>
      <c r="I27" s="2"/>
      <c r="J27" s="2"/>
      <c r="K27" s="2"/>
      <c r="L27" s="12" t="str">
        <f t="shared" si="0"/>
        <v/>
      </c>
      <c r="M27" s="2"/>
      <c r="N27" s="2"/>
      <c r="O27" s="2"/>
      <c r="P27" s="2"/>
      <c r="Q27" s="2"/>
    </row>
    <row r="28" spans="1:17" ht="15.75" customHeight="1">
      <c r="A28" s="2"/>
      <c r="B28" s="2"/>
      <c r="C28" s="2"/>
      <c r="D28" s="11"/>
      <c r="E28" s="2"/>
      <c r="F28" s="2"/>
      <c r="G28" s="2"/>
      <c r="H28" s="13"/>
      <c r="I28" s="2"/>
      <c r="J28" s="2"/>
      <c r="K28" s="2"/>
      <c r="L28" s="12" t="str">
        <f t="shared" si="0"/>
        <v/>
      </c>
      <c r="M28" s="2"/>
      <c r="N28" s="2"/>
      <c r="O28" s="2"/>
      <c r="P28" s="2"/>
      <c r="Q28" s="2"/>
    </row>
    <row r="29" spans="1:17" ht="15.75" customHeight="1">
      <c r="A29" s="2"/>
      <c r="B29" s="2"/>
      <c r="C29" s="2"/>
      <c r="D29" s="11"/>
      <c r="E29" s="2"/>
      <c r="F29" s="2"/>
      <c r="G29" s="2"/>
      <c r="H29" s="13"/>
      <c r="I29" s="2"/>
      <c r="J29" s="2"/>
      <c r="K29" s="2"/>
      <c r="L29" s="12" t="str">
        <f t="shared" si="0"/>
        <v/>
      </c>
      <c r="M29" s="2"/>
      <c r="N29" s="2"/>
      <c r="O29" s="2"/>
      <c r="P29" s="2"/>
      <c r="Q29" s="2"/>
    </row>
    <row r="30" spans="1:17" ht="15.75" customHeight="1">
      <c r="A30" s="2"/>
      <c r="B30" s="2"/>
      <c r="C30" s="2"/>
      <c r="D30" s="11"/>
      <c r="E30" s="2"/>
      <c r="F30" s="2"/>
      <c r="G30" s="2"/>
      <c r="H30" s="13"/>
      <c r="I30" s="2"/>
      <c r="J30" s="2"/>
      <c r="K30" s="2"/>
      <c r="L30" s="12" t="str">
        <f t="shared" si="0"/>
        <v/>
      </c>
      <c r="M30" s="2"/>
      <c r="N30" s="2"/>
      <c r="O30" s="2"/>
      <c r="P30" s="2"/>
      <c r="Q30" s="2"/>
    </row>
    <row r="31" spans="1:17" ht="15.75" customHeight="1">
      <c r="A31" s="2"/>
      <c r="B31" s="2"/>
      <c r="C31" s="2"/>
      <c r="D31" s="11"/>
      <c r="E31" s="2"/>
      <c r="F31" s="2"/>
      <c r="G31" s="2"/>
      <c r="H31" s="13"/>
      <c r="I31" s="2"/>
      <c r="J31" s="2"/>
      <c r="K31" s="2"/>
      <c r="L31" s="12" t="str">
        <f t="shared" si="0"/>
        <v/>
      </c>
      <c r="M31" s="2"/>
      <c r="N31" s="2"/>
      <c r="O31" s="2"/>
      <c r="P31" s="2"/>
      <c r="Q31" s="2"/>
    </row>
    <row r="32" spans="1:17" ht="15.75" customHeight="1">
      <c r="A32" s="2"/>
      <c r="B32" s="2"/>
      <c r="C32" s="2"/>
      <c r="D32" s="11"/>
      <c r="E32" s="2"/>
      <c r="F32" s="2"/>
      <c r="G32" s="2"/>
      <c r="H32" s="13"/>
      <c r="I32" s="2"/>
      <c r="J32" s="2"/>
      <c r="K32" s="2"/>
      <c r="L32" s="12" t="str">
        <f t="shared" si="0"/>
        <v/>
      </c>
      <c r="M32" s="2"/>
      <c r="N32" s="2"/>
      <c r="O32" s="2"/>
      <c r="P32" s="2"/>
      <c r="Q32" s="2"/>
    </row>
    <row r="33" spans="1:17" ht="15.75" customHeight="1">
      <c r="A33" s="2"/>
      <c r="B33" s="2"/>
      <c r="C33" s="2"/>
      <c r="D33" s="11"/>
      <c r="E33" s="2"/>
      <c r="F33" s="2"/>
      <c r="G33" s="2"/>
      <c r="H33" s="13"/>
      <c r="I33" s="2"/>
      <c r="J33" s="2"/>
      <c r="K33" s="2"/>
      <c r="L33" s="12" t="str">
        <f t="shared" si="0"/>
        <v/>
      </c>
      <c r="M33" s="2"/>
      <c r="N33" s="2"/>
      <c r="O33" s="2"/>
      <c r="P33" s="2"/>
      <c r="Q33" s="2"/>
    </row>
    <row r="34" spans="1:17" ht="15.75" customHeight="1">
      <c r="A34" s="2"/>
      <c r="B34" s="2"/>
      <c r="C34" s="2"/>
      <c r="D34" s="11"/>
      <c r="E34" s="2"/>
      <c r="F34" s="2"/>
      <c r="G34" s="2"/>
      <c r="H34" s="13"/>
      <c r="I34" s="2"/>
      <c r="J34" s="2"/>
      <c r="K34" s="2"/>
      <c r="L34" s="12" t="str">
        <f t="shared" si="0"/>
        <v/>
      </c>
      <c r="M34" s="2"/>
      <c r="N34" s="2"/>
      <c r="O34" s="2"/>
      <c r="P34" s="2"/>
      <c r="Q34" s="2"/>
    </row>
    <row r="35" spans="1:17" ht="15.75" customHeight="1">
      <c r="A35" s="2"/>
      <c r="B35" s="2"/>
      <c r="C35" s="2"/>
      <c r="D35" s="11"/>
      <c r="E35" s="2"/>
      <c r="F35" s="2"/>
      <c r="G35" s="2"/>
      <c r="H35" s="13"/>
      <c r="I35" s="2"/>
      <c r="J35" s="2"/>
      <c r="K35" s="2"/>
      <c r="L35" s="12" t="str">
        <f t="shared" si="0"/>
        <v/>
      </c>
      <c r="M35" s="2"/>
      <c r="N35" s="2"/>
      <c r="O35" s="2"/>
      <c r="P35" s="2"/>
      <c r="Q35" s="2"/>
    </row>
    <row r="36" spans="1:17" ht="15.75" customHeight="1">
      <c r="A36" s="2"/>
      <c r="B36" s="2"/>
      <c r="C36" s="2"/>
      <c r="D36" s="11"/>
      <c r="E36" s="2"/>
      <c r="F36" s="2"/>
      <c r="G36" s="2"/>
      <c r="H36" s="13"/>
      <c r="I36" s="2"/>
      <c r="J36" s="2"/>
      <c r="K36" s="2"/>
      <c r="L36" s="12" t="str">
        <f t="shared" si="0"/>
        <v/>
      </c>
      <c r="M36" s="2"/>
      <c r="N36" s="2"/>
      <c r="O36" s="2"/>
      <c r="P36" s="2"/>
      <c r="Q36" s="2"/>
    </row>
    <row r="37" spans="1:17" ht="15.75" customHeight="1">
      <c r="A37" s="2"/>
      <c r="B37" s="2"/>
      <c r="C37" s="2"/>
      <c r="D37" s="11"/>
      <c r="E37" s="2"/>
      <c r="F37" s="2"/>
      <c r="G37" s="2"/>
      <c r="H37" s="13"/>
      <c r="I37" s="2"/>
      <c r="J37" s="2"/>
      <c r="K37" s="2"/>
      <c r="L37" s="12" t="str">
        <f t="shared" si="0"/>
        <v/>
      </c>
      <c r="M37" s="2"/>
      <c r="N37" s="2"/>
      <c r="O37" s="2"/>
      <c r="P37" s="2"/>
      <c r="Q37" s="2"/>
    </row>
    <row r="38" spans="1:17" ht="15.75" customHeight="1">
      <c r="A38" s="2"/>
      <c r="B38" s="2"/>
      <c r="C38" s="2"/>
      <c r="D38" s="11"/>
      <c r="E38" s="2"/>
      <c r="F38" s="2"/>
      <c r="G38" s="2"/>
      <c r="H38" s="13"/>
      <c r="I38" s="2"/>
      <c r="J38" s="2"/>
      <c r="K38" s="2"/>
      <c r="L38" s="12" t="str">
        <f t="shared" si="0"/>
        <v/>
      </c>
      <c r="M38" s="2"/>
      <c r="N38" s="2"/>
      <c r="O38" s="2"/>
      <c r="P38" s="2"/>
      <c r="Q38" s="2"/>
    </row>
    <row r="39" spans="1:17" ht="15.75" customHeight="1">
      <c r="A39" s="2"/>
      <c r="B39" s="2"/>
      <c r="C39" s="2"/>
      <c r="D39" s="11"/>
      <c r="E39" s="2"/>
      <c r="F39" s="2"/>
      <c r="G39" s="2"/>
      <c r="H39" s="13"/>
      <c r="I39" s="2"/>
      <c r="J39" s="2"/>
      <c r="K39" s="2"/>
      <c r="L39" s="12" t="str">
        <f t="shared" si="0"/>
        <v/>
      </c>
      <c r="M39" s="2"/>
      <c r="N39" s="2"/>
      <c r="O39" s="2"/>
      <c r="P39" s="2"/>
      <c r="Q39" s="2"/>
    </row>
    <row r="40" spans="1:17" ht="15.75" customHeight="1">
      <c r="A40" s="2"/>
      <c r="B40" s="2"/>
      <c r="C40" s="2"/>
      <c r="D40" s="11"/>
      <c r="E40" s="2"/>
      <c r="F40" s="2"/>
      <c r="G40" s="2"/>
      <c r="H40" s="13"/>
      <c r="I40" s="2"/>
      <c r="J40" s="2"/>
      <c r="K40" s="2"/>
      <c r="L40" s="12" t="str">
        <f t="shared" si="0"/>
        <v/>
      </c>
      <c r="M40" s="2"/>
      <c r="N40" s="2"/>
      <c r="O40" s="2"/>
      <c r="P40" s="2"/>
      <c r="Q40" s="2"/>
    </row>
    <row r="41" spans="1:17" ht="15.75" customHeight="1">
      <c r="A41" s="2"/>
      <c r="B41" s="2"/>
      <c r="C41" s="2"/>
      <c r="D41" s="11"/>
      <c r="E41" s="2"/>
      <c r="F41" s="2"/>
      <c r="G41" s="2"/>
      <c r="H41" s="13"/>
      <c r="I41" s="2"/>
      <c r="J41" s="2"/>
      <c r="K41" s="2"/>
      <c r="L41" s="12" t="str">
        <f t="shared" si="0"/>
        <v/>
      </c>
      <c r="M41" s="2"/>
      <c r="N41" s="2"/>
      <c r="O41" s="2"/>
      <c r="P41" s="2"/>
      <c r="Q41" s="2"/>
    </row>
    <row r="42" spans="1:17" ht="15.75" customHeight="1">
      <c r="A42" s="2"/>
      <c r="B42" s="2"/>
      <c r="C42" s="2"/>
      <c r="D42" s="11"/>
      <c r="E42" s="2"/>
      <c r="F42" s="2"/>
      <c r="G42" s="2"/>
      <c r="H42" s="13"/>
      <c r="I42" s="2"/>
      <c r="J42" s="2"/>
      <c r="K42" s="2"/>
      <c r="L42" s="12" t="str">
        <f t="shared" si="0"/>
        <v/>
      </c>
      <c r="M42" s="2"/>
      <c r="N42" s="2"/>
      <c r="O42" s="2"/>
      <c r="P42" s="2"/>
      <c r="Q42" s="2"/>
    </row>
    <row r="43" spans="1:17" ht="15.75" customHeight="1">
      <c r="A43" s="2"/>
      <c r="B43" s="2"/>
      <c r="C43" s="2"/>
      <c r="D43" s="11"/>
      <c r="E43" s="2"/>
      <c r="F43" s="2"/>
      <c r="G43" s="2"/>
      <c r="H43" s="13"/>
      <c r="I43" s="2"/>
      <c r="J43" s="2"/>
      <c r="K43" s="2"/>
      <c r="L43" s="12" t="str">
        <f t="shared" si="0"/>
        <v/>
      </c>
      <c r="M43" s="2"/>
      <c r="N43" s="2"/>
      <c r="O43" s="2"/>
      <c r="P43" s="2"/>
      <c r="Q43" s="2"/>
    </row>
    <row r="44" spans="1:17" ht="15.75" customHeight="1">
      <c r="A44" s="2"/>
      <c r="B44" s="2"/>
      <c r="C44" s="2"/>
      <c r="D44" s="11"/>
      <c r="E44" s="2"/>
      <c r="F44" s="2"/>
      <c r="G44" s="2"/>
      <c r="H44" s="13"/>
      <c r="I44" s="2"/>
      <c r="J44" s="2"/>
      <c r="K44" s="2"/>
      <c r="L44" s="12" t="str">
        <f t="shared" si="0"/>
        <v/>
      </c>
      <c r="M44" s="2"/>
      <c r="N44" s="2"/>
      <c r="O44" s="2"/>
      <c r="P44" s="2"/>
      <c r="Q44" s="2"/>
    </row>
    <row r="45" spans="1:17" ht="15.75" customHeight="1">
      <c r="A45" s="2"/>
      <c r="B45" s="2"/>
      <c r="C45" s="2"/>
      <c r="D45" s="11"/>
      <c r="E45" s="2"/>
      <c r="F45" s="2"/>
      <c r="G45" s="2"/>
      <c r="H45" s="13"/>
      <c r="I45" s="2"/>
      <c r="J45" s="2"/>
      <c r="K45" s="2"/>
      <c r="L45" s="12" t="str">
        <f t="shared" si="0"/>
        <v/>
      </c>
      <c r="M45" s="2"/>
      <c r="N45" s="2"/>
      <c r="O45" s="2"/>
      <c r="P45" s="2"/>
      <c r="Q45" s="2"/>
    </row>
    <row r="46" spans="1:17" ht="15.75" customHeight="1">
      <c r="A46" s="2"/>
      <c r="B46" s="2"/>
      <c r="C46" s="2"/>
      <c r="D46" s="11"/>
      <c r="E46" s="2"/>
      <c r="F46" s="2"/>
      <c r="G46" s="2"/>
      <c r="H46" s="13"/>
      <c r="I46" s="2"/>
      <c r="J46" s="2"/>
      <c r="K46" s="2"/>
      <c r="L46" s="12" t="str">
        <f t="shared" si="0"/>
        <v/>
      </c>
      <c r="M46" s="2"/>
      <c r="N46" s="2"/>
      <c r="O46" s="2"/>
      <c r="P46" s="2"/>
      <c r="Q46" s="2"/>
    </row>
    <row r="47" spans="1:17" ht="15.75" customHeight="1">
      <c r="A47" s="2"/>
      <c r="B47" s="2"/>
      <c r="C47" s="2"/>
      <c r="D47" s="11"/>
      <c r="E47" s="2"/>
      <c r="F47" s="2"/>
      <c r="G47" s="2"/>
      <c r="H47" s="13"/>
      <c r="I47" s="2"/>
      <c r="J47" s="2"/>
      <c r="K47" s="2"/>
      <c r="L47" s="12" t="str">
        <f t="shared" si="0"/>
        <v/>
      </c>
      <c r="M47" s="2"/>
      <c r="N47" s="2"/>
      <c r="O47" s="2"/>
      <c r="P47" s="2"/>
      <c r="Q47" s="2"/>
    </row>
    <row r="48" spans="1:17" ht="15.75" customHeight="1">
      <c r="A48" s="2"/>
      <c r="B48" s="2"/>
      <c r="C48" s="2"/>
      <c r="D48" s="11"/>
      <c r="E48" s="2"/>
      <c r="F48" s="2"/>
      <c r="G48" s="2"/>
      <c r="H48" s="13"/>
      <c r="I48" s="2"/>
      <c r="J48" s="2"/>
      <c r="K48" s="2"/>
      <c r="L48" s="12" t="str">
        <f t="shared" si="0"/>
        <v/>
      </c>
      <c r="M48" s="2"/>
      <c r="N48" s="2"/>
      <c r="O48" s="2"/>
      <c r="P48" s="2"/>
      <c r="Q48" s="2"/>
    </row>
    <row r="49" spans="1:17" ht="15.75" customHeight="1">
      <c r="A49" s="2"/>
      <c r="B49" s="2"/>
      <c r="C49" s="2"/>
      <c r="D49" s="11"/>
      <c r="E49" s="2"/>
      <c r="F49" s="2"/>
      <c r="G49" s="2"/>
      <c r="H49" s="13"/>
      <c r="I49" s="2"/>
      <c r="J49" s="2"/>
      <c r="K49" s="2"/>
      <c r="L49" s="12" t="str">
        <f t="shared" si="0"/>
        <v/>
      </c>
      <c r="M49" s="2"/>
      <c r="N49" s="2"/>
      <c r="O49" s="2"/>
      <c r="P49" s="2"/>
      <c r="Q49" s="2"/>
    </row>
    <row r="50" spans="1:17" ht="15.75" customHeight="1">
      <c r="A50" s="2"/>
      <c r="B50" s="2"/>
      <c r="C50" s="2"/>
      <c r="D50" s="11"/>
      <c r="E50" s="2"/>
      <c r="F50" s="2"/>
      <c r="G50" s="2"/>
      <c r="H50" s="13"/>
      <c r="I50" s="2"/>
      <c r="J50" s="2"/>
      <c r="K50" s="2"/>
      <c r="L50" s="12" t="str">
        <f t="shared" si="0"/>
        <v/>
      </c>
      <c r="M50" s="2"/>
      <c r="N50" s="2"/>
      <c r="O50" s="2"/>
      <c r="P50" s="2"/>
      <c r="Q50" s="2"/>
    </row>
    <row r="51" spans="1:17" ht="15.75" customHeight="1">
      <c r="A51" s="2"/>
      <c r="B51" s="2"/>
      <c r="C51" s="2"/>
      <c r="D51" s="11"/>
      <c r="E51" s="2"/>
      <c r="F51" s="2"/>
      <c r="G51" s="2"/>
      <c r="H51" s="13"/>
      <c r="I51" s="2"/>
      <c r="J51" s="2"/>
      <c r="K51" s="2"/>
      <c r="L51" s="12" t="str">
        <f t="shared" si="0"/>
        <v/>
      </c>
      <c r="M51" s="2"/>
      <c r="N51" s="2"/>
      <c r="O51" s="2"/>
      <c r="P51" s="2"/>
      <c r="Q51" s="2"/>
    </row>
    <row r="52" spans="1:17" ht="15.75" customHeight="1">
      <c r="A52" s="2"/>
      <c r="B52" s="2"/>
      <c r="C52" s="2"/>
      <c r="D52" s="11"/>
      <c r="E52" s="2"/>
      <c r="F52" s="2"/>
      <c r="G52" s="2"/>
      <c r="H52" s="13"/>
      <c r="I52" s="2"/>
      <c r="J52" s="2"/>
      <c r="K52" s="2"/>
      <c r="L52" s="12" t="str">
        <f t="shared" si="0"/>
        <v/>
      </c>
      <c r="M52" s="2"/>
      <c r="N52" s="2"/>
      <c r="O52" s="2"/>
      <c r="P52" s="2"/>
      <c r="Q52" s="2"/>
    </row>
    <row r="53" spans="1:17" ht="15.75" customHeight="1">
      <c r="A53" s="2"/>
      <c r="B53" s="2"/>
      <c r="C53" s="2"/>
      <c r="D53" s="11"/>
      <c r="E53" s="2"/>
      <c r="F53" s="2"/>
      <c r="G53" s="2"/>
      <c r="H53" s="13"/>
      <c r="I53" s="2"/>
      <c r="J53" s="2"/>
      <c r="K53" s="2"/>
      <c r="L53" s="12" t="str">
        <f t="shared" si="0"/>
        <v/>
      </c>
      <c r="M53" s="2"/>
      <c r="N53" s="2"/>
      <c r="O53" s="2"/>
      <c r="P53" s="2"/>
      <c r="Q53" s="2"/>
    </row>
    <row r="54" spans="1:17" ht="15.75" customHeight="1">
      <c r="A54" s="2"/>
      <c r="B54" s="2"/>
      <c r="C54" s="2"/>
      <c r="D54" s="11"/>
      <c r="E54" s="2"/>
      <c r="F54" s="2"/>
      <c r="G54" s="2"/>
      <c r="H54" s="13"/>
      <c r="I54" s="2"/>
      <c r="J54" s="2"/>
      <c r="K54" s="2"/>
      <c r="L54" s="12" t="str">
        <f t="shared" si="0"/>
        <v/>
      </c>
      <c r="M54" s="2"/>
      <c r="N54" s="2"/>
      <c r="O54" s="2"/>
      <c r="P54" s="2"/>
      <c r="Q54" s="2"/>
    </row>
    <row r="55" spans="1:17" ht="15.75" customHeight="1">
      <c r="A55" s="2"/>
      <c r="B55" s="2"/>
      <c r="C55" s="2"/>
      <c r="D55" s="11"/>
      <c r="E55" s="2"/>
      <c r="F55" s="2"/>
      <c r="G55" s="2"/>
      <c r="H55" s="13"/>
      <c r="I55" s="2"/>
      <c r="J55" s="2"/>
      <c r="K55" s="2"/>
      <c r="L55" s="12" t="str">
        <f t="shared" si="0"/>
        <v/>
      </c>
      <c r="M55" s="2"/>
      <c r="N55" s="2"/>
      <c r="O55" s="2"/>
      <c r="P55" s="2"/>
      <c r="Q55" s="2"/>
    </row>
    <row r="56" spans="1:17" ht="15.75" customHeight="1">
      <c r="A56" s="2"/>
      <c r="B56" s="2"/>
      <c r="C56" s="2"/>
      <c r="D56" s="11"/>
      <c r="E56" s="2"/>
      <c r="F56" s="2"/>
      <c r="G56" s="2"/>
      <c r="H56" s="13"/>
      <c r="I56" s="2"/>
      <c r="J56" s="2"/>
      <c r="K56" s="2"/>
      <c r="L56" s="12" t="str">
        <f t="shared" si="0"/>
        <v/>
      </c>
      <c r="M56" s="2"/>
      <c r="N56" s="2"/>
      <c r="O56" s="2"/>
      <c r="P56" s="2"/>
      <c r="Q56" s="2"/>
    </row>
    <row r="57" spans="1:17" ht="15.75" customHeight="1">
      <c r="A57" s="2"/>
      <c r="B57" s="2"/>
      <c r="C57" s="2"/>
      <c r="D57" s="11"/>
      <c r="E57" s="2"/>
      <c r="F57" s="2"/>
      <c r="G57" s="2"/>
      <c r="H57" s="13"/>
      <c r="I57" s="2"/>
      <c r="J57" s="2"/>
      <c r="K57" s="2"/>
      <c r="L57" s="12" t="str">
        <f t="shared" si="0"/>
        <v/>
      </c>
      <c r="M57" s="2"/>
      <c r="N57" s="2"/>
      <c r="O57" s="2"/>
      <c r="P57" s="2"/>
      <c r="Q57" s="2"/>
    </row>
    <row r="58" spans="1:17" ht="15.75" customHeight="1">
      <c r="A58" s="2"/>
      <c r="B58" s="2"/>
      <c r="C58" s="2"/>
      <c r="D58" s="11"/>
      <c r="E58" s="2"/>
      <c r="F58" s="2"/>
      <c r="G58" s="2"/>
      <c r="H58" s="13"/>
      <c r="I58" s="2"/>
      <c r="J58" s="2"/>
      <c r="K58" s="2"/>
      <c r="L58" s="12" t="str">
        <f t="shared" si="0"/>
        <v/>
      </c>
      <c r="M58" s="2"/>
      <c r="N58" s="2"/>
      <c r="O58" s="2"/>
      <c r="P58" s="2"/>
      <c r="Q58" s="2"/>
    </row>
    <row r="59" spans="1:17" ht="15.75" customHeight="1">
      <c r="A59" s="2"/>
      <c r="B59" s="2"/>
      <c r="C59" s="2"/>
      <c r="D59" s="11"/>
      <c r="E59" s="2"/>
      <c r="F59" s="2"/>
      <c r="G59" s="2"/>
      <c r="H59" s="13"/>
      <c r="I59" s="2"/>
      <c r="J59" s="2"/>
      <c r="K59" s="2"/>
      <c r="L59" s="12" t="str">
        <f t="shared" si="0"/>
        <v/>
      </c>
      <c r="M59" s="2"/>
      <c r="N59" s="2"/>
      <c r="O59" s="2"/>
      <c r="P59" s="2"/>
      <c r="Q59" s="2"/>
    </row>
    <row r="60" spans="1:17" ht="15.75" customHeight="1">
      <c r="A60" s="2"/>
      <c r="B60" s="2"/>
      <c r="C60" s="2"/>
      <c r="D60" s="11"/>
      <c r="E60" s="2"/>
      <c r="F60" s="2"/>
      <c r="G60" s="2"/>
      <c r="H60" s="13"/>
      <c r="I60" s="2"/>
      <c r="J60" s="2"/>
      <c r="K60" s="2"/>
      <c r="L60" s="12" t="str">
        <f t="shared" si="0"/>
        <v/>
      </c>
      <c r="M60" s="2"/>
      <c r="N60" s="2"/>
      <c r="O60" s="2"/>
      <c r="P60" s="2"/>
      <c r="Q60" s="2"/>
    </row>
    <row r="61" spans="1:17" ht="15.75" customHeight="1">
      <c r="A61" s="2"/>
      <c r="B61" s="2"/>
      <c r="C61" s="2"/>
      <c r="D61" s="11"/>
      <c r="E61" s="2"/>
      <c r="F61" s="2"/>
      <c r="G61" s="2"/>
      <c r="H61" s="13"/>
      <c r="I61" s="2"/>
      <c r="J61" s="2"/>
      <c r="K61" s="2"/>
      <c r="L61" s="12" t="str">
        <f t="shared" si="0"/>
        <v/>
      </c>
      <c r="M61" s="2"/>
      <c r="N61" s="2"/>
      <c r="O61" s="2"/>
      <c r="P61" s="2"/>
      <c r="Q61" s="2"/>
    </row>
    <row r="62" spans="1:17" ht="15.75" customHeight="1">
      <c r="A62" s="2"/>
      <c r="B62" s="2"/>
      <c r="C62" s="2"/>
      <c r="D62" s="11"/>
      <c r="E62" s="2"/>
      <c r="F62" s="2"/>
      <c r="G62" s="2"/>
      <c r="H62" s="13"/>
      <c r="I62" s="2"/>
      <c r="J62" s="2"/>
      <c r="K62" s="2"/>
      <c r="L62" s="12" t="str">
        <f t="shared" si="0"/>
        <v/>
      </c>
      <c r="M62" s="2"/>
      <c r="N62" s="2"/>
      <c r="O62" s="2"/>
      <c r="P62" s="2"/>
      <c r="Q62" s="2"/>
    </row>
    <row r="63" spans="1:17" ht="15.75" customHeight="1">
      <c r="A63" s="2"/>
      <c r="B63" s="2"/>
      <c r="C63" s="2"/>
      <c r="D63" s="11"/>
      <c r="E63" s="2"/>
      <c r="F63" s="2"/>
      <c r="G63" s="2"/>
      <c r="H63" s="13"/>
      <c r="I63" s="2"/>
      <c r="J63" s="2"/>
      <c r="K63" s="2"/>
      <c r="L63" s="12" t="str">
        <f t="shared" si="0"/>
        <v/>
      </c>
      <c r="M63" s="2"/>
      <c r="N63" s="2"/>
      <c r="O63" s="2"/>
      <c r="P63" s="2"/>
      <c r="Q63" s="2"/>
    </row>
    <row r="64" spans="1:17" ht="15.75" customHeight="1">
      <c r="A64" s="2"/>
      <c r="B64" s="2"/>
      <c r="C64" s="2"/>
      <c r="D64" s="11"/>
      <c r="E64" s="2"/>
      <c r="F64" s="2"/>
      <c r="G64" s="2"/>
      <c r="H64" s="13"/>
      <c r="I64" s="2"/>
      <c r="J64" s="2"/>
      <c r="K64" s="2"/>
      <c r="L64" s="12" t="str">
        <f t="shared" si="0"/>
        <v/>
      </c>
      <c r="M64" s="2"/>
      <c r="N64" s="2"/>
      <c r="O64" s="2"/>
      <c r="P64" s="2"/>
      <c r="Q64" s="2"/>
    </row>
    <row r="65" spans="1:17" ht="15.75" customHeight="1">
      <c r="A65" s="2"/>
      <c r="B65" s="2"/>
      <c r="C65" s="2"/>
      <c r="D65" s="11"/>
      <c r="E65" s="2"/>
      <c r="F65" s="2"/>
      <c r="G65" s="2"/>
      <c r="H65" s="13"/>
      <c r="I65" s="2"/>
      <c r="J65" s="2"/>
      <c r="K65" s="2"/>
      <c r="L65" s="12" t="str">
        <f t="shared" si="0"/>
        <v/>
      </c>
      <c r="M65" s="2"/>
      <c r="N65" s="2"/>
      <c r="O65" s="2"/>
      <c r="P65" s="2"/>
      <c r="Q65" s="2"/>
    </row>
    <row r="66" spans="1:17" ht="15.75" customHeight="1">
      <c r="A66" s="2"/>
      <c r="B66" s="2"/>
      <c r="C66" s="2"/>
      <c r="D66" s="11"/>
      <c r="E66" s="2"/>
      <c r="F66" s="2"/>
      <c r="G66" s="2"/>
      <c r="H66" s="13"/>
      <c r="I66" s="2"/>
      <c r="J66" s="2"/>
      <c r="K66" s="2"/>
      <c r="L66" s="12" t="str">
        <f t="shared" si="0"/>
        <v/>
      </c>
      <c r="M66" s="2"/>
      <c r="N66" s="2"/>
      <c r="O66" s="2"/>
      <c r="P66" s="2"/>
      <c r="Q66" s="2"/>
    </row>
    <row r="67" spans="1:17" ht="15.75" customHeight="1">
      <c r="A67" s="2"/>
      <c r="B67" s="2"/>
      <c r="C67" s="2"/>
      <c r="D67" s="11"/>
      <c r="E67" s="2"/>
      <c r="F67" s="2"/>
      <c r="G67" s="2"/>
      <c r="H67" s="13"/>
      <c r="I67" s="2"/>
      <c r="J67" s="2"/>
      <c r="K67" s="2"/>
      <c r="L67" s="12" t="str">
        <f t="shared" si="0"/>
        <v/>
      </c>
      <c r="M67" s="2"/>
      <c r="N67" s="2"/>
      <c r="O67" s="2"/>
      <c r="P67" s="2"/>
      <c r="Q67" s="2"/>
    </row>
    <row r="68" spans="1:17" ht="15.75" customHeight="1">
      <c r="A68" s="2"/>
      <c r="B68" s="2"/>
      <c r="C68" s="2"/>
      <c r="D68" s="11"/>
      <c r="E68" s="2"/>
      <c r="F68" s="2"/>
      <c r="G68" s="2"/>
      <c r="H68" s="13"/>
      <c r="I68" s="2"/>
      <c r="J68" s="2"/>
      <c r="K68" s="2"/>
      <c r="L68" s="12" t="str">
        <f t="shared" si="0"/>
        <v/>
      </c>
      <c r="M68" s="2"/>
      <c r="N68" s="2"/>
      <c r="O68" s="2"/>
      <c r="P68" s="2"/>
      <c r="Q68" s="2"/>
    </row>
    <row r="69" spans="1:17" ht="15.75" customHeight="1">
      <c r="A69" s="2"/>
      <c r="B69" s="2"/>
      <c r="C69" s="2"/>
      <c r="D69" s="11"/>
      <c r="E69" s="2"/>
      <c r="F69" s="2"/>
      <c r="G69" s="2"/>
      <c r="H69" s="13"/>
      <c r="I69" s="2"/>
      <c r="J69" s="2"/>
      <c r="K69" s="2"/>
      <c r="L69" s="12" t="str">
        <f t="shared" si="0"/>
        <v/>
      </c>
      <c r="M69" s="2"/>
      <c r="N69" s="2"/>
      <c r="O69" s="2"/>
      <c r="P69" s="2"/>
      <c r="Q69" s="2"/>
    </row>
    <row r="70" spans="1:17" ht="15.75" customHeight="1">
      <c r="A70" s="2"/>
      <c r="B70" s="2"/>
      <c r="C70" s="2"/>
      <c r="D70" s="11"/>
      <c r="E70" s="2"/>
      <c r="F70" s="2"/>
      <c r="G70" s="2"/>
      <c r="H70" s="13"/>
      <c r="I70" s="2"/>
      <c r="J70" s="2"/>
      <c r="K70" s="2"/>
      <c r="L70" s="12" t="str">
        <f t="shared" si="0"/>
        <v/>
      </c>
      <c r="M70" s="2"/>
      <c r="N70" s="2"/>
      <c r="O70" s="2"/>
      <c r="P70" s="2"/>
      <c r="Q70" s="2"/>
    </row>
    <row r="71" spans="1:17" ht="15.75" customHeight="1">
      <c r="A71" s="2"/>
      <c r="B71" s="2"/>
      <c r="C71" s="2"/>
      <c r="D71" s="11"/>
      <c r="E71" s="2"/>
      <c r="F71" s="2"/>
      <c r="G71" s="2"/>
      <c r="H71" s="13"/>
      <c r="I71" s="2"/>
      <c r="J71" s="2"/>
      <c r="K71" s="2"/>
      <c r="L71" s="12" t="str">
        <f t="shared" si="0"/>
        <v/>
      </c>
      <c r="M71" s="2"/>
      <c r="N71" s="2"/>
      <c r="O71" s="2"/>
      <c r="P71" s="2"/>
      <c r="Q71" s="2"/>
    </row>
    <row r="72" spans="1:17" ht="15.75" customHeight="1">
      <c r="A72" s="2"/>
      <c r="B72" s="2"/>
      <c r="C72" s="2"/>
      <c r="D72" s="11"/>
      <c r="E72" s="2"/>
      <c r="F72" s="2"/>
      <c r="G72" s="2"/>
      <c r="H72" s="13"/>
      <c r="I72" s="2"/>
      <c r="J72" s="2"/>
      <c r="K72" s="2"/>
      <c r="L72" s="12" t="str">
        <f t="shared" si="0"/>
        <v/>
      </c>
      <c r="M72" s="2"/>
      <c r="N72" s="2"/>
      <c r="O72" s="2"/>
      <c r="P72" s="2"/>
      <c r="Q72" s="2"/>
    </row>
    <row r="73" spans="1:17" ht="15.75" customHeight="1">
      <c r="A73" s="2"/>
      <c r="B73" s="2"/>
      <c r="C73" s="2"/>
      <c r="D73" s="11"/>
      <c r="E73" s="2"/>
      <c r="F73" s="2"/>
      <c r="G73" s="2"/>
      <c r="H73" s="13"/>
      <c r="I73" s="2"/>
      <c r="J73" s="2"/>
      <c r="K73" s="2"/>
      <c r="L73" s="12" t="str">
        <f t="shared" si="0"/>
        <v/>
      </c>
      <c r="M73" s="2"/>
      <c r="N73" s="2"/>
      <c r="O73" s="2"/>
      <c r="P73" s="2"/>
      <c r="Q73" s="2"/>
    </row>
    <row r="74" spans="1:17" ht="15.75" customHeight="1">
      <c r="A74" s="2"/>
      <c r="B74" s="2"/>
      <c r="C74" s="2"/>
      <c r="D74" s="11"/>
      <c r="E74" s="2"/>
      <c r="F74" s="2"/>
      <c r="G74" s="2"/>
      <c r="H74" s="13"/>
      <c r="I74" s="2"/>
      <c r="J74" s="2"/>
      <c r="K74" s="2"/>
      <c r="L74" s="12" t="str">
        <f t="shared" si="0"/>
        <v/>
      </c>
      <c r="M74" s="2"/>
      <c r="N74" s="2"/>
      <c r="O74" s="2"/>
      <c r="P74" s="2"/>
      <c r="Q74" s="2"/>
    </row>
    <row r="75" spans="1:17" ht="15.75" customHeight="1">
      <c r="A75" s="2"/>
      <c r="B75" s="2"/>
      <c r="C75" s="2"/>
      <c r="D75" s="11"/>
      <c r="E75" s="2"/>
      <c r="F75" s="2"/>
      <c r="G75" s="2"/>
      <c r="H75" s="13"/>
      <c r="I75" s="2"/>
      <c r="J75" s="2"/>
      <c r="K75" s="2"/>
      <c r="L75" s="12" t="str">
        <f t="shared" si="0"/>
        <v/>
      </c>
      <c r="M75" s="2"/>
      <c r="N75" s="2"/>
      <c r="O75" s="2"/>
      <c r="P75" s="2"/>
      <c r="Q75" s="2"/>
    </row>
    <row r="76" spans="1:17" ht="15.75" customHeight="1">
      <c r="A76" s="2"/>
      <c r="B76" s="2"/>
      <c r="C76" s="2"/>
      <c r="D76" s="11"/>
      <c r="E76" s="2"/>
      <c r="F76" s="2"/>
      <c r="G76" s="2"/>
      <c r="H76" s="13"/>
      <c r="I76" s="2"/>
      <c r="J76" s="2"/>
      <c r="K76" s="2"/>
      <c r="L76" s="12" t="str">
        <f t="shared" si="0"/>
        <v/>
      </c>
      <c r="M76" s="2"/>
      <c r="N76" s="2"/>
      <c r="O76" s="2"/>
      <c r="P76" s="2"/>
      <c r="Q76" s="2"/>
    </row>
    <row r="77" spans="1:17" ht="15.75" customHeight="1">
      <c r="A77" s="2"/>
      <c r="B77" s="2"/>
      <c r="C77" s="2"/>
      <c r="D77" s="11"/>
      <c r="E77" s="2"/>
      <c r="F77" s="2"/>
      <c r="G77" s="2"/>
      <c r="H77" s="13"/>
      <c r="I77" s="2"/>
      <c r="J77" s="2"/>
      <c r="K77" s="2"/>
      <c r="L77" s="12" t="str">
        <f t="shared" si="0"/>
        <v/>
      </c>
      <c r="M77" s="2"/>
      <c r="N77" s="2"/>
      <c r="O77" s="2"/>
      <c r="P77" s="2"/>
      <c r="Q77" s="2"/>
    </row>
    <row r="78" spans="1:17" ht="15.75" customHeight="1">
      <c r="A78" s="2"/>
      <c r="B78" s="2"/>
      <c r="C78" s="2"/>
      <c r="D78" s="11"/>
      <c r="E78" s="2"/>
      <c r="F78" s="2"/>
      <c r="G78" s="2"/>
      <c r="H78" s="13"/>
      <c r="I78" s="2"/>
      <c r="J78" s="2"/>
      <c r="K78" s="2"/>
      <c r="L78" s="12" t="str">
        <f t="shared" si="0"/>
        <v/>
      </c>
      <c r="M78" s="2"/>
      <c r="N78" s="2"/>
      <c r="O78" s="2"/>
      <c r="P78" s="2"/>
      <c r="Q78" s="2"/>
    </row>
    <row r="79" spans="1:17" ht="15.75" customHeight="1">
      <c r="A79" s="2"/>
      <c r="B79" s="2"/>
      <c r="C79" s="2"/>
      <c r="D79" s="11"/>
      <c r="E79" s="2"/>
      <c r="F79" s="2"/>
      <c r="G79" s="2"/>
      <c r="H79" s="13"/>
      <c r="I79" s="2"/>
      <c r="J79" s="2"/>
      <c r="K79" s="2"/>
      <c r="L79" s="12" t="str">
        <f t="shared" si="0"/>
        <v/>
      </c>
      <c r="M79" s="2"/>
      <c r="N79" s="2"/>
      <c r="O79" s="2"/>
      <c r="P79" s="2"/>
      <c r="Q79" s="2"/>
    </row>
    <row r="80" spans="1:17" ht="15.75" customHeight="1">
      <c r="A80" s="2"/>
      <c r="B80" s="2"/>
      <c r="C80" s="2"/>
      <c r="D80" s="11"/>
      <c r="E80" s="2"/>
      <c r="F80" s="2"/>
      <c r="G80" s="2"/>
      <c r="H80" s="13"/>
      <c r="I80" s="2"/>
      <c r="J80" s="2"/>
      <c r="K80" s="2"/>
      <c r="L80" s="12" t="str">
        <f t="shared" si="0"/>
        <v/>
      </c>
      <c r="M80" s="2"/>
      <c r="N80" s="2"/>
      <c r="O80" s="2"/>
      <c r="P80" s="2"/>
      <c r="Q80" s="2"/>
    </row>
    <row r="81" spans="1:17" ht="15.75" customHeight="1">
      <c r="A81" s="2"/>
      <c r="B81" s="2"/>
      <c r="C81" s="2"/>
      <c r="D81" s="11"/>
      <c r="E81" s="2"/>
      <c r="F81" s="2"/>
      <c r="G81" s="2"/>
      <c r="H81" s="13"/>
      <c r="I81" s="2"/>
      <c r="J81" s="2"/>
      <c r="K81" s="2"/>
      <c r="L81" s="12" t="str">
        <f t="shared" si="0"/>
        <v/>
      </c>
      <c r="M81" s="2"/>
      <c r="N81" s="2"/>
      <c r="O81" s="2"/>
      <c r="P81" s="2"/>
      <c r="Q81" s="2"/>
    </row>
    <row r="82" spans="1:17" ht="15.75" customHeight="1">
      <c r="A82" s="2"/>
      <c r="B82" s="2"/>
      <c r="C82" s="2"/>
      <c r="D82" s="11"/>
      <c r="E82" s="2"/>
      <c r="F82" s="2"/>
      <c r="G82" s="2"/>
      <c r="H82" s="13"/>
      <c r="I82" s="2"/>
      <c r="J82" s="2"/>
      <c r="K82" s="2"/>
      <c r="L82" s="12" t="str">
        <f t="shared" si="0"/>
        <v/>
      </c>
      <c r="M82" s="2"/>
      <c r="N82" s="2"/>
      <c r="O82" s="2"/>
      <c r="P82" s="2"/>
      <c r="Q82" s="2"/>
    </row>
    <row r="83" spans="1:17" ht="15.75" customHeight="1">
      <c r="A83" s="2"/>
      <c r="B83" s="2"/>
      <c r="C83" s="2"/>
      <c r="D83" s="11"/>
      <c r="E83" s="2"/>
      <c r="F83" s="2"/>
      <c r="G83" s="2"/>
      <c r="H83" s="13"/>
      <c r="I83" s="2"/>
      <c r="J83" s="2"/>
      <c r="K83" s="2"/>
      <c r="L83" s="12" t="str">
        <f t="shared" si="0"/>
        <v/>
      </c>
      <c r="M83" s="2"/>
      <c r="N83" s="2"/>
      <c r="O83" s="2"/>
      <c r="P83" s="2"/>
      <c r="Q83" s="2"/>
    </row>
    <row r="84" spans="1:17" ht="15.75" customHeight="1">
      <c r="A84" s="2"/>
      <c r="B84" s="2"/>
      <c r="C84" s="2"/>
      <c r="D84" s="11"/>
      <c r="E84" s="2"/>
      <c r="F84" s="2"/>
      <c r="G84" s="2"/>
      <c r="H84" s="13"/>
      <c r="I84" s="2"/>
      <c r="J84" s="2"/>
      <c r="K84" s="2"/>
      <c r="L84" s="12" t="str">
        <f t="shared" si="0"/>
        <v/>
      </c>
      <c r="M84" s="2"/>
      <c r="N84" s="2"/>
      <c r="O84" s="2"/>
      <c r="P84" s="2"/>
      <c r="Q84" s="2"/>
    </row>
    <row r="85" spans="1:17" ht="15.75" customHeight="1">
      <c r="A85" s="2"/>
      <c r="B85" s="2"/>
      <c r="C85" s="2"/>
      <c r="D85" s="11"/>
      <c r="E85" s="2"/>
      <c r="F85" s="2"/>
      <c r="G85" s="2"/>
      <c r="H85" s="13"/>
      <c r="I85" s="2"/>
      <c r="J85" s="2"/>
      <c r="K85" s="2"/>
      <c r="L85" s="12" t="str">
        <f t="shared" si="0"/>
        <v/>
      </c>
      <c r="M85" s="2"/>
      <c r="N85" s="2"/>
      <c r="O85" s="2"/>
      <c r="P85" s="2"/>
      <c r="Q85" s="2"/>
    </row>
    <row r="86" spans="1:17" ht="15.75" customHeight="1">
      <c r="A86" s="2"/>
      <c r="B86" s="2"/>
      <c r="C86" s="2"/>
      <c r="D86" s="11"/>
      <c r="E86" s="2"/>
      <c r="F86" s="2"/>
      <c r="G86" s="2"/>
      <c r="H86" s="13"/>
      <c r="I86" s="2"/>
      <c r="J86" s="2"/>
      <c r="K86" s="2"/>
      <c r="L86" s="12" t="str">
        <f t="shared" si="0"/>
        <v/>
      </c>
      <c r="M86" s="2"/>
      <c r="N86" s="2"/>
      <c r="O86" s="2"/>
      <c r="P86" s="2"/>
      <c r="Q86" s="2"/>
    </row>
    <row r="87" spans="1:17" ht="15.75" customHeight="1">
      <c r="A87" s="2"/>
      <c r="B87" s="2"/>
      <c r="C87" s="2"/>
      <c r="D87" s="11"/>
      <c r="E87" s="2"/>
      <c r="F87" s="2"/>
      <c r="G87" s="2"/>
      <c r="H87" s="13"/>
      <c r="I87" s="2"/>
      <c r="J87" s="2"/>
      <c r="K87" s="2"/>
      <c r="L87" s="12" t="str">
        <f t="shared" si="0"/>
        <v/>
      </c>
      <c r="M87" s="2"/>
      <c r="N87" s="2"/>
      <c r="O87" s="2"/>
      <c r="P87" s="2"/>
      <c r="Q87" s="2"/>
    </row>
    <row r="88" spans="1:17" ht="15.75" customHeight="1">
      <c r="A88" s="2"/>
      <c r="B88" s="2"/>
      <c r="C88" s="2"/>
      <c r="D88" s="11"/>
      <c r="E88" s="2"/>
      <c r="F88" s="2"/>
      <c r="G88" s="2"/>
      <c r="H88" s="13"/>
      <c r="I88" s="2"/>
      <c r="J88" s="2"/>
      <c r="K88" s="2"/>
      <c r="L88" s="12" t="str">
        <f t="shared" si="0"/>
        <v/>
      </c>
      <c r="M88" s="2"/>
      <c r="N88" s="2"/>
      <c r="O88" s="2"/>
      <c r="P88" s="2"/>
      <c r="Q88" s="2"/>
    </row>
    <row r="89" spans="1:17" ht="15.75" customHeight="1">
      <c r="A89" s="2"/>
      <c r="B89" s="2"/>
      <c r="C89" s="2"/>
      <c r="D89" s="11"/>
      <c r="E89" s="2"/>
      <c r="F89" s="2"/>
      <c r="G89" s="2"/>
      <c r="H89" s="13"/>
      <c r="I89" s="2"/>
      <c r="J89" s="2"/>
      <c r="K89" s="2"/>
      <c r="L89" s="12" t="str">
        <f t="shared" si="0"/>
        <v/>
      </c>
      <c r="M89" s="2"/>
      <c r="N89" s="2"/>
      <c r="O89" s="2"/>
      <c r="P89" s="2"/>
      <c r="Q89" s="2"/>
    </row>
    <row r="90" spans="1:17" ht="15.75" customHeight="1">
      <c r="A90" s="2"/>
      <c r="B90" s="2"/>
      <c r="C90" s="2"/>
      <c r="D90" s="11"/>
      <c r="E90" s="2"/>
      <c r="F90" s="2"/>
      <c r="G90" s="2"/>
      <c r="H90" s="13"/>
      <c r="I90" s="2"/>
      <c r="J90" s="2"/>
      <c r="K90" s="2"/>
      <c r="L90" s="12" t="str">
        <f t="shared" si="0"/>
        <v/>
      </c>
      <c r="M90" s="2"/>
      <c r="N90" s="2"/>
      <c r="O90" s="2"/>
      <c r="P90" s="2"/>
      <c r="Q90" s="2"/>
    </row>
    <row r="91" spans="1:17" ht="15.75" customHeight="1">
      <c r="A91" s="2"/>
      <c r="B91" s="2"/>
      <c r="C91" s="2"/>
      <c r="D91" s="11"/>
      <c r="E91" s="2"/>
      <c r="F91" s="2"/>
      <c r="G91" s="2"/>
      <c r="H91" s="13"/>
      <c r="I91" s="2"/>
      <c r="J91" s="2"/>
      <c r="K91" s="2"/>
      <c r="L91" s="12" t="str">
        <f t="shared" si="0"/>
        <v/>
      </c>
      <c r="M91" s="2"/>
      <c r="N91" s="2"/>
      <c r="O91" s="2"/>
      <c r="P91" s="2"/>
      <c r="Q91" s="2"/>
    </row>
    <row r="92" spans="1:17" ht="15.75" customHeight="1">
      <c r="A92" s="2"/>
      <c r="B92" s="2"/>
      <c r="C92" s="2"/>
      <c r="D92" s="11"/>
      <c r="E92" s="2"/>
      <c r="F92" s="2"/>
      <c r="G92" s="2"/>
      <c r="H92" s="13"/>
      <c r="I92" s="2"/>
      <c r="J92" s="2"/>
      <c r="K92" s="2"/>
      <c r="L92" s="12" t="str">
        <f t="shared" si="0"/>
        <v/>
      </c>
      <c r="M92" s="2"/>
      <c r="N92" s="2"/>
      <c r="O92" s="2"/>
      <c r="P92" s="2"/>
      <c r="Q92" s="2"/>
    </row>
    <row r="93" spans="1:17" ht="15.75" customHeight="1">
      <c r="A93" s="2"/>
      <c r="B93" s="2"/>
      <c r="C93" s="2"/>
      <c r="D93" s="11"/>
      <c r="E93" s="2"/>
      <c r="F93" s="2"/>
      <c r="G93" s="2"/>
      <c r="H93" s="13"/>
      <c r="I93" s="2"/>
      <c r="J93" s="2"/>
      <c r="K93" s="2"/>
      <c r="L93" s="12" t="str">
        <f t="shared" si="0"/>
        <v/>
      </c>
      <c r="M93" s="2"/>
      <c r="N93" s="2"/>
      <c r="O93" s="2"/>
      <c r="P93" s="2"/>
      <c r="Q93" s="2"/>
    </row>
    <row r="94" spans="1:17" ht="15.75" customHeight="1">
      <c r="A94" s="2"/>
      <c r="B94" s="2"/>
      <c r="C94" s="2"/>
      <c r="D94" s="11"/>
      <c r="E94" s="2"/>
      <c r="F94" s="2"/>
      <c r="G94" s="2"/>
      <c r="H94" s="13"/>
      <c r="I94" s="2"/>
      <c r="J94" s="2"/>
      <c r="K94" s="2"/>
      <c r="L94" s="12" t="str">
        <f t="shared" si="0"/>
        <v/>
      </c>
      <c r="M94" s="2"/>
      <c r="N94" s="2"/>
      <c r="O94" s="2"/>
      <c r="P94" s="2"/>
      <c r="Q94" s="2"/>
    </row>
    <row r="95" spans="1:17" ht="15.75" customHeight="1">
      <c r="A95" s="2"/>
      <c r="B95" s="2"/>
      <c r="C95" s="2"/>
      <c r="D95" s="11"/>
      <c r="E95" s="2"/>
      <c r="F95" s="2"/>
      <c r="G95" s="2"/>
      <c r="H95" s="13"/>
      <c r="I95" s="2"/>
      <c r="J95" s="2"/>
      <c r="K95" s="2"/>
      <c r="L95" s="12" t="str">
        <f t="shared" si="0"/>
        <v/>
      </c>
      <c r="M95" s="2"/>
      <c r="N95" s="2"/>
      <c r="O95" s="2"/>
      <c r="P95" s="2"/>
      <c r="Q95" s="2"/>
    </row>
    <row r="96" spans="1:17" ht="15.75" customHeight="1">
      <c r="A96" s="2"/>
      <c r="B96" s="2"/>
      <c r="C96" s="2"/>
      <c r="D96" s="11"/>
      <c r="E96" s="2"/>
      <c r="F96" s="2"/>
      <c r="G96" s="2"/>
      <c r="H96" s="13"/>
      <c r="I96" s="2"/>
      <c r="J96" s="2"/>
      <c r="K96" s="2"/>
      <c r="L96" s="12" t="str">
        <f t="shared" si="0"/>
        <v/>
      </c>
      <c r="M96" s="2"/>
      <c r="N96" s="2"/>
      <c r="O96" s="2"/>
      <c r="P96" s="2"/>
      <c r="Q96" s="2"/>
    </row>
    <row r="97" spans="1:17" ht="15.75" customHeight="1">
      <c r="A97" s="2"/>
      <c r="B97" s="2"/>
      <c r="C97" s="2"/>
      <c r="D97" s="11"/>
      <c r="E97" s="2"/>
      <c r="F97" s="2"/>
      <c r="G97" s="2"/>
      <c r="H97" s="13"/>
      <c r="I97" s="2"/>
      <c r="J97" s="2"/>
      <c r="K97" s="2"/>
      <c r="L97" s="12" t="str">
        <f t="shared" si="0"/>
        <v/>
      </c>
      <c r="M97" s="2"/>
      <c r="N97" s="2"/>
      <c r="O97" s="2"/>
      <c r="P97" s="2"/>
      <c r="Q97" s="2"/>
    </row>
    <row r="98" spans="1:17" ht="15.75" customHeight="1">
      <c r="A98" s="2"/>
      <c r="B98" s="2"/>
      <c r="C98" s="2"/>
      <c r="D98" s="11"/>
      <c r="E98" s="2"/>
      <c r="F98" s="2"/>
      <c r="G98" s="2"/>
      <c r="H98" s="13"/>
      <c r="I98" s="2"/>
      <c r="J98" s="2"/>
      <c r="K98" s="2"/>
      <c r="L98" s="12" t="str">
        <f t="shared" si="0"/>
        <v/>
      </c>
      <c r="M98" s="2"/>
      <c r="N98" s="2"/>
      <c r="O98" s="2"/>
      <c r="P98" s="2"/>
      <c r="Q98" s="2"/>
    </row>
    <row r="99" spans="1:17" ht="15.75" customHeight="1">
      <c r="A99" s="2"/>
      <c r="B99" s="2"/>
      <c r="C99" s="2"/>
      <c r="D99" s="11"/>
      <c r="E99" s="2"/>
      <c r="F99" s="2"/>
      <c r="G99" s="2"/>
      <c r="H99" s="13"/>
      <c r="I99" s="2"/>
      <c r="J99" s="2"/>
      <c r="K99" s="2"/>
      <c r="L99" s="12" t="str">
        <f t="shared" si="0"/>
        <v/>
      </c>
      <c r="M99" s="2"/>
      <c r="N99" s="2"/>
      <c r="O99" s="2"/>
      <c r="P99" s="2"/>
      <c r="Q99" s="2"/>
    </row>
    <row r="100" spans="1:17" ht="15.75" customHeight="1">
      <c r="A100" s="2"/>
      <c r="B100" s="2"/>
      <c r="C100" s="2"/>
      <c r="D100" s="11"/>
      <c r="E100" s="2"/>
      <c r="F100" s="2"/>
      <c r="G100" s="2"/>
      <c r="H100" s="13"/>
      <c r="I100" s="2"/>
      <c r="J100" s="2"/>
      <c r="K100" s="2"/>
      <c r="L100" s="12" t="str">
        <f t="shared" si="0"/>
        <v/>
      </c>
      <c r="M100" s="2"/>
      <c r="N100" s="2"/>
      <c r="O100" s="2"/>
      <c r="P100" s="2"/>
      <c r="Q100" s="2"/>
    </row>
    <row r="101" spans="1:17" ht="15.75" customHeight="1">
      <c r="A101" s="2"/>
      <c r="B101" s="2"/>
      <c r="C101" s="2"/>
      <c r="D101" s="11"/>
      <c r="E101" s="2"/>
      <c r="F101" s="2"/>
      <c r="G101" s="2"/>
      <c r="H101" s="13"/>
      <c r="I101" s="2"/>
      <c r="J101" s="2"/>
      <c r="K101" s="2"/>
      <c r="L101" s="12" t="str">
        <f t="shared" si="0"/>
        <v/>
      </c>
      <c r="M101" s="2"/>
      <c r="N101" s="2"/>
      <c r="O101" s="2"/>
      <c r="P101" s="2"/>
      <c r="Q101" s="2"/>
    </row>
    <row r="102" spans="1:17" ht="15.75" customHeight="1">
      <c r="A102" s="2"/>
      <c r="B102" s="2"/>
      <c r="C102" s="2"/>
      <c r="D102" s="11"/>
      <c r="E102" s="2"/>
      <c r="F102" s="2"/>
      <c r="G102" s="2"/>
      <c r="H102" s="13"/>
      <c r="I102" s="2"/>
      <c r="J102" s="2"/>
      <c r="K102" s="2"/>
      <c r="L102" s="12" t="str">
        <f t="shared" si="0"/>
        <v/>
      </c>
      <c r="M102" s="2"/>
      <c r="N102" s="2"/>
      <c r="O102" s="2"/>
      <c r="P102" s="2"/>
      <c r="Q102" s="2"/>
    </row>
    <row r="103" spans="1:17" ht="15.75" customHeight="1">
      <c r="A103" s="2"/>
      <c r="B103" s="2"/>
      <c r="C103" s="2"/>
      <c r="D103" s="11"/>
      <c r="E103" s="2"/>
      <c r="F103" s="2"/>
      <c r="G103" s="2"/>
      <c r="H103" s="13"/>
      <c r="I103" s="2"/>
      <c r="J103" s="2"/>
      <c r="K103" s="2"/>
      <c r="L103" s="12" t="str">
        <f t="shared" si="0"/>
        <v/>
      </c>
      <c r="M103" s="2"/>
      <c r="N103" s="2"/>
      <c r="O103" s="2"/>
      <c r="P103" s="2"/>
      <c r="Q103" s="2"/>
    </row>
    <row r="104" spans="1:17" ht="15.75" customHeight="1">
      <c r="A104" s="2"/>
      <c r="B104" s="2"/>
      <c r="C104" s="2"/>
      <c r="D104" s="11"/>
      <c r="E104" s="2"/>
      <c r="F104" s="2"/>
      <c r="G104" s="2"/>
      <c r="H104" s="13"/>
      <c r="I104" s="2"/>
      <c r="J104" s="2"/>
      <c r="K104" s="2"/>
      <c r="L104" s="12" t="str">
        <f t="shared" si="0"/>
        <v/>
      </c>
      <c r="M104" s="2"/>
      <c r="N104" s="2"/>
      <c r="O104" s="2"/>
      <c r="P104" s="2"/>
      <c r="Q104" s="2"/>
    </row>
    <row r="105" spans="1:17" ht="15.75" customHeight="1">
      <c r="A105" s="2"/>
      <c r="B105" s="2"/>
      <c r="C105" s="2"/>
      <c r="D105" s="11"/>
      <c r="E105" s="2"/>
      <c r="F105" s="2"/>
      <c r="G105" s="2"/>
      <c r="H105" s="13"/>
      <c r="I105" s="2"/>
      <c r="J105" s="2"/>
      <c r="K105" s="2"/>
      <c r="L105" s="12" t="str">
        <f t="shared" si="0"/>
        <v/>
      </c>
      <c r="M105" s="2"/>
      <c r="N105" s="2"/>
      <c r="O105" s="2"/>
      <c r="P105" s="2"/>
      <c r="Q105" s="2"/>
    </row>
    <row r="106" spans="1:17" ht="15.75" customHeight="1">
      <c r="A106" s="2"/>
      <c r="B106" s="2"/>
      <c r="C106" s="2"/>
      <c r="D106" s="11"/>
      <c r="E106" s="2"/>
      <c r="F106" s="2"/>
      <c r="G106" s="2"/>
      <c r="H106" s="13"/>
      <c r="I106" s="2"/>
      <c r="J106" s="2"/>
      <c r="K106" s="2"/>
      <c r="L106" s="12" t="str">
        <f t="shared" si="0"/>
        <v/>
      </c>
      <c r="M106" s="2"/>
      <c r="N106" s="2"/>
      <c r="O106" s="2"/>
      <c r="P106" s="2"/>
      <c r="Q106" s="2"/>
    </row>
    <row r="107" spans="1:17" ht="15.75" customHeight="1">
      <c r="A107" s="2"/>
      <c r="B107" s="2"/>
      <c r="C107" s="2"/>
      <c r="D107" s="11"/>
      <c r="E107" s="2"/>
      <c r="F107" s="2"/>
      <c r="G107" s="2"/>
      <c r="H107" s="13"/>
      <c r="I107" s="2"/>
      <c r="J107" s="2"/>
      <c r="K107" s="2"/>
      <c r="L107" s="12" t="str">
        <f t="shared" si="0"/>
        <v/>
      </c>
      <c r="M107" s="2"/>
      <c r="N107" s="2"/>
      <c r="O107" s="2"/>
      <c r="P107" s="2"/>
      <c r="Q107" s="2"/>
    </row>
    <row r="108" spans="1:17" ht="15.75" customHeight="1">
      <c r="A108" s="2"/>
      <c r="B108" s="2"/>
      <c r="C108" s="2"/>
      <c r="D108" s="11"/>
      <c r="E108" s="2"/>
      <c r="F108" s="2"/>
      <c r="G108" s="2"/>
      <c r="H108" s="13"/>
      <c r="I108" s="2"/>
      <c r="J108" s="2"/>
      <c r="K108" s="2"/>
      <c r="L108" s="12" t="str">
        <f t="shared" si="0"/>
        <v/>
      </c>
      <c r="M108" s="2"/>
      <c r="N108" s="2"/>
      <c r="O108" s="2"/>
      <c r="P108" s="2"/>
      <c r="Q108" s="2"/>
    </row>
    <row r="109" spans="1:17" ht="15.75" customHeight="1">
      <c r="A109" s="2"/>
      <c r="B109" s="2"/>
      <c r="C109" s="2"/>
      <c r="D109" s="11"/>
      <c r="E109" s="2"/>
      <c r="F109" s="2"/>
      <c r="G109" s="2"/>
      <c r="H109" s="13"/>
      <c r="I109" s="2"/>
      <c r="J109" s="2"/>
      <c r="K109" s="2"/>
      <c r="L109" s="12" t="str">
        <f t="shared" si="0"/>
        <v/>
      </c>
      <c r="M109" s="2"/>
      <c r="N109" s="2"/>
      <c r="O109" s="2"/>
      <c r="P109" s="2"/>
      <c r="Q109" s="2"/>
    </row>
    <row r="110" spans="1:17" ht="15.75" customHeight="1">
      <c r="A110" s="2"/>
      <c r="B110" s="2"/>
      <c r="C110" s="2"/>
      <c r="D110" s="11"/>
      <c r="E110" s="2"/>
      <c r="F110" s="2"/>
      <c r="G110" s="2"/>
      <c r="H110" s="13"/>
      <c r="I110" s="2"/>
      <c r="J110" s="2"/>
      <c r="K110" s="2"/>
      <c r="L110" s="12" t="str">
        <f t="shared" si="0"/>
        <v/>
      </c>
      <c r="M110" s="2"/>
      <c r="N110" s="2"/>
      <c r="O110" s="2"/>
      <c r="P110" s="2"/>
      <c r="Q110" s="2"/>
    </row>
    <row r="111" spans="1:17" ht="15.75" customHeight="1">
      <c r="A111" s="2"/>
      <c r="B111" s="2"/>
      <c r="C111" s="2"/>
      <c r="D111" s="11"/>
      <c r="E111" s="2"/>
      <c r="F111" s="2"/>
      <c r="G111" s="2"/>
      <c r="H111" s="13"/>
      <c r="I111" s="2"/>
      <c r="J111" s="2"/>
      <c r="K111" s="2"/>
      <c r="L111" s="12" t="str">
        <f t="shared" si="0"/>
        <v/>
      </c>
      <c r="M111" s="2"/>
      <c r="N111" s="2"/>
      <c r="O111" s="2"/>
      <c r="P111" s="2"/>
      <c r="Q111" s="2"/>
    </row>
    <row r="112" spans="1:17" ht="15.75" customHeight="1">
      <c r="A112" s="2"/>
      <c r="B112" s="2"/>
      <c r="C112" s="2"/>
      <c r="D112" s="11"/>
      <c r="E112" s="2"/>
      <c r="F112" s="2"/>
      <c r="G112" s="2"/>
      <c r="H112" s="13"/>
      <c r="I112" s="2"/>
      <c r="J112" s="2"/>
      <c r="K112" s="2"/>
      <c r="L112" s="12" t="str">
        <f t="shared" si="0"/>
        <v/>
      </c>
      <c r="M112" s="2"/>
      <c r="N112" s="2"/>
      <c r="O112" s="2"/>
      <c r="P112" s="2"/>
      <c r="Q112" s="2"/>
    </row>
    <row r="113" spans="1:17" ht="15.75" customHeight="1">
      <c r="A113" s="2"/>
      <c r="B113" s="2"/>
      <c r="C113" s="2"/>
      <c r="D113" s="11"/>
      <c r="E113" s="2"/>
      <c r="F113" s="2"/>
      <c r="G113" s="2"/>
      <c r="H113" s="13"/>
      <c r="I113" s="2"/>
      <c r="J113" s="2"/>
      <c r="K113" s="2"/>
      <c r="L113" s="12" t="str">
        <f t="shared" si="0"/>
        <v/>
      </c>
      <c r="M113" s="2"/>
      <c r="N113" s="2"/>
      <c r="O113" s="2"/>
      <c r="P113" s="2"/>
      <c r="Q113" s="2"/>
    </row>
    <row r="114" spans="1:17" ht="15.75" customHeight="1">
      <c r="A114" s="2"/>
      <c r="B114" s="2"/>
      <c r="C114" s="2"/>
      <c r="D114" s="11"/>
      <c r="E114" s="2"/>
      <c r="F114" s="2"/>
      <c r="G114" s="2"/>
      <c r="H114" s="13"/>
      <c r="I114" s="2"/>
      <c r="J114" s="2"/>
      <c r="K114" s="2"/>
      <c r="L114" s="12" t="str">
        <f t="shared" si="0"/>
        <v/>
      </c>
      <c r="M114" s="2"/>
      <c r="N114" s="2"/>
      <c r="O114" s="2"/>
      <c r="P114" s="2"/>
      <c r="Q114" s="2"/>
    </row>
    <row r="115" spans="1:17" ht="15.75" customHeight="1">
      <c r="A115" s="2"/>
      <c r="B115" s="2"/>
      <c r="C115" s="2"/>
      <c r="D115" s="11"/>
      <c r="E115" s="2"/>
      <c r="F115" s="2"/>
      <c r="G115" s="2"/>
      <c r="H115" s="13"/>
      <c r="I115" s="2"/>
      <c r="J115" s="2"/>
      <c r="K115" s="2"/>
      <c r="L115" s="12" t="str">
        <f t="shared" si="0"/>
        <v/>
      </c>
      <c r="M115" s="2"/>
      <c r="N115" s="2"/>
      <c r="O115" s="2"/>
      <c r="P115" s="2"/>
      <c r="Q115" s="2"/>
    </row>
    <row r="116" spans="1:17" ht="15.75" customHeight="1">
      <c r="A116" s="2"/>
      <c r="B116" s="2"/>
      <c r="C116" s="2"/>
      <c r="D116" s="11"/>
      <c r="E116" s="2"/>
      <c r="F116" s="2"/>
      <c r="G116" s="2"/>
      <c r="H116" s="13"/>
      <c r="I116" s="2"/>
      <c r="J116" s="2"/>
      <c r="K116" s="2"/>
      <c r="L116" s="12" t="str">
        <f t="shared" si="0"/>
        <v/>
      </c>
      <c r="M116" s="2"/>
      <c r="N116" s="2"/>
      <c r="O116" s="2"/>
      <c r="P116" s="2"/>
      <c r="Q116" s="2"/>
    </row>
    <row r="117" spans="1:17" ht="15.75" customHeight="1">
      <c r="A117" s="2"/>
      <c r="B117" s="2"/>
      <c r="C117" s="2"/>
      <c r="D117" s="11"/>
      <c r="E117" s="2"/>
      <c r="F117" s="2"/>
      <c r="G117" s="2"/>
      <c r="H117" s="13"/>
      <c r="I117" s="2"/>
      <c r="J117" s="2"/>
      <c r="K117" s="2"/>
      <c r="L117" s="12" t="str">
        <f t="shared" si="0"/>
        <v/>
      </c>
      <c r="M117" s="2"/>
      <c r="N117" s="2"/>
      <c r="O117" s="2"/>
      <c r="P117" s="2"/>
      <c r="Q117" s="2"/>
    </row>
    <row r="118" spans="1:17" ht="15.75" customHeight="1">
      <c r="A118" s="2"/>
      <c r="B118" s="2"/>
      <c r="C118" s="2"/>
      <c r="D118" s="11"/>
      <c r="E118" s="2"/>
      <c r="F118" s="2"/>
      <c r="G118" s="2"/>
      <c r="H118" s="13"/>
      <c r="I118" s="2"/>
      <c r="J118" s="2"/>
      <c r="K118" s="2"/>
      <c r="L118" s="12" t="str">
        <f t="shared" si="0"/>
        <v/>
      </c>
      <c r="M118" s="2"/>
      <c r="N118" s="2"/>
      <c r="O118" s="2"/>
      <c r="P118" s="2"/>
      <c r="Q118" s="2"/>
    </row>
    <row r="119" spans="1:17" ht="15.75" customHeight="1">
      <c r="A119" s="2"/>
      <c r="B119" s="2"/>
      <c r="C119" s="2"/>
      <c r="D119" s="11"/>
      <c r="E119" s="2"/>
      <c r="F119" s="2"/>
      <c r="G119" s="2"/>
      <c r="H119" s="13"/>
      <c r="I119" s="2"/>
      <c r="J119" s="2"/>
      <c r="K119" s="2"/>
      <c r="L119" s="12" t="str">
        <f t="shared" si="0"/>
        <v/>
      </c>
      <c r="M119" s="2"/>
      <c r="N119" s="2"/>
      <c r="O119" s="2"/>
      <c r="P119" s="2"/>
      <c r="Q119" s="2"/>
    </row>
    <row r="120" spans="1:17" ht="15.75" customHeight="1">
      <c r="A120" s="2"/>
      <c r="B120" s="2"/>
      <c r="C120" s="2"/>
      <c r="D120" s="11"/>
      <c r="E120" s="2"/>
      <c r="F120" s="2"/>
      <c r="G120" s="2"/>
      <c r="H120" s="13"/>
      <c r="I120" s="2"/>
      <c r="J120" s="2"/>
      <c r="K120" s="2"/>
      <c r="L120" s="12" t="str">
        <f t="shared" si="0"/>
        <v/>
      </c>
      <c r="M120" s="2"/>
      <c r="N120" s="2"/>
      <c r="O120" s="2"/>
      <c r="P120" s="2"/>
      <c r="Q120" s="2"/>
    </row>
    <row r="121" spans="1:17" ht="15.75" customHeight="1">
      <c r="A121" s="2"/>
      <c r="B121" s="2"/>
      <c r="C121" s="2"/>
      <c r="D121" s="11"/>
      <c r="E121" s="2"/>
      <c r="F121" s="2"/>
      <c r="G121" s="2"/>
      <c r="H121" s="13"/>
      <c r="I121" s="2"/>
      <c r="J121" s="2"/>
      <c r="K121" s="2"/>
      <c r="L121" s="12" t="str">
        <f t="shared" si="0"/>
        <v/>
      </c>
      <c r="M121" s="2"/>
      <c r="N121" s="2"/>
      <c r="O121" s="2"/>
      <c r="P121" s="2"/>
      <c r="Q121" s="2"/>
    </row>
    <row r="122" spans="1:17" ht="15.75" customHeight="1">
      <c r="A122" s="2"/>
      <c r="B122" s="2"/>
      <c r="C122" s="2"/>
      <c r="D122" s="11"/>
      <c r="E122" s="2"/>
      <c r="F122" s="2"/>
      <c r="G122" s="2"/>
      <c r="H122" s="13"/>
      <c r="I122" s="2"/>
      <c r="J122" s="2"/>
      <c r="K122" s="2"/>
      <c r="L122" s="12" t="str">
        <f t="shared" si="0"/>
        <v/>
      </c>
      <c r="M122" s="2"/>
      <c r="N122" s="2"/>
      <c r="O122" s="2"/>
      <c r="P122" s="2"/>
      <c r="Q122" s="2"/>
    </row>
    <row r="123" spans="1:17" ht="15.75" customHeight="1">
      <c r="A123" s="2"/>
      <c r="B123" s="2"/>
      <c r="C123" s="2"/>
      <c r="D123" s="11"/>
      <c r="E123" s="2"/>
      <c r="F123" s="2"/>
      <c r="G123" s="2"/>
      <c r="H123" s="13"/>
      <c r="I123" s="2"/>
      <c r="J123" s="2"/>
      <c r="K123" s="2"/>
      <c r="L123" s="12" t="str">
        <f t="shared" si="0"/>
        <v/>
      </c>
      <c r="M123" s="2"/>
      <c r="N123" s="2"/>
      <c r="O123" s="2"/>
      <c r="P123" s="2"/>
      <c r="Q123" s="2"/>
    </row>
    <row r="124" spans="1:17" ht="15.75" customHeight="1">
      <c r="A124" s="2"/>
      <c r="B124" s="2"/>
      <c r="C124" s="2"/>
      <c r="D124" s="11"/>
      <c r="E124" s="2"/>
      <c r="F124" s="2"/>
      <c r="G124" s="2"/>
      <c r="H124" s="13"/>
      <c r="I124" s="2"/>
      <c r="J124" s="2"/>
      <c r="K124" s="2"/>
      <c r="L124" s="12" t="str">
        <f t="shared" si="0"/>
        <v/>
      </c>
      <c r="M124" s="2"/>
      <c r="N124" s="2"/>
      <c r="O124" s="2"/>
      <c r="P124" s="2"/>
      <c r="Q124" s="2"/>
    </row>
    <row r="125" spans="1:17" ht="15.75" customHeight="1">
      <c r="A125" s="2"/>
      <c r="B125" s="2"/>
      <c r="C125" s="2"/>
      <c r="D125" s="11"/>
      <c r="E125" s="2"/>
      <c r="F125" s="2"/>
      <c r="G125" s="2"/>
      <c r="H125" s="13"/>
      <c r="I125" s="2"/>
      <c r="J125" s="2"/>
      <c r="K125" s="2"/>
      <c r="L125" s="12" t="str">
        <f t="shared" si="0"/>
        <v/>
      </c>
      <c r="M125" s="2"/>
      <c r="N125" s="2"/>
      <c r="O125" s="2"/>
      <c r="P125" s="2"/>
      <c r="Q125" s="2"/>
    </row>
    <row r="126" spans="1:17" ht="15.75" customHeight="1">
      <c r="A126" s="2"/>
      <c r="B126" s="2"/>
      <c r="C126" s="2"/>
      <c r="D126" s="11"/>
      <c r="E126" s="2"/>
      <c r="F126" s="2"/>
      <c r="G126" s="2"/>
      <c r="H126" s="13"/>
      <c r="I126" s="2"/>
      <c r="J126" s="2"/>
      <c r="K126" s="2"/>
      <c r="L126" s="12" t="str">
        <f t="shared" si="0"/>
        <v/>
      </c>
      <c r="M126" s="2"/>
      <c r="N126" s="2"/>
      <c r="O126" s="2"/>
      <c r="P126" s="2"/>
      <c r="Q126" s="2"/>
    </row>
    <row r="127" spans="1:17" ht="15.75" customHeight="1">
      <c r="A127" s="2"/>
      <c r="B127" s="2"/>
      <c r="C127" s="2"/>
      <c r="D127" s="11"/>
      <c r="E127" s="2"/>
      <c r="F127" s="2"/>
      <c r="G127" s="2"/>
      <c r="H127" s="13"/>
      <c r="I127" s="2"/>
      <c r="J127" s="2"/>
      <c r="K127" s="2"/>
      <c r="L127" s="12" t="str">
        <f t="shared" si="0"/>
        <v/>
      </c>
      <c r="M127" s="2"/>
      <c r="N127" s="2"/>
      <c r="O127" s="2"/>
      <c r="P127" s="2"/>
      <c r="Q127" s="2"/>
    </row>
    <row r="128" spans="1:17" ht="15.75" customHeight="1">
      <c r="A128" s="2"/>
      <c r="B128" s="2"/>
      <c r="C128" s="2"/>
      <c r="D128" s="11"/>
      <c r="E128" s="2"/>
      <c r="F128" s="2"/>
      <c r="G128" s="2"/>
      <c r="H128" s="13"/>
      <c r="I128" s="2"/>
      <c r="J128" s="2"/>
      <c r="K128" s="2"/>
      <c r="L128" s="12" t="str">
        <f t="shared" si="0"/>
        <v/>
      </c>
      <c r="M128" s="2"/>
      <c r="N128" s="2"/>
      <c r="O128" s="2"/>
      <c r="P128" s="2"/>
      <c r="Q128" s="2"/>
    </row>
    <row r="129" spans="1:17" ht="15.75" customHeight="1">
      <c r="A129" s="2"/>
      <c r="B129" s="2"/>
      <c r="C129" s="2"/>
      <c r="D129" s="11"/>
      <c r="E129" s="2"/>
      <c r="F129" s="2"/>
      <c r="G129" s="2"/>
      <c r="H129" s="13"/>
      <c r="I129" s="2"/>
      <c r="J129" s="2"/>
      <c r="K129" s="2"/>
      <c r="L129" s="12" t="str">
        <f t="shared" si="0"/>
        <v/>
      </c>
      <c r="M129" s="2"/>
      <c r="N129" s="2"/>
      <c r="O129" s="2"/>
      <c r="P129" s="2"/>
      <c r="Q129" s="2"/>
    </row>
    <row r="130" spans="1:17" ht="15.75" customHeight="1">
      <c r="A130" s="2"/>
      <c r="B130" s="2"/>
      <c r="C130" s="2"/>
      <c r="D130" s="11"/>
      <c r="E130" s="2"/>
      <c r="F130" s="2"/>
      <c r="G130" s="2"/>
      <c r="H130" s="13"/>
      <c r="I130" s="2"/>
      <c r="J130" s="2"/>
      <c r="K130" s="2"/>
      <c r="L130" s="12" t="str">
        <f t="shared" si="0"/>
        <v/>
      </c>
      <c r="M130" s="2"/>
      <c r="N130" s="2"/>
      <c r="O130" s="2"/>
      <c r="P130" s="2"/>
      <c r="Q130" s="2"/>
    </row>
    <row r="131" spans="1:17" ht="15.75" customHeight="1">
      <c r="A131" s="2"/>
      <c r="B131" s="2"/>
      <c r="C131" s="2"/>
      <c r="D131" s="11"/>
      <c r="E131" s="2"/>
      <c r="F131" s="2"/>
      <c r="G131" s="2"/>
      <c r="H131" s="13"/>
      <c r="I131" s="2"/>
      <c r="J131" s="2"/>
      <c r="K131" s="2"/>
      <c r="L131" s="12" t="str">
        <f t="shared" si="0"/>
        <v/>
      </c>
      <c r="M131" s="2"/>
      <c r="N131" s="2"/>
      <c r="O131" s="2"/>
      <c r="P131" s="2"/>
      <c r="Q131" s="2"/>
    </row>
    <row r="132" spans="1:17" ht="15.75" customHeight="1">
      <c r="A132" s="2"/>
      <c r="B132" s="2"/>
      <c r="C132" s="2"/>
      <c r="D132" s="11"/>
      <c r="E132" s="2"/>
      <c r="F132" s="2"/>
      <c r="G132" s="2"/>
      <c r="H132" s="13"/>
      <c r="I132" s="2"/>
      <c r="J132" s="2"/>
      <c r="K132" s="2"/>
      <c r="L132" s="12" t="str">
        <f t="shared" si="0"/>
        <v/>
      </c>
      <c r="M132" s="2"/>
      <c r="N132" s="2"/>
      <c r="O132" s="2"/>
      <c r="P132" s="2"/>
      <c r="Q132" s="2"/>
    </row>
    <row r="133" spans="1:17" ht="15.75" customHeight="1">
      <c r="A133" s="2"/>
      <c r="B133" s="2"/>
      <c r="C133" s="2"/>
      <c r="D133" s="11"/>
      <c r="E133" s="2"/>
      <c r="F133" s="2"/>
      <c r="G133" s="2"/>
      <c r="H133" s="13"/>
      <c r="I133" s="2"/>
      <c r="J133" s="2"/>
      <c r="K133" s="2"/>
      <c r="L133" s="12" t="str">
        <f t="shared" si="0"/>
        <v/>
      </c>
      <c r="M133" s="2"/>
      <c r="N133" s="2"/>
      <c r="O133" s="2"/>
      <c r="P133" s="2"/>
      <c r="Q133" s="2"/>
    </row>
    <row r="134" spans="1:17" ht="15.75" customHeight="1">
      <c r="A134" s="2"/>
      <c r="B134" s="2"/>
      <c r="C134" s="2"/>
      <c r="D134" s="11"/>
      <c r="E134" s="2"/>
      <c r="F134" s="2"/>
      <c r="G134" s="2"/>
      <c r="H134" s="13"/>
      <c r="I134" s="2"/>
      <c r="J134" s="2"/>
      <c r="K134" s="2"/>
      <c r="L134" s="12" t="str">
        <f t="shared" si="0"/>
        <v/>
      </c>
      <c r="M134" s="2"/>
      <c r="N134" s="2"/>
      <c r="O134" s="2"/>
      <c r="P134" s="2"/>
      <c r="Q134" s="2"/>
    </row>
    <row r="135" spans="1:17" ht="15.75" customHeight="1">
      <c r="A135" s="2"/>
      <c r="B135" s="2"/>
      <c r="C135" s="2"/>
      <c r="D135" s="11"/>
      <c r="E135" s="2"/>
      <c r="F135" s="2"/>
      <c r="G135" s="2"/>
      <c r="H135" s="13"/>
      <c r="I135" s="2"/>
      <c r="J135" s="2"/>
      <c r="K135" s="2"/>
      <c r="L135" s="12" t="str">
        <f t="shared" si="0"/>
        <v/>
      </c>
      <c r="M135" s="2"/>
      <c r="N135" s="2"/>
      <c r="O135" s="2"/>
      <c r="P135" s="2"/>
      <c r="Q135" s="2"/>
    </row>
    <row r="136" spans="1:17" ht="15.75" customHeight="1">
      <c r="A136" s="2"/>
      <c r="B136" s="2"/>
      <c r="C136" s="2"/>
      <c r="D136" s="11"/>
      <c r="E136" s="2"/>
      <c r="F136" s="2"/>
      <c r="G136" s="2"/>
      <c r="H136" s="13"/>
      <c r="I136" s="2"/>
      <c r="J136" s="2"/>
      <c r="K136" s="2"/>
      <c r="L136" s="12" t="str">
        <f t="shared" si="0"/>
        <v/>
      </c>
      <c r="M136" s="2"/>
      <c r="N136" s="2"/>
      <c r="O136" s="2"/>
      <c r="P136" s="2"/>
      <c r="Q136" s="2"/>
    </row>
    <row r="137" spans="1:17" ht="15.75" customHeight="1">
      <c r="A137" s="2"/>
      <c r="B137" s="2"/>
      <c r="C137" s="2"/>
      <c r="D137" s="11"/>
      <c r="E137" s="2"/>
      <c r="F137" s="2"/>
      <c r="G137" s="2"/>
      <c r="H137" s="13"/>
      <c r="I137" s="2"/>
      <c r="J137" s="2"/>
      <c r="K137" s="2"/>
      <c r="L137" s="12" t="str">
        <f t="shared" si="0"/>
        <v/>
      </c>
      <c r="M137" s="2"/>
      <c r="N137" s="2"/>
      <c r="O137" s="2"/>
      <c r="P137" s="2"/>
      <c r="Q137" s="2"/>
    </row>
    <row r="138" spans="1:17" ht="15.75" customHeight="1">
      <c r="A138" s="2"/>
      <c r="B138" s="2"/>
      <c r="C138" s="2"/>
      <c r="D138" s="11"/>
      <c r="E138" s="2"/>
      <c r="F138" s="2"/>
      <c r="G138" s="2"/>
      <c r="H138" s="13"/>
      <c r="I138" s="2"/>
      <c r="J138" s="2"/>
      <c r="K138" s="2"/>
      <c r="L138" s="12" t="str">
        <f t="shared" si="0"/>
        <v/>
      </c>
      <c r="M138" s="2"/>
      <c r="N138" s="2"/>
      <c r="O138" s="2"/>
      <c r="P138" s="2"/>
      <c r="Q138" s="2"/>
    </row>
    <row r="139" spans="1:17" ht="15.75" customHeight="1">
      <c r="A139" s="2"/>
      <c r="B139" s="2"/>
      <c r="C139" s="2"/>
      <c r="D139" s="11"/>
      <c r="E139" s="2"/>
      <c r="F139" s="2"/>
      <c r="G139" s="2"/>
      <c r="H139" s="13"/>
      <c r="I139" s="2"/>
      <c r="J139" s="2"/>
      <c r="K139" s="2"/>
      <c r="L139" s="12" t="str">
        <f t="shared" si="0"/>
        <v/>
      </c>
      <c r="M139" s="2"/>
      <c r="N139" s="2"/>
      <c r="O139" s="2"/>
      <c r="P139" s="2"/>
      <c r="Q139" s="2"/>
    </row>
    <row r="140" spans="1:17" ht="15.75" customHeight="1">
      <c r="A140" s="2"/>
      <c r="B140" s="2"/>
      <c r="C140" s="2"/>
      <c r="D140" s="11"/>
      <c r="E140" s="2"/>
      <c r="F140" s="2"/>
      <c r="G140" s="2"/>
      <c r="H140" s="13"/>
      <c r="I140" s="2"/>
      <c r="J140" s="2"/>
      <c r="K140" s="2"/>
      <c r="L140" s="12" t="str">
        <f t="shared" si="0"/>
        <v/>
      </c>
      <c r="M140" s="2"/>
      <c r="N140" s="2"/>
      <c r="O140" s="2"/>
      <c r="P140" s="2"/>
      <c r="Q140" s="2"/>
    </row>
    <row r="141" spans="1:17" ht="15.75" customHeight="1">
      <c r="A141" s="2"/>
      <c r="B141" s="2"/>
      <c r="C141" s="2"/>
      <c r="D141" s="11"/>
      <c r="E141" s="2"/>
      <c r="F141" s="2"/>
      <c r="G141" s="2"/>
      <c r="H141" s="13"/>
      <c r="I141" s="2"/>
      <c r="J141" s="2"/>
      <c r="K141" s="2"/>
      <c r="L141" s="12" t="str">
        <f t="shared" si="0"/>
        <v/>
      </c>
      <c r="M141" s="2"/>
      <c r="N141" s="2"/>
      <c r="O141" s="2"/>
      <c r="P141" s="2"/>
      <c r="Q141" s="2"/>
    </row>
    <row r="142" spans="1:17" ht="15.75" customHeight="1">
      <c r="A142" s="2"/>
      <c r="B142" s="2"/>
      <c r="C142" s="2"/>
      <c r="D142" s="11"/>
      <c r="E142" s="2"/>
      <c r="F142" s="2"/>
      <c r="G142" s="2"/>
      <c r="H142" s="13"/>
      <c r="I142" s="2"/>
      <c r="J142" s="2"/>
      <c r="K142" s="2"/>
      <c r="L142" s="12" t="str">
        <f t="shared" si="0"/>
        <v/>
      </c>
      <c r="M142" s="2"/>
      <c r="N142" s="2"/>
      <c r="O142" s="2"/>
      <c r="P142" s="2"/>
      <c r="Q142" s="2"/>
    </row>
    <row r="143" spans="1:17" ht="15.75" customHeight="1">
      <c r="A143" s="2"/>
      <c r="B143" s="2"/>
      <c r="C143" s="2"/>
      <c r="D143" s="11"/>
      <c r="E143" s="2"/>
      <c r="F143" s="2"/>
      <c r="G143" s="2"/>
      <c r="H143" s="13"/>
      <c r="I143" s="2"/>
      <c r="J143" s="2"/>
      <c r="K143" s="2"/>
      <c r="L143" s="12" t="str">
        <f t="shared" si="0"/>
        <v/>
      </c>
      <c r="M143" s="2"/>
      <c r="N143" s="2"/>
      <c r="O143" s="2"/>
      <c r="P143" s="2"/>
      <c r="Q143" s="2"/>
    </row>
    <row r="144" spans="1:17" ht="15.75" customHeight="1">
      <c r="A144" s="2"/>
      <c r="B144" s="2"/>
      <c r="C144" s="2"/>
      <c r="D144" s="11"/>
      <c r="E144" s="2"/>
      <c r="F144" s="2"/>
      <c r="G144" s="2"/>
      <c r="H144" s="13"/>
      <c r="I144" s="2"/>
      <c r="J144" s="2"/>
      <c r="K144" s="2"/>
      <c r="L144" s="12" t="str">
        <f t="shared" si="0"/>
        <v/>
      </c>
      <c r="M144" s="2"/>
      <c r="N144" s="2"/>
      <c r="O144" s="2"/>
      <c r="P144" s="2"/>
      <c r="Q144" s="2"/>
    </row>
    <row r="145" spans="1:17" ht="15.75" customHeight="1">
      <c r="A145" s="2"/>
      <c r="B145" s="2"/>
      <c r="C145" s="2"/>
      <c r="D145" s="11"/>
      <c r="E145" s="2"/>
      <c r="F145" s="2"/>
      <c r="G145" s="2"/>
      <c r="H145" s="13"/>
      <c r="I145" s="2"/>
      <c r="J145" s="2"/>
      <c r="K145" s="2"/>
      <c r="L145" s="12" t="str">
        <f t="shared" si="0"/>
        <v/>
      </c>
      <c r="M145" s="2"/>
      <c r="N145" s="2"/>
      <c r="O145" s="2"/>
      <c r="P145" s="2"/>
      <c r="Q145" s="2"/>
    </row>
    <row r="146" spans="1:17" ht="15.75" customHeight="1">
      <c r="A146" s="2"/>
      <c r="B146" s="2"/>
      <c r="C146" s="2"/>
      <c r="D146" s="11"/>
      <c r="E146" s="2"/>
      <c r="F146" s="2"/>
      <c r="G146" s="2"/>
      <c r="H146" s="13"/>
      <c r="I146" s="2"/>
      <c r="J146" s="2"/>
      <c r="K146" s="2"/>
      <c r="L146" s="12" t="str">
        <f t="shared" si="0"/>
        <v/>
      </c>
      <c r="M146" s="2"/>
      <c r="N146" s="2"/>
      <c r="O146" s="2"/>
      <c r="P146" s="2"/>
      <c r="Q146" s="2"/>
    </row>
    <row r="147" spans="1:17" ht="15.75" customHeight="1">
      <c r="A147" s="2"/>
      <c r="B147" s="2"/>
      <c r="C147" s="2"/>
      <c r="D147" s="11"/>
      <c r="E147" s="2"/>
      <c r="F147" s="2"/>
      <c r="G147" s="2"/>
      <c r="H147" s="13"/>
      <c r="I147" s="2"/>
      <c r="J147" s="2"/>
      <c r="K147" s="2"/>
      <c r="L147" s="12" t="str">
        <f t="shared" si="0"/>
        <v/>
      </c>
      <c r="M147" s="2"/>
      <c r="N147" s="2"/>
      <c r="O147" s="2"/>
      <c r="P147" s="2"/>
      <c r="Q147" s="2"/>
    </row>
    <row r="148" spans="1:17" ht="15.75" customHeight="1">
      <c r="A148" s="2"/>
      <c r="B148" s="2"/>
      <c r="C148" s="2"/>
      <c r="D148" s="11"/>
      <c r="E148" s="2"/>
      <c r="F148" s="2"/>
      <c r="G148" s="2"/>
      <c r="H148" s="13"/>
      <c r="I148" s="2"/>
      <c r="J148" s="2"/>
      <c r="K148" s="2"/>
      <c r="L148" s="12" t="str">
        <f t="shared" si="0"/>
        <v/>
      </c>
      <c r="M148" s="2"/>
      <c r="N148" s="2"/>
      <c r="O148" s="2"/>
      <c r="P148" s="2"/>
      <c r="Q148" s="2"/>
    </row>
    <row r="149" spans="1:17" ht="15.75" customHeight="1">
      <c r="A149" s="2"/>
      <c r="B149" s="2"/>
      <c r="C149" s="2"/>
      <c r="D149" s="11"/>
      <c r="E149" s="2"/>
      <c r="F149" s="2"/>
      <c r="G149" s="2"/>
      <c r="H149" s="13"/>
      <c r="I149" s="2"/>
      <c r="J149" s="2"/>
      <c r="K149" s="2"/>
      <c r="L149" s="12" t="str">
        <f t="shared" si="0"/>
        <v/>
      </c>
      <c r="M149" s="2"/>
      <c r="N149" s="2"/>
      <c r="O149" s="2"/>
      <c r="P149" s="2"/>
      <c r="Q149" s="2"/>
    </row>
    <row r="150" spans="1:17" ht="15.75" customHeight="1">
      <c r="A150" s="2"/>
      <c r="B150" s="2"/>
      <c r="C150" s="2"/>
      <c r="D150" s="11"/>
      <c r="E150" s="2"/>
      <c r="F150" s="2"/>
      <c r="G150" s="2"/>
      <c r="H150" s="13"/>
      <c r="I150" s="2"/>
      <c r="J150" s="2"/>
      <c r="K150" s="2"/>
      <c r="L150" s="12" t="str">
        <f t="shared" si="0"/>
        <v/>
      </c>
      <c r="M150" s="2"/>
      <c r="N150" s="2"/>
      <c r="O150" s="2"/>
      <c r="P150" s="2"/>
      <c r="Q150" s="2"/>
    </row>
    <row r="151" spans="1:17" ht="15.75" customHeight="1">
      <c r="A151" s="2"/>
      <c r="B151" s="2"/>
      <c r="C151" s="2"/>
      <c r="D151" s="11"/>
      <c r="E151" s="2"/>
      <c r="F151" s="2"/>
      <c r="G151" s="2"/>
      <c r="H151" s="13"/>
      <c r="I151" s="2"/>
      <c r="J151" s="2"/>
      <c r="K151" s="2"/>
      <c r="L151" s="12" t="str">
        <f t="shared" si="0"/>
        <v/>
      </c>
      <c r="M151" s="2"/>
      <c r="N151" s="2"/>
      <c r="O151" s="2"/>
      <c r="P151" s="2"/>
      <c r="Q151" s="2"/>
    </row>
    <row r="152" spans="1:17" ht="15.75" customHeight="1">
      <c r="A152" s="2"/>
      <c r="B152" s="2"/>
      <c r="C152" s="2"/>
      <c r="D152" s="11"/>
      <c r="E152" s="2"/>
      <c r="F152" s="2"/>
      <c r="G152" s="2"/>
      <c r="H152" s="13"/>
      <c r="I152" s="2"/>
      <c r="J152" s="2"/>
      <c r="K152" s="2"/>
      <c r="L152" s="12" t="str">
        <f t="shared" si="0"/>
        <v/>
      </c>
      <c r="M152" s="2"/>
      <c r="N152" s="2"/>
      <c r="O152" s="2"/>
      <c r="P152" s="2"/>
      <c r="Q152" s="2"/>
    </row>
    <row r="153" spans="1:17" ht="15.75" customHeight="1">
      <c r="A153" s="2"/>
      <c r="B153" s="2"/>
      <c r="C153" s="2"/>
      <c r="D153" s="11"/>
      <c r="E153" s="2"/>
      <c r="F153" s="2"/>
      <c r="G153" s="2"/>
      <c r="H153" s="13"/>
      <c r="I153" s="2"/>
      <c r="J153" s="2"/>
      <c r="K153" s="2"/>
      <c r="L153" s="12" t="str">
        <f t="shared" si="0"/>
        <v/>
      </c>
      <c r="M153" s="2"/>
      <c r="N153" s="2"/>
      <c r="O153" s="2"/>
      <c r="P153" s="2"/>
      <c r="Q153" s="2"/>
    </row>
    <row r="154" spans="1:17" ht="15.75" customHeight="1">
      <c r="A154" s="2"/>
      <c r="B154" s="2"/>
      <c r="C154" s="2"/>
      <c r="D154" s="11"/>
      <c r="E154" s="2"/>
      <c r="F154" s="2"/>
      <c r="G154" s="2"/>
      <c r="H154" s="13"/>
      <c r="I154" s="2"/>
      <c r="J154" s="2"/>
      <c r="K154" s="2"/>
      <c r="L154" s="12" t="str">
        <f t="shared" si="0"/>
        <v/>
      </c>
      <c r="M154" s="2"/>
      <c r="N154" s="2"/>
      <c r="O154" s="2"/>
      <c r="P154" s="2"/>
      <c r="Q154" s="2"/>
    </row>
    <row r="155" spans="1:17" ht="15.75" customHeight="1">
      <c r="A155" s="2"/>
      <c r="B155" s="2"/>
      <c r="C155" s="2"/>
      <c r="D155" s="11"/>
      <c r="E155" s="2"/>
      <c r="F155" s="2"/>
      <c r="G155" s="2"/>
      <c r="H155" s="13"/>
      <c r="I155" s="2"/>
      <c r="J155" s="2"/>
      <c r="K155" s="2"/>
      <c r="L155" s="12" t="str">
        <f t="shared" si="0"/>
        <v/>
      </c>
      <c r="M155" s="2"/>
      <c r="N155" s="2"/>
      <c r="O155" s="2"/>
      <c r="P155" s="2"/>
      <c r="Q155" s="2"/>
    </row>
    <row r="156" spans="1:17" ht="15.75" customHeight="1">
      <c r="A156" s="2"/>
      <c r="B156" s="2"/>
      <c r="C156" s="2"/>
      <c r="D156" s="11"/>
      <c r="E156" s="2"/>
      <c r="F156" s="2"/>
      <c r="G156" s="2"/>
      <c r="H156" s="13"/>
      <c r="I156" s="2"/>
      <c r="J156" s="2"/>
      <c r="K156" s="2"/>
      <c r="L156" s="12" t="str">
        <f t="shared" si="0"/>
        <v/>
      </c>
      <c r="M156" s="2"/>
      <c r="N156" s="2"/>
      <c r="O156" s="2"/>
      <c r="P156" s="2"/>
      <c r="Q156" s="2"/>
    </row>
    <row r="157" spans="1:17" ht="15.75" customHeight="1">
      <c r="A157" s="2"/>
      <c r="B157" s="2"/>
      <c r="C157" s="2"/>
      <c r="D157" s="11"/>
      <c r="E157" s="2"/>
      <c r="F157" s="2"/>
      <c r="G157" s="2"/>
      <c r="H157" s="13"/>
      <c r="I157" s="2"/>
      <c r="J157" s="2"/>
      <c r="K157" s="2"/>
      <c r="L157" s="12" t="str">
        <f t="shared" si="0"/>
        <v/>
      </c>
      <c r="M157" s="2"/>
      <c r="N157" s="2"/>
      <c r="O157" s="2"/>
      <c r="P157" s="2"/>
      <c r="Q157" s="2"/>
    </row>
    <row r="158" spans="1:17" ht="15.75" customHeight="1">
      <c r="A158" s="2"/>
      <c r="B158" s="2"/>
      <c r="C158" s="2"/>
      <c r="D158" s="11"/>
      <c r="E158" s="2"/>
      <c r="F158" s="2"/>
      <c r="G158" s="2"/>
      <c r="H158" s="13"/>
      <c r="I158" s="2"/>
      <c r="J158" s="2"/>
      <c r="K158" s="2"/>
      <c r="L158" s="12" t="str">
        <f t="shared" si="0"/>
        <v/>
      </c>
      <c r="M158" s="2"/>
      <c r="N158" s="2"/>
      <c r="O158" s="2"/>
      <c r="P158" s="2"/>
      <c r="Q158" s="2"/>
    </row>
    <row r="159" spans="1:17" ht="15.75" customHeight="1">
      <c r="A159" s="2"/>
      <c r="B159" s="2"/>
      <c r="C159" s="2"/>
      <c r="D159" s="11"/>
      <c r="E159" s="2"/>
      <c r="F159" s="2"/>
      <c r="G159" s="2"/>
      <c r="H159" s="13"/>
      <c r="I159" s="2"/>
      <c r="J159" s="2"/>
      <c r="K159" s="2"/>
      <c r="L159" s="12" t="str">
        <f t="shared" si="0"/>
        <v/>
      </c>
      <c r="M159" s="2"/>
      <c r="N159" s="2"/>
      <c r="O159" s="2"/>
      <c r="P159" s="2"/>
      <c r="Q159" s="2"/>
    </row>
    <row r="160" spans="1:17" ht="15.75" customHeight="1">
      <c r="A160" s="2"/>
      <c r="B160" s="2"/>
      <c r="C160" s="2"/>
      <c r="D160" s="11"/>
      <c r="E160" s="2"/>
      <c r="F160" s="2"/>
      <c r="G160" s="2"/>
      <c r="H160" s="13"/>
      <c r="I160" s="2"/>
      <c r="J160" s="2"/>
      <c r="K160" s="2"/>
      <c r="L160" s="12" t="str">
        <f t="shared" si="0"/>
        <v/>
      </c>
      <c r="M160" s="2"/>
      <c r="N160" s="2"/>
      <c r="O160" s="2"/>
      <c r="P160" s="2"/>
      <c r="Q160" s="2"/>
    </row>
    <row r="161" spans="1:17" ht="15.75" customHeight="1">
      <c r="A161" s="2"/>
      <c r="B161" s="2"/>
      <c r="C161" s="2"/>
      <c r="D161" s="11"/>
      <c r="E161" s="2"/>
      <c r="F161" s="2"/>
      <c r="G161" s="2"/>
      <c r="H161" s="13"/>
      <c r="I161" s="2"/>
      <c r="J161" s="2"/>
      <c r="K161" s="2"/>
      <c r="L161" s="12" t="str">
        <f t="shared" si="0"/>
        <v/>
      </c>
      <c r="M161" s="2"/>
      <c r="N161" s="2"/>
      <c r="O161" s="2"/>
      <c r="P161" s="2"/>
      <c r="Q161" s="2"/>
    </row>
    <row r="162" spans="1:17" ht="15.75" customHeight="1">
      <c r="A162" s="2"/>
      <c r="B162" s="2"/>
      <c r="C162" s="2"/>
      <c r="D162" s="11"/>
      <c r="E162" s="2"/>
      <c r="F162" s="2"/>
      <c r="G162" s="2"/>
      <c r="H162" s="13"/>
      <c r="I162" s="2"/>
      <c r="J162" s="2"/>
      <c r="K162" s="2"/>
      <c r="L162" s="12" t="str">
        <f t="shared" si="0"/>
        <v/>
      </c>
      <c r="M162" s="2"/>
      <c r="N162" s="2"/>
      <c r="O162" s="2"/>
      <c r="P162" s="2"/>
      <c r="Q162" s="2"/>
    </row>
    <row r="163" spans="1:17" ht="15.75" customHeight="1">
      <c r="A163" s="2"/>
      <c r="B163" s="2"/>
      <c r="C163" s="2"/>
      <c r="D163" s="11"/>
      <c r="E163" s="2"/>
      <c r="F163" s="2"/>
      <c r="G163" s="2"/>
      <c r="H163" s="13"/>
      <c r="I163" s="2"/>
      <c r="J163" s="2"/>
      <c r="K163" s="2"/>
      <c r="L163" s="12" t="str">
        <f t="shared" si="0"/>
        <v/>
      </c>
      <c r="M163" s="2"/>
      <c r="N163" s="2"/>
      <c r="O163" s="2"/>
      <c r="P163" s="2"/>
      <c r="Q163" s="2"/>
    </row>
    <row r="164" spans="1:17" ht="15.75" customHeight="1">
      <c r="A164" s="2"/>
      <c r="B164" s="2"/>
      <c r="C164" s="2"/>
      <c r="D164" s="11"/>
      <c r="E164" s="2"/>
      <c r="F164" s="2"/>
      <c r="G164" s="2"/>
      <c r="H164" s="13"/>
      <c r="I164" s="2"/>
      <c r="J164" s="2"/>
      <c r="K164" s="2"/>
      <c r="L164" s="12" t="str">
        <f t="shared" si="0"/>
        <v/>
      </c>
      <c r="M164" s="2"/>
      <c r="N164" s="2"/>
      <c r="O164" s="2"/>
      <c r="P164" s="2"/>
      <c r="Q164" s="2"/>
    </row>
    <row r="165" spans="1:17" ht="15.75" customHeight="1">
      <c r="A165" s="2"/>
      <c r="B165" s="2"/>
      <c r="C165" s="2"/>
      <c r="D165" s="11"/>
      <c r="E165" s="2"/>
      <c r="F165" s="2"/>
      <c r="G165" s="2"/>
      <c r="H165" s="13"/>
      <c r="I165" s="2"/>
      <c r="J165" s="2"/>
      <c r="K165" s="2"/>
      <c r="L165" s="12" t="str">
        <f t="shared" si="0"/>
        <v/>
      </c>
      <c r="M165" s="2"/>
      <c r="N165" s="2"/>
      <c r="O165" s="2"/>
      <c r="P165" s="2"/>
      <c r="Q165" s="2"/>
    </row>
    <row r="166" spans="1:17" ht="15.75" customHeight="1">
      <c r="A166" s="2"/>
      <c r="B166" s="2"/>
      <c r="C166" s="2"/>
      <c r="D166" s="11"/>
      <c r="E166" s="2"/>
      <c r="F166" s="2"/>
      <c r="G166" s="2"/>
      <c r="H166" s="13"/>
      <c r="I166" s="2"/>
      <c r="J166" s="2"/>
      <c r="K166" s="2"/>
      <c r="L166" s="12" t="str">
        <f t="shared" si="0"/>
        <v/>
      </c>
      <c r="M166" s="2"/>
      <c r="N166" s="2"/>
      <c r="O166" s="2"/>
      <c r="P166" s="2"/>
      <c r="Q166" s="2"/>
    </row>
    <row r="167" spans="1:17" ht="15.75" customHeight="1">
      <c r="A167" s="2"/>
      <c r="B167" s="2"/>
      <c r="C167" s="2"/>
      <c r="D167" s="11"/>
      <c r="E167" s="2"/>
      <c r="F167" s="2"/>
      <c r="G167" s="2"/>
      <c r="H167" s="13"/>
      <c r="I167" s="2"/>
      <c r="J167" s="2"/>
      <c r="K167" s="2"/>
      <c r="L167" s="12" t="str">
        <f t="shared" si="0"/>
        <v/>
      </c>
      <c r="M167" s="2"/>
      <c r="N167" s="2"/>
      <c r="O167" s="2"/>
      <c r="P167" s="2"/>
      <c r="Q167" s="2"/>
    </row>
    <row r="168" spans="1:17" ht="15.75" customHeight="1">
      <c r="A168" s="2"/>
      <c r="B168" s="2"/>
      <c r="C168" s="2"/>
      <c r="D168" s="11"/>
      <c r="E168" s="2"/>
      <c r="F168" s="2"/>
      <c r="G168" s="2"/>
      <c r="H168" s="13"/>
      <c r="I168" s="2"/>
      <c r="J168" s="2"/>
      <c r="K168" s="2"/>
      <c r="L168" s="12" t="str">
        <f t="shared" si="0"/>
        <v/>
      </c>
      <c r="M168" s="2"/>
      <c r="N168" s="2"/>
      <c r="O168" s="2"/>
      <c r="P168" s="2"/>
      <c r="Q168" s="2"/>
    </row>
    <row r="169" spans="1:17" ht="15.75" customHeight="1">
      <c r="A169" s="2"/>
      <c r="B169" s="2"/>
      <c r="C169" s="2"/>
      <c r="D169" s="11"/>
      <c r="E169" s="2"/>
      <c r="F169" s="2"/>
      <c r="G169" s="2"/>
      <c r="H169" s="13"/>
      <c r="I169" s="2"/>
      <c r="J169" s="2"/>
      <c r="K169" s="2"/>
      <c r="L169" s="12" t="str">
        <f t="shared" si="0"/>
        <v/>
      </c>
      <c r="M169" s="2"/>
      <c r="N169" s="2"/>
      <c r="O169" s="2"/>
      <c r="P169" s="2"/>
      <c r="Q169" s="2"/>
    </row>
    <row r="170" spans="1:17" ht="15.75" customHeight="1">
      <c r="A170" s="2"/>
      <c r="B170" s="2"/>
      <c r="C170" s="2"/>
      <c r="D170" s="11"/>
      <c r="E170" s="2"/>
      <c r="F170" s="2"/>
      <c r="G170" s="2"/>
      <c r="H170" s="13"/>
      <c r="I170" s="2"/>
      <c r="J170" s="2"/>
      <c r="K170" s="2"/>
      <c r="L170" s="12" t="str">
        <f t="shared" si="0"/>
        <v/>
      </c>
      <c r="M170" s="2"/>
      <c r="N170" s="2"/>
      <c r="O170" s="2"/>
      <c r="P170" s="2"/>
      <c r="Q170" s="2"/>
    </row>
    <row r="171" spans="1:17" ht="15.75" customHeight="1">
      <c r="A171" s="2"/>
      <c r="B171" s="2"/>
      <c r="C171" s="2"/>
      <c r="D171" s="11"/>
      <c r="E171" s="2"/>
      <c r="F171" s="2"/>
      <c r="G171" s="2"/>
      <c r="H171" s="13"/>
      <c r="I171" s="2"/>
      <c r="J171" s="2"/>
      <c r="K171" s="2"/>
      <c r="L171" s="12" t="str">
        <f t="shared" si="0"/>
        <v/>
      </c>
      <c r="M171" s="2"/>
      <c r="N171" s="2"/>
      <c r="O171" s="2"/>
      <c r="P171" s="2"/>
      <c r="Q171" s="2"/>
    </row>
    <row r="172" spans="1:17" ht="15.75" customHeight="1">
      <c r="A172" s="2"/>
      <c r="B172" s="2"/>
      <c r="C172" s="2"/>
      <c r="D172" s="11"/>
      <c r="E172" s="2"/>
      <c r="F172" s="2"/>
      <c r="G172" s="2"/>
      <c r="H172" s="13"/>
      <c r="I172" s="2"/>
      <c r="J172" s="2"/>
      <c r="K172" s="2"/>
      <c r="L172" s="12" t="str">
        <f t="shared" si="0"/>
        <v/>
      </c>
      <c r="M172" s="2"/>
      <c r="N172" s="2"/>
      <c r="O172" s="2"/>
      <c r="P172" s="2"/>
      <c r="Q172" s="2"/>
    </row>
    <row r="173" spans="1:17" ht="15.75" customHeight="1">
      <c r="A173" s="2"/>
      <c r="B173" s="2"/>
      <c r="C173" s="2"/>
      <c r="D173" s="11"/>
      <c r="E173" s="2"/>
      <c r="F173" s="2"/>
      <c r="G173" s="2"/>
      <c r="H173" s="13"/>
      <c r="I173" s="2"/>
      <c r="J173" s="2"/>
      <c r="K173" s="2"/>
      <c r="L173" s="12" t="str">
        <f t="shared" si="0"/>
        <v/>
      </c>
      <c r="M173" s="2"/>
      <c r="N173" s="2"/>
      <c r="O173" s="2"/>
      <c r="P173" s="2"/>
      <c r="Q173" s="2"/>
    </row>
    <row r="174" spans="1:17" ht="15.75" customHeight="1">
      <c r="A174" s="2"/>
      <c r="B174" s="2"/>
      <c r="C174" s="2"/>
      <c r="D174" s="11"/>
      <c r="E174" s="2"/>
      <c r="F174" s="2"/>
      <c r="G174" s="2"/>
      <c r="H174" s="13"/>
      <c r="I174" s="2"/>
      <c r="J174" s="2"/>
      <c r="K174" s="2"/>
      <c r="L174" s="12" t="str">
        <f t="shared" si="0"/>
        <v/>
      </c>
      <c r="M174" s="2"/>
      <c r="N174" s="2"/>
      <c r="O174" s="2"/>
      <c r="P174" s="2"/>
      <c r="Q174" s="2"/>
    </row>
    <row r="175" spans="1:17" ht="15.75" customHeight="1">
      <c r="A175" s="2"/>
      <c r="B175" s="2"/>
      <c r="C175" s="2"/>
      <c r="D175" s="11"/>
      <c r="E175" s="2"/>
      <c r="F175" s="2"/>
      <c r="G175" s="2"/>
      <c r="H175" s="13"/>
      <c r="I175" s="2"/>
      <c r="J175" s="2"/>
      <c r="K175" s="2"/>
      <c r="L175" s="12" t="str">
        <f t="shared" si="0"/>
        <v/>
      </c>
      <c r="M175" s="2"/>
      <c r="N175" s="2"/>
      <c r="O175" s="2"/>
      <c r="P175" s="2"/>
      <c r="Q175" s="2"/>
    </row>
    <row r="176" spans="1:17" ht="15.75" customHeight="1">
      <c r="A176" s="2"/>
      <c r="B176" s="2"/>
      <c r="C176" s="2"/>
      <c r="D176" s="11"/>
      <c r="E176" s="2"/>
      <c r="F176" s="2"/>
      <c r="G176" s="2"/>
      <c r="H176" s="13"/>
      <c r="I176" s="2"/>
      <c r="J176" s="2"/>
      <c r="K176" s="2"/>
      <c r="L176" s="12" t="str">
        <f t="shared" si="0"/>
        <v/>
      </c>
      <c r="M176" s="2"/>
      <c r="N176" s="2"/>
      <c r="O176" s="2"/>
      <c r="P176" s="2"/>
      <c r="Q176" s="2"/>
    </row>
    <row r="177" spans="1:17" ht="15.75" customHeight="1">
      <c r="A177" s="2"/>
      <c r="B177" s="2"/>
      <c r="C177" s="2"/>
      <c r="D177" s="11"/>
      <c r="E177" s="2"/>
      <c r="F177" s="2"/>
      <c r="G177" s="2"/>
      <c r="H177" s="13"/>
      <c r="I177" s="2"/>
      <c r="J177" s="2"/>
      <c r="K177" s="2"/>
      <c r="L177" s="12" t="str">
        <f t="shared" si="0"/>
        <v/>
      </c>
      <c r="M177" s="2"/>
      <c r="N177" s="2"/>
      <c r="O177" s="2"/>
      <c r="P177" s="2"/>
      <c r="Q177" s="2"/>
    </row>
    <row r="178" spans="1:17" ht="15.75" customHeight="1">
      <c r="A178" s="2"/>
      <c r="B178" s="2"/>
      <c r="C178" s="2"/>
      <c r="D178" s="11"/>
      <c r="E178" s="2"/>
      <c r="F178" s="2"/>
      <c r="G178" s="2"/>
      <c r="H178" s="13"/>
      <c r="I178" s="2"/>
      <c r="J178" s="2"/>
      <c r="K178" s="2"/>
      <c r="L178" s="12" t="str">
        <f t="shared" si="0"/>
        <v/>
      </c>
      <c r="M178" s="2"/>
      <c r="N178" s="2"/>
      <c r="O178" s="2"/>
      <c r="P178" s="2"/>
      <c r="Q178" s="2"/>
    </row>
    <row r="179" spans="1:17" ht="15.75" customHeight="1">
      <c r="A179" s="2"/>
      <c r="B179" s="2"/>
      <c r="C179" s="2"/>
      <c r="D179" s="11"/>
      <c r="E179" s="2"/>
      <c r="F179" s="2"/>
      <c r="G179" s="2"/>
      <c r="H179" s="13"/>
      <c r="I179" s="2"/>
      <c r="J179" s="2"/>
      <c r="K179" s="2"/>
      <c r="L179" s="12" t="str">
        <f t="shared" si="0"/>
        <v/>
      </c>
      <c r="M179" s="2"/>
      <c r="N179" s="2"/>
      <c r="O179" s="2"/>
      <c r="P179" s="2"/>
      <c r="Q179" s="2"/>
    </row>
    <row r="180" spans="1:17" ht="15.75" customHeight="1">
      <c r="A180" s="2"/>
      <c r="B180" s="2"/>
      <c r="C180" s="2"/>
      <c r="D180" s="11"/>
      <c r="E180" s="2"/>
      <c r="F180" s="2"/>
      <c r="G180" s="2"/>
      <c r="H180" s="13"/>
      <c r="I180" s="2"/>
      <c r="J180" s="2"/>
      <c r="K180" s="2"/>
      <c r="L180" s="12" t="str">
        <f t="shared" si="0"/>
        <v/>
      </c>
      <c r="M180" s="2"/>
      <c r="N180" s="2"/>
      <c r="O180" s="2"/>
      <c r="P180" s="2"/>
      <c r="Q180" s="2"/>
    </row>
    <row r="181" spans="1:17" ht="15.75" customHeight="1">
      <c r="A181" s="2"/>
      <c r="B181" s="2"/>
      <c r="C181" s="2"/>
      <c r="D181" s="11"/>
      <c r="E181" s="2"/>
      <c r="F181" s="2"/>
      <c r="G181" s="2"/>
      <c r="H181" s="13"/>
      <c r="I181" s="2"/>
      <c r="J181" s="2"/>
      <c r="K181" s="2"/>
      <c r="L181" s="12" t="str">
        <f t="shared" si="0"/>
        <v/>
      </c>
      <c r="M181" s="2"/>
      <c r="N181" s="2"/>
      <c r="O181" s="2"/>
      <c r="P181" s="2"/>
      <c r="Q181" s="2"/>
    </row>
    <row r="182" spans="1:17" ht="15.75" customHeight="1">
      <c r="A182" s="2"/>
      <c r="B182" s="2"/>
      <c r="C182" s="2"/>
      <c r="D182" s="11"/>
      <c r="E182" s="2"/>
      <c r="F182" s="2"/>
      <c r="G182" s="2"/>
      <c r="H182" s="13"/>
      <c r="I182" s="2"/>
      <c r="J182" s="2"/>
      <c r="K182" s="2"/>
      <c r="L182" s="12" t="str">
        <f t="shared" si="0"/>
        <v/>
      </c>
      <c r="M182" s="2"/>
      <c r="N182" s="2"/>
      <c r="O182" s="2"/>
      <c r="P182" s="2"/>
      <c r="Q182" s="2"/>
    </row>
    <row r="183" spans="1:17" ht="15.75" customHeight="1">
      <c r="A183" s="2"/>
      <c r="B183" s="2"/>
      <c r="C183" s="2"/>
      <c r="D183" s="11"/>
      <c r="E183" s="2"/>
      <c r="F183" s="2"/>
      <c r="G183" s="2"/>
      <c r="H183" s="13"/>
      <c r="I183" s="2"/>
      <c r="J183" s="2"/>
      <c r="K183" s="2"/>
      <c r="L183" s="12" t="str">
        <f t="shared" si="0"/>
        <v/>
      </c>
      <c r="M183" s="2"/>
      <c r="N183" s="2"/>
      <c r="O183" s="2"/>
      <c r="P183" s="2"/>
      <c r="Q183" s="2"/>
    </row>
    <row r="184" spans="1:17" ht="15.75" customHeight="1">
      <c r="A184" s="2"/>
      <c r="B184" s="2"/>
      <c r="C184" s="2"/>
      <c r="D184" s="11"/>
      <c r="E184" s="2"/>
      <c r="F184" s="2"/>
      <c r="G184" s="2"/>
      <c r="H184" s="13"/>
      <c r="I184" s="2"/>
      <c r="J184" s="2"/>
      <c r="K184" s="2"/>
      <c r="L184" s="12" t="str">
        <f t="shared" si="0"/>
        <v/>
      </c>
      <c r="M184" s="2"/>
      <c r="N184" s="2"/>
      <c r="O184" s="2"/>
      <c r="P184" s="2"/>
      <c r="Q184" s="2"/>
    </row>
    <row r="185" spans="1:17" ht="15.75" customHeight="1">
      <c r="A185" s="2"/>
      <c r="B185" s="2"/>
      <c r="C185" s="2"/>
      <c r="D185" s="11"/>
      <c r="E185" s="2"/>
      <c r="F185" s="2"/>
      <c r="G185" s="2"/>
      <c r="H185" s="13"/>
      <c r="I185" s="2"/>
      <c r="J185" s="2"/>
      <c r="K185" s="2"/>
      <c r="L185" s="12" t="str">
        <f t="shared" si="0"/>
        <v/>
      </c>
      <c r="M185" s="2"/>
      <c r="N185" s="2"/>
      <c r="O185" s="2"/>
      <c r="P185" s="2"/>
      <c r="Q185" s="2"/>
    </row>
    <row r="186" spans="1:17" ht="15.75" customHeight="1">
      <c r="A186" s="2"/>
      <c r="B186" s="2"/>
      <c r="C186" s="2"/>
      <c r="D186" s="11"/>
      <c r="E186" s="2"/>
      <c r="F186" s="2"/>
      <c r="G186" s="2"/>
      <c r="H186" s="13"/>
      <c r="I186" s="2"/>
      <c r="J186" s="2"/>
      <c r="K186" s="2"/>
      <c r="L186" s="12" t="str">
        <f t="shared" si="0"/>
        <v/>
      </c>
      <c r="M186" s="2"/>
      <c r="N186" s="2"/>
      <c r="O186" s="2"/>
      <c r="P186" s="2"/>
      <c r="Q186" s="2"/>
    </row>
    <row r="187" spans="1:17" ht="15.75" customHeight="1">
      <c r="A187" s="2"/>
      <c r="B187" s="2"/>
      <c r="C187" s="2"/>
      <c r="D187" s="11"/>
      <c r="E187" s="2"/>
      <c r="F187" s="2"/>
      <c r="G187" s="2"/>
      <c r="H187" s="13"/>
      <c r="I187" s="2"/>
      <c r="J187" s="2"/>
      <c r="K187" s="2"/>
      <c r="L187" s="12" t="str">
        <f t="shared" si="0"/>
        <v/>
      </c>
      <c r="M187" s="2"/>
      <c r="N187" s="2"/>
      <c r="O187" s="2"/>
      <c r="P187" s="2"/>
      <c r="Q187" s="2"/>
    </row>
    <row r="188" spans="1:17" ht="15.75" customHeight="1">
      <c r="A188" s="2"/>
      <c r="B188" s="2"/>
      <c r="C188" s="2"/>
      <c r="D188" s="11"/>
      <c r="E188" s="2"/>
      <c r="F188" s="2"/>
      <c r="G188" s="2"/>
      <c r="H188" s="13"/>
      <c r="I188" s="2"/>
      <c r="J188" s="2"/>
      <c r="K188" s="2"/>
      <c r="L188" s="12" t="str">
        <f t="shared" si="0"/>
        <v/>
      </c>
      <c r="M188" s="2"/>
      <c r="N188" s="2"/>
      <c r="O188" s="2"/>
      <c r="P188" s="2"/>
      <c r="Q188" s="2"/>
    </row>
    <row r="189" spans="1:17" ht="15.75" customHeight="1">
      <c r="A189" s="2"/>
      <c r="B189" s="2"/>
      <c r="C189" s="2"/>
      <c r="D189" s="11"/>
      <c r="E189" s="2"/>
      <c r="F189" s="2"/>
      <c r="G189" s="2"/>
      <c r="H189" s="13"/>
      <c r="I189" s="2"/>
      <c r="J189" s="2"/>
      <c r="K189" s="2"/>
      <c r="L189" s="12" t="str">
        <f t="shared" si="0"/>
        <v/>
      </c>
      <c r="M189" s="2"/>
      <c r="N189" s="2"/>
      <c r="O189" s="2"/>
      <c r="P189" s="2"/>
      <c r="Q189" s="2"/>
    </row>
    <row r="190" spans="1:17" ht="15.75" customHeight="1">
      <c r="A190" s="2"/>
      <c r="B190" s="2"/>
      <c r="C190" s="2"/>
      <c r="D190" s="11"/>
      <c r="E190" s="2"/>
      <c r="F190" s="2"/>
      <c r="G190" s="2"/>
      <c r="H190" s="13"/>
      <c r="I190" s="2"/>
      <c r="J190" s="2"/>
      <c r="K190" s="2"/>
      <c r="L190" s="12" t="str">
        <f t="shared" si="0"/>
        <v/>
      </c>
      <c r="M190" s="2"/>
      <c r="N190" s="2"/>
      <c r="O190" s="2"/>
      <c r="P190" s="2"/>
      <c r="Q190" s="2"/>
    </row>
    <row r="191" spans="1:17" ht="15.75" customHeight="1">
      <c r="A191" s="2"/>
      <c r="B191" s="2"/>
      <c r="C191" s="2"/>
      <c r="D191" s="11"/>
      <c r="E191" s="2"/>
      <c r="F191" s="2"/>
      <c r="G191" s="2"/>
      <c r="H191" s="13"/>
      <c r="I191" s="2"/>
      <c r="J191" s="2"/>
      <c r="K191" s="2"/>
      <c r="L191" s="12" t="str">
        <f t="shared" si="0"/>
        <v/>
      </c>
      <c r="M191" s="2"/>
      <c r="N191" s="2"/>
      <c r="O191" s="2"/>
      <c r="P191" s="2"/>
      <c r="Q191" s="2"/>
    </row>
    <row r="192" spans="1:17" ht="15.75" customHeight="1">
      <c r="A192" s="2"/>
      <c r="B192" s="2"/>
      <c r="C192" s="2"/>
      <c r="D192" s="11"/>
      <c r="E192" s="2"/>
      <c r="F192" s="2"/>
      <c r="G192" s="2"/>
      <c r="H192" s="13"/>
      <c r="I192" s="2"/>
      <c r="J192" s="2"/>
      <c r="K192" s="2"/>
      <c r="L192" s="12" t="str">
        <f t="shared" si="0"/>
        <v/>
      </c>
      <c r="M192" s="2"/>
      <c r="N192" s="2"/>
      <c r="O192" s="2"/>
      <c r="P192" s="2"/>
      <c r="Q192" s="2"/>
    </row>
    <row r="193" spans="1:17" ht="15.75" customHeight="1">
      <c r="A193" s="2"/>
      <c r="B193" s="2"/>
      <c r="C193" s="2"/>
      <c r="D193" s="11"/>
      <c r="E193" s="2"/>
      <c r="F193" s="2"/>
      <c r="G193" s="2"/>
      <c r="H193" s="13"/>
      <c r="I193" s="2"/>
      <c r="J193" s="2"/>
      <c r="K193" s="2"/>
      <c r="L193" s="12" t="str">
        <f t="shared" si="0"/>
        <v/>
      </c>
      <c r="M193" s="2"/>
      <c r="N193" s="2"/>
      <c r="O193" s="2"/>
      <c r="P193" s="2"/>
      <c r="Q193" s="2"/>
    </row>
    <row r="194" spans="1:17" ht="15.75" customHeight="1">
      <c r="A194" s="2"/>
      <c r="B194" s="2"/>
      <c r="C194" s="2"/>
      <c r="D194" s="11"/>
      <c r="E194" s="2"/>
      <c r="F194" s="2"/>
      <c r="G194" s="2"/>
      <c r="H194" s="13"/>
      <c r="I194" s="2"/>
      <c r="J194" s="2"/>
      <c r="K194" s="2"/>
      <c r="L194" s="12" t="str">
        <f t="shared" si="0"/>
        <v/>
      </c>
      <c r="M194" s="2"/>
      <c r="N194" s="2"/>
      <c r="O194" s="2"/>
      <c r="P194" s="2"/>
      <c r="Q194" s="2"/>
    </row>
    <row r="195" spans="1:17" ht="15.75" customHeight="1">
      <c r="A195" s="2"/>
      <c r="B195" s="2"/>
      <c r="C195" s="2"/>
      <c r="D195" s="11"/>
      <c r="E195" s="2"/>
      <c r="F195" s="2"/>
      <c r="G195" s="2"/>
      <c r="H195" s="13"/>
      <c r="I195" s="2"/>
      <c r="J195" s="2"/>
      <c r="K195" s="2"/>
      <c r="L195" s="12" t="str">
        <f t="shared" si="0"/>
        <v/>
      </c>
      <c r="M195" s="2"/>
      <c r="N195" s="2"/>
      <c r="O195" s="2"/>
      <c r="P195" s="2"/>
      <c r="Q195" s="2"/>
    </row>
    <row r="196" spans="1:17" ht="15.75" customHeight="1">
      <c r="A196" s="2"/>
      <c r="B196" s="2"/>
      <c r="C196" s="2"/>
      <c r="D196" s="11"/>
      <c r="E196" s="2"/>
      <c r="F196" s="2"/>
      <c r="G196" s="2"/>
      <c r="H196" s="13"/>
      <c r="I196" s="2"/>
      <c r="J196" s="2"/>
      <c r="K196" s="2"/>
      <c r="L196" s="12" t="str">
        <f t="shared" si="0"/>
        <v/>
      </c>
      <c r="M196" s="2"/>
      <c r="N196" s="2"/>
      <c r="O196" s="2"/>
      <c r="P196" s="2"/>
      <c r="Q196" s="2"/>
    </row>
    <row r="197" spans="1:17" ht="15.75" customHeight="1">
      <c r="A197" s="2"/>
      <c r="B197" s="2"/>
      <c r="C197" s="2"/>
      <c r="D197" s="11"/>
      <c r="E197" s="2"/>
      <c r="F197" s="2"/>
      <c r="G197" s="2"/>
      <c r="H197" s="13"/>
      <c r="I197" s="2"/>
      <c r="J197" s="2"/>
      <c r="K197" s="2"/>
      <c r="L197" s="12" t="str">
        <f t="shared" si="0"/>
        <v/>
      </c>
      <c r="M197" s="2"/>
      <c r="N197" s="2"/>
      <c r="O197" s="2"/>
      <c r="P197" s="2"/>
      <c r="Q197" s="2"/>
    </row>
    <row r="198" spans="1:17" ht="15.75" customHeight="1">
      <c r="A198" s="2"/>
      <c r="B198" s="2"/>
      <c r="C198" s="2"/>
      <c r="D198" s="11"/>
      <c r="E198" s="2"/>
      <c r="F198" s="2"/>
      <c r="G198" s="2"/>
      <c r="H198" s="13"/>
      <c r="I198" s="2"/>
      <c r="J198" s="2"/>
      <c r="K198" s="2"/>
      <c r="L198" s="12" t="str">
        <f t="shared" si="0"/>
        <v/>
      </c>
      <c r="M198" s="2"/>
      <c r="N198" s="2"/>
      <c r="O198" s="2"/>
      <c r="P198" s="2"/>
      <c r="Q198" s="2"/>
    </row>
    <row r="199" spans="1:17" ht="15.75" customHeight="1">
      <c r="A199" s="2"/>
      <c r="B199" s="2"/>
      <c r="C199" s="2"/>
      <c r="D199" s="11"/>
      <c r="E199" s="2"/>
      <c r="F199" s="2"/>
      <c r="G199" s="2"/>
      <c r="H199" s="13"/>
      <c r="I199" s="2"/>
      <c r="J199" s="2"/>
      <c r="K199" s="2"/>
      <c r="L199" s="12" t="str">
        <f t="shared" si="0"/>
        <v/>
      </c>
      <c r="M199" s="2"/>
      <c r="N199" s="2"/>
      <c r="O199" s="2"/>
      <c r="P199" s="2"/>
      <c r="Q199" s="2"/>
    </row>
    <row r="200" spans="1:17" ht="15.75" customHeight="1">
      <c r="A200" s="2"/>
      <c r="B200" s="2"/>
      <c r="C200" s="2"/>
      <c r="D200" s="11"/>
      <c r="E200" s="2"/>
      <c r="F200" s="2"/>
      <c r="G200" s="2"/>
      <c r="H200" s="13"/>
      <c r="I200" s="2"/>
      <c r="J200" s="2"/>
      <c r="K200" s="2"/>
      <c r="L200" s="12" t="str">
        <f t="shared" si="0"/>
        <v/>
      </c>
      <c r="M200" s="2"/>
      <c r="N200" s="2"/>
      <c r="O200" s="2"/>
      <c r="P200" s="2"/>
      <c r="Q200" s="2"/>
    </row>
    <row r="201" spans="1:17" ht="15.75" customHeight="1">
      <c r="A201" s="2"/>
      <c r="B201" s="2"/>
      <c r="C201" s="2"/>
      <c r="D201" s="11"/>
      <c r="E201" s="2"/>
      <c r="F201" s="2"/>
      <c r="G201" s="2"/>
      <c r="H201" s="13"/>
      <c r="I201" s="2"/>
      <c r="J201" s="2"/>
      <c r="K201" s="2"/>
      <c r="L201" s="12" t="str">
        <f t="shared" si="0"/>
        <v/>
      </c>
      <c r="M201" s="2"/>
      <c r="N201" s="2"/>
      <c r="O201" s="2"/>
      <c r="P201" s="2"/>
      <c r="Q201" s="2"/>
    </row>
    <row r="202" spans="1:17" ht="15.75" customHeight="1">
      <c r="A202" s="2"/>
      <c r="B202" s="2"/>
      <c r="C202" s="2"/>
      <c r="D202" s="11"/>
      <c r="E202" s="2"/>
      <c r="F202" s="2"/>
      <c r="G202" s="2"/>
      <c r="H202" s="13"/>
      <c r="I202" s="2"/>
      <c r="J202" s="2"/>
      <c r="K202" s="2"/>
      <c r="L202" s="12" t="str">
        <f t="shared" si="0"/>
        <v/>
      </c>
      <c r="M202" s="2"/>
      <c r="N202" s="2"/>
      <c r="O202" s="2"/>
      <c r="P202" s="2"/>
      <c r="Q202" s="2"/>
    </row>
    <row r="203" spans="1:17" ht="15.75" customHeight="1">
      <c r="A203" s="2"/>
      <c r="B203" s="2"/>
      <c r="C203" s="2"/>
      <c r="D203" s="11"/>
      <c r="E203" s="2"/>
      <c r="F203" s="2"/>
      <c r="G203" s="2"/>
      <c r="H203" s="13"/>
      <c r="I203" s="2"/>
      <c r="J203" s="2"/>
      <c r="K203" s="2"/>
      <c r="L203" s="12" t="str">
        <f t="shared" si="0"/>
        <v/>
      </c>
      <c r="M203" s="2"/>
      <c r="N203" s="2"/>
      <c r="O203" s="2"/>
      <c r="P203" s="2"/>
      <c r="Q203" s="2"/>
    </row>
    <row r="204" spans="1:17" ht="15.75" customHeight="1">
      <c r="A204" s="2"/>
      <c r="B204" s="2"/>
      <c r="C204" s="2"/>
      <c r="D204" s="11"/>
      <c r="E204" s="2"/>
      <c r="F204" s="2"/>
      <c r="G204" s="2"/>
      <c r="H204" s="13"/>
      <c r="I204" s="2"/>
      <c r="J204" s="2"/>
      <c r="K204" s="2"/>
      <c r="L204" s="12" t="str">
        <f t="shared" si="0"/>
        <v/>
      </c>
      <c r="M204" s="2"/>
      <c r="N204" s="2"/>
      <c r="O204" s="2"/>
      <c r="P204" s="2"/>
      <c r="Q204" s="2"/>
    </row>
    <row r="205" spans="1:17" ht="15.75" customHeight="1">
      <c r="A205" s="2"/>
      <c r="B205" s="2"/>
      <c r="C205" s="2"/>
      <c r="D205" s="11"/>
      <c r="E205" s="2"/>
      <c r="F205" s="2"/>
      <c r="G205" s="2"/>
      <c r="H205" s="13"/>
      <c r="I205" s="2"/>
      <c r="J205" s="2"/>
      <c r="K205" s="2"/>
      <c r="L205" s="12" t="str">
        <f t="shared" si="0"/>
        <v/>
      </c>
      <c r="M205" s="2"/>
      <c r="N205" s="2"/>
      <c r="O205" s="2"/>
      <c r="P205" s="2"/>
      <c r="Q205" s="2"/>
    </row>
    <row r="206" spans="1:17" ht="15.75" customHeight="1">
      <c r="A206" s="2"/>
      <c r="B206" s="2"/>
      <c r="C206" s="2"/>
      <c r="D206" s="11"/>
      <c r="E206" s="2"/>
      <c r="F206" s="2"/>
      <c r="G206" s="2"/>
      <c r="H206" s="13"/>
      <c r="I206" s="2"/>
      <c r="J206" s="2"/>
      <c r="K206" s="2"/>
      <c r="L206" s="12" t="str">
        <f t="shared" si="0"/>
        <v/>
      </c>
      <c r="M206" s="2"/>
      <c r="N206" s="2"/>
      <c r="O206" s="2"/>
      <c r="P206" s="2"/>
      <c r="Q206" s="2"/>
    </row>
    <row r="207" spans="1:17" ht="15.75" customHeight="1">
      <c r="A207" s="2"/>
      <c r="B207" s="2"/>
      <c r="C207" s="2"/>
      <c r="D207" s="11"/>
      <c r="E207" s="2"/>
      <c r="F207" s="2"/>
      <c r="G207" s="2"/>
      <c r="H207" s="13"/>
      <c r="I207" s="2"/>
      <c r="J207" s="2"/>
      <c r="K207" s="2"/>
      <c r="L207" s="12" t="str">
        <f t="shared" si="0"/>
        <v/>
      </c>
      <c r="M207" s="2"/>
      <c r="N207" s="2"/>
      <c r="O207" s="2"/>
      <c r="P207" s="2"/>
      <c r="Q207" s="2"/>
    </row>
    <row r="208" spans="1:17" ht="15.75" customHeight="1">
      <c r="A208" s="2"/>
      <c r="B208" s="2"/>
      <c r="C208" s="2"/>
      <c r="D208" s="11"/>
      <c r="E208" s="2"/>
      <c r="F208" s="2"/>
      <c r="G208" s="2"/>
      <c r="H208" s="13"/>
      <c r="I208" s="2"/>
      <c r="J208" s="2"/>
      <c r="K208" s="2"/>
      <c r="L208" s="12" t="str">
        <f t="shared" si="0"/>
        <v/>
      </c>
      <c r="M208" s="2"/>
      <c r="N208" s="2"/>
      <c r="O208" s="2"/>
      <c r="P208" s="2"/>
      <c r="Q208" s="2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6:P6"/>
    <mergeCell ref="A1:P1"/>
    <mergeCell ref="B2:P2"/>
    <mergeCell ref="B3:P3"/>
    <mergeCell ref="B4:P4"/>
    <mergeCell ref="B5:P5"/>
  </mergeCells>
  <pageMargins left="0.7" right="0.7" top="0.75" bottom="0.75" header="0" footer="0"/>
  <pageSetup orientation="landscape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000"/>
  <sheetViews>
    <sheetView workbookViewId="0"/>
  </sheetViews>
  <sheetFormatPr baseColWidth="10" defaultColWidth="12.59765625" defaultRowHeight="15" customHeight="1"/>
  <cols>
    <col min="1" max="1" width="18" customWidth="1"/>
    <col min="2" max="2" width="22" customWidth="1"/>
    <col min="3" max="3" width="30" customWidth="1"/>
    <col min="4" max="4" width="12" customWidth="1"/>
    <col min="5" max="5" width="24" customWidth="1"/>
    <col min="6" max="6" width="22" customWidth="1"/>
    <col min="7" max="7" width="20" customWidth="1"/>
    <col min="8" max="8" width="15" customWidth="1"/>
    <col min="9" max="9" width="12" customWidth="1"/>
    <col min="10" max="10" width="42" customWidth="1"/>
    <col min="11" max="11" width="20" customWidth="1"/>
    <col min="12" max="12" width="17" customWidth="1"/>
    <col min="13" max="13" width="20" customWidth="1"/>
    <col min="14" max="14" width="12" customWidth="1"/>
    <col min="15" max="15" width="34" customWidth="1"/>
    <col min="16" max="16" width="30" customWidth="1"/>
    <col min="17" max="17" width="45" customWidth="1"/>
  </cols>
  <sheetData>
    <row r="1" spans="1:17" ht="36.75" customHeight="1">
      <c r="A1" s="25" t="s">
        <v>122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7" ht="13.8">
      <c r="A2" s="7" t="s">
        <v>5</v>
      </c>
      <c r="B2" s="42" t="s">
        <v>123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7" ht="24">
      <c r="A3" s="7" t="s">
        <v>6</v>
      </c>
      <c r="B3" s="42" t="s">
        <v>124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7" ht="13.8">
      <c r="A4" s="7" t="s">
        <v>88</v>
      </c>
      <c r="B4" s="42" t="s">
        <v>125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7" ht="13.8">
      <c r="A5" s="7" t="s">
        <v>91</v>
      </c>
      <c r="B5" s="42" t="s">
        <v>126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7" ht="13.8">
      <c r="A6" s="7" t="s">
        <v>94</v>
      </c>
      <c r="B6" s="42" t="s">
        <v>127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8" spans="1:17" ht="50.25" customHeight="1">
      <c r="A8" s="9" t="s">
        <v>32</v>
      </c>
      <c r="B8" s="9" t="s">
        <v>46</v>
      </c>
      <c r="C8" s="9" t="s">
        <v>48</v>
      </c>
      <c r="D8" s="9" t="s">
        <v>43</v>
      </c>
      <c r="E8" s="9" t="s">
        <v>50</v>
      </c>
      <c r="F8" s="9" t="s">
        <v>97</v>
      </c>
      <c r="G8" s="9" t="s">
        <v>56</v>
      </c>
      <c r="H8" s="9" t="s">
        <v>128</v>
      </c>
      <c r="I8" s="9" t="s">
        <v>129</v>
      </c>
      <c r="J8" s="9" t="s">
        <v>130</v>
      </c>
      <c r="K8" s="9" t="s">
        <v>131</v>
      </c>
      <c r="L8" s="9" t="s">
        <v>132</v>
      </c>
      <c r="M8" s="9" t="s">
        <v>106</v>
      </c>
      <c r="N8" s="9" t="s">
        <v>61</v>
      </c>
      <c r="O8" s="9" t="s">
        <v>63</v>
      </c>
      <c r="P8" s="9" t="s">
        <v>65</v>
      </c>
      <c r="Q8" s="9" t="s">
        <v>110</v>
      </c>
    </row>
    <row r="9" spans="1:17" ht="13.8">
      <c r="A9" s="2"/>
      <c r="B9" s="2"/>
      <c r="C9" s="2"/>
      <c r="D9" s="11"/>
      <c r="E9" s="2"/>
      <c r="F9" s="2"/>
      <c r="G9" s="2"/>
      <c r="H9" s="13"/>
      <c r="I9" s="2"/>
      <c r="J9" s="2"/>
      <c r="K9" s="2"/>
      <c r="L9" s="12"/>
      <c r="M9" s="2"/>
      <c r="N9" s="2"/>
      <c r="O9" s="2"/>
      <c r="P9" s="2"/>
      <c r="Q9" s="2"/>
    </row>
    <row r="10" spans="1:17" ht="13.8">
      <c r="A10" s="2"/>
      <c r="B10" s="2"/>
      <c r="C10" s="2"/>
      <c r="D10" s="11"/>
      <c r="E10" s="2"/>
      <c r="F10" s="2"/>
      <c r="G10" s="2"/>
      <c r="H10" s="13"/>
      <c r="I10" s="2"/>
      <c r="J10" s="2"/>
      <c r="K10" s="2"/>
      <c r="L10" s="12" t="str">
        <f t="shared" ref="L10:L208" si="0">IF(OR(A10="",D10="",H10=""),"",SUMIFS($K$9:$K$208,$A$9:$A$208,A10,$D$9:$D$208,D10,$H$9:$H$208,H10))</f>
        <v/>
      </c>
      <c r="M10" s="2"/>
      <c r="N10" s="2"/>
      <c r="O10" s="2"/>
      <c r="P10" s="2"/>
      <c r="Q10" s="2"/>
    </row>
    <row r="11" spans="1:17" ht="13.8">
      <c r="A11" s="2"/>
      <c r="B11" s="2"/>
      <c r="C11" s="2"/>
      <c r="D11" s="11"/>
      <c r="E11" s="2"/>
      <c r="F11" s="2"/>
      <c r="G11" s="2"/>
      <c r="H11" s="13"/>
      <c r="I11" s="2"/>
      <c r="J11" s="2"/>
      <c r="K11" s="2"/>
      <c r="L11" s="12" t="str">
        <f t="shared" si="0"/>
        <v/>
      </c>
      <c r="M11" s="2"/>
      <c r="N11" s="2"/>
      <c r="O11" s="2"/>
      <c r="P11" s="2"/>
      <c r="Q11" s="2"/>
    </row>
    <row r="12" spans="1:17" ht="13.8">
      <c r="A12" s="2"/>
      <c r="B12" s="2"/>
      <c r="C12" s="2"/>
      <c r="D12" s="11"/>
      <c r="E12" s="2"/>
      <c r="F12" s="2"/>
      <c r="G12" s="2"/>
      <c r="H12" s="13"/>
      <c r="I12" s="2"/>
      <c r="J12" s="2"/>
      <c r="K12" s="2"/>
      <c r="L12" s="12" t="str">
        <f t="shared" si="0"/>
        <v/>
      </c>
      <c r="M12" s="2"/>
      <c r="N12" s="2"/>
      <c r="O12" s="2"/>
      <c r="P12" s="2"/>
      <c r="Q12" s="2"/>
    </row>
    <row r="13" spans="1:17" ht="13.8">
      <c r="A13" s="2"/>
      <c r="B13" s="2"/>
      <c r="C13" s="2"/>
      <c r="D13" s="11"/>
      <c r="E13" s="2"/>
      <c r="F13" s="2"/>
      <c r="G13" s="2"/>
      <c r="H13" s="13"/>
      <c r="I13" s="2"/>
      <c r="J13" s="2"/>
      <c r="K13" s="2"/>
      <c r="L13" s="12" t="str">
        <f t="shared" si="0"/>
        <v/>
      </c>
      <c r="M13" s="2"/>
      <c r="N13" s="2"/>
      <c r="O13" s="2"/>
      <c r="P13" s="2"/>
      <c r="Q13" s="2"/>
    </row>
    <row r="14" spans="1:17" ht="13.8">
      <c r="A14" s="2"/>
      <c r="B14" s="2"/>
      <c r="C14" s="2"/>
      <c r="D14" s="11"/>
      <c r="E14" s="2"/>
      <c r="F14" s="2"/>
      <c r="G14" s="2"/>
      <c r="H14" s="13"/>
      <c r="I14" s="2"/>
      <c r="J14" s="2"/>
      <c r="K14" s="2"/>
      <c r="L14" s="12" t="str">
        <f t="shared" si="0"/>
        <v/>
      </c>
      <c r="M14" s="2"/>
      <c r="N14" s="2"/>
      <c r="O14" s="2"/>
      <c r="P14" s="2"/>
      <c r="Q14" s="2"/>
    </row>
    <row r="15" spans="1:17" ht="13.8">
      <c r="A15" s="2"/>
      <c r="B15" s="2"/>
      <c r="C15" s="2"/>
      <c r="D15" s="11"/>
      <c r="E15" s="2"/>
      <c r="F15" s="2"/>
      <c r="G15" s="2"/>
      <c r="H15" s="13"/>
      <c r="I15" s="2"/>
      <c r="J15" s="2"/>
      <c r="K15" s="2"/>
      <c r="L15" s="12" t="str">
        <f t="shared" si="0"/>
        <v/>
      </c>
      <c r="M15" s="2"/>
      <c r="N15" s="2"/>
      <c r="O15" s="2"/>
      <c r="P15" s="2"/>
      <c r="Q15" s="2"/>
    </row>
    <row r="16" spans="1:17" ht="13.8">
      <c r="A16" s="2"/>
      <c r="B16" s="2"/>
      <c r="C16" s="2"/>
      <c r="D16" s="11"/>
      <c r="E16" s="2"/>
      <c r="F16" s="2"/>
      <c r="G16" s="2"/>
      <c r="H16" s="13"/>
      <c r="I16" s="2"/>
      <c r="J16" s="2"/>
      <c r="K16" s="2"/>
      <c r="L16" s="12" t="str">
        <f t="shared" si="0"/>
        <v/>
      </c>
      <c r="M16" s="2"/>
      <c r="N16" s="2"/>
      <c r="O16" s="2"/>
      <c r="P16" s="2"/>
      <c r="Q16" s="2"/>
    </row>
    <row r="17" spans="1:17" ht="13.8">
      <c r="A17" s="2"/>
      <c r="B17" s="2"/>
      <c r="C17" s="2"/>
      <c r="D17" s="11"/>
      <c r="E17" s="2"/>
      <c r="F17" s="2"/>
      <c r="G17" s="2"/>
      <c r="H17" s="13"/>
      <c r="I17" s="2"/>
      <c r="J17" s="2"/>
      <c r="K17" s="2"/>
      <c r="L17" s="12" t="str">
        <f t="shared" si="0"/>
        <v/>
      </c>
      <c r="M17" s="2"/>
      <c r="N17" s="2"/>
      <c r="O17" s="2"/>
      <c r="P17" s="2"/>
      <c r="Q17" s="2"/>
    </row>
    <row r="18" spans="1:17" ht="13.8">
      <c r="A18" s="2"/>
      <c r="B18" s="2"/>
      <c r="C18" s="2"/>
      <c r="D18" s="11"/>
      <c r="E18" s="2"/>
      <c r="F18" s="2"/>
      <c r="G18" s="2"/>
      <c r="H18" s="13"/>
      <c r="I18" s="2"/>
      <c r="J18" s="2"/>
      <c r="K18" s="2"/>
      <c r="L18" s="12" t="str">
        <f t="shared" si="0"/>
        <v/>
      </c>
      <c r="M18" s="2"/>
      <c r="N18" s="2"/>
      <c r="O18" s="2"/>
      <c r="P18" s="2"/>
      <c r="Q18" s="2"/>
    </row>
    <row r="19" spans="1:17" ht="13.8">
      <c r="A19" s="2"/>
      <c r="B19" s="2"/>
      <c r="C19" s="2"/>
      <c r="D19" s="11"/>
      <c r="E19" s="2"/>
      <c r="F19" s="2"/>
      <c r="G19" s="2"/>
      <c r="H19" s="13"/>
      <c r="I19" s="2"/>
      <c r="J19" s="2"/>
      <c r="K19" s="2"/>
      <c r="L19" s="12" t="str">
        <f t="shared" si="0"/>
        <v/>
      </c>
      <c r="M19" s="2"/>
      <c r="N19" s="2"/>
      <c r="O19" s="2"/>
      <c r="P19" s="2"/>
      <c r="Q19" s="2"/>
    </row>
    <row r="20" spans="1:17" ht="13.8">
      <c r="A20" s="2"/>
      <c r="B20" s="2"/>
      <c r="C20" s="2"/>
      <c r="D20" s="11"/>
      <c r="E20" s="2"/>
      <c r="F20" s="2"/>
      <c r="G20" s="2"/>
      <c r="H20" s="13"/>
      <c r="I20" s="2"/>
      <c r="J20" s="2"/>
      <c r="K20" s="2"/>
      <c r="L20" s="12" t="str">
        <f t="shared" si="0"/>
        <v/>
      </c>
      <c r="M20" s="2"/>
      <c r="N20" s="2"/>
      <c r="O20" s="2"/>
      <c r="P20" s="2"/>
      <c r="Q20" s="2"/>
    </row>
    <row r="21" spans="1:17" ht="15.75" customHeight="1">
      <c r="A21" s="2"/>
      <c r="B21" s="2"/>
      <c r="C21" s="2"/>
      <c r="D21" s="11"/>
      <c r="E21" s="2"/>
      <c r="F21" s="2"/>
      <c r="G21" s="2"/>
      <c r="H21" s="13"/>
      <c r="I21" s="2"/>
      <c r="J21" s="2"/>
      <c r="K21" s="2"/>
      <c r="L21" s="12" t="str">
        <f t="shared" si="0"/>
        <v/>
      </c>
      <c r="M21" s="2"/>
      <c r="N21" s="2"/>
      <c r="O21" s="2"/>
      <c r="P21" s="2"/>
      <c r="Q21" s="2"/>
    </row>
    <row r="22" spans="1:17" ht="15.75" customHeight="1">
      <c r="A22" s="2"/>
      <c r="B22" s="2"/>
      <c r="C22" s="2"/>
      <c r="D22" s="11"/>
      <c r="E22" s="2"/>
      <c r="F22" s="2"/>
      <c r="G22" s="2"/>
      <c r="H22" s="13"/>
      <c r="I22" s="2"/>
      <c r="J22" s="2"/>
      <c r="K22" s="2"/>
      <c r="L22" s="12" t="str">
        <f t="shared" si="0"/>
        <v/>
      </c>
      <c r="M22" s="2"/>
      <c r="N22" s="2"/>
      <c r="O22" s="2"/>
      <c r="P22" s="2"/>
      <c r="Q22" s="2"/>
    </row>
    <row r="23" spans="1:17" ht="15.75" customHeight="1">
      <c r="A23" s="2"/>
      <c r="B23" s="2"/>
      <c r="C23" s="2"/>
      <c r="D23" s="11"/>
      <c r="E23" s="2"/>
      <c r="F23" s="2"/>
      <c r="G23" s="2"/>
      <c r="H23" s="13"/>
      <c r="I23" s="2"/>
      <c r="J23" s="2"/>
      <c r="K23" s="2"/>
      <c r="L23" s="12" t="str">
        <f t="shared" si="0"/>
        <v/>
      </c>
      <c r="M23" s="2"/>
      <c r="N23" s="2"/>
      <c r="O23" s="2"/>
      <c r="P23" s="2"/>
      <c r="Q23" s="2"/>
    </row>
    <row r="24" spans="1:17" ht="15.75" customHeight="1">
      <c r="A24" s="2"/>
      <c r="B24" s="2"/>
      <c r="C24" s="2"/>
      <c r="D24" s="11"/>
      <c r="E24" s="2"/>
      <c r="F24" s="2"/>
      <c r="G24" s="2"/>
      <c r="H24" s="13"/>
      <c r="I24" s="2"/>
      <c r="J24" s="2"/>
      <c r="K24" s="2"/>
      <c r="L24" s="12" t="str">
        <f t="shared" si="0"/>
        <v/>
      </c>
      <c r="M24" s="2"/>
      <c r="N24" s="2"/>
      <c r="O24" s="2"/>
      <c r="P24" s="2"/>
      <c r="Q24" s="2"/>
    </row>
    <row r="25" spans="1:17" ht="15.75" customHeight="1">
      <c r="A25" s="2"/>
      <c r="B25" s="2"/>
      <c r="C25" s="2"/>
      <c r="D25" s="11"/>
      <c r="E25" s="2"/>
      <c r="F25" s="2"/>
      <c r="G25" s="2"/>
      <c r="H25" s="13"/>
      <c r="I25" s="2"/>
      <c r="J25" s="2"/>
      <c r="K25" s="2"/>
      <c r="L25" s="12" t="str">
        <f t="shared" si="0"/>
        <v/>
      </c>
      <c r="M25" s="2"/>
      <c r="N25" s="2"/>
      <c r="O25" s="2"/>
      <c r="P25" s="2"/>
      <c r="Q25" s="2"/>
    </row>
    <row r="26" spans="1:17" ht="15.75" customHeight="1">
      <c r="A26" s="2"/>
      <c r="B26" s="2"/>
      <c r="C26" s="2"/>
      <c r="D26" s="11"/>
      <c r="E26" s="2"/>
      <c r="F26" s="2"/>
      <c r="G26" s="2"/>
      <c r="H26" s="13"/>
      <c r="I26" s="2"/>
      <c r="J26" s="2"/>
      <c r="K26" s="2"/>
      <c r="L26" s="12" t="str">
        <f t="shared" si="0"/>
        <v/>
      </c>
      <c r="M26" s="2"/>
      <c r="N26" s="2"/>
      <c r="O26" s="2"/>
      <c r="P26" s="2"/>
      <c r="Q26" s="2"/>
    </row>
    <row r="27" spans="1:17" ht="15.75" customHeight="1">
      <c r="A27" s="2"/>
      <c r="B27" s="2"/>
      <c r="C27" s="2"/>
      <c r="D27" s="11"/>
      <c r="E27" s="2"/>
      <c r="F27" s="2"/>
      <c r="G27" s="2"/>
      <c r="H27" s="13"/>
      <c r="I27" s="2"/>
      <c r="J27" s="2"/>
      <c r="K27" s="2"/>
      <c r="L27" s="12" t="str">
        <f t="shared" si="0"/>
        <v/>
      </c>
      <c r="M27" s="2"/>
      <c r="N27" s="2"/>
      <c r="O27" s="2"/>
      <c r="P27" s="2"/>
      <c r="Q27" s="2"/>
    </row>
    <row r="28" spans="1:17" ht="15.75" customHeight="1">
      <c r="A28" s="2"/>
      <c r="B28" s="2"/>
      <c r="C28" s="2"/>
      <c r="D28" s="11"/>
      <c r="E28" s="2"/>
      <c r="F28" s="2"/>
      <c r="G28" s="2"/>
      <c r="H28" s="13"/>
      <c r="I28" s="2"/>
      <c r="J28" s="2"/>
      <c r="K28" s="2"/>
      <c r="L28" s="12" t="str">
        <f t="shared" si="0"/>
        <v/>
      </c>
      <c r="M28" s="2"/>
      <c r="N28" s="2"/>
      <c r="O28" s="2"/>
      <c r="P28" s="2"/>
      <c r="Q28" s="2"/>
    </row>
    <row r="29" spans="1:17" ht="15.75" customHeight="1">
      <c r="A29" s="2"/>
      <c r="B29" s="2"/>
      <c r="C29" s="2"/>
      <c r="D29" s="11"/>
      <c r="E29" s="2"/>
      <c r="F29" s="2"/>
      <c r="G29" s="2"/>
      <c r="H29" s="13"/>
      <c r="I29" s="2"/>
      <c r="J29" s="2"/>
      <c r="K29" s="2"/>
      <c r="L29" s="12" t="str">
        <f t="shared" si="0"/>
        <v/>
      </c>
      <c r="M29" s="2"/>
      <c r="N29" s="2"/>
      <c r="O29" s="2"/>
      <c r="P29" s="2"/>
      <c r="Q29" s="2"/>
    </row>
    <row r="30" spans="1:17" ht="15.75" customHeight="1">
      <c r="A30" s="2"/>
      <c r="B30" s="2"/>
      <c r="C30" s="2"/>
      <c r="D30" s="11"/>
      <c r="E30" s="2"/>
      <c r="F30" s="2"/>
      <c r="G30" s="2"/>
      <c r="H30" s="13"/>
      <c r="I30" s="2"/>
      <c r="J30" s="2"/>
      <c r="K30" s="2"/>
      <c r="L30" s="12" t="str">
        <f t="shared" si="0"/>
        <v/>
      </c>
      <c r="M30" s="2"/>
      <c r="N30" s="2"/>
      <c r="O30" s="2"/>
      <c r="P30" s="2"/>
      <c r="Q30" s="2"/>
    </row>
    <row r="31" spans="1:17" ht="15.75" customHeight="1">
      <c r="A31" s="2"/>
      <c r="B31" s="2"/>
      <c r="C31" s="2"/>
      <c r="D31" s="11"/>
      <c r="E31" s="2"/>
      <c r="F31" s="2"/>
      <c r="G31" s="2"/>
      <c r="H31" s="13"/>
      <c r="I31" s="2"/>
      <c r="J31" s="2"/>
      <c r="K31" s="2"/>
      <c r="L31" s="12" t="str">
        <f t="shared" si="0"/>
        <v/>
      </c>
      <c r="M31" s="2"/>
      <c r="N31" s="2"/>
      <c r="O31" s="2"/>
      <c r="P31" s="2"/>
      <c r="Q31" s="2"/>
    </row>
    <row r="32" spans="1:17" ht="15.75" customHeight="1">
      <c r="A32" s="2"/>
      <c r="B32" s="2"/>
      <c r="C32" s="2"/>
      <c r="D32" s="11"/>
      <c r="E32" s="2"/>
      <c r="F32" s="2"/>
      <c r="G32" s="2"/>
      <c r="H32" s="13"/>
      <c r="I32" s="2"/>
      <c r="J32" s="2"/>
      <c r="K32" s="2"/>
      <c r="L32" s="12" t="str">
        <f t="shared" si="0"/>
        <v/>
      </c>
      <c r="M32" s="2"/>
      <c r="N32" s="2"/>
      <c r="O32" s="2"/>
      <c r="P32" s="2"/>
      <c r="Q32" s="2"/>
    </row>
    <row r="33" spans="1:17" ht="15.75" customHeight="1">
      <c r="A33" s="2"/>
      <c r="B33" s="2"/>
      <c r="C33" s="2"/>
      <c r="D33" s="11"/>
      <c r="E33" s="2"/>
      <c r="F33" s="2"/>
      <c r="G33" s="2"/>
      <c r="H33" s="13"/>
      <c r="I33" s="2"/>
      <c r="J33" s="2"/>
      <c r="K33" s="2"/>
      <c r="L33" s="12" t="str">
        <f t="shared" si="0"/>
        <v/>
      </c>
      <c r="M33" s="2"/>
      <c r="N33" s="2"/>
      <c r="O33" s="2"/>
      <c r="P33" s="2"/>
      <c r="Q33" s="2"/>
    </row>
    <row r="34" spans="1:17" ht="15.75" customHeight="1">
      <c r="A34" s="2"/>
      <c r="B34" s="2"/>
      <c r="C34" s="2"/>
      <c r="D34" s="11"/>
      <c r="E34" s="2"/>
      <c r="F34" s="2"/>
      <c r="G34" s="2"/>
      <c r="H34" s="13"/>
      <c r="I34" s="2"/>
      <c r="J34" s="2"/>
      <c r="K34" s="2"/>
      <c r="L34" s="12" t="str">
        <f t="shared" si="0"/>
        <v/>
      </c>
      <c r="M34" s="2"/>
      <c r="N34" s="2"/>
      <c r="O34" s="2"/>
      <c r="P34" s="2"/>
      <c r="Q34" s="2"/>
    </row>
    <row r="35" spans="1:17" ht="15.75" customHeight="1">
      <c r="A35" s="2"/>
      <c r="B35" s="2"/>
      <c r="C35" s="2"/>
      <c r="D35" s="11"/>
      <c r="E35" s="2"/>
      <c r="F35" s="2"/>
      <c r="G35" s="2"/>
      <c r="H35" s="13"/>
      <c r="I35" s="2"/>
      <c r="J35" s="2"/>
      <c r="K35" s="2"/>
      <c r="L35" s="12" t="str">
        <f t="shared" si="0"/>
        <v/>
      </c>
      <c r="M35" s="2"/>
      <c r="N35" s="2"/>
      <c r="O35" s="2"/>
      <c r="P35" s="2"/>
      <c r="Q35" s="2"/>
    </row>
    <row r="36" spans="1:17" ht="15.75" customHeight="1">
      <c r="A36" s="2"/>
      <c r="B36" s="2"/>
      <c r="C36" s="2"/>
      <c r="D36" s="11"/>
      <c r="E36" s="2"/>
      <c r="F36" s="2"/>
      <c r="G36" s="2"/>
      <c r="H36" s="13"/>
      <c r="I36" s="2"/>
      <c r="J36" s="2"/>
      <c r="K36" s="2"/>
      <c r="L36" s="12" t="str">
        <f t="shared" si="0"/>
        <v/>
      </c>
      <c r="M36" s="2"/>
      <c r="N36" s="2"/>
      <c r="O36" s="2"/>
      <c r="P36" s="2"/>
      <c r="Q36" s="2"/>
    </row>
    <row r="37" spans="1:17" ht="15.75" customHeight="1">
      <c r="A37" s="2"/>
      <c r="B37" s="2"/>
      <c r="C37" s="2"/>
      <c r="D37" s="11"/>
      <c r="E37" s="2"/>
      <c r="F37" s="2"/>
      <c r="G37" s="2"/>
      <c r="H37" s="13"/>
      <c r="I37" s="2"/>
      <c r="J37" s="2"/>
      <c r="K37" s="2"/>
      <c r="L37" s="12" t="str">
        <f t="shared" si="0"/>
        <v/>
      </c>
      <c r="M37" s="2"/>
      <c r="N37" s="2"/>
      <c r="O37" s="2"/>
      <c r="P37" s="2"/>
      <c r="Q37" s="2"/>
    </row>
    <row r="38" spans="1:17" ht="15.75" customHeight="1">
      <c r="A38" s="2"/>
      <c r="B38" s="2"/>
      <c r="C38" s="2"/>
      <c r="D38" s="11"/>
      <c r="E38" s="2"/>
      <c r="F38" s="2"/>
      <c r="G38" s="2"/>
      <c r="H38" s="13"/>
      <c r="I38" s="2"/>
      <c r="J38" s="2"/>
      <c r="K38" s="2"/>
      <c r="L38" s="12" t="str">
        <f t="shared" si="0"/>
        <v/>
      </c>
      <c r="M38" s="2"/>
      <c r="N38" s="2"/>
      <c r="O38" s="2"/>
      <c r="P38" s="2"/>
      <c r="Q38" s="2"/>
    </row>
    <row r="39" spans="1:17" ht="15.75" customHeight="1">
      <c r="A39" s="2"/>
      <c r="B39" s="2"/>
      <c r="C39" s="2"/>
      <c r="D39" s="11"/>
      <c r="E39" s="2"/>
      <c r="F39" s="2"/>
      <c r="G39" s="2"/>
      <c r="H39" s="13"/>
      <c r="I39" s="2"/>
      <c r="J39" s="2"/>
      <c r="K39" s="2"/>
      <c r="L39" s="12" t="str">
        <f t="shared" si="0"/>
        <v/>
      </c>
      <c r="M39" s="2"/>
      <c r="N39" s="2"/>
      <c r="O39" s="2"/>
      <c r="P39" s="2"/>
      <c r="Q39" s="2"/>
    </row>
    <row r="40" spans="1:17" ht="15.75" customHeight="1">
      <c r="A40" s="2"/>
      <c r="B40" s="2"/>
      <c r="C40" s="2"/>
      <c r="D40" s="11"/>
      <c r="E40" s="2"/>
      <c r="F40" s="2"/>
      <c r="G40" s="2"/>
      <c r="H40" s="13"/>
      <c r="I40" s="2"/>
      <c r="J40" s="2"/>
      <c r="K40" s="2"/>
      <c r="L40" s="12" t="str">
        <f t="shared" si="0"/>
        <v/>
      </c>
      <c r="M40" s="2"/>
      <c r="N40" s="2"/>
      <c r="O40" s="2"/>
      <c r="P40" s="2"/>
      <c r="Q40" s="2"/>
    </row>
    <row r="41" spans="1:17" ht="15.75" customHeight="1">
      <c r="A41" s="2"/>
      <c r="B41" s="2"/>
      <c r="C41" s="2"/>
      <c r="D41" s="11"/>
      <c r="E41" s="2"/>
      <c r="F41" s="2"/>
      <c r="G41" s="2"/>
      <c r="H41" s="13"/>
      <c r="I41" s="2"/>
      <c r="J41" s="2"/>
      <c r="K41" s="2"/>
      <c r="L41" s="12" t="str">
        <f t="shared" si="0"/>
        <v/>
      </c>
      <c r="M41" s="2"/>
      <c r="N41" s="2"/>
      <c r="O41" s="2"/>
      <c r="P41" s="2"/>
      <c r="Q41" s="2"/>
    </row>
    <row r="42" spans="1:17" ht="15.75" customHeight="1">
      <c r="A42" s="2"/>
      <c r="B42" s="2"/>
      <c r="C42" s="2"/>
      <c r="D42" s="11"/>
      <c r="E42" s="2"/>
      <c r="F42" s="2"/>
      <c r="G42" s="2"/>
      <c r="H42" s="13"/>
      <c r="I42" s="2"/>
      <c r="J42" s="2"/>
      <c r="K42" s="2"/>
      <c r="L42" s="12" t="str">
        <f t="shared" si="0"/>
        <v/>
      </c>
      <c r="M42" s="2"/>
      <c r="N42" s="2"/>
      <c r="O42" s="2"/>
      <c r="P42" s="2"/>
      <c r="Q42" s="2"/>
    </row>
    <row r="43" spans="1:17" ht="15.75" customHeight="1">
      <c r="A43" s="2"/>
      <c r="B43" s="2"/>
      <c r="C43" s="2"/>
      <c r="D43" s="11"/>
      <c r="E43" s="2"/>
      <c r="F43" s="2"/>
      <c r="G43" s="2"/>
      <c r="H43" s="13"/>
      <c r="I43" s="2"/>
      <c r="J43" s="2"/>
      <c r="K43" s="2"/>
      <c r="L43" s="12" t="str">
        <f t="shared" si="0"/>
        <v/>
      </c>
      <c r="M43" s="2"/>
      <c r="N43" s="2"/>
      <c r="O43" s="2"/>
      <c r="P43" s="2"/>
      <c r="Q43" s="2"/>
    </row>
    <row r="44" spans="1:17" ht="15.75" customHeight="1">
      <c r="A44" s="2"/>
      <c r="B44" s="2"/>
      <c r="C44" s="2"/>
      <c r="D44" s="11"/>
      <c r="E44" s="2"/>
      <c r="F44" s="2"/>
      <c r="G44" s="2"/>
      <c r="H44" s="13"/>
      <c r="I44" s="2"/>
      <c r="J44" s="2"/>
      <c r="K44" s="2"/>
      <c r="L44" s="12" t="str">
        <f t="shared" si="0"/>
        <v/>
      </c>
      <c r="M44" s="2"/>
      <c r="N44" s="2"/>
      <c r="O44" s="2"/>
      <c r="P44" s="2"/>
      <c r="Q44" s="2"/>
    </row>
    <row r="45" spans="1:17" ht="15.75" customHeight="1">
      <c r="A45" s="2"/>
      <c r="B45" s="2"/>
      <c r="C45" s="2"/>
      <c r="D45" s="11"/>
      <c r="E45" s="2"/>
      <c r="F45" s="2"/>
      <c r="G45" s="2"/>
      <c r="H45" s="13"/>
      <c r="I45" s="2"/>
      <c r="J45" s="2"/>
      <c r="K45" s="2"/>
      <c r="L45" s="12" t="str">
        <f t="shared" si="0"/>
        <v/>
      </c>
      <c r="M45" s="2"/>
      <c r="N45" s="2"/>
      <c r="O45" s="2"/>
      <c r="P45" s="2"/>
      <c r="Q45" s="2"/>
    </row>
    <row r="46" spans="1:17" ht="15.75" customHeight="1">
      <c r="A46" s="2"/>
      <c r="B46" s="2"/>
      <c r="C46" s="2"/>
      <c r="D46" s="11"/>
      <c r="E46" s="2"/>
      <c r="F46" s="2"/>
      <c r="G46" s="2"/>
      <c r="H46" s="13"/>
      <c r="I46" s="2"/>
      <c r="J46" s="2"/>
      <c r="K46" s="2"/>
      <c r="L46" s="12" t="str">
        <f t="shared" si="0"/>
        <v/>
      </c>
      <c r="M46" s="2"/>
      <c r="N46" s="2"/>
      <c r="O46" s="2"/>
      <c r="P46" s="2"/>
      <c r="Q46" s="2"/>
    </row>
    <row r="47" spans="1:17" ht="15.75" customHeight="1">
      <c r="A47" s="2"/>
      <c r="B47" s="2"/>
      <c r="C47" s="2"/>
      <c r="D47" s="11"/>
      <c r="E47" s="2"/>
      <c r="F47" s="2"/>
      <c r="G47" s="2"/>
      <c r="H47" s="13"/>
      <c r="I47" s="2"/>
      <c r="J47" s="2"/>
      <c r="K47" s="2"/>
      <c r="L47" s="12" t="str">
        <f t="shared" si="0"/>
        <v/>
      </c>
      <c r="M47" s="2"/>
      <c r="N47" s="2"/>
      <c r="O47" s="2"/>
      <c r="P47" s="2"/>
      <c r="Q47" s="2"/>
    </row>
    <row r="48" spans="1:17" ht="15.75" customHeight="1">
      <c r="A48" s="2"/>
      <c r="B48" s="2"/>
      <c r="C48" s="2"/>
      <c r="D48" s="11"/>
      <c r="E48" s="2"/>
      <c r="F48" s="2"/>
      <c r="G48" s="2"/>
      <c r="H48" s="13"/>
      <c r="I48" s="2"/>
      <c r="J48" s="2"/>
      <c r="K48" s="2"/>
      <c r="L48" s="12" t="str">
        <f t="shared" si="0"/>
        <v/>
      </c>
      <c r="M48" s="2"/>
      <c r="N48" s="2"/>
      <c r="O48" s="2"/>
      <c r="P48" s="2"/>
      <c r="Q48" s="2"/>
    </row>
    <row r="49" spans="1:17" ht="15.75" customHeight="1">
      <c r="A49" s="2"/>
      <c r="B49" s="2"/>
      <c r="C49" s="2"/>
      <c r="D49" s="11"/>
      <c r="E49" s="2"/>
      <c r="F49" s="2"/>
      <c r="G49" s="2"/>
      <c r="H49" s="13"/>
      <c r="I49" s="2"/>
      <c r="J49" s="2"/>
      <c r="K49" s="2"/>
      <c r="L49" s="12" t="str">
        <f t="shared" si="0"/>
        <v/>
      </c>
      <c r="M49" s="2"/>
      <c r="N49" s="2"/>
      <c r="O49" s="2"/>
      <c r="P49" s="2"/>
      <c r="Q49" s="2"/>
    </row>
    <row r="50" spans="1:17" ht="15.75" customHeight="1">
      <c r="A50" s="2"/>
      <c r="B50" s="2"/>
      <c r="C50" s="2"/>
      <c r="D50" s="11"/>
      <c r="E50" s="2"/>
      <c r="F50" s="2"/>
      <c r="G50" s="2"/>
      <c r="H50" s="13"/>
      <c r="I50" s="2"/>
      <c r="J50" s="2"/>
      <c r="K50" s="2"/>
      <c r="L50" s="12" t="str">
        <f t="shared" si="0"/>
        <v/>
      </c>
      <c r="M50" s="2"/>
      <c r="N50" s="2"/>
      <c r="O50" s="2"/>
      <c r="P50" s="2"/>
      <c r="Q50" s="2"/>
    </row>
    <row r="51" spans="1:17" ht="15.75" customHeight="1">
      <c r="A51" s="2"/>
      <c r="B51" s="2"/>
      <c r="C51" s="2"/>
      <c r="D51" s="11"/>
      <c r="E51" s="2"/>
      <c r="F51" s="2"/>
      <c r="G51" s="2"/>
      <c r="H51" s="13"/>
      <c r="I51" s="2"/>
      <c r="J51" s="2"/>
      <c r="K51" s="2"/>
      <c r="L51" s="12" t="str">
        <f t="shared" si="0"/>
        <v/>
      </c>
      <c r="M51" s="2"/>
      <c r="N51" s="2"/>
      <c r="O51" s="2"/>
      <c r="P51" s="2"/>
      <c r="Q51" s="2"/>
    </row>
    <row r="52" spans="1:17" ht="15.75" customHeight="1">
      <c r="A52" s="2"/>
      <c r="B52" s="2"/>
      <c r="C52" s="2"/>
      <c r="D52" s="11"/>
      <c r="E52" s="2"/>
      <c r="F52" s="2"/>
      <c r="G52" s="2"/>
      <c r="H52" s="13"/>
      <c r="I52" s="2"/>
      <c r="J52" s="2"/>
      <c r="K52" s="2"/>
      <c r="L52" s="12" t="str">
        <f t="shared" si="0"/>
        <v/>
      </c>
      <c r="M52" s="2"/>
      <c r="N52" s="2"/>
      <c r="O52" s="2"/>
      <c r="P52" s="2"/>
      <c r="Q52" s="2"/>
    </row>
    <row r="53" spans="1:17" ht="15.75" customHeight="1">
      <c r="A53" s="2"/>
      <c r="B53" s="2"/>
      <c r="C53" s="2"/>
      <c r="D53" s="11"/>
      <c r="E53" s="2"/>
      <c r="F53" s="2"/>
      <c r="G53" s="2"/>
      <c r="H53" s="13"/>
      <c r="I53" s="2"/>
      <c r="J53" s="2"/>
      <c r="K53" s="2"/>
      <c r="L53" s="12" t="str">
        <f t="shared" si="0"/>
        <v/>
      </c>
      <c r="M53" s="2"/>
      <c r="N53" s="2"/>
      <c r="O53" s="2"/>
      <c r="P53" s="2"/>
      <c r="Q53" s="2"/>
    </row>
    <row r="54" spans="1:17" ht="15.75" customHeight="1">
      <c r="A54" s="2"/>
      <c r="B54" s="2"/>
      <c r="C54" s="2"/>
      <c r="D54" s="11"/>
      <c r="E54" s="2"/>
      <c r="F54" s="2"/>
      <c r="G54" s="2"/>
      <c r="H54" s="13"/>
      <c r="I54" s="2"/>
      <c r="J54" s="2"/>
      <c r="K54" s="2"/>
      <c r="L54" s="12" t="str">
        <f t="shared" si="0"/>
        <v/>
      </c>
      <c r="M54" s="2"/>
      <c r="N54" s="2"/>
      <c r="O54" s="2"/>
      <c r="P54" s="2"/>
      <c r="Q54" s="2"/>
    </row>
    <row r="55" spans="1:17" ht="15.75" customHeight="1">
      <c r="A55" s="2"/>
      <c r="B55" s="2"/>
      <c r="C55" s="2"/>
      <c r="D55" s="11"/>
      <c r="E55" s="2"/>
      <c r="F55" s="2"/>
      <c r="G55" s="2"/>
      <c r="H55" s="13"/>
      <c r="I55" s="2"/>
      <c r="J55" s="2"/>
      <c r="K55" s="2"/>
      <c r="L55" s="12" t="str">
        <f t="shared" si="0"/>
        <v/>
      </c>
      <c r="M55" s="2"/>
      <c r="N55" s="2"/>
      <c r="O55" s="2"/>
      <c r="P55" s="2"/>
      <c r="Q55" s="2"/>
    </row>
    <row r="56" spans="1:17" ht="15.75" customHeight="1">
      <c r="A56" s="2"/>
      <c r="B56" s="2"/>
      <c r="C56" s="2"/>
      <c r="D56" s="11"/>
      <c r="E56" s="2"/>
      <c r="F56" s="2"/>
      <c r="G56" s="2"/>
      <c r="H56" s="13"/>
      <c r="I56" s="2"/>
      <c r="J56" s="2"/>
      <c r="K56" s="2"/>
      <c r="L56" s="12" t="str">
        <f t="shared" si="0"/>
        <v/>
      </c>
      <c r="M56" s="2"/>
      <c r="N56" s="2"/>
      <c r="O56" s="2"/>
      <c r="P56" s="2"/>
      <c r="Q56" s="2"/>
    </row>
    <row r="57" spans="1:17" ht="15.75" customHeight="1">
      <c r="A57" s="2"/>
      <c r="B57" s="2"/>
      <c r="C57" s="2"/>
      <c r="D57" s="11"/>
      <c r="E57" s="2"/>
      <c r="F57" s="2"/>
      <c r="G57" s="2"/>
      <c r="H57" s="13"/>
      <c r="I57" s="2"/>
      <c r="J57" s="2"/>
      <c r="K57" s="2"/>
      <c r="L57" s="12" t="str">
        <f t="shared" si="0"/>
        <v/>
      </c>
      <c r="M57" s="2"/>
      <c r="N57" s="2"/>
      <c r="O57" s="2"/>
      <c r="P57" s="2"/>
      <c r="Q57" s="2"/>
    </row>
    <row r="58" spans="1:17" ht="15.75" customHeight="1">
      <c r="A58" s="2"/>
      <c r="B58" s="2"/>
      <c r="C58" s="2"/>
      <c r="D58" s="11"/>
      <c r="E58" s="2"/>
      <c r="F58" s="2"/>
      <c r="G58" s="2"/>
      <c r="H58" s="13"/>
      <c r="I58" s="2"/>
      <c r="J58" s="2"/>
      <c r="K58" s="2"/>
      <c r="L58" s="12" t="str">
        <f t="shared" si="0"/>
        <v/>
      </c>
      <c r="M58" s="2"/>
      <c r="N58" s="2"/>
      <c r="O58" s="2"/>
      <c r="P58" s="2"/>
      <c r="Q58" s="2"/>
    </row>
    <row r="59" spans="1:17" ht="15.75" customHeight="1">
      <c r="A59" s="2"/>
      <c r="B59" s="2"/>
      <c r="C59" s="2"/>
      <c r="D59" s="11"/>
      <c r="E59" s="2"/>
      <c r="F59" s="2"/>
      <c r="G59" s="2"/>
      <c r="H59" s="13"/>
      <c r="I59" s="2"/>
      <c r="J59" s="2"/>
      <c r="K59" s="2"/>
      <c r="L59" s="12" t="str">
        <f t="shared" si="0"/>
        <v/>
      </c>
      <c r="M59" s="2"/>
      <c r="N59" s="2"/>
      <c r="O59" s="2"/>
      <c r="P59" s="2"/>
      <c r="Q59" s="2"/>
    </row>
    <row r="60" spans="1:17" ht="15.75" customHeight="1">
      <c r="A60" s="2"/>
      <c r="B60" s="2"/>
      <c r="C60" s="2"/>
      <c r="D60" s="11"/>
      <c r="E60" s="2"/>
      <c r="F60" s="2"/>
      <c r="G60" s="2"/>
      <c r="H60" s="13"/>
      <c r="I60" s="2"/>
      <c r="J60" s="2"/>
      <c r="K60" s="2"/>
      <c r="L60" s="12" t="str">
        <f t="shared" si="0"/>
        <v/>
      </c>
      <c r="M60" s="2"/>
      <c r="N60" s="2"/>
      <c r="O60" s="2"/>
      <c r="P60" s="2"/>
      <c r="Q60" s="2"/>
    </row>
    <row r="61" spans="1:17" ht="15.75" customHeight="1">
      <c r="A61" s="2"/>
      <c r="B61" s="2"/>
      <c r="C61" s="2"/>
      <c r="D61" s="11"/>
      <c r="E61" s="2"/>
      <c r="F61" s="2"/>
      <c r="G61" s="2"/>
      <c r="H61" s="13"/>
      <c r="I61" s="2"/>
      <c r="J61" s="2"/>
      <c r="K61" s="2"/>
      <c r="L61" s="12" t="str">
        <f t="shared" si="0"/>
        <v/>
      </c>
      <c r="M61" s="2"/>
      <c r="N61" s="2"/>
      <c r="O61" s="2"/>
      <c r="P61" s="2"/>
      <c r="Q61" s="2"/>
    </row>
    <row r="62" spans="1:17" ht="15.75" customHeight="1">
      <c r="A62" s="2"/>
      <c r="B62" s="2"/>
      <c r="C62" s="2"/>
      <c r="D62" s="11"/>
      <c r="E62" s="2"/>
      <c r="F62" s="2"/>
      <c r="G62" s="2"/>
      <c r="H62" s="13"/>
      <c r="I62" s="2"/>
      <c r="J62" s="2"/>
      <c r="K62" s="2"/>
      <c r="L62" s="12" t="str">
        <f t="shared" si="0"/>
        <v/>
      </c>
      <c r="M62" s="2"/>
      <c r="N62" s="2"/>
      <c r="O62" s="2"/>
      <c r="P62" s="2"/>
      <c r="Q62" s="2"/>
    </row>
    <row r="63" spans="1:17" ht="15.75" customHeight="1">
      <c r="A63" s="2"/>
      <c r="B63" s="2"/>
      <c r="C63" s="2"/>
      <c r="D63" s="11"/>
      <c r="E63" s="2"/>
      <c r="F63" s="2"/>
      <c r="G63" s="2"/>
      <c r="H63" s="13"/>
      <c r="I63" s="2"/>
      <c r="J63" s="2"/>
      <c r="K63" s="2"/>
      <c r="L63" s="12" t="str">
        <f t="shared" si="0"/>
        <v/>
      </c>
      <c r="M63" s="2"/>
      <c r="N63" s="2"/>
      <c r="O63" s="2"/>
      <c r="P63" s="2"/>
      <c r="Q63" s="2"/>
    </row>
    <row r="64" spans="1:17" ht="15.75" customHeight="1">
      <c r="A64" s="2"/>
      <c r="B64" s="2"/>
      <c r="C64" s="2"/>
      <c r="D64" s="11"/>
      <c r="E64" s="2"/>
      <c r="F64" s="2"/>
      <c r="G64" s="2"/>
      <c r="H64" s="13"/>
      <c r="I64" s="2"/>
      <c r="J64" s="2"/>
      <c r="K64" s="2"/>
      <c r="L64" s="12" t="str">
        <f t="shared" si="0"/>
        <v/>
      </c>
      <c r="M64" s="2"/>
      <c r="N64" s="2"/>
      <c r="O64" s="2"/>
      <c r="P64" s="2"/>
      <c r="Q64" s="2"/>
    </row>
    <row r="65" spans="1:17" ht="15.75" customHeight="1">
      <c r="A65" s="2"/>
      <c r="B65" s="2"/>
      <c r="C65" s="2"/>
      <c r="D65" s="11"/>
      <c r="E65" s="2"/>
      <c r="F65" s="2"/>
      <c r="G65" s="2"/>
      <c r="H65" s="13"/>
      <c r="I65" s="2"/>
      <c r="J65" s="2"/>
      <c r="K65" s="2"/>
      <c r="L65" s="12" t="str">
        <f t="shared" si="0"/>
        <v/>
      </c>
      <c r="M65" s="2"/>
      <c r="N65" s="2"/>
      <c r="O65" s="2"/>
      <c r="P65" s="2"/>
      <c r="Q65" s="2"/>
    </row>
    <row r="66" spans="1:17" ht="15.75" customHeight="1">
      <c r="A66" s="2"/>
      <c r="B66" s="2"/>
      <c r="C66" s="2"/>
      <c r="D66" s="11"/>
      <c r="E66" s="2"/>
      <c r="F66" s="2"/>
      <c r="G66" s="2"/>
      <c r="H66" s="13"/>
      <c r="I66" s="2"/>
      <c r="J66" s="2"/>
      <c r="K66" s="2"/>
      <c r="L66" s="12" t="str">
        <f t="shared" si="0"/>
        <v/>
      </c>
      <c r="M66" s="2"/>
      <c r="N66" s="2"/>
      <c r="O66" s="2"/>
      <c r="P66" s="2"/>
      <c r="Q66" s="2"/>
    </row>
    <row r="67" spans="1:17" ht="15.75" customHeight="1">
      <c r="A67" s="2"/>
      <c r="B67" s="2"/>
      <c r="C67" s="2"/>
      <c r="D67" s="11"/>
      <c r="E67" s="2"/>
      <c r="F67" s="2"/>
      <c r="G67" s="2"/>
      <c r="H67" s="13"/>
      <c r="I67" s="2"/>
      <c r="J67" s="2"/>
      <c r="K67" s="2"/>
      <c r="L67" s="12" t="str">
        <f t="shared" si="0"/>
        <v/>
      </c>
      <c r="M67" s="2"/>
      <c r="N67" s="2"/>
      <c r="O67" s="2"/>
      <c r="P67" s="2"/>
      <c r="Q67" s="2"/>
    </row>
    <row r="68" spans="1:17" ht="15.75" customHeight="1">
      <c r="A68" s="2"/>
      <c r="B68" s="2"/>
      <c r="C68" s="2"/>
      <c r="D68" s="11"/>
      <c r="E68" s="2"/>
      <c r="F68" s="2"/>
      <c r="G68" s="2"/>
      <c r="H68" s="13"/>
      <c r="I68" s="2"/>
      <c r="J68" s="2"/>
      <c r="K68" s="2"/>
      <c r="L68" s="12" t="str">
        <f t="shared" si="0"/>
        <v/>
      </c>
      <c r="M68" s="2"/>
      <c r="N68" s="2"/>
      <c r="O68" s="2"/>
      <c r="P68" s="2"/>
      <c r="Q68" s="2"/>
    </row>
    <row r="69" spans="1:17" ht="15.75" customHeight="1">
      <c r="A69" s="2"/>
      <c r="B69" s="2"/>
      <c r="C69" s="2"/>
      <c r="D69" s="11"/>
      <c r="E69" s="2"/>
      <c r="F69" s="2"/>
      <c r="G69" s="2"/>
      <c r="H69" s="13"/>
      <c r="I69" s="2"/>
      <c r="J69" s="2"/>
      <c r="K69" s="2"/>
      <c r="L69" s="12" t="str">
        <f t="shared" si="0"/>
        <v/>
      </c>
      <c r="M69" s="2"/>
      <c r="N69" s="2"/>
      <c r="O69" s="2"/>
      <c r="P69" s="2"/>
      <c r="Q69" s="2"/>
    </row>
    <row r="70" spans="1:17" ht="15.75" customHeight="1">
      <c r="A70" s="2"/>
      <c r="B70" s="2"/>
      <c r="C70" s="2"/>
      <c r="D70" s="11"/>
      <c r="E70" s="2"/>
      <c r="F70" s="2"/>
      <c r="G70" s="2"/>
      <c r="H70" s="13"/>
      <c r="I70" s="2"/>
      <c r="J70" s="2"/>
      <c r="K70" s="2"/>
      <c r="L70" s="12" t="str">
        <f t="shared" si="0"/>
        <v/>
      </c>
      <c r="M70" s="2"/>
      <c r="N70" s="2"/>
      <c r="O70" s="2"/>
      <c r="P70" s="2"/>
      <c r="Q70" s="2"/>
    </row>
    <row r="71" spans="1:17" ht="15.75" customHeight="1">
      <c r="A71" s="2"/>
      <c r="B71" s="2"/>
      <c r="C71" s="2"/>
      <c r="D71" s="11"/>
      <c r="E71" s="2"/>
      <c r="F71" s="2"/>
      <c r="G71" s="2"/>
      <c r="H71" s="13"/>
      <c r="I71" s="2"/>
      <c r="J71" s="2"/>
      <c r="K71" s="2"/>
      <c r="L71" s="12" t="str">
        <f t="shared" si="0"/>
        <v/>
      </c>
      <c r="M71" s="2"/>
      <c r="N71" s="2"/>
      <c r="O71" s="2"/>
      <c r="P71" s="2"/>
      <c r="Q71" s="2"/>
    </row>
    <row r="72" spans="1:17" ht="15.75" customHeight="1">
      <c r="A72" s="2"/>
      <c r="B72" s="2"/>
      <c r="C72" s="2"/>
      <c r="D72" s="11"/>
      <c r="E72" s="2"/>
      <c r="F72" s="2"/>
      <c r="G72" s="2"/>
      <c r="H72" s="13"/>
      <c r="I72" s="2"/>
      <c r="J72" s="2"/>
      <c r="K72" s="2"/>
      <c r="L72" s="12" t="str">
        <f t="shared" si="0"/>
        <v/>
      </c>
      <c r="M72" s="2"/>
      <c r="N72" s="2"/>
      <c r="O72" s="2"/>
      <c r="P72" s="2"/>
      <c r="Q72" s="2"/>
    </row>
    <row r="73" spans="1:17" ht="15.75" customHeight="1">
      <c r="A73" s="2"/>
      <c r="B73" s="2"/>
      <c r="C73" s="2"/>
      <c r="D73" s="11"/>
      <c r="E73" s="2"/>
      <c r="F73" s="2"/>
      <c r="G73" s="2"/>
      <c r="H73" s="13"/>
      <c r="I73" s="2"/>
      <c r="J73" s="2"/>
      <c r="K73" s="2"/>
      <c r="L73" s="12" t="str">
        <f t="shared" si="0"/>
        <v/>
      </c>
      <c r="M73" s="2"/>
      <c r="N73" s="2"/>
      <c r="O73" s="2"/>
      <c r="P73" s="2"/>
      <c r="Q73" s="2"/>
    </row>
    <row r="74" spans="1:17" ht="15.75" customHeight="1">
      <c r="A74" s="2"/>
      <c r="B74" s="2"/>
      <c r="C74" s="2"/>
      <c r="D74" s="11"/>
      <c r="E74" s="2"/>
      <c r="F74" s="2"/>
      <c r="G74" s="2"/>
      <c r="H74" s="13"/>
      <c r="I74" s="2"/>
      <c r="J74" s="2"/>
      <c r="K74" s="2"/>
      <c r="L74" s="12" t="str">
        <f t="shared" si="0"/>
        <v/>
      </c>
      <c r="M74" s="2"/>
      <c r="N74" s="2"/>
      <c r="O74" s="2"/>
      <c r="P74" s="2"/>
      <c r="Q74" s="2"/>
    </row>
    <row r="75" spans="1:17" ht="15.75" customHeight="1">
      <c r="A75" s="2"/>
      <c r="B75" s="2"/>
      <c r="C75" s="2"/>
      <c r="D75" s="11"/>
      <c r="E75" s="2"/>
      <c r="F75" s="2"/>
      <c r="G75" s="2"/>
      <c r="H75" s="13"/>
      <c r="I75" s="2"/>
      <c r="J75" s="2"/>
      <c r="K75" s="2"/>
      <c r="L75" s="12" t="str">
        <f t="shared" si="0"/>
        <v/>
      </c>
      <c r="M75" s="2"/>
      <c r="N75" s="2"/>
      <c r="O75" s="2"/>
      <c r="P75" s="2"/>
      <c r="Q75" s="2"/>
    </row>
    <row r="76" spans="1:17" ht="15.75" customHeight="1">
      <c r="A76" s="2"/>
      <c r="B76" s="2"/>
      <c r="C76" s="2"/>
      <c r="D76" s="11"/>
      <c r="E76" s="2"/>
      <c r="F76" s="2"/>
      <c r="G76" s="2"/>
      <c r="H76" s="13"/>
      <c r="I76" s="2"/>
      <c r="J76" s="2"/>
      <c r="K76" s="2"/>
      <c r="L76" s="12" t="str">
        <f t="shared" si="0"/>
        <v/>
      </c>
      <c r="M76" s="2"/>
      <c r="N76" s="2"/>
      <c r="O76" s="2"/>
      <c r="P76" s="2"/>
      <c r="Q76" s="2"/>
    </row>
    <row r="77" spans="1:17" ht="15.75" customHeight="1">
      <c r="A77" s="2"/>
      <c r="B77" s="2"/>
      <c r="C77" s="2"/>
      <c r="D77" s="11"/>
      <c r="E77" s="2"/>
      <c r="F77" s="2"/>
      <c r="G77" s="2"/>
      <c r="H77" s="13"/>
      <c r="I77" s="2"/>
      <c r="J77" s="2"/>
      <c r="K77" s="2"/>
      <c r="L77" s="12" t="str">
        <f t="shared" si="0"/>
        <v/>
      </c>
      <c r="M77" s="2"/>
      <c r="N77" s="2"/>
      <c r="O77" s="2"/>
      <c r="P77" s="2"/>
      <c r="Q77" s="2"/>
    </row>
    <row r="78" spans="1:17" ht="15.75" customHeight="1">
      <c r="A78" s="2"/>
      <c r="B78" s="2"/>
      <c r="C78" s="2"/>
      <c r="D78" s="11"/>
      <c r="E78" s="2"/>
      <c r="F78" s="2"/>
      <c r="G78" s="2"/>
      <c r="H78" s="13"/>
      <c r="I78" s="2"/>
      <c r="J78" s="2"/>
      <c r="K78" s="2"/>
      <c r="L78" s="12" t="str">
        <f t="shared" si="0"/>
        <v/>
      </c>
      <c r="M78" s="2"/>
      <c r="N78" s="2"/>
      <c r="O78" s="2"/>
      <c r="P78" s="2"/>
      <c r="Q78" s="2"/>
    </row>
    <row r="79" spans="1:17" ht="15.75" customHeight="1">
      <c r="A79" s="2"/>
      <c r="B79" s="2"/>
      <c r="C79" s="2"/>
      <c r="D79" s="11"/>
      <c r="E79" s="2"/>
      <c r="F79" s="2"/>
      <c r="G79" s="2"/>
      <c r="H79" s="13"/>
      <c r="I79" s="2"/>
      <c r="J79" s="2"/>
      <c r="K79" s="2"/>
      <c r="L79" s="12" t="str">
        <f t="shared" si="0"/>
        <v/>
      </c>
      <c r="M79" s="2"/>
      <c r="N79" s="2"/>
      <c r="O79" s="2"/>
      <c r="P79" s="2"/>
      <c r="Q79" s="2"/>
    </row>
    <row r="80" spans="1:17" ht="15.75" customHeight="1">
      <c r="A80" s="2"/>
      <c r="B80" s="2"/>
      <c r="C80" s="2"/>
      <c r="D80" s="11"/>
      <c r="E80" s="2"/>
      <c r="F80" s="2"/>
      <c r="G80" s="2"/>
      <c r="H80" s="13"/>
      <c r="I80" s="2"/>
      <c r="J80" s="2"/>
      <c r="K80" s="2"/>
      <c r="L80" s="12" t="str">
        <f t="shared" si="0"/>
        <v/>
      </c>
      <c r="M80" s="2"/>
      <c r="N80" s="2"/>
      <c r="O80" s="2"/>
      <c r="P80" s="2"/>
      <c r="Q80" s="2"/>
    </row>
    <row r="81" spans="1:17" ht="15.75" customHeight="1">
      <c r="A81" s="2"/>
      <c r="B81" s="2"/>
      <c r="C81" s="2"/>
      <c r="D81" s="11"/>
      <c r="E81" s="2"/>
      <c r="F81" s="2"/>
      <c r="G81" s="2"/>
      <c r="H81" s="13"/>
      <c r="I81" s="2"/>
      <c r="J81" s="2"/>
      <c r="K81" s="2"/>
      <c r="L81" s="12" t="str">
        <f t="shared" si="0"/>
        <v/>
      </c>
      <c r="M81" s="2"/>
      <c r="N81" s="2"/>
      <c r="O81" s="2"/>
      <c r="P81" s="2"/>
      <c r="Q81" s="2"/>
    </row>
    <row r="82" spans="1:17" ht="15.75" customHeight="1">
      <c r="A82" s="2"/>
      <c r="B82" s="2"/>
      <c r="C82" s="2"/>
      <c r="D82" s="11"/>
      <c r="E82" s="2"/>
      <c r="F82" s="2"/>
      <c r="G82" s="2"/>
      <c r="H82" s="13"/>
      <c r="I82" s="2"/>
      <c r="J82" s="2"/>
      <c r="K82" s="2"/>
      <c r="L82" s="12" t="str">
        <f t="shared" si="0"/>
        <v/>
      </c>
      <c r="M82" s="2"/>
      <c r="N82" s="2"/>
      <c r="O82" s="2"/>
      <c r="P82" s="2"/>
      <c r="Q82" s="2"/>
    </row>
    <row r="83" spans="1:17" ht="15.75" customHeight="1">
      <c r="A83" s="2"/>
      <c r="B83" s="2"/>
      <c r="C83" s="2"/>
      <c r="D83" s="11"/>
      <c r="E83" s="2"/>
      <c r="F83" s="2"/>
      <c r="G83" s="2"/>
      <c r="H83" s="13"/>
      <c r="I83" s="2"/>
      <c r="J83" s="2"/>
      <c r="K83" s="2"/>
      <c r="L83" s="12" t="str">
        <f t="shared" si="0"/>
        <v/>
      </c>
      <c r="M83" s="2"/>
      <c r="N83" s="2"/>
      <c r="O83" s="2"/>
      <c r="P83" s="2"/>
      <c r="Q83" s="2"/>
    </row>
    <row r="84" spans="1:17" ht="15.75" customHeight="1">
      <c r="A84" s="2"/>
      <c r="B84" s="2"/>
      <c r="C84" s="2"/>
      <c r="D84" s="11"/>
      <c r="E84" s="2"/>
      <c r="F84" s="2"/>
      <c r="G84" s="2"/>
      <c r="H84" s="13"/>
      <c r="I84" s="2"/>
      <c r="J84" s="2"/>
      <c r="K84" s="2"/>
      <c r="L84" s="12" t="str">
        <f t="shared" si="0"/>
        <v/>
      </c>
      <c r="M84" s="2"/>
      <c r="N84" s="2"/>
      <c r="O84" s="2"/>
      <c r="P84" s="2"/>
      <c r="Q84" s="2"/>
    </row>
    <row r="85" spans="1:17" ht="15.75" customHeight="1">
      <c r="A85" s="2"/>
      <c r="B85" s="2"/>
      <c r="C85" s="2"/>
      <c r="D85" s="11"/>
      <c r="E85" s="2"/>
      <c r="F85" s="2"/>
      <c r="G85" s="2"/>
      <c r="H85" s="13"/>
      <c r="I85" s="2"/>
      <c r="J85" s="2"/>
      <c r="K85" s="2"/>
      <c r="L85" s="12" t="str">
        <f t="shared" si="0"/>
        <v/>
      </c>
      <c r="M85" s="2"/>
      <c r="N85" s="2"/>
      <c r="O85" s="2"/>
      <c r="P85" s="2"/>
      <c r="Q85" s="2"/>
    </row>
    <row r="86" spans="1:17" ht="15.75" customHeight="1">
      <c r="A86" s="2"/>
      <c r="B86" s="2"/>
      <c r="C86" s="2"/>
      <c r="D86" s="11"/>
      <c r="E86" s="2"/>
      <c r="F86" s="2"/>
      <c r="G86" s="2"/>
      <c r="H86" s="13"/>
      <c r="I86" s="2"/>
      <c r="J86" s="2"/>
      <c r="K86" s="2"/>
      <c r="L86" s="12" t="str">
        <f t="shared" si="0"/>
        <v/>
      </c>
      <c r="M86" s="2"/>
      <c r="N86" s="2"/>
      <c r="O86" s="2"/>
      <c r="P86" s="2"/>
      <c r="Q86" s="2"/>
    </row>
    <row r="87" spans="1:17" ht="15.75" customHeight="1">
      <c r="A87" s="2"/>
      <c r="B87" s="2"/>
      <c r="C87" s="2"/>
      <c r="D87" s="11"/>
      <c r="E87" s="2"/>
      <c r="F87" s="2"/>
      <c r="G87" s="2"/>
      <c r="H87" s="13"/>
      <c r="I87" s="2"/>
      <c r="J87" s="2"/>
      <c r="K87" s="2"/>
      <c r="L87" s="12" t="str">
        <f t="shared" si="0"/>
        <v/>
      </c>
      <c r="M87" s="2"/>
      <c r="N87" s="2"/>
      <c r="O87" s="2"/>
      <c r="P87" s="2"/>
      <c r="Q87" s="2"/>
    </row>
    <row r="88" spans="1:17" ht="15.75" customHeight="1">
      <c r="A88" s="2"/>
      <c r="B88" s="2"/>
      <c r="C88" s="2"/>
      <c r="D88" s="11"/>
      <c r="E88" s="2"/>
      <c r="F88" s="2"/>
      <c r="G88" s="2"/>
      <c r="H88" s="13"/>
      <c r="I88" s="2"/>
      <c r="J88" s="2"/>
      <c r="K88" s="2"/>
      <c r="L88" s="12" t="str">
        <f t="shared" si="0"/>
        <v/>
      </c>
      <c r="M88" s="2"/>
      <c r="N88" s="2"/>
      <c r="O88" s="2"/>
      <c r="P88" s="2"/>
      <c r="Q88" s="2"/>
    </row>
    <row r="89" spans="1:17" ht="15.75" customHeight="1">
      <c r="A89" s="2"/>
      <c r="B89" s="2"/>
      <c r="C89" s="2"/>
      <c r="D89" s="11"/>
      <c r="E89" s="2"/>
      <c r="F89" s="2"/>
      <c r="G89" s="2"/>
      <c r="H89" s="13"/>
      <c r="I89" s="2"/>
      <c r="J89" s="2"/>
      <c r="K89" s="2"/>
      <c r="L89" s="12" t="str">
        <f t="shared" si="0"/>
        <v/>
      </c>
      <c r="M89" s="2"/>
      <c r="N89" s="2"/>
      <c r="O89" s="2"/>
      <c r="P89" s="2"/>
      <c r="Q89" s="2"/>
    </row>
    <row r="90" spans="1:17" ht="15.75" customHeight="1">
      <c r="A90" s="2"/>
      <c r="B90" s="2"/>
      <c r="C90" s="2"/>
      <c r="D90" s="11"/>
      <c r="E90" s="2"/>
      <c r="F90" s="2"/>
      <c r="G90" s="2"/>
      <c r="H90" s="13"/>
      <c r="I90" s="2"/>
      <c r="J90" s="2"/>
      <c r="K90" s="2"/>
      <c r="L90" s="12" t="str">
        <f t="shared" si="0"/>
        <v/>
      </c>
      <c r="M90" s="2"/>
      <c r="N90" s="2"/>
      <c r="O90" s="2"/>
      <c r="P90" s="2"/>
      <c r="Q90" s="2"/>
    </row>
    <row r="91" spans="1:17" ht="15.75" customHeight="1">
      <c r="A91" s="2"/>
      <c r="B91" s="2"/>
      <c r="C91" s="2"/>
      <c r="D91" s="11"/>
      <c r="E91" s="2"/>
      <c r="F91" s="2"/>
      <c r="G91" s="2"/>
      <c r="H91" s="13"/>
      <c r="I91" s="2"/>
      <c r="J91" s="2"/>
      <c r="K91" s="2"/>
      <c r="L91" s="12" t="str">
        <f t="shared" si="0"/>
        <v/>
      </c>
      <c r="M91" s="2"/>
      <c r="N91" s="2"/>
      <c r="O91" s="2"/>
      <c r="P91" s="2"/>
      <c r="Q91" s="2"/>
    </row>
    <row r="92" spans="1:17" ht="15.75" customHeight="1">
      <c r="A92" s="2"/>
      <c r="B92" s="2"/>
      <c r="C92" s="2"/>
      <c r="D92" s="11"/>
      <c r="E92" s="2"/>
      <c r="F92" s="2"/>
      <c r="G92" s="2"/>
      <c r="H92" s="13"/>
      <c r="I92" s="2"/>
      <c r="J92" s="2"/>
      <c r="K92" s="2"/>
      <c r="L92" s="12" t="str">
        <f t="shared" si="0"/>
        <v/>
      </c>
      <c r="M92" s="2"/>
      <c r="N92" s="2"/>
      <c r="O92" s="2"/>
      <c r="P92" s="2"/>
      <c r="Q92" s="2"/>
    </row>
    <row r="93" spans="1:17" ht="15.75" customHeight="1">
      <c r="A93" s="2"/>
      <c r="B93" s="2"/>
      <c r="C93" s="2"/>
      <c r="D93" s="11"/>
      <c r="E93" s="2"/>
      <c r="F93" s="2"/>
      <c r="G93" s="2"/>
      <c r="H93" s="13"/>
      <c r="I93" s="2"/>
      <c r="J93" s="2"/>
      <c r="K93" s="2"/>
      <c r="L93" s="12" t="str">
        <f t="shared" si="0"/>
        <v/>
      </c>
      <c r="M93" s="2"/>
      <c r="N93" s="2"/>
      <c r="O93" s="2"/>
      <c r="P93" s="2"/>
      <c r="Q93" s="2"/>
    </row>
    <row r="94" spans="1:17" ht="15.75" customHeight="1">
      <c r="A94" s="2"/>
      <c r="B94" s="2"/>
      <c r="C94" s="2"/>
      <c r="D94" s="11"/>
      <c r="E94" s="2"/>
      <c r="F94" s="2"/>
      <c r="G94" s="2"/>
      <c r="H94" s="13"/>
      <c r="I94" s="2"/>
      <c r="J94" s="2"/>
      <c r="K94" s="2"/>
      <c r="L94" s="12" t="str">
        <f t="shared" si="0"/>
        <v/>
      </c>
      <c r="M94" s="2"/>
      <c r="N94" s="2"/>
      <c r="O94" s="2"/>
      <c r="P94" s="2"/>
      <c r="Q94" s="2"/>
    </row>
    <row r="95" spans="1:17" ht="15.75" customHeight="1">
      <c r="A95" s="2"/>
      <c r="B95" s="2"/>
      <c r="C95" s="2"/>
      <c r="D95" s="11"/>
      <c r="E95" s="2"/>
      <c r="F95" s="2"/>
      <c r="G95" s="2"/>
      <c r="H95" s="13"/>
      <c r="I95" s="2"/>
      <c r="J95" s="2"/>
      <c r="K95" s="2"/>
      <c r="L95" s="12" t="str">
        <f t="shared" si="0"/>
        <v/>
      </c>
      <c r="M95" s="2"/>
      <c r="N95" s="2"/>
      <c r="O95" s="2"/>
      <c r="P95" s="2"/>
      <c r="Q95" s="2"/>
    </row>
    <row r="96" spans="1:17" ht="15.75" customHeight="1">
      <c r="A96" s="2"/>
      <c r="B96" s="2"/>
      <c r="C96" s="2"/>
      <c r="D96" s="11"/>
      <c r="E96" s="2"/>
      <c r="F96" s="2"/>
      <c r="G96" s="2"/>
      <c r="H96" s="13"/>
      <c r="I96" s="2"/>
      <c r="J96" s="2"/>
      <c r="K96" s="2"/>
      <c r="L96" s="12" t="str">
        <f t="shared" si="0"/>
        <v/>
      </c>
      <c r="M96" s="2"/>
      <c r="N96" s="2"/>
      <c r="O96" s="2"/>
      <c r="P96" s="2"/>
      <c r="Q96" s="2"/>
    </row>
    <row r="97" spans="1:17" ht="15.75" customHeight="1">
      <c r="A97" s="2"/>
      <c r="B97" s="2"/>
      <c r="C97" s="2"/>
      <c r="D97" s="11"/>
      <c r="E97" s="2"/>
      <c r="F97" s="2"/>
      <c r="G97" s="2"/>
      <c r="H97" s="13"/>
      <c r="I97" s="2"/>
      <c r="J97" s="2"/>
      <c r="K97" s="2"/>
      <c r="L97" s="12" t="str">
        <f t="shared" si="0"/>
        <v/>
      </c>
      <c r="M97" s="2"/>
      <c r="N97" s="2"/>
      <c r="O97" s="2"/>
      <c r="P97" s="2"/>
      <c r="Q97" s="2"/>
    </row>
    <row r="98" spans="1:17" ht="15.75" customHeight="1">
      <c r="A98" s="2"/>
      <c r="B98" s="2"/>
      <c r="C98" s="2"/>
      <c r="D98" s="11"/>
      <c r="E98" s="2"/>
      <c r="F98" s="2"/>
      <c r="G98" s="2"/>
      <c r="H98" s="13"/>
      <c r="I98" s="2"/>
      <c r="J98" s="2"/>
      <c r="K98" s="2"/>
      <c r="L98" s="12" t="str">
        <f t="shared" si="0"/>
        <v/>
      </c>
      <c r="M98" s="2"/>
      <c r="N98" s="2"/>
      <c r="O98" s="2"/>
      <c r="P98" s="2"/>
      <c r="Q98" s="2"/>
    </row>
    <row r="99" spans="1:17" ht="15.75" customHeight="1">
      <c r="A99" s="2"/>
      <c r="B99" s="2"/>
      <c r="C99" s="2"/>
      <c r="D99" s="11"/>
      <c r="E99" s="2"/>
      <c r="F99" s="2"/>
      <c r="G99" s="2"/>
      <c r="H99" s="13"/>
      <c r="I99" s="2"/>
      <c r="J99" s="2"/>
      <c r="K99" s="2"/>
      <c r="L99" s="12" t="str">
        <f t="shared" si="0"/>
        <v/>
      </c>
      <c r="M99" s="2"/>
      <c r="N99" s="2"/>
      <c r="O99" s="2"/>
      <c r="P99" s="2"/>
      <c r="Q99" s="2"/>
    </row>
    <row r="100" spans="1:17" ht="15.75" customHeight="1">
      <c r="A100" s="2"/>
      <c r="B100" s="2"/>
      <c r="C100" s="2"/>
      <c r="D100" s="11"/>
      <c r="E100" s="2"/>
      <c r="F100" s="2"/>
      <c r="G100" s="2"/>
      <c r="H100" s="13"/>
      <c r="I100" s="2"/>
      <c r="J100" s="2"/>
      <c r="K100" s="2"/>
      <c r="L100" s="12" t="str">
        <f t="shared" si="0"/>
        <v/>
      </c>
      <c r="M100" s="2"/>
      <c r="N100" s="2"/>
      <c r="O100" s="2"/>
      <c r="P100" s="2"/>
      <c r="Q100" s="2"/>
    </row>
    <row r="101" spans="1:17" ht="15.75" customHeight="1">
      <c r="A101" s="2"/>
      <c r="B101" s="2"/>
      <c r="C101" s="2"/>
      <c r="D101" s="11"/>
      <c r="E101" s="2"/>
      <c r="F101" s="2"/>
      <c r="G101" s="2"/>
      <c r="H101" s="13"/>
      <c r="I101" s="2"/>
      <c r="J101" s="2"/>
      <c r="K101" s="2"/>
      <c r="L101" s="12" t="str">
        <f t="shared" si="0"/>
        <v/>
      </c>
      <c r="M101" s="2"/>
      <c r="N101" s="2"/>
      <c r="O101" s="2"/>
      <c r="P101" s="2"/>
      <c r="Q101" s="2"/>
    </row>
    <row r="102" spans="1:17" ht="15.75" customHeight="1">
      <c r="A102" s="2"/>
      <c r="B102" s="2"/>
      <c r="C102" s="2"/>
      <c r="D102" s="11"/>
      <c r="E102" s="2"/>
      <c r="F102" s="2"/>
      <c r="G102" s="2"/>
      <c r="H102" s="13"/>
      <c r="I102" s="2"/>
      <c r="J102" s="2"/>
      <c r="K102" s="2"/>
      <c r="L102" s="12" t="str">
        <f t="shared" si="0"/>
        <v/>
      </c>
      <c r="M102" s="2"/>
      <c r="N102" s="2"/>
      <c r="O102" s="2"/>
      <c r="P102" s="2"/>
      <c r="Q102" s="2"/>
    </row>
    <row r="103" spans="1:17" ht="15.75" customHeight="1">
      <c r="A103" s="2"/>
      <c r="B103" s="2"/>
      <c r="C103" s="2"/>
      <c r="D103" s="11"/>
      <c r="E103" s="2"/>
      <c r="F103" s="2"/>
      <c r="G103" s="2"/>
      <c r="H103" s="13"/>
      <c r="I103" s="2"/>
      <c r="J103" s="2"/>
      <c r="K103" s="2"/>
      <c r="L103" s="12" t="str">
        <f t="shared" si="0"/>
        <v/>
      </c>
      <c r="M103" s="2"/>
      <c r="N103" s="2"/>
      <c r="O103" s="2"/>
      <c r="P103" s="2"/>
      <c r="Q103" s="2"/>
    </row>
    <row r="104" spans="1:17" ht="15.75" customHeight="1">
      <c r="A104" s="2"/>
      <c r="B104" s="2"/>
      <c r="C104" s="2"/>
      <c r="D104" s="11"/>
      <c r="E104" s="2"/>
      <c r="F104" s="2"/>
      <c r="G104" s="2"/>
      <c r="H104" s="13"/>
      <c r="I104" s="2"/>
      <c r="J104" s="2"/>
      <c r="K104" s="2"/>
      <c r="L104" s="12" t="str">
        <f t="shared" si="0"/>
        <v/>
      </c>
      <c r="M104" s="2"/>
      <c r="N104" s="2"/>
      <c r="O104" s="2"/>
      <c r="P104" s="2"/>
      <c r="Q104" s="2"/>
    </row>
    <row r="105" spans="1:17" ht="15.75" customHeight="1">
      <c r="A105" s="2"/>
      <c r="B105" s="2"/>
      <c r="C105" s="2"/>
      <c r="D105" s="11"/>
      <c r="E105" s="2"/>
      <c r="F105" s="2"/>
      <c r="G105" s="2"/>
      <c r="H105" s="13"/>
      <c r="I105" s="2"/>
      <c r="J105" s="2"/>
      <c r="K105" s="2"/>
      <c r="L105" s="12" t="str">
        <f t="shared" si="0"/>
        <v/>
      </c>
      <c r="M105" s="2"/>
      <c r="N105" s="2"/>
      <c r="O105" s="2"/>
      <c r="P105" s="2"/>
      <c r="Q105" s="2"/>
    </row>
    <row r="106" spans="1:17" ht="15.75" customHeight="1">
      <c r="A106" s="2"/>
      <c r="B106" s="2"/>
      <c r="C106" s="2"/>
      <c r="D106" s="11"/>
      <c r="E106" s="2"/>
      <c r="F106" s="2"/>
      <c r="G106" s="2"/>
      <c r="H106" s="13"/>
      <c r="I106" s="2"/>
      <c r="J106" s="2"/>
      <c r="K106" s="2"/>
      <c r="L106" s="12" t="str">
        <f t="shared" si="0"/>
        <v/>
      </c>
      <c r="M106" s="2"/>
      <c r="N106" s="2"/>
      <c r="O106" s="2"/>
      <c r="P106" s="2"/>
      <c r="Q106" s="2"/>
    </row>
    <row r="107" spans="1:17" ht="15.75" customHeight="1">
      <c r="A107" s="2"/>
      <c r="B107" s="2"/>
      <c r="C107" s="2"/>
      <c r="D107" s="11"/>
      <c r="E107" s="2"/>
      <c r="F107" s="2"/>
      <c r="G107" s="2"/>
      <c r="H107" s="13"/>
      <c r="I107" s="2"/>
      <c r="J107" s="2"/>
      <c r="K107" s="2"/>
      <c r="L107" s="12" t="str">
        <f t="shared" si="0"/>
        <v/>
      </c>
      <c r="M107" s="2"/>
      <c r="N107" s="2"/>
      <c r="O107" s="2"/>
      <c r="P107" s="2"/>
      <c r="Q107" s="2"/>
    </row>
    <row r="108" spans="1:17" ht="15.75" customHeight="1">
      <c r="A108" s="2"/>
      <c r="B108" s="2"/>
      <c r="C108" s="2"/>
      <c r="D108" s="11"/>
      <c r="E108" s="2"/>
      <c r="F108" s="2"/>
      <c r="G108" s="2"/>
      <c r="H108" s="13"/>
      <c r="I108" s="2"/>
      <c r="J108" s="2"/>
      <c r="K108" s="2"/>
      <c r="L108" s="12" t="str">
        <f t="shared" si="0"/>
        <v/>
      </c>
      <c r="M108" s="2"/>
      <c r="N108" s="2"/>
      <c r="O108" s="2"/>
      <c r="P108" s="2"/>
      <c r="Q108" s="2"/>
    </row>
    <row r="109" spans="1:17" ht="15.75" customHeight="1">
      <c r="A109" s="2"/>
      <c r="B109" s="2"/>
      <c r="C109" s="2"/>
      <c r="D109" s="11"/>
      <c r="E109" s="2"/>
      <c r="F109" s="2"/>
      <c r="G109" s="2"/>
      <c r="H109" s="13"/>
      <c r="I109" s="2"/>
      <c r="J109" s="2"/>
      <c r="K109" s="2"/>
      <c r="L109" s="12" t="str">
        <f t="shared" si="0"/>
        <v/>
      </c>
      <c r="M109" s="2"/>
      <c r="N109" s="2"/>
      <c r="O109" s="2"/>
      <c r="P109" s="2"/>
      <c r="Q109" s="2"/>
    </row>
    <row r="110" spans="1:17" ht="15.75" customHeight="1">
      <c r="A110" s="2"/>
      <c r="B110" s="2"/>
      <c r="C110" s="2"/>
      <c r="D110" s="11"/>
      <c r="E110" s="2"/>
      <c r="F110" s="2"/>
      <c r="G110" s="2"/>
      <c r="H110" s="13"/>
      <c r="I110" s="2"/>
      <c r="J110" s="2"/>
      <c r="K110" s="2"/>
      <c r="L110" s="12" t="str">
        <f t="shared" si="0"/>
        <v/>
      </c>
      <c r="M110" s="2"/>
      <c r="N110" s="2"/>
      <c r="O110" s="2"/>
      <c r="P110" s="2"/>
      <c r="Q110" s="2"/>
    </row>
    <row r="111" spans="1:17" ht="15.75" customHeight="1">
      <c r="A111" s="2"/>
      <c r="B111" s="2"/>
      <c r="C111" s="2"/>
      <c r="D111" s="11"/>
      <c r="E111" s="2"/>
      <c r="F111" s="2"/>
      <c r="G111" s="2"/>
      <c r="H111" s="13"/>
      <c r="I111" s="2"/>
      <c r="J111" s="2"/>
      <c r="K111" s="2"/>
      <c r="L111" s="12" t="str">
        <f t="shared" si="0"/>
        <v/>
      </c>
      <c r="M111" s="2"/>
      <c r="N111" s="2"/>
      <c r="O111" s="2"/>
      <c r="P111" s="2"/>
      <c r="Q111" s="2"/>
    </row>
    <row r="112" spans="1:17" ht="15.75" customHeight="1">
      <c r="A112" s="2"/>
      <c r="B112" s="2"/>
      <c r="C112" s="2"/>
      <c r="D112" s="11"/>
      <c r="E112" s="2"/>
      <c r="F112" s="2"/>
      <c r="G112" s="2"/>
      <c r="H112" s="13"/>
      <c r="I112" s="2"/>
      <c r="J112" s="2"/>
      <c r="K112" s="2"/>
      <c r="L112" s="12" t="str">
        <f t="shared" si="0"/>
        <v/>
      </c>
      <c r="M112" s="2"/>
      <c r="N112" s="2"/>
      <c r="O112" s="2"/>
      <c r="P112" s="2"/>
      <c r="Q112" s="2"/>
    </row>
    <row r="113" spans="1:17" ht="15.75" customHeight="1">
      <c r="A113" s="2"/>
      <c r="B113" s="2"/>
      <c r="C113" s="2"/>
      <c r="D113" s="11"/>
      <c r="E113" s="2"/>
      <c r="F113" s="2"/>
      <c r="G113" s="2"/>
      <c r="H113" s="13"/>
      <c r="I113" s="2"/>
      <c r="J113" s="2"/>
      <c r="K113" s="2"/>
      <c r="L113" s="12" t="str">
        <f t="shared" si="0"/>
        <v/>
      </c>
      <c r="M113" s="2"/>
      <c r="N113" s="2"/>
      <c r="O113" s="2"/>
      <c r="P113" s="2"/>
      <c r="Q113" s="2"/>
    </row>
    <row r="114" spans="1:17" ht="15.75" customHeight="1">
      <c r="A114" s="2"/>
      <c r="B114" s="2"/>
      <c r="C114" s="2"/>
      <c r="D114" s="11"/>
      <c r="E114" s="2"/>
      <c r="F114" s="2"/>
      <c r="G114" s="2"/>
      <c r="H114" s="13"/>
      <c r="I114" s="2"/>
      <c r="J114" s="2"/>
      <c r="K114" s="2"/>
      <c r="L114" s="12" t="str">
        <f t="shared" si="0"/>
        <v/>
      </c>
      <c r="M114" s="2"/>
      <c r="N114" s="2"/>
      <c r="O114" s="2"/>
      <c r="P114" s="2"/>
      <c r="Q114" s="2"/>
    </row>
    <row r="115" spans="1:17" ht="15.75" customHeight="1">
      <c r="A115" s="2"/>
      <c r="B115" s="2"/>
      <c r="C115" s="2"/>
      <c r="D115" s="11"/>
      <c r="E115" s="2"/>
      <c r="F115" s="2"/>
      <c r="G115" s="2"/>
      <c r="H115" s="13"/>
      <c r="I115" s="2"/>
      <c r="J115" s="2"/>
      <c r="K115" s="2"/>
      <c r="L115" s="12" t="str">
        <f t="shared" si="0"/>
        <v/>
      </c>
      <c r="M115" s="2"/>
      <c r="N115" s="2"/>
      <c r="O115" s="2"/>
      <c r="P115" s="2"/>
      <c r="Q115" s="2"/>
    </row>
    <row r="116" spans="1:17" ht="15.75" customHeight="1">
      <c r="A116" s="2"/>
      <c r="B116" s="2"/>
      <c r="C116" s="2"/>
      <c r="D116" s="11"/>
      <c r="E116" s="2"/>
      <c r="F116" s="2"/>
      <c r="G116" s="2"/>
      <c r="H116" s="13"/>
      <c r="I116" s="2"/>
      <c r="J116" s="2"/>
      <c r="K116" s="2"/>
      <c r="L116" s="12" t="str">
        <f t="shared" si="0"/>
        <v/>
      </c>
      <c r="M116" s="2"/>
      <c r="N116" s="2"/>
      <c r="O116" s="2"/>
      <c r="P116" s="2"/>
      <c r="Q116" s="2"/>
    </row>
    <row r="117" spans="1:17" ht="15.75" customHeight="1">
      <c r="A117" s="2"/>
      <c r="B117" s="2"/>
      <c r="C117" s="2"/>
      <c r="D117" s="11"/>
      <c r="E117" s="2"/>
      <c r="F117" s="2"/>
      <c r="G117" s="2"/>
      <c r="H117" s="13"/>
      <c r="I117" s="2"/>
      <c r="J117" s="2"/>
      <c r="K117" s="2"/>
      <c r="L117" s="12" t="str">
        <f t="shared" si="0"/>
        <v/>
      </c>
      <c r="M117" s="2"/>
      <c r="N117" s="2"/>
      <c r="O117" s="2"/>
      <c r="P117" s="2"/>
      <c r="Q117" s="2"/>
    </row>
    <row r="118" spans="1:17" ht="15.75" customHeight="1">
      <c r="A118" s="2"/>
      <c r="B118" s="2"/>
      <c r="C118" s="2"/>
      <c r="D118" s="11"/>
      <c r="E118" s="2"/>
      <c r="F118" s="2"/>
      <c r="G118" s="2"/>
      <c r="H118" s="13"/>
      <c r="I118" s="2"/>
      <c r="J118" s="2"/>
      <c r="K118" s="2"/>
      <c r="L118" s="12" t="str">
        <f t="shared" si="0"/>
        <v/>
      </c>
      <c r="M118" s="2"/>
      <c r="N118" s="2"/>
      <c r="O118" s="2"/>
      <c r="P118" s="2"/>
      <c r="Q118" s="2"/>
    </row>
    <row r="119" spans="1:17" ht="15.75" customHeight="1">
      <c r="A119" s="2"/>
      <c r="B119" s="2"/>
      <c r="C119" s="2"/>
      <c r="D119" s="11"/>
      <c r="E119" s="2"/>
      <c r="F119" s="2"/>
      <c r="G119" s="2"/>
      <c r="H119" s="13"/>
      <c r="I119" s="2"/>
      <c r="J119" s="2"/>
      <c r="K119" s="2"/>
      <c r="L119" s="12" t="str">
        <f t="shared" si="0"/>
        <v/>
      </c>
      <c r="M119" s="2"/>
      <c r="N119" s="2"/>
      <c r="O119" s="2"/>
      <c r="P119" s="2"/>
      <c r="Q119" s="2"/>
    </row>
    <row r="120" spans="1:17" ht="15.75" customHeight="1">
      <c r="A120" s="2"/>
      <c r="B120" s="2"/>
      <c r="C120" s="2"/>
      <c r="D120" s="11"/>
      <c r="E120" s="2"/>
      <c r="F120" s="2"/>
      <c r="G120" s="2"/>
      <c r="H120" s="13"/>
      <c r="I120" s="2"/>
      <c r="J120" s="2"/>
      <c r="K120" s="2"/>
      <c r="L120" s="12" t="str">
        <f t="shared" si="0"/>
        <v/>
      </c>
      <c r="M120" s="2"/>
      <c r="N120" s="2"/>
      <c r="O120" s="2"/>
      <c r="P120" s="2"/>
      <c r="Q120" s="2"/>
    </row>
    <row r="121" spans="1:17" ht="15.75" customHeight="1">
      <c r="A121" s="2"/>
      <c r="B121" s="2"/>
      <c r="C121" s="2"/>
      <c r="D121" s="11"/>
      <c r="E121" s="2"/>
      <c r="F121" s="2"/>
      <c r="G121" s="2"/>
      <c r="H121" s="13"/>
      <c r="I121" s="2"/>
      <c r="J121" s="2"/>
      <c r="K121" s="2"/>
      <c r="L121" s="12" t="str">
        <f t="shared" si="0"/>
        <v/>
      </c>
      <c r="M121" s="2"/>
      <c r="N121" s="2"/>
      <c r="O121" s="2"/>
      <c r="P121" s="2"/>
      <c r="Q121" s="2"/>
    </row>
    <row r="122" spans="1:17" ht="15.75" customHeight="1">
      <c r="A122" s="2"/>
      <c r="B122" s="2"/>
      <c r="C122" s="2"/>
      <c r="D122" s="11"/>
      <c r="E122" s="2"/>
      <c r="F122" s="2"/>
      <c r="G122" s="2"/>
      <c r="H122" s="13"/>
      <c r="I122" s="2"/>
      <c r="J122" s="2"/>
      <c r="K122" s="2"/>
      <c r="L122" s="12" t="str">
        <f t="shared" si="0"/>
        <v/>
      </c>
      <c r="M122" s="2"/>
      <c r="N122" s="2"/>
      <c r="O122" s="2"/>
      <c r="P122" s="2"/>
      <c r="Q122" s="2"/>
    </row>
    <row r="123" spans="1:17" ht="15.75" customHeight="1">
      <c r="A123" s="2"/>
      <c r="B123" s="2"/>
      <c r="C123" s="2"/>
      <c r="D123" s="11"/>
      <c r="E123" s="2"/>
      <c r="F123" s="2"/>
      <c r="G123" s="2"/>
      <c r="H123" s="13"/>
      <c r="I123" s="2"/>
      <c r="J123" s="2"/>
      <c r="K123" s="2"/>
      <c r="L123" s="12" t="str">
        <f t="shared" si="0"/>
        <v/>
      </c>
      <c r="M123" s="2"/>
      <c r="N123" s="2"/>
      <c r="O123" s="2"/>
      <c r="P123" s="2"/>
      <c r="Q123" s="2"/>
    </row>
    <row r="124" spans="1:17" ht="15.75" customHeight="1">
      <c r="A124" s="2"/>
      <c r="B124" s="2"/>
      <c r="C124" s="2"/>
      <c r="D124" s="11"/>
      <c r="E124" s="2"/>
      <c r="F124" s="2"/>
      <c r="G124" s="2"/>
      <c r="H124" s="13"/>
      <c r="I124" s="2"/>
      <c r="J124" s="2"/>
      <c r="K124" s="2"/>
      <c r="L124" s="12" t="str">
        <f t="shared" si="0"/>
        <v/>
      </c>
      <c r="M124" s="2"/>
      <c r="N124" s="2"/>
      <c r="O124" s="2"/>
      <c r="P124" s="2"/>
      <c r="Q124" s="2"/>
    </row>
    <row r="125" spans="1:17" ht="15.75" customHeight="1">
      <c r="A125" s="2"/>
      <c r="B125" s="2"/>
      <c r="C125" s="2"/>
      <c r="D125" s="11"/>
      <c r="E125" s="2"/>
      <c r="F125" s="2"/>
      <c r="G125" s="2"/>
      <c r="H125" s="13"/>
      <c r="I125" s="2"/>
      <c r="J125" s="2"/>
      <c r="K125" s="2"/>
      <c r="L125" s="12" t="str">
        <f t="shared" si="0"/>
        <v/>
      </c>
      <c r="M125" s="2"/>
      <c r="N125" s="2"/>
      <c r="O125" s="2"/>
      <c r="P125" s="2"/>
      <c r="Q125" s="2"/>
    </row>
    <row r="126" spans="1:17" ht="15.75" customHeight="1">
      <c r="A126" s="2"/>
      <c r="B126" s="2"/>
      <c r="C126" s="2"/>
      <c r="D126" s="11"/>
      <c r="E126" s="2"/>
      <c r="F126" s="2"/>
      <c r="G126" s="2"/>
      <c r="H126" s="13"/>
      <c r="I126" s="2"/>
      <c r="J126" s="2"/>
      <c r="K126" s="2"/>
      <c r="L126" s="12" t="str">
        <f t="shared" si="0"/>
        <v/>
      </c>
      <c r="M126" s="2"/>
      <c r="N126" s="2"/>
      <c r="O126" s="2"/>
      <c r="P126" s="2"/>
      <c r="Q126" s="2"/>
    </row>
    <row r="127" spans="1:17" ht="15.75" customHeight="1">
      <c r="A127" s="2"/>
      <c r="B127" s="2"/>
      <c r="C127" s="2"/>
      <c r="D127" s="11"/>
      <c r="E127" s="2"/>
      <c r="F127" s="2"/>
      <c r="G127" s="2"/>
      <c r="H127" s="13"/>
      <c r="I127" s="2"/>
      <c r="J127" s="2"/>
      <c r="K127" s="2"/>
      <c r="L127" s="12" t="str">
        <f t="shared" si="0"/>
        <v/>
      </c>
      <c r="M127" s="2"/>
      <c r="N127" s="2"/>
      <c r="O127" s="2"/>
      <c r="P127" s="2"/>
      <c r="Q127" s="2"/>
    </row>
    <row r="128" spans="1:17" ht="15.75" customHeight="1">
      <c r="A128" s="2"/>
      <c r="B128" s="2"/>
      <c r="C128" s="2"/>
      <c r="D128" s="11"/>
      <c r="E128" s="2"/>
      <c r="F128" s="2"/>
      <c r="G128" s="2"/>
      <c r="H128" s="13"/>
      <c r="I128" s="2"/>
      <c r="J128" s="2"/>
      <c r="K128" s="2"/>
      <c r="L128" s="12" t="str">
        <f t="shared" si="0"/>
        <v/>
      </c>
      <c r="M128" s="2"/>
      <c r="N128" s="2"/>
      <c r="O128" s="2"/>
      <c r="P128" s="2"/>
      <c r="Q128" s="2"/>
    </row>
    <row r="129" spans="1:17" ht="15.75" customHeight="1">
      <c r="A129" s="2"/>
      <c r="B129" s="2"/>
      <c r="C129" s="2"/>
      <c r="D129" s="11"/>
      <c r="E129" s="2"/>
      <c r="F129" s="2"/>
      <c r="G129" s="2"/>
      <c r="H129" s="13"/>
      <c r="I129" s="2"/>
      <c r="J129" s="2"/>
      <c r="K129" s="2"/>
      <c r="L129" s="12" t="str">
        <f t="shared" si="0"/>
        <v/>
      </c>
      <c r="M129" s="2"/>
      <c r="N129" s="2"/>
      <c r="O129" s="2"/>
      <c r="P129" s="2"/>
      <c r="Q129" s="2"/>
    </row>
    <row r="130" spans="1:17" ht="15.75" customHeight="1">
      <c r="A130" s="2"/>
      <c r="B130" s="2"/>
      <c r="C130" s="2"/>
      <c r="D130" s="11"/>
      <c r="E130" s="2"/>
      <c r="F130" s="2"/>
      <c r="G130" s="2"/>
      <c r="H130" s="13"/>
      <c r="I130" s="2"/>
      <c r="J130" s="2"/>
      <c r="K130" s="2"/>
      <c r="L130" s="12" t="str">
        <f t="shared" si="0"/>
        <v/>
      </c>
      <c r="M130" s="2"/>
      <c r="N130" s="2"/>
      <c r="O130" s="2"/>
      <c r="P130" s="2"/>
      <c r="Q130" s="2"/>
    </row>
    <row r="131" spans="1:17" ht="15.75" customHeight="1">
      <c r="A131" s="2"/>
      <c r="B131" s="2"/>
      <c r="C131" s="2"/>
      <c r="D131" s="11"/>
      <c r="E131" s="2"/>
      <c r="F131" s="2"/>
      <c r="G131" s="2"/>
      <c r="H131" s="13"/>
      <c r="I131" s="2"/>
      <c r="J131" s="2"/>
      <c r="K131" s="2"/>
      <c r="L131" s="12" t="str">
        <f t="shared" si="0"/>
        <v/>
      </c>
      <c r="M131" s="2"/>
      <c r="N131" s="2"/>
      <c r="O131" s="2"/>
      <c r="P131" s="2"/>
      <c r="Q131" s="2"/>
    </row>
    <row r="132" spans="1:17" ht="15.75" customHeight="1">
      <c r="A132" s="2"/>
      <c r="B132" s="2"/>
      <c r="C132" s="2"/>
      <c r="D132" s="11"/>
      <c r="E132" s="2"/>
      <c r="F132" s="2"/>
      <c r="G132" s="2"/>
      <c r="H132" s="13"/>
      <c r="I132" s="2"/>
      <c r="J132" s="2"/>
      <c r="K132" s="2"/>
      <c r="L132" s="12" t="str">
        <f t="shared" si="0"/>
        <v/>
      </c>
      <c r="M132" s="2"/>
      <c r="N132" s="2"/>
      <c r="O132" s="2"/>
      <c r="P132" s="2"/>
      <c r="Q132" s="2"/>
    </row>
    <row r="133" spans="1:17" ht="15.75" customHeight="1">
      <c r="A133" s="2"/>
      <c r="B133" s="2"/>
      <c r="C133" s="2"/>
      <c r="D133" s="11"/>
      <c r="E133" s="2"/>
      <c r="F133" s="2"/>
      <c r="G133" s="2"/>
      <c r="H133" s="13"/>
      <c r="I133" s="2"/>
      <c r="J133" s="2"/>
      <c r="K133" s="2"/>
      <c r="L133" s="12" t="str">
        <f t="shared" si="0"/>
        <v/>
      </c>
      <c r="M133" s="2"/>
      <c r="N133" s="2"/>
      <c r="O133" s="2"/>
      <c r="P133" s="2"/>
      <c r="Q133" s="2"/>
    </row>
    <row r="134" spans="1:17" ht="15.75" customHeight="1">
      <c r="A134" s="2"/>
      <c r="B134" s="2"/>
      <c r="C134" s="2"/>
      <c r="D134" s="11"/>
      <c r="E134" s="2"/>
      <c r="F134" s="2"/>
      <c r="G134" s="2"/>
      <c r="H134" s="13"/>
      <c r="I134" s="2"/>
      <c r="J134" s="2"/>
      <c r="K134" s="2"/>
      <c r="L134" s="12" t="str">
        <f t="shared" si="0"/>
        <v/>
      </c>
      <c r="M134" s="2"/>
      <c r="N134" s="2"/>
      <c r="O134" s="2"/>
      <c r="P134" s="2"/>
      <c r="Q134" s="2"/>
    </row>
    <row r="135" spans="1:17" ht="15.75" customHeight="1">
      <c r="A135" s="2"/>
      <c r="B135" s="2"/>
      <c r="C135" s="2"/>
      <c r="D135" s="11"/>
      <c r="E135" s="2"/>
      <c r="F135" s="2"/>
      <c r="G135" s="2"/>
      <c r="H135" s="13"/>
      <c r="I135" s="2"/>
      <c r="J135" s="2"/>
      <c r="K135" s="2"/>
      <c r="L135" s="12" t="str">
        <f t="shared" si="0"/>
        <v/>
      </c>
      <c r="M135" s="2"/>
      <c r="N135" s="2"/>
      <c r="O135" s="2"/>
      <c r="P135" s="2"/>
      <c r="Q135" s="2"/>
    </row>
    <row r="136" spans="1:17" ht="15.75" customHeight="1">
      <c r="A136" s="2"/>
      <c r="B136" s="2"/>
      <c r="C136" s="2"/>
      <c r="D136" s="11"/>
      <c r="E136" s="2"/>
      <c r="F136" s="2"/>
      <c r="G136" s="2"/>
      <c r="H136" s="13"/>
      <c r="I136" s="2"/>
      <c r="J136" s="2"/>
      <c r="K136" s="2"/>
      <c r="L136" s="12" t="str">
        <f t="shared" si="0"/>
        <v/>
      </c>
      <c r="M136" s="2"/>
      <c r="N136" s="2"/>
      <c r="O136" s="2"/>
      <c r="P136" s="2"/>
      <c r="Q136" s="2"/>
    </row>
    <row r="137" spans="1:17" ht="15.75" customHeight="1">
      <c r="A137" s="2"/>
      <c r="B137" s="2"/>
      <c r="C137" s="2"/>
      <c r="D137" s="11"/>
      <c r="E137" s="2"/>
      <c r="F137" s="2"/>
      <c r="G137" s="2"/>
      <c r="H137" s="13"/>
      <c r="I137" s="2"/>
      <c r="J137" s="2"/>
      <c r="K137" s="2"/>
      <c r="L137" s="12" t="str">
        <f t="shared" si="0"/>
        <v/>
      </c>
      <c r="M137" s="2"/>
      <c r="N137" s="2"/>
      <c r="O137" s="2"/>
      <c r="P137" s="2"/>
      <c r="Q137" s="2"/>
    </row>
    <row r="138" spans="1:17" ht="15.75" customHeight="1">
      <c r="A138" s="2"/>
      <c r="B138" s="2"/>
      <c r="C138" s="2"/>
      <c r="D138" s="11"/>
      <c r="E138" s="2"/>
      <c r="F138" s="2"/>
      <c r="G138" s="2"/>
      <c r="H138" s="13"/>
      <c r="I138" s="2"/>
      <c r="J138" s="2"/>
      <c r="K138" s="2"/>
      <c r="L138" s="12" t="str">
        <f t="shared" si="0"/>
        <v/>
      </c>
      <c r="M138" s="2"/>
      <c r="N138" s="2"/>
      <c r="O138" s="2"/>
      <c r="P138" s="2"/>
      <c r="Q138" s="2"/>
    </row>
    <row r="139" spans="1:17" ht="15.75" customHeight="1">
      <c r="A139" s="2"/>
      <c r="B139" s="2"/>
      <c r="C139" s="2"/>
      <c r="D139" s="11"/>
      <c r="E139" s="2"/>
      <c r="F139" s="2"/>
      <c r="G139" s="2"/>
      <c r="H139" s="13"/>
      <c r="I139" s="2"/>
      <c r="J139" s="2"/>
      <c r="K139" s="2"/>
      <c r="L139" s="12" t="str">
        <f t="shared" si="0"/>
        <v/>
      </c>
      <c r="M139" s="2"/>
      <c r="N139" s="2"/>
      <c r="O139" s="2"/>
      <c r="P139" s="2"/>
      <c r="Q139" s="2"/>
    </row>
    <row r="140" spans="1:17" ht="15.75" customHeight="1">
      <c r="A140" s="2"/>
      <c r="B140" s="2"/>
      <c r="C140" s="2"/>
      <c r="D140" s="11"/>
      <c r="E140" s="2"/>
      <c r="F140" s="2"/>
      <c r="G140" s="2"/>
      <c r="H140" s="13"/>
      <c r="I140" s="2"/>
      <c r="J140" s="2"/>
      <c r="K140" s="2"/>
      <c r="L140" s="12" t="str">
        <f t="shared" si="0"/>
        <v/>
      </c>
      <c r="M140" s="2"/>
      <c r="N140" s="2"/>
      <c r="O140" s="2"/>
      <c r="P140" s="2"/>
      <c r="Q140" s="2"/>
    </row>
    <row r="141" spans="1:17" ht="15.75" customHeight="1">
      <c r="A141" s="2"/>
      <c r="B141" s="2"/>
      <c r="C141" s="2"/>
      <c r="D141" s="11"/>
      <c r="E141" s="2"/>
      <c r="F141" s="2"/>
      <c r="G141" s="2"/>
      <c r="H141" s="13"/>
      <c r="I141" s="2"/>
      <c r="J141" s="2"/>
      <c r="K141" s="2"/>
      <c r="L141" s="12" t="str">
        <f t="shared" si="0"/>
        <v/>
      </c>
      <c r="M141" s="2"/>
      <c r="N141" s="2"/>
      <c r="O141" s="2"/>
      <c r="P141" s="2"/>
      <c r="Q141" s="2"/>
    </row>
    <row r="142" spans="1:17" ht="15.75" customHeight="1">
      <c r="A142" s="2"/>
      <c r="B142" s="2"/>
      <c r="C142" s="2"/>
      <c r="D142" s="11"/>
      <c r="E142" s="2"/>
      <c r="F142" s="2"/>
      <c r="G142" s="2"/>
      <c r="H142" s="13"/>
      <c r="I142" s="2"/>
      <c r="J142" s="2"/>
      <c r="K142" s="2"/>
      <c r="L142" s="12" t="str">
        <f t="shared" si="0"/>
        <v/>
      </c>
      <c r="M142" s="2"/>
      <c r="N142" s="2"/>
      <c r="O142" s="2"/>
      <c r="P142" s="2"/>
      <c r="Q142" s="2"/>
    </row>
    <row r="143" spans="1:17" ht="15.75" customHeight="1">
      <c r="A143" s="2"/>
      <c r="B143" s="2"/>
      <c r="C143" s="2"/>
      <c r="D143" s="11"/>
      <c r="E143" s="2"/>
      <c r="F143" s="2"/>
      <c r="G143" s="2"/>
      <c r="H143" s="13"/>
      <c r="I143" s="2"/>
      <c r="J143" s="2"/>
      <c r="K143" s="2"/>
      <c r="L143" s="12" t="str">
        <f t="shared" si="0"/>
        <v/>
      </c>
      <c r="M143" s="2"/>
      <c r="N143" s="2"/>
      <c r="O143" s="2"/>
      <c r="P143" s="2"/>
      <c r="Q143" s="2"/>
    </row>
    <row r="144" spans="1:17" ht="15.75" customHeight="1">
      <c r="A144" s="2"/>
      <c r="B144" s="2"/>
      <c r="C144" s="2"/>
      <c r="D144" s="11"/>
      <c r="E144" s="2"/>
      <c r="F144" s="2"/>
      <c r="G144" s="2"/>
      <c r="H144" s="13"/>
      <c r="I144" s="2"/>
      <c r="J144" s="2"/>
      <c r="K144" s="2"/>
      <c r="L144" s="12" t="str">
        <f t="shared" si="0"/>
        <v/>
      </c>
      <c r="M144" s="2"/>
      <c r="N144" s="2"/>
      <c r="O144" s="2"/>
      <c r="P144" s="2"/>
      <c r="Q144" s="2"/>
    </row>
    <row r="145" spans="1:17" ht="15.75" customHeight="1">
      <c r="A145" s="2"/>
      <c r="B145" s="2"/>
      <c r="C145" s="2"/>
      <c r="D145" s="11"/>
      <c r="E145" s="2"/>
      <c r="F145" s="2"/>
      <c r="G145" s="2"/>
      <c r="H145" s="13"/>
      <c r="I145" s="2"/>
      <c r="J145" s="2"/>
      <c r="K145" s="2"/>
      <c r="L145" s="12" t="str">
        <f t="shared" si="0"/>
        <v/>
      </c>
      <c r="M145" s="2"/>
      <c r="N145" s="2"/>
      <c r="O145" s="2"/>
      <c r="P145" s="2"/>
      <c r="Q145" s="2"/>
    </row>
    <row r="146" spans="1:17" ht="15.75" customHeight="1">
      <c r="A146" s="2"/>
      <c r="B146" s="2"/>
      <c r="C146" s="2"/>
      <c r="D146" s="11"/>
      <c r="E146" s="2"/>
      <c r="F146" s="2"/>
      <c r="G146" s="2"/>
      <c r="H146" s="13"/>
      <c r="I146" s="2"/>
      <c r="J146" s="2"/>
      <c r="K146" s="2"/>
      <c r="L146" s="12" t="str">
        <f t="shared" si="0"/>
        <v/>
      </c>
      <c r="M146" s="2"/>
      <c r="N146" s="2"/>
      <c r="O146" s="2"/>
      <c r="P146" s="2"/>
      <c r="Q146" s="2"/>
    </row>
    <row r="147" spans="1:17" ht="15.75" customHeight="1">
      <c r="A147" s="2"/>
      <c r="B147" s="2"/>
      <c r="C147" s="2"/>
      <c r="D147" s="11"/>
      <c r="E147" s="2"/>
      <c r="F147" s="2"/>
      <c r="G147" s="2"/>
      <c r="H147" s="13"/>
      <c r="I147" s="2"/>
      <c r="J147" s="2"/>
      <c r="K147" s="2"/>
      <c r="L147" s="12" t="str">
        <f t="shared" si="0"/>
        <v/>
      </c>
      <c r="M147" s="2"/>
      <c r="N147" s="2"/>
      <c r="O147" s="2"/>
      <c r="P147" s="2"/>
      <c r="Q147" s="2"/>
    </row>
    <row r="148" spans="1:17" ht="15.75" customHeight="1">
      <c r="A148" s="2"/>
      <c r="B148" s="2"/>
      <c r="C148" s="2"/>
      <c r="D148" s="11"/>
      <c r="E148" s="2"/>
      <c r="F148" s="2"/>
      <c r="G148" s="2"/>
      <c r="H148" s="13"/>
      <c r="I148" s="2"/>
      <c r="J148" s="2"/>
      <c r="K148" s="2"/>
      <c r="L148" s="12" t="str">
        <f t="shared" si="0"/>
        <v/>
      </c>
      <c r="M148" s="2"/>
      <c r="N148" s="2"/>
      <c r="O148" s="2"/>
      <c r="P148" s="2"/>
      <c r="Q148" s="2"/>
    </row>
    <row r="149" spans="1:17" ht="15.75" customHeight="1">
      <c r="A149" s="2"/>
      <c r="B149" s="2"/>
      <c r="C149" s="2"/>
      <c r="D149" s="11"/>
      <c r="E149" s="2"/>
      <c r="F149" s="2"/>
      <c r="G149" s="2"/>
      <c r="H149" s="13"/>
      <c r="I149" s="2"/>
      <c r="J149" s="2"/>
      <c r="K149" s="2"/>
      <c r="L149" s="12" t="str">
        <f t="shared" si="0"/>
        <v/>
      </c>
      <c r="M149" s="2"/>
      <c r="N149" s="2"/>
      <c r="O149" s="2"/>
      <c r="P149" s="2"/>
      <c r="Q149" s="2"/>
    </row>
    <row r="150" spans="1:17" ht="15.75" customHeight="1">
      <c r="A150" s="2"/>
      <c r="B150" s="2"/>
      <c r="C150" s="2"/>
      <c r="D150" s="11"/>
      <c r="E150" s="2"/>
      <c r="F150" s="2"/>
      <c r="G150" s="2"/>
      <c r="H150" s="13"/>
      <c r="I150" s="2"/>
      <c r="J150" s="2"/>
      <c r="K150" s="2"/>
      <c r="L150" s="12" t="str">
        <f t="shared" si="0"/>
        <v/>
      </c>
      <c r="M150" s="2"/>
      <c r="N150" s="2"/>
      <c r="O150" s="2"/>
      <c r="P150" s="2"/>
      <c r="Q150" s="2"/>
    </row>
    <row r="151" spans="1:17" ht="15.75" customHeight="1">
      <c r="A151" s="2"/>
      <c r="B151" s="2"/>
      <c r="C151" s="2"/>
      <c r="D151" s="11"/>
      <c r="E151" s="2"/>
      <c r="F151" s="2"/>
      <c r="G151" s="2"/>
      <c r="H151" s="13"/>
      <c r="I151" s="2"/>
      <c r="J151" s="2"/>
      <c r="K151" s="2"/>
      <c r="L151" s="12" t="str">
        <f t="shared" si="0"/>
        <v/>
      </c>
      <c r="M151" s="2"/>
      <c r="N151" s="2"/>
      <c r="O151" s="2"/>
      <c r="P151" s="2"/>
      <c r="Q151" s="2"/>
    </row>
    <row r="152" spans="1:17" ht="15.75" customHeight="1">
      <c r="A152" s="2"/>
      <c r="B152" s="2"/>
      <c r="C152" s="2"/>
      <c r="D152" s="11"/>
      <c r="E152" s="2"/>
      <c r="F152" s="2"/>
      <c r="G152" s="2"/>
      <c r="H152" s="13"/>
      <c r="I152" s="2"/>
      <c r="J152" s="2"/>
      <c r="K152" s="2"/>
      <c r="L152" s="12" t="str">
        <f t="shared" si="0"/>
        <v/>
      </c>
      <c r="M152" s="2"/>
      <c r="N152" s="2"/>
      <c r="O152" s="2"/>
      <c r="P152" s="2"/>
      <c r="Q152" s="2"/>
    </row>
    <row r="153" spans="1:17" ht="15.75" customHeight="1">
      <c r="A153" s="2"/>
      <c r="B153" s="2"/>
      <c r="C153" s="2"/>
      <c r="D153" s="11"/>
      <c r="E153" s="2"/>
      <c r="F153" s="2"/>
      <c r="G153" s="2"/>
      <c r="H153" s="13"/>
      <c r="I153" s="2"/>
      <c r="J153" s="2"/>
      <c r="K153" s="2"/>
      <c r="L153" s="12" t="str">
        <f t="shared" si="0"/>
        <v/>
      </c>
      <c r="M153" s="2"/>
      <c r="N153" s="2"/>
      <c r="O153" s="2"/>
      <c r="P153" s="2"/>
      <c r="Q153" s="2"/>
    </row>
    <row r="154" spans="1:17" ht="15.75" customHeight="1">
      <c r="A154" s="2"/>
      <c r="B154" s="2"/>
      <c r="C154" s="2"/>
      <c r="D154" s="11"/>
      <c r="E154" s="2"/>
      <c r="F154" s="2"/>
      <c r="G154" s="2"/>
      <c r="H154" s="13"/>
      <c r="I154" s="2"/>
      <c r="J154" s="2"/>
      <c r="K154" s="2"/>
      <c r="L154" s="12" t="str">
        <f t="shared" si="0"/>
        <v/>
      </c>
      <c r="M154" s="2"/>
      <c r="N154" s="2"/>
      <c r="O154" s="2"/>
      <c r="P154" s="2"/>
      <c r="Q154" s="2"/>
    </row>
    <row r="155" spans="1:17" ht="15.75" customHeight="1">
      <c r="A155" s="2"/>
      <c r="B155" s="2"/>
      <c r="C155" s="2"/>
      <c r="D155" s="11"/>
      <c r="E155" s="2"/>
      <c r="F155" s="2"/>
      <c r="G155" s="2"/>
      <c r="H155" s="13"/>
      <c r="I155" s="2"/>
      <c r="J155" s="2"/>
      <c r="K155" s="2"/>
      <c r="L155" s="12" t="str">
        <f t="shared" si="0"/>
        <v/>
      </c>
      <c r="M155" s="2"/>
      <c r="N155" s="2"/>
      <c r="O155" s="2"/>
      <c r="P155" s="2"/>
      <c r="Q155" s="2"/>
    </row>
    <row r="156" spans="1:17" ht="15.75" customHeight="1">
      <c r="A156" s="2"/>
      <c r="B156" s="2"/>
      <c r="C156" s="2"/>
      <c r="D156" s="11"/>
      <c r="E156" s="2"/>
      <c r="F156" s="2"/>
      <c r="G156" s="2"/>
      <c r="H156" s="13"/>
      <c r="I156" s="2"/>
      <c r="J156" s="2"/>
      <c r="K156" s="2"/>
      <c r="L156" s="12" t="str">
        <f t="shared" si="0"/>
        <v/>
      </c>
      <c r="M156" s="2"/>
      <c r="N156" s="2"/>
      <c r="O156" s="2"/>
      <c r="P156" s="2"/>
      <c r="Q156" s="2"/>
    </row>
    <row r="157" spans="1:17" ht="15.75" customHeight="1">
      <c r="A157" s="2"/>
      <c r="B157" s="2"/>
      <c r="C157" s="2"/>
      <c r="D157" s="11"/>
      <c r="E157" s="2"/>
      <c r="F157" s="2"/>
      <c r="G157" s="2"/>
      <c r="H157" s="13"/>
      <c r="I157" s="2"/>
      <c r="J157" s="2"/>
      <c r="K157" s="2"/>
      <c r="L157" s="12" t="str">
        <f t="shared" si="0"/>
        <v/>
      </c>
      <c r="M157" s="2"/>
      <c r="N157" s="2"/>
      <c r="O157" s="2"/>
      <c r="P157" s="2"/>
      <c r="Q157" s="2"/>
    </row>
    <row r="158" spans="1:17" ht="15.75" customHeight="1">
      <c r="A158" s="2"/>
      <c r="B158" s="2"/>
      <c r="C158" s="2"/>
      <c r="D158" s="11"/>
      <c r="E158" s="2"/>
      <c r="F158" s="2"/>
      <c r="G158" s="2"/>
      <c r="H158" s="13"/>
      <c r="I158" s="2"/>
      <c r="J158" s="2"/>
      <c r="K158" s="2"/>
      <c r="L158" s="12" t="str">
        <f t="shared" si="0"/>
        <v/>
      </c>
      <c r="M158" s="2"/>
      <c r="N158" s="2"/>
      <c r="O158" s="2"/>
      <c r="P158" s="2"/>
      <c r="Q158" s="2"/>
    </row>
    <row r="159" spans="1:17" ht="15.75" customHeight="1">
      <c r="A159" s="2"/>
      <c r="B159" s="2"/>
      <c r="C159" s="2"/>
      <c r="D159" s="11"/>
      <c r="E159" s="2"/>
      <c r="F159" s="2"/>
      <c r="G159" s="2"/>
      <c r="H159" s="13"/>
      <c r="I159" s="2"/>
      <c r="J159" s="2"/>
      <c r="K159" s="2"/>
      <c r="L159" s="12" t="str">
        <f t="shared" si="0"/>
        <v/>
      </c>
      <c r="M159" s="2"/>
      <c r="N159" s="2"/>
      <c r="O159" s="2"/>
      <c r="P159" s="2"/>
      <c r="Q159" s="2"/>
    </row>
    <row r="160" spans="1:17" ht="15.75" customHeight="1">
      <c r="A160" s="2"/>
      <c r="B160" s="2"/>
      <c r="C160" s="2"/>
      <c r="D160" s="11"/>
      <c r="E160" s="2"/>
      <c r="F160" s="2"/>
      <c r="G160" s="2"/>
      <c r="H160" s="13"/>
      <c r="I160" s="2"/>
      <c r="J160" s="2"/>
      <c r="K160" s="2"/>
      <c r="L160" s="12" t="str">
        <f t="shared" si="0"/>
        <v/>
      </c>
      <c r="M160" s="2"/>
      <c r="N160" s="2"/>
      <c r="O160" s="2"/>
      <c r="P160" s="2"/>
      <c r="Q160" s="2"/>
    </row>
    <row r="161" spans="1:17" ht="15.75" customHeight="1">
      <c r="A161" s="2"/>
      <c r="B161" s="2"/>
      <c r="C161" s="2"/>
      <c r="D161" s="11"/>
      <c r="E161" s="2"/>
      <c r="F161" s="2"/>
      <c r="G161" s="2"/>
      <c r="H161" s="13"/>
      <c r="I161" s="2"/>
      <c r="J161" s="2"/>
      <c r="K161" s="2"/>
      <c r="L161" s="12" t="str">
        <f t="shared" si="0"/>
        <v/>
      </c>
      <c r="M161" s="2"/>
      <c r="N161" s="2"/>
      <c r="O161" s="2"/>
      <c r="P161" s="2"/>
      <c r="Q161" s="2"/>
    </row>
    <row r="162" spans="1:17" ht="15.75" customHeight="1">
      <c r="A162" s="2"/>
      <c r="B162" s="2"/>
      <c r="C162" s="2"/>
      <c r="D162" s="11"/>
      <c r="E162" s="2"/>
      <c r="F162" s="2"/>
      <c r="G162" s="2"/>
      <c r="H162" s="13"/>
      <c r="I162" s="2"/>
      <c r="J162" s="2"/>
      <c r="K162" s="2"/>
      <c r="L162" s="12" t="str">
        <f t="shared" si="0"/>
        <v/>
      </c>
      <c r="M162" s="2"/>
      <c r="N162" s="2"/>
      <c r="O162" s="2"/>
      <c r="P162" s="2"/>
      <c r="Q162" s="2"/>
    </row>
    <row r="163" spans="1:17" ht="15.75" customHeight="1">
      <c r="A163" s="2"/>
      <c r="B163" s="2"/>
      <c r="C163" s="2"/>
      <c r="D163" s="11"/>
      <c r="E163" s="2"/>
      <c r="F163" s="2"/>
      <c r="G163" s="2"/>
      <c r="H163" s="13"/>
      <c r="I163" s="2"/>
      <c r="J163" s="2"/>
      <c r="K163" s="2"/>
      <c r="L163" s="12" t="str">
        <f t="shared" si="0"/>
        <v/>
      </c>
      <c r="M163" s="2"/>
      <c r="N163" s="2"/>
      <c r="O163" s="2"/>
      <c r="P163" s="2"/>
      <c r="Q163" s="2"/>
    </row>
    <row r="164" spans="1:17" ht="15.75" customHeight="1">
      <c r="A164" s="2"/>
      <c r="B164" s="2"/>
      <c r="C164" s="2"/>
      <c r="D164" s="11"/>
      <c r="E164" s="2"/>
      <c r="F164" s="2"/>
      <c r="G164" s="2"/>
      <c r="H164" s="13"/>
      <c r="I164" s="2"/>
      <c r="J164" s="2"/>
      <c r="K164" s="2"/>
      <c r="L164" s="12" t="str">
        <f t="shared" si="0"/>
        <v/>
      </c>
      <c r="M164" s="2"/>
      <c r="N164" s="2"/>
      <c r="O164" s="2"/>
      <c r="P164" s="2"/>
      <c r="Q164" s="2"/>
    </row>
    <row r="165" spans="1:17" ht="15.75" customHeight="1">
      <c r="A165" s="2"/>
      <c r="B165" s="2"/>
      <c r="C165" s="2"/>
      <c r="D165" s="11"/>
      <c r="E165" s="2"/>
      <c r="F165" s="2"/>
      <c r="G165" s="2"/>
      <c r="H165" s="13"/>
      <c r="I165" s="2"/>
      <c r="J165" s="2"/>
      <c r="K165" s="2"/>
      <c r="L165" s="12" t="str">
        <f t="shared" si="0"/>
        <v/>
      </c>
      <c r="M165" s="2"/>
      <c r="N165" s="2"/>
      <c r="O165" s="2"/>
      <c r="P165" s="2"/>
      <c r="Q165" s="2"/>
    </row>
    <row r="166" spans="1:17" ht="15.75" customHeight="1">
      <c r="A166" s="2"/>
      <c r="B166" s="2"/>
      <c r="C166" s="2"/>
      <c r="D166" s="11"/>
      <c r="E166" s="2"/>
      <c r="F166" s="2"/>
      <c r="G166" s="2"/>
      <c r="H166" s="13"/>
      <c r="I166" s="2"/>
      <c r="J166" s="2"/>
      <c r="K166" s="2"/>
      <c r="L166" s="12" t="str">
        <f t="shared" si="0"/>
        <v/>
      </c>
      <c r="M166" s="2"/>
      <c r="N166" s="2"/>
      <c r="O166" s="2"/>
      <c r="P166" s="2"/>
      <c r="Q166" s="2"/>
    </row>
    <row r="167" spans="1:17" ht="15.75" customHeight="1">
      <c r="A167" s="2"/>
      <c r="B167" s="2"/>
      <c r="C167" s="2"/>
      <c r="D167" s="11"/>
      <c r="E167" s="2"/>
      <c r="F167" s="2"/>
      <c r="G167" s="2"/>
      <c r="H167" s="13"/>
      <c r="I167" s="2"/>
      <c r="J167" s="2"/>
      <c r="K167" s="2"/>
      <c r="L167" s="12" t="str">
        <f t="shared" si="0"/>
        <v/>
      </c>
      <c r="M167" s="2"/>
      <c r="N167" s="2"/>
      <c r="O167" s="2"/>
      <c r="P167" s="2"/>
      <c r="Q167" s="2"/>
    </row>
    <row r="168" spans="1:17" ht="15.75" customHeight="1">
      <c r="A168" s="2"/>
      <c r="B168" s="2"/>
      <c r="C168" s="2"/>
      <c r="D168" s="11"/>
      <c r="E168" s="2"/>
      <c r="F168" s="2"/>
      <c r="G168" s="2"/>
      <c r="H168" s="13"/>
      <c r="I168" s="2"/>
      <c r="J168" s="2"/>
      <c r="K168" s="2"/>
      <c r="L168" s="12" t="str">
        <f t="shared" si="0"/>
        <v/>
      </c>
      <c r="M168" s="2"/>
      <c r="N168" s="2"/>
      <c r="O168" s="2"/>
      <c r="P168" s="2"/>
      <c r="Q168" s="2"/>
    </row>
    <row r="169" spans="1:17" ht="15.75" customHeight="1">
      <c r="A169" s="2"/>
      <c r="B169" s="2"/>
      <c r="C169" s="2"/>
      <c r="D169" s="11"/>
      <c r="E169" s="2"/>
      <c r="F169" s="2"/>
      <c r="G169" s="2"/>
      <c r="H169" s="13"/>
      <c r="I169" s="2"/>
      <c r="J169" s="2"/>
      <c r="K169" s="2"/>
      <c r="L169" s="12" t="str">
        <f t="shared" si="0"/>
        <v/>
      </c>
      <c r="M169" s="2"/>
      <c r="N169" s="2"/>
      <c r="O169" s="2"/>
      <c r="P169" s="2"/>
      <c r="Q169" s="2"/>
    </row>
    <row r="170" spans="1:17" ht="15.75" customHeight="1">
      <c r="A170" s="2"/>
      <c r="B170" s="2"/>
      <c r="C170" s="2"/>
      <c r="D170" s="11"/>
      <c r="E170" s="2"/>
      <c r="F170" s="2"/>
      <c r="G170" s="2"/>
      <c r="H170" s="13"/>
      <c r="I170" s="2"/>
      <c r="J170" s="2"/>
      <c r="K170" s="2"/>
      <c r="L170" s="12" t="str">
        <f t="shared" si="0"/>
        <v/>
      </c>
      <c r="M170" s="2"/>
      <c r="N170" s="2"/>
      <c r="O170" s="2"/>
      <c r="P170" s="2"/>
      <c r="Q170" s="2"/>
    </row>
    <row r="171" spans="1:17" ht="15.75" customHeight="1">
      <c r="A171" s="2"/>
      <c r="B171" s="2"/>
      <c r="C171" s="2"/>
      <c r="D171" s="11"/>
      <c r="E171" s="2"/>
      <c r="F171" s="2"/>
      <c r="G171" s="2"/>
      <c r="H171" s="13"/>
      <c r="I171" s="2"/>
      <c r="J171" s="2"/>
      <c r="K171" s="2"/>
      <c r="L171" s="12" t="str">
        <f t="shared" si="0"/>
        <v/>
      </c>
      <c r="M171" s="2"/>
      <c r="N171" s="2"/>
      <c r="O171" s="2"/>
      <c r="P171" s="2"/>
      <c r="Q171" s="2"/>
    </row>
    <row r="172" spans="1:17" ht="15.75" customHeight="1">
      <c r="A172" s="2"/>
      <c r="B172" s="2"/>
      <c r="C172" s="2"/>
      <c r="D172" s="11"/>
      <c r="E172" s="2"/>
      <c r="F172" s="2"/>
      <c r="G172" s="2"/>
      <c r="H172" s="13"/>
      <c r="I172" s="2"/>
      <c r="J172" s="2"/>
      <c r="K172" s="2"/>
      <c r="L172" s="12" t="str">
        <f t="shared" si="0"/>
        <v/>
      </c>
      <c r="M172" s="2"/>
      <c r="N172" s="2"/>
      <c r="O172" s="2"/>
      <c r="P172" s="2"/>
      <c r="Q172" s="2"/>
    </row>
    <row r="173" spans="1:17" ht="15.75" customHeight="1">
      <c r="A173" s="2"/>
      <c r="B173" s="2"/>
      <c r="C173" s="2"/>
      <c r="D173" s="11"/>
      <c r="E173" s="2"/>
      <c r="F173" s="2"/>
      <c r="G173" s="2"/>
      <c r="H173" s="13"/>
      <c r="I173" s="2"/>
      <c r="J173" s="2"/>
      <c r="K173" s="2"/>
      <c r="L173" s="12" t="str">
        <f t="shared" si="0"/>
        <v/>
      </c>
      <c r="M173" s="2"/>
      <c r="N173" s="2"/>
      <c r="O173" s="2"/>
      <c r="P173" s="2"/>
      <c r="Q173" s="2"/>
    </row>
    <row r="174" spans="1:17" ht="15.75" customHeight="1">
      <c r="A174" s="2"/>
      <c r="B174" s="2"/>
      <c r="C174" s="2"/>
      <c r="D174" s="11"/>
      <c r="E174" s="2"/>
      <c r="F174" s="2"/>
      <c r="G174" s="2"/>
      <c r="H174" s="13"/>
      <c r="I174" s="2"/>
      <c r="J174" s="2"/>
      <c r="K174" s="2"/>
      <c r="L174" s="12" t="str">
        <f t="shared" si="0"/>
        <v/>
      </c>
      <c r="M174" s="2"/>
      <c r="N174" s="2"/>
      <c r="O174" s="2"/>
      <c r="P174" s="2"/>
      <c r="Q174" s="2"/>
    </row>
    <row r="175" spans="1:17" ht="15.75" customHeight="1">
      <c r="A175" s="2"/>
      <c r="B175" s="2"/>
      <c r="C175" s="2"/>
      <c r="D175" s="11"/>
      <c r="E175" s="2"/>
      <c r="F175" s="2"/>
      <c r="G175" s="2"/>
      <c r="H175" s="13"/>
      <c r="I175" s="2"/>
      <c r="J175" s="2"/>
      <c r="K175" s="2"/>
      <c r="L175" s="12" t="str">
        <f t="shared" si="0"/>
        <v/>
      </c>
      <c r="M175" s="2"/>
      <c r="N175" s="2"/>
      <c r="O175" s="2"/>
      <c r="P175" s="2"/>
      <c r="Q175" s="2"/>
    </row>
    <row r="176" spans="1:17" ht="15.75" customHeight="1">
      <c r="A176" s="2"/>
      <c r="B176" s="2"/>
      <c r="C176" s="2"/>
      <c r="D176" s="11"/>
      <c r="E176" s="2"/>
      <c r="F176" s="2"/>
      <c r="G176" s="2"/>
      <c r="H176" s="13"/>
      <c r="I176" s="2"/>
      <c r="J176" s="2"/>
      <c r="K176" s="2"/>
      <c r="L176" s="12" t="str">
        <f t="shared" si="0"/>
        <v/>
      </c>
      <c r="M176" s="2"/>
      <c r="N176" s="2"/>
      <c r="O176" s="2"/>
      <c r="P176" s="2"/>
      <c r="Q176" s="2"/>
    </row>
    <row r="177" spans="1:17" ht="15.75" customHeight="1">
      <c r="A177" s="2"/>
      <c r="B177" s="2"/>
      <c r="C177" s="2"/>
      <c r="D177" s="11"/>
      <c r="E177" s="2"/>
      <c r="F177" s="2"/>
      <c r="G177" s="2"/>
      <c r="H177" s="13"/>
      <c r="I177" s="2"/>
      <c r="J177" s="2"/>
      <c r="K177" s="2"/>
      <c r="L177" s="12" t="str">
        <f t="shared" si="0"/>
        <v/>
      </c>
      <c r="M177" s="2"/>
      <c r="N177" s="2"/>
      <c r="O177" s="2"/>
      <c r="P177" s="2"/>
      <c r="Q177" s="2"/>
    </row>
    <row r="178" spans="1:17" ht="15.75" customHeight="1">
      <c r="A178" s="2"/>
      <c r="B178" s="2"/>
      <c r="C178" s="2"/>
      <c r="D178" s="11"/>
      <c r="E178" s="2"/>
      <c r="F178" s="2"/>
      <c r="G178" s="2"/>
      <c r="H178" s="13"/>
      <c r="I178" s="2"/>
      <c r="J178" s="2"/>
      <c r="K178" s="2"/>
      <c r="L178" s="12" t="str">
        <f t="shared" si="0"/>
        <v/>
      </c>
      <c r="M178" s="2"/>
      <c r="N178" s="2"/>
      <c r="O178" s="2"/>
      <c r="P178" s="2"/>
      <c r="Q178" s="2"/>
    </row>
    <row r="179" spans="1:17" ht="15.75" customHeight="1">
      <c r="A179" s="2"/>
      <c r="B179" s="2"/>
      <c r="C179" s="2"/>
      <c r="D179" s="11"/>
      <c r="E179" s="2"/>
      <c r="F179" s="2"/>
      <c r="G179" s="2"/>
      <c r="H179" s="13"/>
      <c r="I179" s="2"/>
      <c r="J179" s="2"/>
      <c r="K179" s="2"/>
      <c r="L179" s="12" t="str">
        <f t="shared" si="0"/>
        <v/>
      </c>
      <c r="M179" s="2"/>
      <c r="N179" s="2"/>
      <c r="O179" s="2"/>
      <c r="P179" s="2"/>
      <c r="Q179" s="2"/>
    </row>
    <row r="180" spans="1:17" ht="15.75" customHeight="1">
      <c r="A180" s="2"/>
      <c r="B180" s="2"/>
      <c r="C180" s="2"/>
      <c r="D180" s="11"/>
      <c r="E180" s="2"/>
      <c r="F180" s="2"/>
      <c r="G180" s="2"/>
      <c r="H180" s="13"/>
      <c r="I180" s="2"/>
      <c r="J180" s="2"/>
      <c r="K180" s="2"/>
      <c r="L180" s="12" t="str">
        <f t="shared" si="0"/>
        <v/>
      </c>
      <c r="M180" s="2"/>
      <c r="N180" s="2"/>
      <c r="O180" s="2"/>
      <c r="P180" s="2"/>
      <c r="Q180" s="2"/>
    </row>
    <row r="181" spans="1:17" ht="15.75" customHeight="1">
      <c r="A181" s="2"/>
      <c r="B181" s="2"/>
      <c r="C181" s="2"/>
      <c r="D181" s="11"/>
      <c r="E181" s="2"/>
      <c r="F181" s="2"/>
      <c r="G181" s="2"/>
      <c r="H181" s="13"/>
      <c r="I181" s="2"/>
      <c r="J181" s="2"/>
      <c r="K181" s="2"/>
      <c r="L181" s="12" t="str">
        <f t="shared" si="0"/>
        <v/>
      </c>
      <c r="M181" s="2"/>
      <c r="N181" s="2"/>
      <c r="O181" s="2"/>
      <c r="P181" s="2"/>
      <c r="Q181" s="2"/>
    </row>
    <row r="182" spans="1:17" ht="15.75" customHeight="1">
      <c r="A182" s="2"/>
      <c r="B182" s="2"/>
      <c r="C182" s="2"/>
      <c r="D182" s="11"/>
      <c r="E182" s="2"/>
      <c r="F182" s="2"/>
      <c r="G182" s="2"/>
      <c r="H182" s="13"/>
      <c r="I182" s="2"/>
      <c r="J182" s="2"/>
      <c r="K182" s="2"/>
      <c r="L182" s="12" t="str">
        <f t="shared" si="0"/>
        <v/>
      </c>
      <c r="M182" s="2"/>
      <c r="N182" s="2"/>
      <c r="O182" s="2"/>
      <c r="P182" s="2"/>
      <c r="Q182" s="2"/>
    </row>
    <row r="183" spans="1:17" ht="15.75" customHeight="1">
      <c r="A183" s="2"/>
      <c r="B183" s="2"/>
      <c r="C183" s="2"/>
      <c r="D183" s="11"/>
      <c r="E183" s="2"/>
      <c r="F183" s="2"/>
      <c r="G183" s="2"/>
      <c r="H183" s="13"/>
      <c r="I183" s="2"/>
      <c r="J183" s="2"/>
      <c r="K183" s="2"/>
      <c r="L183" s="12" t="str">
        <f t="shared" si="0"/>
        <v/>
      </c>
      <c r="M183" s="2"/>
      <c r="N183" s="2"/>
      <c r="O183" s="2"/>
      <c r="P183" s="2"/>
      <c r="Q183" s="2"/>
    </row>
    <row r="184" spans="1:17" ht="15.75" customHeight="1">
      <c r="A184" s="2"/>
      <c r="B184" s="2"/>
      <c r="C184" s="2"/>
      <c r="D184" s="11"/>
      <c r="E184" s="2"/>
      <c r="F184" s="2"/>
      <c r="G184" s="2"/>
      <c r="H184" s="13"/>
      <c r="I184" s="2"/>
      <c r="J184" s="2"/>
      <c r="K184" s="2"/>
      <c r="L184" s="12" t="str">
        <f t="shared" si="0"/>
        <v/>
      </c>
      <c r="M184" s="2"/>
      <c r="N184" s="2"/>
      <c r="O184" s="2"/>
      <c r="P184" s="2"/>
      <c r="Q184" s="2"/>
    </row>
    <row r="185" spans="1:17" ht="15.75" customHeight="1">
      <c r="A185" s="2"/>
      <c r="B185" s="2"/>
      <c r="C185" s="2"/>
      <c r="D185" s="11"/>
      <c r="E185" s="2"/>
      <c r="F185" s="2"/>
      <c r="G185" s="2"/>
      <c r="H185" s="13"/>
      <c r="I185" s="2"/>
      <c r="J185" s="2"/>
      <c r="K185" s="2"/>
      <c r="L185" s="12" t="str">
        <f t="shared" si="0"/>
        <v/>
      </c>
      <c r="M185" s="2"/>
      <c r="N185" s="2"/>
      <c r="O185" s="2"/>
      <c r="P185" s="2"/>
      <c r="Q185" s="2"/>
    </row>
    <row r="186" spans="1:17" ht="15.75" customHeight="1">
      <c r="A186" s="2"/>
      <c r="B186" s="2"/>
      <c r="C186" s="2"/>
      <c r="D186" s="11"/>
      <c r="E186" s="2"/>
      <c r="F186" s="2"/>
      <c r="G186" s="2"/>
      <c r="H186" s="13"/>
      <c r="I186" s="2"/>
      <c r="J186" s="2"/>
      <c r="K186" s="2"/>
      <c r="L186" s="12" t="str">
        <f t="shared" si="0"/>
        <v/>
      </c>
      <c r="M186" s="2"/>
      <c r="N186" s="2"/>
      <c r="O186" s="2"/>
      <c r="P186" s="2"/>
      <c r="Q186" s="2"/>
    </row>
    <row r="187" spans="1:17" ht="15.75" customHeight="1">
      <c r="A187" s="2"/>
      <c r="B187" s="2"/>
      <c r="C187" s="2"/>
      <c r="D187" s="11"/>
      <c r="E187" s="2"/>
      <c r="F187" s="2"/>
      <c r="G187" s="2"/>
      <c r="H187" s="13"/>
      <c r="I187" s="2"/>
      <c r="J187" s="2"/>
      <c r="K187" s="2"/>
      <c r="L187" s="12" t="str">
        <f t="shared" si="0"/>
        <v/>
      </c>
      <c r="M187" s="2"/>
      <c r="N187" s="2"/>
      <c r="O187" s="2"/>
      <c r="P187" s="2"/>
      <c r="Q187" s="2"/>
    </row>
    <row r="188" spans="1:17" ht="15.75" customHeight="1">
      <c r="A188" s="2"/>
      <c r="B188" s="2"/>
      <c r="C188" s="2"/>
      <c r="D188" s="11"/>
      <c r="E188" s="2"/>
      <c r="F188" s="2"/>
      <c r="G188" s="2"/>
      <c r="H188" s="13"/>
      <c r="I188" s="2"/>
      <c r="J188" s="2"/>
      <c r="K188" s="2"/>
      <c r="L188" s="12" t="str">
        <f t="shared" si="0"/>
        <v/>
      </c>
      <c r="M188" s="2"/>
      <c r="N188" s="2"/>
      <c r="O188" s="2"/>
      <c r="P188" s="2"/>
      <c r="Q188" s="2"/>
    </row>
    <row r="189" spans="1:17" ht="15.75" customHeight="1">
      <c r="A189" s="2"/>
      <c r="B189" s="2"/>
      <c r="C189" s="2"/>
      <c r="D189" s="11"/>
      <c r="E189" s="2"/>
      <c r="F189" s="2"/>
      <c r="G189" s="2"/>
      <c r="H189" s="13"/>
      <c r="I189" s="2"/>
      <c r="J189" s="2"/>
      <c r="K189" s="2"/>
      <c r="L189" s="12" t="str">
        <f t="shared" si="0"/>
        <v/>
      </c>
      <c r="M189" s="2"/>
      <c r="N189" s="2"/>
      <c r="O189" s="2"/>
      <c r="P189" s="2"/>
      <c r="Q189" s="2"/>
    </row>
    <row r="190" spans="1:17" ht="15.75" customHeight="1">
      <c r="A190" s="2"/>
      <c r="B190" s="2"/>
      <c r="C190" s="2"/>
      <c r="D190" s="11"/>
      <c r="E190" s="2"/>
      <c r="F190" s="2"/>
      <c r="G190" s="2"/>
      <c r="H190" s="13"/>
      <c r="I190" s="2"/>
      <c r="J190" s="2"/>
      <c r="K190" s="2"/>
      <c r="L190" s="12" t="str">
        <f t="shared" si="0"/>
        <v/>
      </c>
      <c r="M190" s="2"/>
      <c r="N190" s="2"/>
      <c r="O190" s="2"/>
      <c r="P190" s="2"/>
      <c r="Q190" s="2"/>
    </row>
    <row r="191" spans="1:17" ht="15.75" customHeight="1">
      <c r="A191" s="2"/>
      <c r="B191" s="2"/>
      <c r="C191" s="2"/>
      <c r="D191" s="11"/>
      <c r="E191" s="2"/>
      <c r="F191" s="2"/>
      <c r="G191" s="2"/>
      <c r="H191" s="13"/>
      <c r="I191" s="2"/>
      <c r="J191" s="2"/>
      <c r="K191" s="2"/>
      <c r="L191" s="12" t="str">
        <f t="shared" si="0"/>
        <v/>
      </c>
      <c r="M191" s="2"/>
      <c r="N191" s="2"/>
      <c r="O191" s="2"/>
      <c r="P191" s="2"/>
      <c r="Q191" s="2"/>
    </row>
    <row r="192" spans="1:17" ht="15.75" customHeight="1">
      <c r="A192" s="2"/>
      <c r="B192" s="2"/>
      <c r="C192" s="2"/>
      <c r="D192" s="11"/>
      <c r="E192" s="2"/>
      <c r="F192" s="2"/>
      <c r="G192" s="2"/>
      <c r="H192" s="13"/>
      <c r="I192" s="2"/>
      <c r="J192" s="2"/>
      <c r="K192" s="2"/>
      <c r="L192" s="12" t="str">
        <f t="shared" si="0"/>
        <v/>
      </c>
      <c r="M192" s="2"/>
      <c r="N192" s="2"/>
      <c r="O192" s="2"/>
      <c r="P192" s="2"/>
      <c r="Q192" s="2"/>
    </row>
    <row r="193" spans="1:17" ht="15.75" customHeight="1">
      <c r="A193" s="2"/>
      <c r="B193" s="2"/>
      <c r="C193" s="2"/>
      <c r="D193" s="11"/>
      <c r="E193" s="2"/>
      <c r="F193" s="2"/>
      <c r="G193" s="2"/>
      <c r="H193" s="13"/>
      <c r="I193" s="2"/>
      <c r="J193" s="2"/>
      <c r="K193" s="2"/>
      <c r="L193" s="12" t="str">
        <f t="shared" si="0"/>
        <v/>
      </c>
      <c r="M193" s="2"/>
      <c r="N193" s="2"/>
      <c r="O193" s="2"/>
      <c r="P193" s="2"/>
      <c r="Q193" s="2"/>
    </row>
    <row r="194" spans="1:17" ht="15.75" customHeight="1">
      <c r="A194" s="2"/>
      <c r="B194" s="2"/>
      <c r="C194" s="2"/>
      <c r="D194" s="11"/>
      <c r="E194" s="2"/>
      <c r="F194" s="2"/>
      <c r="G194" s="2"/>
      <c r="H194" s="13"/>
      <c r="I194" s="2"/>
      <c r="J194" s="2"/>
      <c r="K194" s="2"/>
      <c r="L194" s="12" t="str">
        <f t="shared" si="0"/>
        <v/>
      </c>
      <c r="M194" s="2"/>
      <c r="N194" s="2"/>
      <c r="O194" s="2"/>
      <c r="P194" s="2"/>
      <c r="Q194" s="2"/>
    </row>
    <row r="195" spans="1:17" ht="15.75" customHeight="1">
      <c r="A195" s="2"/>
      <c r="B195" s="2"/>
      <c r="C195" s="2"/>
      <c r="D195" s="11"/>
      <c r="E195" s="2"/>
      <c r="F195" s="2"/>
      <c r="G195" s="2"/>
      <c r="H195" s="13"/>
      <c r="I195" s="2"/>
      <c r="J195" s="2"/>
      <c r="K195" s="2"/>
      <c r="L195" s="12" t="str">
        <f t="shared" si="0"/>
        <v/>
      </c>
      <c r="M195" s="2"/>
      <c r="N195" s="2"/>
      <c r="O195" s="2"/>
      <c r="P195" s="2"/>
      <c r="Q195" s="2"/>
    </row>
    <row r="196" spans="1:17" ht="15.75" customHeight="1">
      <c r="A196" s="2"/>
      <c r="B196" s="2"/>
      <c r="C196" s="2"/>
      <c r="D196" s="11"/>
      <c r="E196" s="2"/>
      <c r="F196" s="2"/>
      <c r="G196" s="2"/>
      <c r="H196" s="13"/>
      <c r="I196" s="2"/>
      <c r="J196" s="2"/>
      <c r="K196" s="2"/>
      <c r="L196" s="12" t="str">
        <f t="shared" si="0"/>
        <v/>
      </c>
      <c r="M196" s="2"/>
      <c r="N196" s="2"/>
      <c r="O196" s="2"/>
      <c r="P196" s="2"/>
      <c r="Q196" s="2"/>
    </row>
    <row r="197" spans="1:17" ht="15.75" customHeight="1">
      <c r="A197" s="2"/>
      <c r="B197" s="2"/>
      <c r="C197" s="2"/>
      <c r="D197" s="11"/>
      <c r="E197" s="2"/>
      <c r="F197" s="2"/>
      <c r="G197" s="2"/>
      <c r="H197" s="13"/>
      <c r="I197" s="2"/>
      <c r="J197" s="2"/>
      <c r="K197" s="2"/>
      <c r="L197" s="12" t="str">
        <f t="shared" si="0"/>
        <v/>
      </c>
      <c r="M197" s="2"/>
      <c r="N197" s="2"/>
      <c r="O197" s="2"/>
      <c r="P197" s="2"/>
      <c r="Q197" s="2"/>
    </row>
    <row r="198" spans="1:17" ht="15.75" customHeight="1">
      <c r="A198" s="2"/>
      <c r="B198" s="2"/>
      <c r="C198" s="2"/>
      <c r="D198" s="11"/>
      <c r="E198" s="2"/>
      <c r="F198" s="2"/>
      <c r="G198" s="2"/>
      <c r="H198" s="13"/>
      <c r="I198" s="2"/>
      <c r="J198" s="2"/>
      <c r="K198" s="2"/>
      <c r="L198" s="12" t="str">
        <f t="shared" si="0"/>
        <v/>
      </c>
      <c r="M198" s="2"/>
      <c r="N198" s="2"/>
      <c r="O198" s="2"/>
      <c r="P198" s="2"/>
      <c r="Q198" s="2"/>
    </row>
    <row r="199" spans="1:17" ht="15.75" customHeight="1">
      <c r="A199" s="2"/>
      <c r="B199" s="2"/>
      <c r="C199" s="2"/>
      <c r="D199" s="11"/>
      <c r="E199" s="2"/>
      <c r="F199" s="2"/>
      <c r="G199" s="2"/>
      <c r="H199" s="13"/>
      <c r="I199" s="2"/>
      <c r="J199" s="2"/>
      <c r="K199" s="2"/>
      <c r="L199" s="12" t="str">
        <f t="shared" si="0"/>
        <v/>
      </c>
      <c r="M199" s="2"/>
      <c r="N199" s="2"/>
      <c r="O199" s="2"/>
      <c r="P199" s="2"/>
      <c r="Q199" s="2"/>
    </row>
    <row r="200" spans="1:17" ht="15.75" customHeight="1">
      <c r="A200" s="2"/>
      <c r="B200" s="2"/>
      <c r="C200" s="2"/>
      <c r="D200" s="11"/>
      <c r="E200" s="2"/>
      <c r="F200" s="2"/>
      <c r="G200" s="2"/>
      <c r="H200" s="13"/>
      <c r="I200" s="2"/>
      <c r="J200" s="2"/>
      <c r="K200" s="2"/>
      <c r="L200" s="12" t="str">
        <f t="shared" si="0"/>
        <v/>
      </c>
      <c r="M200" s="2"/>
      <c r="N200" s="2"/>
      <c r="O200" s="2"/>
      <c r="P200" s="2"/>
      <c r="Q200" s="2"/>
    </row>
    <row r="201" spans="1:17" ht="15.75" customHeight="1">
      <c r="A201" s="2"/>
      <c r="B201" s="2"/>
      <c r="C201" s="2"/>
      <c r="D201" s="11"/>
      <c r="E201" s="2"/>
      <c r="F201" s="2"/>
      <c r="G201" s="2"/>
      <c r="H201" s="13"/>
      <c r="I201" s="2"/>
      <c r="J201" s="2"/>
      <c r="K201" s="2"/>
      <c r="L201" s="12" t="str">
        <f t="shared" si="0"/>
        <v/>
      </c>
      <c r="M201" s="2"/>
      <c r="N201" s="2"/>
      <c r="O201" s="2"/>
      <c r="P201" s="2"/>
      <c r="Q201" s="2"/>
    </row>
    <row r="202" spans="1:17" ht="15.75" customHeight="1">
      <c r="A202" s="2"/>
      <c r="B202" s="2"/>
      <c r="C202" s="2"/>
      <c r="D202" s="11"/>
      <c r="E202" s="2"/>
      <c r="F202" s="2"/>
      <c r="G202" s="2"/>
      <c r="H202" s="13"/>
      <c r="I202" s="2"/>
      <c r="J202" s="2"/>
      <c r="K202" s="2"/>
      <c r="L202" s="12" t="str">
        <f t="shared" si="0"/>
        <v/>
      </c>
      <c r="M202" s="2"/>
      <c r="N202" s="2"/>
      <c r="O202" s="2"/>
      <c r="P202" s="2"/>
      <c r="Q202" s="2"/>
    </row>
    <row r="203" spans="1:17" ht="15.75" customHeight="1">
      <c r="A203" s="2"/>
      <c r="B203" s="2"/>
      <c r="C203" s="2"/>
      <c r="D203" s="11"/>
      <c r="E203" s="2"/>
      <c r="F203" s="2"/>
      <c r="G203" s="2"/>
      <c r="H203" s="13"/>
      <c r="I203" s="2"/>
      <c r="J203" s="2"/>
      <c r="K203" s="2"/>
      <c r="L203" s="12" t="str">
        <f t="shared" si="0"/>
        <v/>
      </c>
      <c r="M203" s="2"/>
      <c r="N203" s="2"/>
      <c r="O203" s="2"/>
      <c r="P203" s="2"/>
      <c r="Q203" s="2"/>
    </row>
    <row r="204" spans="1:17" ht="15.75" customHeight="1">
      <c r="A204" s="2"/>
      <c r="B204" s="2"/>
      <c r="C204" s="2"/>
      <c r="D204" s="11"/>
      <c r="E204" s="2"/>
      <c r="F204" s="2"/>
      <c r="G204" s="2"/>
      <c r="H204" s="13"/>
      <c r="I204" s="2"/>
      <c r="J204" s="2"/>
      <c r="K204" s="2"/>
      <c r="L204" s="12" t="str">
        <f t="shared" si="0"/>
        <v/>
      </c>
      <c r="M204" s="2"/>
      <c r="N204" s="2"/>
      <c r="O204" s="2"/>
      <c r="P204" s="2"/>
      <c r="Q204" s="2"/>
    </row>
    <row r="205" spans="1:17" ht="15.75" customHeight="1">
      <c r="A205" s="2"/>
      <c r="B205" s="2"/>
      <c r="C205" s="2"/>
      <c r="D205" s="11"/>
      <c r="E205" s="2"/>
      <c r="F205" s="2"/>
      <c r="G205" s="2"/>
      <c r="H205" s="13"/>
      <c r="I205" s="2"/>
      <c r="J205" s="2"/>
      <c r="K205" s="2"/>
      <c r="L205" s="12" t="str">
        <f t="shared" si="0"/>
        <v/>
      </c>
      <c r="M205" s="2"/>
      <c r="N205" s="2"/>
      <c r="O205" s="2"/>
      <c r="P205" s="2"/>
      <c r="Q205" s="2"/>
    </row>
    <row r="206" spans="1:17" ht="15.75" customHeight="1">
      <c r="A206" s="2"/>
      <c r="B206" s="2"/>
      <c r="C206" s="2"/>
      <c r="D206" s="11"/>
      <c r="E206" s="2"/>
      <c r="F206" s="2"/>
      <c r="G206" s="2"/>
      <c r="H206" s="13"/>
      <c r="I206" s="2"/>
      <c r="J206" s="2"/>
      <c r="K206" s="2"/>
      <c r="L206" s="12" t="str">
        <f t="shared" si="0"/>
        <v/>
      </c>
      <c r="M206" s="2"/>
      <c r="N206" s="2"/>
      <c r="O206" s="2"/>
      <c r="P206" s="2"/>
      <c r="Q206" s="2"/>
    </row>
    <row r="207" spans="1:17" ht="15.75" customHeight="1">
      <c r="A207" s="2"/>
      <c r="B207" s="2"/>
      <c r="C207" s="2"/>
      <c r="D207" s="11"/>
      <c r="E207" s="2"/>
      <c r="F207" s="2"/>
      <c r="G207" s="2"/>
      <c r="H207" s="13"/>
      <c r="I207" s="2"/>
      <c r="J207" s="2"/>
      <c r="K207" s="2"/>
      <c r="L207" s="12" t="str">
        <f t="shared" si="0"/>
        <v/>
      </c>
      <c r="M207" s="2"/>
      <c r="N207" s="2"/>
      <c r="O207" s="2"/>
      <c r="P207" s="2"/>
      <c r="Q207" s="2"/>
    </row>
    <row r="208" spans="1:17" ht="15.75" customHeight="1">
      <c r="A208" s="2"/>
      <c r="B208" s="2"/>
      <c r="C208" s="2"/>
      <c r="D208" s="11"/>
      <c r="E208" s="2"/>
      <c r="F208" s="2"/>
      <c r="G208" s="2"/>
      <c r="H208" s="13"/>
      <c r="I208" s="2"/>
      <c r="J208" s="2"/>
      <c r="K208" s="2"/>
      <c r="L208" s="12" t="str">
        <f t="shared" si="0"/>
        <v/>
      </c>
      <c r="M208" s="2"/>
      <c r="N208" s="2"/>
      <c r="O208" s="2"/>
      <c r="P208" s="2"/>
      <c r="Q208" s="2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6:P6"/>
    <mergeCell ref="A1:P1"/>
    <mergeCell ref="B2:P2"/>
    <mergeCell ref="B3:P3"/>
    <mergeCell ref="B4:P4"/>
    <mergeCell ref="B5:P5"/>
  </mergeCells>
  <pageMargins left="0.7" right="0.7" top="0.75" bottom="0.75" header="0" footer="0"/>
  <pageSetup orientation="landscape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000"/>
  <sheetViews>
    <sheetView workbookViewId="0"/>
  </sheetViews>
  <sheetFormatPr baseColWidth="10" defaultColWidth="12.59765625" defaultRowHeight="15" customHeight="1"/>
  <cols>
    <col min="1" max="1" width="18" customWidth="1"/>
    <col min="2" max="2" width="22" customWidth="1"/>
    <col min="3" max="3" width="30" customWidth="1"/>
    <col min="4" max="4" width="12" customWidth="1"/>
    <col min="5" max="5" width="24" customWidth="1"/>
    <col min="6" max="6" width="22" customWidth="1"/>
    <col min="7" max="8" width="20" customWidth="1"/>
    <col min="9" max="9" width="15" customWidth="1"/>
    <col min="10" max="10" width="12" customWidth="1"/>
    <col min="11" max="12" width="17" customWidth="1"/>
    <col min="13" max="13" width="24" customWidth="1"/>
    <col min="14" max="14" width="20" customWidth="1"/>
    <col min="15" max="15" width="12" customWidth="1"/>
    <col min="16" max="16" width="34" customWidth="1"/>
    <col min="17" max="17" width="30" customWidth="1"/>
    <col min="18" max="18" width="45" customWidth="1"/>
  </cols>
  <sheetData>
    <row r="1" spans="1:18" ht="36.75" customHeight="1">
      <c r="A1" s="25" t="s">
        <v>133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13.8">
      <c r="A2" s="7" t="s">
        <v>5</v>
      </c>
      <c r="B2" s="42" t="s">
        <v>134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8" ht="24">
      <c r="A3" s="7" t="s">
        <v>6</v>
      </c>
      <c r="B3" s="42" t="s">
        <v>135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8" ht="13.8">
      <c r="A4" s="7" t="s">
        <v>88</v>
      </c>
      <c r="B4" s="42" t="s">
        <v>136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8" ht="13.8">
      <c r="A5" s="7" t="s">
        <v>91</v>
      </c>
      <c r="B5" s="42" t="s">
        <v>137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8" ht="13.8">
      <c r="A6" s="7" t="s">
        <v>94</v>
      </c>
      <c r="B6" s="42" t="s">
        <v>138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8" ht="13.8">
      <c r="A7" s="43" t="s">
        <v>139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9" spans="1:18" ht="50.25" customHeight="1">
      <c r="A9" s="9" t="s">
        <v>32</v>
      </c>
      <c r="B9" s="9" t="s">
        <v>46</v>
      </c>
      <c r="C9" s="9" t="s">
        <v>48</v>
      </c>
      <c r="D9" s="9" t="s">
        <v>43</v>
      </c>
      <c r="E9" s="9" t="s">
        <v>50</v>
      </c>
      <c r="F9" s="9" t="s">
        <v>97</v>
      </c>
      <c r="G9" s="9" t="s">
        <v>56</v>
      </c>
      <c r="H9" s="9" t="s">
        <v>140</v>
      </c>
      <c r="I9" s="9" t="s">
        <v>141</v>
      </c>
      <c r="J9" s="9" t="s">
        <v>142</v>
      </c>
      <c r="K9" s="9" t="s">
        <v>143</v>
      </c>
      <c r="L9" s="9" t="s">
        <v>144</v>
      </c>
      <c r="M9" s="9" t="s">
        <v>145</v>
      </c>
      <c r="N9" s="9" t="s">
        <v>106</v>
      </c>
      <c r="O9" s="9" t="s">
        <v>61</v>
      </c>
      <c r="P9" s="9" t="s">
        <v>63</v>
      </c>
      <c r="Q9" s="9" t="s">
        <v>65</v>
      </c>
      <c r="R9" s="9" t="s">
        <v>110</v>
      </c>
    </row>
    <row r="10" spans="1:18" ht="13.8">
      <c r="A10" s="2"/>
      <c r="B10" s="2"/>
      <c r="C10" s="2"/>
      <c r="D10" s="11"/>
      <c r="E10" s="2"/>
      <c r="F10" s="2"/>
      <c r="G10" s="2"/>
      <c r="H10" s="2"/>
      <c r="I10" s="13"/>
      <c r="J10" s="13"/>
      <c r="K10" s="2"/>
      <c r="L10" s="2"/>
      <c r="M10" s="19" t="str">
        <f t="shared" ref="M10:M209" si="0">IFERROR(SUMIFS($K$10:$K$209,$A$10:$A$209,A10,$D$10:$D$209,D10,$L$10:$L$209,"Sí")/COUNTIFS($A$10:$A$209,A10,$D$10:$D$209,D10,$L$10:$L$209,"Sí"),"")</f>
        <v/>
      </c>
      <c r="N10" s="2"/>
      <c r="O10" s="2"/>
      <c r="P10" s="2"/>
      <c r="Q10" s="2"/>
      <c r="R10" s="2"/>
    </row>
    <row r="11" spans="1:18" ht="13.8">
      <c r="A11" s="2"/>
      <c r="B11" s="2"/>
      <c r="C11" s="2"/>
      <c r="D11" s="11"/>
      <c r="E11" s="2"/>
      <c r="F11" s="2"/>
      <c r="G11" s="2"/>
      <c r="H11" s="2"/>
      <c r="I11" s="13"/>
      <c r="J11" s="13"/>
      <c r="K11" s="2"/>
      <c r="L11" s="2"/>
      <c r="M11" s="19" t="str">
        <f t="shared" si="0"/>
        <v/>
      </c>
      <c r="N11" s="2"/>
      <c r="O11" s="2"/>
      <c r="P11" s="2"/>
      <c r="Q11" s="2"/>
      <c r="R11" s="2"/>
    </row>
    <row r="12" spans="1:18" ht="13.8">
      <c r="A12" s="2"/>
      <c r="B12" s="2"/>
      <c r="C12" s="2"/>
      <c r="D12" s="11"/>
      <c r="E12" s="2"/>
      <c r="F12" s="2"/>
      <c r="G12" s="2"/>
      <c r="H12" s="2"/>
      <c r="I12" s="13"/>
      <c r="J12" s="13"/>
      <c r="K12" s="2"/>
      <c r="L12" s="2"/>
      <c r="M12" s="19" t="str">
        <f t="shared" si="0"/>
        <v/>
      </c>
      <c r="N12" s="2"/>
      <c r="O12" s="2"/>
      <c r="P12" s="2"/>
      <c r="Q12" s="2"/>
      <c r="R12" s="2"/>
    </row>
    <row r="13" spans="1:18" ht="13.8">
      <c r="A13" s="2"/>
      <c r="B13" s="2"/>
      <c r="C13" s="2"/>
      <c r="D13" s="11"/>
      <c r="E13" s="2"/>
      <c r="F13" s="2"/>
      <c r="G13" s="2"/>
      <c r="H13" s="2"/>
      <c r="I13" s="13"/>
      <c r="J13" s="13"/>
      <c r="K13" s="2"/>
      <c r="L13" s="2"/>
      <c r="M13" s="19" t="str">
        <f t="shared" si="0"/>
        <v/>
      </c>
      <c r="N13" s="2"/>
      <c r="O13" s="2"/>
      <c r="P13" s="2"/>
      <c r="Q13" s="2"/>
      <c r="R13" s="2"/>
    </row>
    <row r="14" spans="1:18" ht="13.8">
      <c r="A14" s="2"/>
      <c r="B14" s="2"/>
      <c r="C14" s="2"/>
      <c r="D14" s="11"/>
      <c r="E14" s="2"/>
      <c r="F14" s="2"/>
      <c r="G14" s="2"/>
      <c r="H14" s="2"/>
      <c r="I14" s="13"/>
      <c r="J14" s="13"/>
      <c r="K14" s="2"/>
      <c r="L14" s="2"/>
      <c r="M14" s="19" t="str">
        <f t="shared" si="0"/>
        <v/>
      </c>
      <c r="N14" s="2"/>
      <c r="O14" s="2"/>
      <c r="P14" s="2"/>
      <c r="Q14" s="2"/>
      <c r="R14" s="2"/>
    </row>
    <row r="15" spans="1:18" ht="13.8">
      <c r="A15" s="2"/>
      <c r="B15" s="2"/>
      <c r="C15" s="2"/>
      <c r="D15" s="11"/>
      <c r="E15" s="2"/>
      <c r="F15" s="2"/>
      <c r="G15" s="2"/>
      <c r="H15" s="2"/>
      <c r="I15" s="13"/>
      <c r="J15" s="13"/>
      <c r="K15" s="2"/>
      <c r="L15" s="2"/>
      <c r="M15" s="19" t="str">
        <f t="shared" si="0"/>
        <v/>
      </c>
      <c r="N15" s="2"/>
      <c r="O15" s="2"/>
      <c r="P15" s="2"/>
      <c r="Q15" s="2"/>
      <c r="R15" s="2"/>
    </row>
    <row r="16" spans="1:18" ht="13.8">
      <c r="A16" s="2"/>
      <c r="B16" s="2"/>
      <c r="C16" s="2"/>
      <c r="D16" s="11"/>
      <c r="E16" s="2"/>
      <c r="F16" s="2"/>
      <c r="G16" s="2"/>
      <c r="H16" s="2"/>
      <c r="I16" s="13"/>
      <c r="J16" s="13"/>
      <c r="K16" s="2"/>
      <c r="L16" s="2"/>
      <c r="M16" s="19" t="str">
        <f t="shared" si="0"/>
        <v/>
      </c>
      <c r="N16" s="2"/>
      <c r="O16" s="2"/>
      <c r="P16" s="2"/>
      <c r="Q16" s="2"/>
      <c r="R16" s="2"/>
    </row>
    <row r="17" spans="1:18" ht="13.8">
      <c r="A17" s="2"/>
      <c r="B17" s="2"/>
      <c r="C17" s="2"/>
      <c r="D17" s="11"/>
      <c r="E17" s="2"/>
      <c r="F17" s="2"/>
      <c r="G17" s="2"/>
      <c r="H17" s="2"/>
      <c r="I17" s="13"/>
      <c r="J17" s="13"/>
      <c r="K17" s="2"/>
      <c r="L17" s="2"/>
      <c r="M17" s="19" t="str">
        <f t="shared" si="0"/>
        <v/>
      </c>
      <c r="N17" s="2"/>
      <c r="O17" s="2"/>
      <c r="P17" s="2"/>
      <c r="Q17" s="2"/>
      <c r="R17" s="2"/>
    </row>
    <row r="18" spans="1:18" ht="13.8">
      <c r="A18" s="2"/>
      <c r="B18" s="2"/>
      <c r="C18" s="2"/>
      <c r="D18" s="11"/>
      <c r="E18" s="2"/>
      <c r="F18" s="2"/>
      <c r="G18" s="2"/>
      <c r="H18" s="2"/>
      <c r="I18" s="13"/>
      <c r="J18" s="13"/>
      <c r="K18" s="2"/>
      <c r="L18" s="2"/>
      <c r="M18" s="19" t="str">
        <f t="shared" si="0"/>
        <v/>
      </c>
      <c r="N18" s="2"/>
      <c r="O18" s="2"/>
      <c r="P18" s="2"/>
      <c r="Q18" s="2"/>
      <c r="R18" s="2"/>
    </row>
    <row r="19" spans="1:18" ht="13.8">
      <c r="A19" s="2"/>
      <c r="B19" s="2"/>
      <c r="C19" s="2"/>
      <c r="D19" s="11"/>
      <c r="E19" s="2"/>
      <c r="F19" s="2"/>
      <c r="G19" s="2"/>
      <c r="H19" s="2"/>
      <c r="I19" s="13"/>
      <c r="J19" s="13"/>
      <c r="K19" s="2"/>
      <c r="L19" s="2"/>
      <c r="M19" s="19" t="str">
        <f t="shared" si="0"/>
        <v/>
      </c>
      <c r="N19" s="2"/>
      <c r="O19" s="2"/>
      <c r="P19" s="2"/>
      <c r="Q19" s="2"/>
      <c r="R19" s="2"/>
    </row>
    <row r="20" spans="1:18" ht="13.8">
      <c r="A20" s="2"/>
      <c r="B20" s="2"/>
      <c r="C20" s="2"/>
      <c r="D20" s="11"/>
      <c r="E20" s="2"/>
      <c r="F20" s="2"/>
      <c r="G20" s="2"/>
      <c r="H20" s="2"/>
      <c r="I20" s="13"/>
      <c r="J20" s="13"/>
      <c r="K20" s="2"/>
      <c r="L20" s="2"/>
      <c r="M20" s="19" t="str">
        <f t="shared" si="0"/>
        <v/>
      </c>
      <c r="N20" s="2"/>
      <c r="O20" s="2"/>
      <c r="P20" s="2"/>
      <c r="Q20" s="2"/>
      <c r="R20" s="2"/>
    </row>
    <row r="21" spans="1:18" ht="15.75" customHeight="1">
      <c r="A21" s="2"/>
      <c r="B21" s="2"/>
      <c r="C21" s="2"/>
      <c r="D21" s="11"/>
      <c r="E21" s="2"/>
      <c r="F21" s="2"/>
      <c r="G21" s="2"/>
      <c r="H21" s="2"/>
      <c r="I21" s="13"/>
      <c r="J21" s="13"/>
      <c r="K21" s="2"/>
      <c r="L21" s="2"/>
      <c r="M21" s="19" t="str">
        <f t="shared" si="0"/>
        <v/>
      </c>
      <c r="N21" s="2"/>
      <c r="O21" s="2"/>
      <c r="P21" s="2"/>
      <c r="Q21" s="2"/>
      <c r="R21" s="2"/>
    </row>
    <row r="22" spans="1:18" ht="15.75" customHeight="1">
      <c r="A22" s="2"/>
      <c r="B22" s="2"/>
      <c r="C22" s="2"/>
      <c r="D22" s="11"/>
      <c r="E22" s="2"/>
      <c r="F22" s="2"/>
      <c r="G22" s="2"/>
      <c r="H22" s="2"/>
      <c r="I22" s="13"/>
      <c r="J22" s="13"/>
      <c r="K22" s="2"/>
      <c r="L22" s="2"/>
      <c r="M22" s="19" t="str">
        <f t="shared" si="0"/>
        <v/>
      </c>
      <c r="N22" s="2"/>
      <c r="O22" s="2"/>
      <c r="P22" s="2"/>
      <c r="Q22" s="2"/>
      <c r="R22" s="2"/>
    </row>
    <row r="23" spans="1:18" ht="15.75" customHeight="1">
      <c r="A23" s="2"/>
      <c r="B23" s="2"/>
      <c r="C23" s="2"/>
      <c r="D23" s="11"/>
      <c r="E23" s="2"/>
      <c r="F23" s="2"/>
      <c r="G23" s="2"/>
      <c r="H23" s="2"/>
      <c r="I23" s="13"/>
      <c r="J23" s="13"/>
      <c r="K23" s="2"/>
      <c r="L23" s="2"/>
      <c r="M23" s="19" t="str">
        <f t="shared" si="0"/>
        <v/>
      </c>
      <c r="N23" s="2"/>
      <c r="O23" s="2"/>
      <c r="P23" s="2"/>
      <c r="Q23" s="2"/>
      <c r="R23" s="2"/>
    </row>
    <row r="24" spans="1:18" ht="15.75" customHeight="1">
      <c r="A24" s="2"/>
      <c r="B24" s="2"/>
      <c r="C24" s="2"/>
      <c r="D24" s="11"/>
      <c r="E24" s="2"/>
      <c r="F24" s="2"/>
      <c r="G24" s="2"/>
      <c r="H24" s="2"/>
      <c r="I24" s="13"/>
      <c r="J24" s="13"/>
      <c r="K24" s="2"/>
      <c r="L24" s="2"/>
      <c r="M24" s="19" t="str">
        <f t="shared" si="0"/>
        <v/>
      </c>
      <c r="N24" s="2"/>
      <c r="O24" s="2"/>
      <c r="P24" s="2"/>
      <c r="Q24" s="2"/>
      <c r="R24" s="2"/>
    </row>
    <row r="25" spans="1:18" ht="15.75" customHeight="1">
      <c r="A25" s="2"/>
      <c r="B25" s="2"/>
      <c r="C25" s="2"/>
      <c r="D25" s="11"/>
      <c r="E25" s="2"/>
      <c r="F25" s="2"/>
      <c r="G25" s="2"/>
      <c r="H25" s="2"/>
      <c r="I25" s="13"/>
      <c r="J25" s="13"/>
      <c r="K25" s="2"/>
      <c r="L25" s="2"/>
      <c r="M25" s="19" t="str">
        <f t="shared" si="0"/>
        <v/>
      </c>
      <c r="N25" s="2"/>
      <c r="O25" s="2"/>
      <c r="P25" s="2"/>
      <c r="Q25" s="2"/>
      <c r="R25" s="2"/>
    </row>
    <row r="26" spans="1:18" ht="15.75" customHeight="1">
      <c r="A26" s="2"/>
      <c r="B26" s="2"/>
      <c r="C26" s="2"/>
      <c r="D26" s="11"/>
      <c r="E26" s="2"/>
      <c r="F26" s="2"/>
      <c r="G26" s="2"/>
      <c r="H26" s="2"/>
      <c r="I26" s="13"/>
      <c r="J26" s="13"/>
      <c r="K26" s="2"/>
      <c r="L26" s="2"/>
      <c r="M26" s="19" t="str">
        <f t="shared" si="0"/>
        <v/>
      </c>
      <c r="N26" s="2"/>
      <c r="O26" s="2"/>
      <c r="P26" s="2"/>
      <c r="Q26" s="2"/>
      <c r="R26" s="2"/>
    </row>
    <row r="27" spans="1:18" ht="15.75" customHeight="1">
      <c r="A27" s="2"/>
      <c r="B27" s="2"/>
      <c r="C27" s="2"/>
      <c r="D27" s="11"/>
      <c r="E27" s="2"/>
      <c r="F27" s="2"/>
      <c r="G27" s="2"/>
      <c r="H27" s="2"/>
      <c r="I27" s="13"/>
      <c r="J27" s="13"/>
      <c r="K27" s="2"/>
      <c r="L27" s="2"/>
      <c r="M27" s="19" t="str">
        <f t="shared" si="0"/>
        <v/>
      </c>
      <c r="N27" s="2"/>
      <c r="O27" s="2"/>
      <c r="P27" s="2"/>
      <c r="Q27" s="2"/>
      <c r="R27" s="2"/>
    </row>
    <row r="28" spans="1:18" ht="15.75" customHeight="1">
      <c r="A28" s="2"/>
      <c r="B28" s="2"/>
      <c r="C28" s="2"/>
      <c r="D28" s="11"/>
      <c r="E28" s="2"/>
      <c r="F28" s="2"/>
      <c r="G28" s="2"/>
      <c r="H28" s="2"/>
      <c r="I28" s="13"/>
      <c r="J28" s="13"/>
      <c r="K28" s="2"/>
      <c r="L28" s="2"/>
      <c r="M28" s="19" t="str">
        <f t="shared" si="0"/>
        <v/>
      </c>
      <c r="N28" s="2"/>
      <c r="O28" s="2"/>
      <c r="P28" s="2"/>
      <c r="Q28" s="2"/>
      <c r="R28" s="2"/>
    </row>
    <row r="29" spans="1:18" ht="15.75" customHeight="1">
      <c r="A29" s="2"/>
      <c r="B29" s="2"/>
      <c r="C29" s="2"/>
      <c r="D29" s="11"/>
      <c r="E29" s="2"/>
      <c r="F29" s="2"/>
      <c r="G29" s="2"/>
      <c r="H29" s="2"/>
      <c r="I29" s="13"/>
      <c r="J29" s="13"/>
      <c r="K29" s="2"/>
      <c r="L29" s="2"/>
      <c r="M29" s="19" t="str">
        <f t="shared" si="0"/>
        <v/>
      </c>
      <c r="N29" s="2"/>
      <c r="O29" s="2"/>
      <c r="P29" s="2"/>
      <c r="Q29" s="2"/>
      <c r="R29" s="2"/>
    </row>
    <row r="30" spans="1:18" ht="15.75" customHeight="1">
      <c r="A30" s="2"/>
      <c r="B30" s="2"/>
      <c r="C30" s="2"/>
      <c r="D30" s="11"/>
      <c r="E30" s="2"/>
      <c r="F30" s="2"/>
      <c r="G30" s="2"/>
      <c r="H30" s="2"/>
      <c r="I30" s="13"/>
      <c r="J30" s="13"/>
      <c r="K30" s="2"/>
      <c r="L30" s="2"/>
      <c r="M30" s="19" t="str">
        <f t="shared" si="0"/>
        <v/>
      </c>
      <c r="N30" s="2"/>
      <c r="O30" s="2"/>
      <c r="P30" s="2"/>
      <c r="Q30" s="2"/>
      <c r="R30" s="2"/>
    </row>
    <row r="31" spans="1:18" ht="15.75" customHeight="1">
      <c r="A31" s="2"/>
      <c r="B31" s="2"/>
      <c r="C31" s="2"/>
      <c r="D31" s="11"/>
      <c r="E31" s="2"/>
      <c r="F31" s="2"/>
      <c r="G31" s="2"/>
      <c r="H31" s="2"/>
      <c r="I31" s="13"/>
      <c r="J31" s="13"/>
      <c r="K31" s="2"/>
      <c r="L31" s="2"/>
      <c r="M31" s="19" t="str">
        <f t="shared" si="0"/>
        <v/>
      </c>
      <c r="N31" s="2"/>
      <c r="O31" s="2"/>
      <c r="P31" s="2"/>
      <c r="Q31" s="2"/>
      <c r="R31" s="2"/>
    </row>
    <row r="32" spans="1:18" ht="15.75" customHeight="1">
      <c r="A32" s="2"/>
      <c r="B32" s="2"/>
      <c r="C32" s="2"/>
      <c r="D32" s="11"/>
      <c r="E32" s="2"/>
      <c r="F32" s="2"/>
      <c r="G32" s="2"/>
      <c r="H32" s="2"/>
      <c r="I32" s="13"/>
      <c r="J32" s="13"/>
      <c r="K32" s="2"/>
      <c r="L32" s="2"/>
      <c r="M32" s="19" t="str">
        <f t="shared" si="0"/>
        <v/>
      </c>
      <c r="N32" s="2"/>
      <c r="O32" s="2"/>
      <c r="P32" s="2"/>
      <c r="Q32" s="2"/>
      <c r="R32" s="2"/>
    </row>
    <row r="33" spans="1:18" ht="15.75" customHeight="1">
      <c r="A33" s="2"/>
      <c r="B33" s="2"/>
      <c r="C33" s="2"/>
      <c r="D33" s="11"/>
      <c r="E33" s="2"/>
      <c r="F33" s="2"/>
      <c r="G33" s="2"/>
      <c r="H33" s="2"/>
      <c r="I33" s="13"/>
      <c r="J33" s="13"/>
      <c r="K33" s="2"/>
      <c r="L33" s="2"/>
      <c r="M33" s="19" t="str">
        <f t="shared" si="0"/>
        <v/>
      </c>
      <c r="N33" s="2"/>
      <c r="O33" s="2"/>
      <c r="P33" s="2"/>
      <c r="Q33" s="2"/>
      <c r="R33" s="2"/>
    </row>
    <row r="34" spans="1:18" ht="15.75" customHeight="1">
      <c r="A34" s="2"/>
      <c r="B34" s="2"/>
      <c r="C34" s="2"/>
      <c r="D34" s="11"/>
      <c r="E34" s="2"/>
      <c r="F34" s="2"/>
      <c r="G34" s="2"/>
      <c r="H34" s="2"/>
      <c r="I34" s="13"/>
      <c r="J34" s="13"/>
      <c r="K34" s="2"/>
      <c r="L34" s="2"/>
      <c r="M34" s="19" t="str">
        <f t="shared" si="0"/>
        <v/>
      </c>
      <c r="N34" s="2"/>
      <c r="O34" s="2"/>
      <c r="P34" s="2"/>
      <c r="Q34" s="2"/>
      <c r="R34" s="2"/>
    </row>
    <row r="35" spans="1:18" ht="15.75" customHeight="1">
      <c r="A35" s="2"/>
      <c r="B35" s="2"/>
      <c r="C35" s="2"/>
      <c r="D35" s="11"/>
      <c r="E35" s="2"/>
      <c r="F35" s="2"/>
      <c r="G35" s="2"/>
      <c r="H35" s="2"/>
      <c r="I35" s="13"/>
      <c r="J35" s="13"/>
      <c r="K35" s="2"/>
      <c r="L35" s="2"/>
      <c r="M35" s="19" t="str">
        <f t="shared" si="0"/>
        <v/>
      </c>
      <c r="N35" s="2"/>
      <c r="O35" s="2"/>
      <c r="P35" s="2"/>
      <c r="Q35" s="2"/>
      <c r="R35" s="2"/>
    </row>
    <row r="36" spans="1:18" ht="15.75" customHeight="1">
      <c r="A36" s="2"/>
      <c r="B36" s="2"/>
      <c r="C36" s="2"/>
      <c r="D36" s="11"/>
      <c r="E36" s="2"/>
      <c r="F36" s="2"/>
      <c r="G36" s="2"/>
      <c r="H36" s="2"/>
      <c r="I36" s="13"/>
      <c r="J36" s="13"/>
      <c r="K36" s="2"/>
      <c r="L36" s="2"/>
      <c r="M36" s="19" t="str">
        <f t="shared" si="0"/>
        <v/>
      </c>
      <c r="N36" s="2"/>
      <c r="O36" s="2"/>
      <c r="P36" s="2"/>
      <c r="Q36" s="2"/>
      <c r="R36" s="2"/>
    </row>
    <row r="37" spans="1:18" ht="15.75" customHeight="1">
      <c r="A37" s="2"/>
      <c r="B37" s="2"/>
      <c r="C37" s="2"/>
      <c r="D37" s="11"/>
      <c r="E37" s="2"/>
      <c r="F37" s="2"/>
      <c r="G37" s="2"/>
      <c r="H37" s="2"/>
      <c r="I37" s="13"/>
      <c r="J37" s="13"/>
      <c r="K37" s="2"/>
      <c r="L37" s="2"/>
      <c r="M37" s="19" t="str">
        <f t="shared" si="0"/>
        <v/>
      </c>
      <c r="N37" s="2"/>
      <c r="O37" s="2"/>
      <c r="P37" s="2"/>
      <c r="Q37" s="2"/>
      <c r="R37" s="2"/>
    </row>
    <row r="38" spans="1:18" ht="15.75" customHeight="1">
      <c r="A38" s="2"/>
      <c r="B38" s="2"/>
      <c r="C38" s="2"/>
      <c r="D38" s="11"/>
      <c r="E38" s="2"/>
      <c r="F38" s="2"/>
      <c r="G38" s="2"/>
      <c r="H38" s="2"/>
      <c r="I38" s="13"/>
      <c r="J38" s="13"/>
      <c r="K38" s="2"/>
      <c r="L38" s="2"/>
      <c r="M38" s="19" t="str">
        <f t="shared" si="0"/>
        <v/>
      </c>
      <c r="N38" s="2"/>
      <c r="O38" s="2"/>
      <c r="P38" s="2"/>
      <c r="Q38" s="2"/>
      <c r="R38" s="2"/>
    </row>
    <row r="39" spans="1:18" ht="15.75" customHeight="1">
      <c r="A39" s="2"/>
      <c r="B39" s="2"/>
      <c r="C39" s="2"/>
      <c r="D39" s="11"/>
      <c r="E39" s="2"/>
      <c r="F39" s="2"/>
      <c r="G39" s="2"/>
      <c r="H39" s="2"/>
      <c r="I39" s="13"/>
      <c r="J39" s="13"/>
      <c r="K39" s="2"/>
      <c r="L39" s="2"/>
      <c r="M39" s="19" t="str">
        <f t="shared" si="0"/>
        <v/>
      </c>
      <c r="N39" s="2"/>
      <c r="O39" s="2"/>
      <c r="P39" s="2"/>
      <c r="Q39" s="2"/>
      <c r="R39" s="2"/>
    </row>
    <row r="40" spans="1:18" ht="15.75" customHeight="1">
      <c r="A40" s="2"/>
      <c r="B40" s="2"/>
      <c r="C40" s="2"/>
      <c r="D40" s="11"/>
      <c r="E40" s="2"/>
      <c r="F40" s="2"/>
      <c r="G40" s="2"/>
      <c r="H40" s="2"/>
      <c r="I40" s="13"/>
      <c r="J40" s="13"/>
      <c r="K40" s="2"/>
      <c r="L40" s="2"/>
      <c r="M40" s="19" t="str">
        <f t="shared" si="0"/>
        <v/>
      </c>
      <c r="N40" s="2"/>
      <c r="O40" s="2"/>
      <c r="P40" s="2"/>
      <c r="Q40" s="2"/>
      <c r="R40" s="2"/>
    </row>
    <row r="41" spans="1:18" ht="15.75" customHeight="1">
      <c r="A41" s="2"/>
      <c r="B41" s="2"/>
      <c r="C41" s="2"/>
      <c r="D41" s="11"/>
      <c r="E41" s="2"/>
      <c r="F41" s="2"/>
      <c r="G41" s="2"/>
      <c r="H41" s="2"/>
      <c r="I41" s="13"/>
      <c r="J41" s="13"/>
      <c r="K41" s="2"/>
      <c r="L41" s="2"/>
      <c r="M41" s="19" t="str">
        <f t="shared" si="0"/>
        <v/>
      </c>
      <c r="N41" s="2"/>
      <c r="O41" s="2"/>
      <c r="P41" s="2"/>
      <c r="Q41" s="2"/>
      <c r="R41" s="2"/>
    </row>
    <row r="42" spans="1:18" ht="15.75" customHeight="1">
      <c r="A42" s="2"/>
      <c r="B42" s="2"/>
      <c r="C42" s="2"/>
      <c r="D42" s="11"/>
      <c r="E42" s="2"/>
      <c r="F42" s="2"/>
      <c r="G42" s="2"/>
      <c r="H42" s="2"/>
      <c r="I42" s="13"/>
      <c r="J42" s="13"/>
      <c r="K42" s="2"/>
      <c r="L42" s="2"/>
      <c r="M42" s="19" t="str">
        <f t="shared" si="0"/>
        <v/>
      </c>
      <c r="N42" s="2"/>
      <c r="O42" s="2"/>
      <c r="P42" s="2"/>
      <c r="Q42" s="2"/>
      <c r="R42" s="2"/>
    </row>
    <row r="43" spans="1:18" ht="15.75" customHeight="1">
      <c r="A43" s="2"/>
      <c r="B43" s="2"/>
      <c r="C43" s="2"/>
      <c r="D43" s="11"/>
      <c r="E43" s="2"/>
      <c r="F43" s="2"/>
      <c r="G43" s="2"/>
      <c r="H43" s="2"/>
      <c r="I43" s="13"/>
      <c r="J43" s="13"/>
      <c r="K43" s="2"/>
      <c r="L43" s="2"/>
      <c r="M43" s="19" t="str">
        <f t="shared" si="0"/>
        <v/>
      </c>
      <c r="N43" s="2"/>
      <c r="O43" s="2"/>
      <c r="P43" s="2"/>
      <c r="Q43" s="2"/>
      <c r="R43" s="2"/>
    </row>
    <row r="44" spans="1:18" ht="15.75" customHeight="1">
      <c r="A44" s="2"/>
      <c r="B44" s="2"/>
      <c r="C44" s="2"/>
      <c r="D44" s="11"/>
      <c r="E44" s="2"/>
      <c r="F44" s="2"/>
      <c r="G44" s="2"/>
      <c r="H44" s="2"/>
      <c r="I44" s="13"/>
      <c r="J44" s="13"/>
      <c r="K44" s="2"/>
      <c r="L44" s="2"/>
      <c r="M44" s="19" t="str">
        <f t="shared" si="0"/>
        <v/>
      </c>
      <c r="N44" s="2"/>
      <c r="O44" s="2"/>
      <c r="P44" s="2"/>
      <c r="Q44" s="2"/>
      <c r="R44" s="2"/>
    </row>
    <row r="45" spans="1:18" ht="15.75" customHeight="1">
      <c r="A45" s="2"/>
      <c r="B45" s="2"/>
      <c r="C45" s="2"/>
      <c r="D45" s="11"/>
      <c r="E45" s="2"/>
      <c r="F45" s="2"/>
      <c r="G45" s="2"/>
      <c r="H45" s="2"/>
      <c r="I45" s="13"/>
      <c r="J45" s="13"/>
      <c r="K45" s="2"/>
      <c r="L45" s="2"/>
      <c r="M45" s="19" t="str">
        <f t="shared" si="0"/>
        <v/>
      </c>
      <c r="N45" s="2"/>
      <c r="O45" s="2"/>
      <c r="P45" s="2"/>
      <c r="Q45" s="2"/>
      <c r="R45" s="2"/>
    </row>
    <row r="46" spans="1:18" ht="15.75" customHeight="1">
      <c r="A46" s="2"/>
      <c r="B46" s="2"/>
      <c r="C46" s="2"/>
      <c r="D46" s="11"/>
      <c r="E46" s="2"/>
      <c r="F46" s="2"/>
      <c r="G46" s="2"/>
      <c r="H46" s="2"/>
      <c r="I46" s="13"/>
      <c r="J46" s="13"/>
      <c r="K46" s="2"/>
      <c r="L46" s="2"/>
      <c r="M46" s="19" t="str">
        <f t="shared" si="0"/>
        <v/>
      </c>
      <c r="N46" s="2"/>
      <c r="O46" s="2"/>
      <c r="P46" s="2"/>
      <c r="Q46" s="2"/>
      <c r="R46" s="2"/>
    </row>
    <row r="47" spans="1:18" ht="15.75" customHeight="1">
      <c r="A47" s="2"/>
      <c r="B47" s="2"/>
      <c r="C47" s="2"/>
      <c r="D47" s="11"/>
      <c r="E47" s="2"/>
      <c r="F47" s="2"/>
      <c r="G47" s="2"/>
      <c r="H47" s="2"/>
      <c r="I47" s="13"/>
      <c r="J47" s="13"/>
      <c r="K47" s="2"/>
      <c r="L47" s="2"/>
      <c r="M47" s="19" t="str">
        <f t="shared" si="0"/>
        <v/>
      </c>
      <c r="N47" s="2"/>
      <c r="O47" s="2"/>
      <c r="P47" s="2"/>
      <c r="Q47" s="2"/>
      <c r="R47" s="2"/>
    </row>
    <row r="48" spans="1:18" ht="15.75" customHeight="1">
      <c r="A48" s="2"/>
      <c r="B48" s="2"/>
      <c r="C48" s="2"/>
      <c r="D48" s="11"/>
      <c r="E48" s="2"/>
      <c r="F48" s="2"/>
      <c r="G48" s="2"/>
      <c r="H48" s="2"/>
      <c r="I48" s="13"/>
      <c r="J48" s="13"/>
      <c r="K48" s="2"/>
      <c r="L48" s="2"/>
      <c r="M48" s="19" t="str">
        <f t="shared" si="0"/>
        <v/>
      </c>
      <c r="N48" s="2"/>
      <c r="O48" s="2"/>
      <c r="P48" s="2"/>
      <c r="Q48" s="2"/>
      <c r="R48" s="2"/>
    </row>
    <row r="49" spans="1:18" ht="15.75" customHeight="1">
      <c r="A49" s="2"/>
      <c r="B49" s="2"/>
      <c r="C49" s="2"/>
      <c r="D49" s="11"/>
      <c r="E49" s="2"/>
      <c r="F49" s="2"/>
      <c r="G49" s="2"/>
      <c r="H49" s="2"/>
      <c r="I49" s="13"/>
      <c r="J49" s="13"/>
      <c r="K49" s="2"/>
      <c r="L49" s="2"/>
      <c r="M49" s="19" t="str">
        <f t="shared" si="0"/>
        <v/>
      </c>
      <c r="N49" s="2"/>
      <c r="O49" s="2"/>
      <c r="P49" s="2"/>
      <c r="Q49" s="2"/>
      <c r="R49" s="2"/>
    </row>
    <row r="50" spans="1:18" ht="15.75" customHeight="1">
      <c r="A50" s="2"/>
      <c r="B50" s="2"/>
      <c r="C50" s="2"/>
      <c r="D50" s="11"/>
      <c r="E50" s="2"/>
      <c r="F50" s="2"/>
      <c r="G50" s="2"/>
      <c r="H50" s="2"/>
      <c r="I50" s="13"/>
      <c r="J50" s="13"/>
      <c r="K50" s="2"/>
      <c r="L50" s="2"/>
      <c r="M50" s="19" t="str">
        <f t="shared" si="0"/>
        <v/>
      </c>
      <c r="N50" s="2"/>
      <c r="O50" s="2"/>
      <c r="P50" s="2"/>
      <c r="Q50" s="2"/>
      <c r="R50" s="2"/>
    </row>
    <row r="51" spans="1:18" ht="15.75" customHeight="1">
      <c r="A51" s="2"/>
      <c r="B51" s="2"/>
      <c r="C51" s="2"/>
      <c r="D51" s="11"/>
      <c r="E51" s="2"/>
      <c r="F51" s="2"/>
      <c r="G51" s="2"/>
      <c r="H51" s="2"/>
      <c r="I51" s="13"/>
      <c r="J51" s="13"/>
      <c r="K51" s="2"/>
      <c r="L51" s="2"/>
      <c r="M51" s="19" t="str">
        <f t="shared" si="0"/>
        <v/>
      </c>
      <c r="N51" s="2"/>
      <c r="O51" s="2"/>
      <c r="P51" s="2"/>
      <c r="Q51" s="2"/>
      <c r="R51" s="2"/>
    </row>
    <row r="52" spans="1:18" ht="15.75" customHeight="1">
      <c r="A52" s="2"/>
      <c r="B52" s="2"/>
      <c r="C52" s="2"/>
      <c r="D52" s="11"/>
      <c r="E52" s="2"/>
      <c r="F52" s="2"/>
      <c r="G52" s="2"/>
      <c r="H52" s="2"/>
      <c r="I52" s="13"/>
      <c r="J52" s="13"/>
      <c r="K52" s="2"/>
      <c r="L52" s="2"/>
      <c r="M52" s="19" t="str">
        <f t="shared" si="0"/>
        <v/>
      </c>
      <c r="N52" s="2"/>
      <c r="O52" s="2"/>
      <c r="P52" s="2"/>
      <c r="Q52" s="2"/>
      <c r="R52" s="2"/>
    </row>
    <row r="53" spans="1:18" ht="15.75" customHeight="1">
      <c r="A53" s="2"/>
      <c r="B53" s="2"/>
      <c r="C53" s="2"/>
      <c r="D53" s="11"/>
      <c r="E53" s="2"/>
      <c r="F53" s="2"/>
      <c r="G53" s="2"/>
      <c r="H53" s="2"/>
      <c r="I53" s="13"/>
      <c r="J53" s="13"/>
      <c r="K53" s="2"/>
      <c r="L53" s="2"/>
      <c r="M53" s="19" t="str">
        <f t="shared" si="0"/>
        <v/>
      </c>
      <c r="N53" s="2"/>
      <c r="O53" s="2"/>
      <c r="P53" s="2"/>
      <c r="Q53" s="2"/>
      <c r="R53" s="2"/>
    </row>
    <row r="54" spans="1:18" ht="15.75" customHeight="1">
      <c r="A54" s="2"/>
      <c r="B54" s="2"/>
      <c r="C54" s="2"/>
      <c r="D54" s="11"/>
      <c r="E54" s="2"/>
      <c r="F54" s="2"/>
      <c r="G54" s="2"/>
      <c r="H54" s="2"/>
      <c r="I54" s="13"/>
      <c r="J54" s="13"/>
      <c r="K54" s="2"/>
      <c r="L54" s="2"/>
      <c r="M54" s="19" t="str">
        <f t="shared" si="0"/>
        <v/>
      </c>
      <c r="N54" s="2"/>
      <c r="O54" s="2"/>
      <c r="P54" s="2"/>
      <c r="Q54" s="2"/>
      <c r="R54" s="2"/>
    </row>
    <row r="55" spans="1:18" ht="15.75" customHeight="1">
      <c r="A55" s="2"/>
      <c r="B55" s="2"/>
      <c r="C55" s="2"/>
      <c r="D55" s="11"/>
      <c r="E55" s="2"/>
      <c r="F55" s="2"/>
      <c r="G55" s="2"/>
      <c r="H55" s="2"/>
      <c r="I55" s="13"/>
      <c r="J55" s="13"/>
      <c r="K55" s="2"/>
      <c r="L55" s="2"/>
      <c r="M55" s="19" t="str">
        <f t="shared" si="0"/>
        <v/>
      </c>
      <c r="N55" s="2"/>
      <c r="O55" s="2"/>
      <c r="P55" s="2"/>
      <c r="Q55" s="2"/>
      <c r="R55" s="2"/>
    </row>
    <row r="56" spans="1:18" ht="15.75" customHeight="1">
      <c r="A56" s="2"/>
      <c r="B56" s="2"/>
      <c r="C56" s="2"/>
      <c r="D56" s="11"/>
      <c r="E56" s="2"/>
      <c r="F56" s="2"/>
      <c r="G56" s="2"/>
      <c r="H56" s="2"/>
      <c r="I56" s="13"/>
      <c r="J56" s="13"/>
      <c r="K56" s="2"/>
      <c r="L56" s="2"/>
      <c r="M56" s="19" t="str">
        <f t="shared" si="0"/>
        <v/>
      </c>
      <c r="N56" s="2"/>
      <c r="O56" s="2"/>
      <c r="P56" s="2"/>
      <c r="Q56" s="2"/>
      <c r="R56" s="2"/>
    </row>
    <row r="57" spans="1:18" ht="15.75" customHeight="1">
      <c r="A57" s="2"/>
      <c r="B57" s="2"/>
      <c r="C57" s="2"/>
      <c r="D57" s="11"/>
      <c r="E57" s="2"/>
      <c r="F57" s="2"/>
      <c r="G57" s="2"/>
      <c r="H57" s="2"/>
      <c r="I57" s="13"/>
      <c r="J57" s="13"/>
      <c r="K57" s="2"/>
      <c r="L57" s="2"/>
      <c r="M57" s="19" t="str">
        <f t="shared" si="0"/>
        <v/>
      </c>
      <c r="N57" s="2"/>
      <c r="O57" s="2"/>
      <c r="P57" s="2"/>
      <c r="Q57" s="2"/>
      <c r="R57" s="2"/>
    </row>
    <row r="58" spans="1:18" ht="15.75" customHeight="1">
      <c r="A58" s="2"/>
      <c r="B58" s="2"/>
      <c r="C58" s="2"/>
      <c r="D58" s="11"/>
      <c r="E58" s="2"/>
      <c r="F58" s="2"/>
      <c r="G58" s="2"/>
      <c r="H58" s="2"/>
      <c r="I58" s="13"/>
      <c r="J58" s="13"/>
      <c r="K58" s="2"/>
      <c r="L58" s="2"/>
      <c r="M58" s="19" t="str">
        <f t="shared" si="0"/>
        <v/>
      </c>
      <c r="N58" s="2"/>
      <c r="O58" s="2"/>
      <c r="P58" s="2"/>
      <c r="Q58" s="2"/>
      <c r="R58" s="2"/>
    </row>
    <row r="59" spans="1:18" ht="15.75" customHeight="1">
      <c r="A59" s="2"/>
      <c r="B59" s="2"/>
      <c r="C59" s="2"/>
      <c r="D59" s="11"/>
      <c r="E59" s="2"/>
      <c r="F59" s="2"/>
      <c r="G59" s="2"/>
      <c r="H59" s="2"/>
      <c r="I59" s="13"/>
      <c r="J59" s="13"/>
      <c r="K59" s="2"/>
      <c r="L59" s="2"/>
      <c r="M59" s="19" t="str">
        <f t="shared" si="0"/>
        <v/>
      </c>
      <c r="N59" s="2"/>
      <c r="O59" s="2"/>
      <c r="P59" s="2"/>
      <c r="Q59" s="2"/>
      <c r="R59" s="2"/>
    </row>
    <row r="60" spans="1:18" ht="15.75" customHeight="1">
      <c r="A60" s="2"/>
      <c r="B60" s="2"/>
      <c r="C60" s="2"/>
      <c r="D60" s="11"/>
      <c r="E60" s="2"/>
      <c r="F60" s="2"/>
      <c r="G60" s="2"/>
      <c r="H60" s="2"/>
      <c r="I60" s="13"/>
      <c r="J60" s="13"/>
      <c r="K60" s="2"/>
      <c r="L60" s="2"/>
      <c r="M60" s="19" t="str">
        <f t="shared" si="0"/>
        <v/>
      </c>
      <c r="N60" s="2"/>
      <c r="O60" s="2"/>
      <c r="P60" s="2"/>
      <c r="Q60" s="2"/>
      <c r="R60" s="2"/>
    </row>
    <row r="61" spans="1:18" ht="15.75" customHeight="1">
      <c r="A61" s="2"/>
      <c r="B61" s="2"/>
      <c r="C61" s="2"/>
      <c r="D61" s="11"/>
      <c r="E61" s="2"/>
      <c r="F61" s="2"/>
      <c r="G61" s="2"/>
      <c r="H61" s="2"/>
      <c r="I61" s="13"/>
      <c r="J61" s="13"/>
      <c r="K61" s="2"/>
      <c r="L61" s="2"/>
      <c r="M61" s="19" t="str">
        <f t="shared" si="0"/>
        <v/>
      </c>
      <c r="N61" s="2"/>
      <c r="O61" s="2"/>
      <c r="P61" s="2"/>
      <c r="Q61" s="2"/>
      <c r="R61" s="2"/>
    </row>
    <row r="62" spans="1:18" ht="15.75" customHeight="1">
      <c r="A62" s="2"/>
      <c r="B62" s="2"/>
      <c r="C62" s="2"/>
      <c r="D62" s="11"/>
      <c r="E62" s="2"/>
      <c r="F62" s="2"/>
      <c r="G62" s="2"/>
      <c r="H62" s="2"/>
      <c r="I62" s="13"/>
      <c r="J62" s="13"/>
      <c r="K62" s="2"/>
      <c r="L62" s="2"/>
      <c r="M62" s="19" t="str">
        <f t="shared" si="0"/>
        <v/>
      </c>
      <c r="N62" s="2"/>
      <c r="O62" s="2"/>
      <c r="P62" s="2"/>
      <c r="Q62" s="2"/>
      <c r="R62" s="2"/>
    </row>
    <row r="63" spans="1:18" ht="15.75" customHeight="1">
      <c r="A63" s="2"/>
      <c r="B63" s="2"/>
      <c r="C63" s="2"/>
      <c r="D63" s="11"/>
      <c r="E63" s="2"/>
      <c r="F63" s="2"/>
      <c r="G63" s="2"/>
      <c r="H63" s="2"/>
      <c r="I63" s="13"/>
      <c r="J63" s="13"/>
      <c r="K63" s="2"/>
      <c r="L63" s="2"/>
      <c r="M63" s="19" t="str">
        <f t="shared" si="0"/>
        <v/>
      </c>
      <c r="N63" s="2"/>
      <c r="O63" s="2"/>
      <c r="P63" s="2"/>
      <c r="Q63" s="2"/>
      <c r="R63" s="2"/>
    </row>
    <row r="64" spans="1:18" ht="15.75" customHeight="1">
      <c r="A64" s="2"/>
      <c r="B64" s="2"/>
      <c r="C64" s="2"/>
      <c r="D64" s="11"/>
      <c r="E64" s="2"/>
      <c r="F64" s="2"/>
      <c r="G64" s="2"/>
      <c r="H64" s="2"/>
      <c r="I64" s="13"/>
      <c r="J64" s="13"/>
      <c r="K64" s="2"/>
      <c r="L64" s="2"/>
      <c r="M64" s="19" t="str">
        <f t="shared" si="0"/>
        <v/>
      </c>
      <c r="N64" s="2"/>
      <c r="O64" s="2"/>
      <c r="P64" s="2"/>
      <c r="Q64" s="2"/>
      <c r="R64" s="2"/>
    </row>
    <row r="65" spans="1:18" ht="15.75" customHeight="1">
      <c r="A65" s="2"/>
      <c r="B65" s="2"/>
      <c r="C65" s="2"/>
      <c r="D65" s="11"/>
      <c r="E65" s="2"/>
      <c r="F65" s="2"/>
      <c r="G65" s="2"/>
      <c r="H65" s="2"/>
      <c r="I65" s="13"/>
      <c r="J65" s="13"/>
      <c r="K65" s="2"/>
      <c r="L65" s="2"/>
      <c r="M65" s="19" t="str">
        <f t="shared" si="0"/>
        <v/>
      </c>
      <c r="N65" s="2"/>
      <c r="O65" s="2"/>
      <c r="P65" s="2"/>
      <c r="Q65" s="2"/>
      <c r="R65" s="2"/>
    </row>
    <row r="66" spans="1:18" ht="15.75" customHeight="1">
      <c r="A66" s="2"/>
      <c r="B66" s="2"/>
      <c r="C66" s="2"/>
      <c r="D66" s="11"/>
      <c r="E66" s="2"/>
      <c r="F66" s="2"/>
      <c r="G66" s="2"/>
      <c r="H66" s="2"/>
      <c r="I66" s="13"/>
      <c r="J66" s="13"/>
      <c r="K66" s="2"/>
      <c r="L66" s="2"/>
      <c r="M66" s="19" t="str">
        <f t="shared" si="0"/>
        <v/>
      </c>
      <c r="N66" s="2"/>
      <c r="O66" s="2"/>
      <c r="P66" s="2"/>
      <c r="Q66" s="2"/>
      <c r="R66" s="2"/>
    </row>
    <row r="67" spans="1:18" ht="15.75" customHeight="1">
      <c r="A67" s="2"/>
      <c r="B67" s="2"/>
      <c r="C67" s="2"/>
      <c r="D67" s="11"/>
      <c r="E67" s="2"/>
      <c r="F67" s="2"/>
      <c r="G67" s="2"/>
      <c r="H67" s="2"/>
      <c r="I67" s="13"/>
      <c r="J67" s="13"/>
      <c r="K67" s="2"/>
      <c r="L67" s="2"/>
      <c r="M67" s="19" t="str">
        <f t="shared" si="0"/>
        <v/>
      </c>
      <c r="N67" s="2"/>
      <c r="O67" s="2"/>
      <c r="P67" s="2"/>
      <c r="Q67" s="2"/>
      <c r="R67" s="2"/>
    </row>
    <row r="68" spans="1:18" ht="15.75" customHeight="1">
      <c r="A68" s="2"/>
      <c r="B68" s="2"/>
      <c r="C68" s="2"/>
      <c r="D68" s="11"/>
      <c r="E68" s="2"/>
      <c r="F68" s="2"/>
      <c r="G68" s="2"/>
      <c r="H68" s="2"/>
      <c r="I68" s="13"/>
      <c r="J68" s="13"/>
      <c r="K68" s="2"/>
      <c r="L68" s="2"/>
      <c r="M68" s="19" t="str">
        <f t="shared" si="0"/>
        <v/>
      </c>
      <c r="N68" s="2"/>
      <c r="O68" s="2"/>
      <c r="P68" s="2"/>
      <c r="Q68" s="2"/>
      <c r="R68" s="2"/>
    </row>
    <row r="69" spans="1:18" ht="15.75" customHeight="1">
      <c r="A69" s="2"/>
      <c r="B69" s="2"/>
      <c r="C69" s="2"/>
      <c r="D69" s="11"/>
      <c r="E69" s="2"/>
      <c r="F69" s="2"/>
      <c r="G69" s="2"/>
      <c r="H69" s="2"/>
      <c r="I69" s="13"/>
      <c r="J69" s="13"/>
      <c r="K69" s="2"/>
      <c r="L69" s="2"/>
      <c r="M69" s="19" t="str">
        <f t="shared" si="0"/>
        <v/>
      </c>
      <c r="N69" s="2"/>
      <c r="O69" s="2"/>
      <c r="P69" s="2"/>
      <c r="Q69" s="2"/>
      <c r="R69" s="2"/>
    </row>
    <row r="70" spans="1:18" ht="15.75" customHeight="1">
      <c r="A70" s="2"/>
      <c r="B70" s="2"/>
      <c r="C70" s="2"/>
      <c r="D70" s="11"/>
      <c r="E70" s="2"/>
      <c r="F70" s="2"/>
      <c r="G70" s="2"/>
      <c r="H70" s="2"/>
      <c r="I70" s="13"/>
      <c r="J70" s="13"/>
      <c r="K70" s="2"/>
      <c r="L70" s="2"/>
      <c r="M70" s="19" t="str">
        <f t="shared" si="0"/>
        <v/>
      </c>
      <c r="N70" s="2"/>
      <c r="O70" s="2"/>
      <c r="P70" s="2"/>
      <c r="Q70" s="2"/>
      <c r="R70" s="2"/>
    </row>
    <row r="71" spans="1:18" ht="15.75" customHeight="1">
      <c r="A71" s="2"/>
      <c r="B71" s="2"/>
      <c r="C71" s="2"/>
      <c r="D71" s="11"/>
      <c r="E71" s="2"/>
      <c r="F71" s="2"/>
      <c r="G71" s="2"/>
      <c r="H71" s="2"/>
      <c r="I71" s="13"/>
      <c r="J71" s="13"/>
      <c r="K71" s="2"/>
      <c r="L71" s="2"/>
      <c r="M71" s="19" t="str">
        <f t="shared" si="0"/>
        <v/>
      </c>
      <c r="N71" s="2"/>
      <c r="O71" s="2"/>
      <c r="P71" s="2"/>
      <c r="Q71" s="2"/>
      <c r="R71" s="2"/>
    </row>
    <row r="72" spans="1:18" ht="15.75" customHeight="1">
      <c r="A72" s="2"/>
      <c r="B72" s="2"/>
      <c r="C72" s="2"/>
      <c r="D72" s="11"/>
      <c r="E72" s="2"/>
      <c r="F72" s="2"/>
      <c r="G72" s="2"/>
      <c r="H72" s="2"/>
      <c r="I72" s="13"/>
      <c r="J72" s="13"/>
      <c r="K72" s="2"/>
      <c r="L72" s="2"/>
      <c r="M72" s="19" t="str">
        <f t="shared" si="0"/>
        <v/>
      </c>
      <c r="N72" s="2"/>
      <c r="O72" s="2"/>
      <c r="P72" s="2"/>
      <c r="Q72" s="2"/>
      <c r="R72" s="2"/>
    </row>
    <row r="73" spans="1:18" ht="15.75" customHeight="1">
      <c r="A73" s="2"/>
      <c r="B73" s="2"/>
      <c r="C73" s="2"/>
      <c r="D73" s="11"/>
      <c r="E73" s="2"/>
      <c r="F73" s="2"/>
      <c r="G73" s="2"/>
      <c r="H73" s="2"/>
      <c r="I73" s="13"/>
      <c r="J73" s="13"/>
      <c r="K73" s="2"/>
      <c r="L73" s="2"/>
      <c r="M73" s="19" t="str">
        <f t="shared" si="0"/>
        <v/>
      </c>
      <c r="N73" s="2"/>
      <c r="O73" s="2"/>
      <c r="P73" s="2"/>
      <c r="Q73" s="2"/>
      <c r="R73" s="2"/>
    </row>
    <row r="74" spans="1:18" ht="15.75" customHeight="1">
      <c r="A74" s="2"/>
      <c r="B74" s="2"/>
      <c r="C74" s="2"/>
      <c r="D74" s="11"/>
      <c r="E74" s="2"/>
      <c r="F74" s="2"/>
      <c r="G74" s="2"/>
      <c r="H74" s="2"/>
      <c r="I74" s="13"/>
      <c r="J74" s="13"/>
      <c r="K74" s="2"/>
      <c r="L74" s="2"/>
      <c r="M74" s="19" t="str">
        <f t="shared" si="0"/>
        <v/>
      </c>
      <c r="N74" s="2"/>
      <c r="O74" s="2"/>
      <c r="P74" s="2"/>
      <c r="Q74" s="2"/>
      <c r="R74" s="2"/>
    </row>
    <row r="75" spans="1:18" ht="15.75" customHeight="1">
      <c r="A75" s="2"/>
      <c r="B75" s="2"/>
      <c r="C75" s="2"/>
      <c r="D75" s="11"/>
      <c r="E75" s="2"/>
      <c r="F75" s="2"/>
      <c r="G75" s="2"/>
      <c r="H75" s="2"/>
      <c r="I75" s="13"/>
      <c r="J75" s="13"/>
      <c r="K75" s="2"/>
      <c r="L75" s="2"/>
      <c r="M75" s="19" t="str">
        <f t="shared" si="0"/>
        <v/>
      </c>
      <c r="N75" s="2"/>
      <c r="O75" s="2"/>
      <c r="P75" s="2"/>
      <c r="Q75" s="2"/>
      <c r="R75" s="2"/>
    </row>
    <row r="76" spans="1:18" ht="15.75" customHeight="1">
      <c r="A76" s="2"/>
      <c r="B76" s="2"/>
      <c r="C76" s="2"/>
      <c r="D76" s="11"/>
      <c r="E76" s="2"/>
      <c r="F76" s="2"/>
      <c r="G76" s="2"/>
      <c r="H76" s="2"/>
      <c r="I76" s="13"/>
      <c r="J76" s="13"/>
      <c r="K76" s="2"/>
      <c r="L76" s="2"/>
      <c r="M76" s="19" t="str">
        <f t="shared" si="0"/>
        <v/>
      </c>
      <c r="N76" s="2"/>
      <c r="O76" s="2"/>
      <c r="P76" s="2"/>
      <c r="Q76" s="2"/>
      <c r="R76" s="2"/>
    </row>
    <row r="77" spans="1:18" ht="15.75" customHeight="1">
      <c r="A77" s="2"/>
      <c r="B77" s="2"/>
      <c r="C77" s="2"/>
      <c r="D77" s="11"/>
      <c r="E77" s="2"/>
      <c r="F77" s="2"/>
      <c r="G77" s="2"/>
      <c r="H77" s="2"/>
      <c r="I77" s="13"/>
      <c r="J77" s="13"/>
      <c r="K77" s="2"/>
      <c r="L77" s="2"/>
      <c r="M77" s="19" t="str">
        <f t="shared" si="0"/>
        <v/>
      </c>
      <c r="N77" s="2"/>
      <c r="O77" s="2"/>
      <c r="P77" s="2"/>
      <c r="Q77" s="2"/>
      <c r="R77" s="2"/>
    </row>
    <row r="78" spans="1:18" ht="15.75" customHeight="1">
      <c r="A78" s="2"/>
      <c r="B78" s="2"/>
      <c r="C78" s="2"/>
      <c r="D78" s="11"/>
      <c r="E78" s="2"/>
      <c r="F78" s="2"/>
      <c r="G78" s="2"/>
      <c r="H78" s="2"/>
      <c r="I78" s="13"/>
      <c r="J78" s="13"/>
      <c r="K78" s="2"/>
      <c r="L78" s="2"/>
      <c r="M78" s="19" t="str">
        <f t="shared" si="0"/>
        <v/>
      </c>
      <c r="N78" s="2"/>
      <c r="O78" s="2"/>
      <c r="P78" s="2"/>
      <c r="Q78" s="2"/>
      <c r="R78" s="2"/>
    </row>
    <row r="79" spans="1:18" ht="15.75" customHeight="1">
      <c r="A79" s="2"/>
      <c r="B79" s="2"/>
      <c r="C79" s="2"/>
      <c r="D79" s="11"/>
      <c r="E79" s="2"/>
      <c r="F79" s="2"/>
      <c r="G79" s="2"/>
      <c r="H79" s="2"/>
      <c r="I79" s="13"/>
      <c r="J79" s="13"/>
      <c r="K79" s="2"/>
      <c r="L79" s="2"/>
      <c r="M79" s="19" t="str">
        <f t="shared" si="0"/>
        <v/>
      </c>
      <c r="N79" s="2"/>
      <c r="O79" s="2"/>
      <c r="P79" s="2"/>
      <c r="Q79" s="2"/>
      <c r="R79" s="2"/>
    </row>
    <row r="80" spans="1:18" ht="15.75" customHeight="1">
      <c r="A80" s="2"/>
      <c r="B80" s="2"/>
      <c r="C80" s="2"/>
      <c r="D80" s="11"/>
      <c r="E80" s="2"/>
      <c r="F80" s="2"/>
      <c r="G80" s="2"/>
      <c r="H80" s="2"/>
      <c r="I80" s="13"/>
      <c r="J80" s="13"/>
      <c r="K80" s="2"/>
      <c r="L80" s="2"/>
      <c r="M80" s="19" t="str">
        <f t="shared" si="0"/>
        <v/>
      </c>
      <c r="N80" s="2"/>
      <c r="O80" s="2"/>
      <c r="P80" s="2"/>
      <c r="Q80" s="2"/>
      <c r="R80" s="2"/>
    </row>
    <row r="81" spans="1:18" ht="15.75" customHeight="1">
      <c r="A81" s="2"/>
      <c r="B81" s="2"/>
      <c r="C81" s="2"/>
      <c r="D81" s="11"/>
      <c r="E81" s="2"/>
      <c r="F81" s="2"/>
      <c r="G81" s="2"/>
      <c r="H81" s="2"/>
      <c r="I81" s="13"/>
      <c r="J81" s="13"/>
      <c r="K81" s="2"/>
      <c r="L81" s="2"/>
      <c r="M81" s="19" t="str">
        <f t="shared" si="0"/>
        <v/>
      </c>
      <c r="N81" s="2"/>
      <c r="O81" s="2"/>
      <c r="P81" s="2"/>
      <c r="Q81" s="2"/>
      <c r="R81" s="2"/>
    </row>
    <row r="82" spans="1:18" ht="15.75" customHeight="1">
      <c r="A82" s="2"/>
      <c r="B82" s="2"/>
      <c r="C82" s="2"/>
      <c r="D82" s="11"/>
      <c r="E82" s="2"/>
      <c r="F82" s="2"/>
      <c r="G82" s="2"/>
      <c r="H82" s="2"/>
      <c r="I82" s="13"/>
      <c r="J82" s="13"/>
      <c r="K82" s="2"/>
      <c r="L82" s="2"/>
      <c r="M82" s="19" t="str">
        <f t="shared" si="0"/>
        <v/>
      </c>
      <c r="N82" s="2"/>
      <c r="O82" s="2"/>
      <c r="P82" s="2"/>
      <c r="Q82" s="2"/>
      <c r="R82" s="2"/>
    </row>
    <row r="83" spans="1:18" ht="15.75" customHeight="1">
      <c r="A83" s="2"/>
      <c r="B83" s="2"/>
      <c r="C83" s="2"/>
      <c r="D83" s="11"/>
      <c r="E83" s="2"/>
      <c r="F83" s="2"/>
      <c r="G83" s="2"/>
      <c r="H83" s="2"/>
      <c r="I83" s="13"/>
      <c r="J83" s="13"/>
      <c r="K83" s="2"/>
      <c r="L83" s="2"/>
      <c r="M83" s="19" t="str">
        <f t="shared" si="0"/>
        <v/>
      </c>
      <c r="N83" s="2"/>
      <c r="O83" s="2"/>
      <c r="P83" s="2"/>
      <c r="Q83" s="2"/>
      <c r="R83" s="2"/>
    </row>
    <row r="84" spans="1:18" ht="15.75" customHeight="1">
      <c r="A84" s="2"/>
      <c r="B84" s="2"/>
      <c r="C84" s="2"/>
      <c r="D84" s="11"/>
      <c r="E84" s="2"/>
      <c r="F84" s="2"/>
      <c r="G84" s="2"/>
      <c r="H84" s="2"/>
      <c r="I84" s="13"/>
      <c r="J84" s="13"/>
      <c r="K84" s="2"/>
      <c r="L84" s="2"/>
      <c r="M84" s="19" t="str">
        <f t="shared" si="0"/>
        <v/>
      </c>
      <c r="N84" s="2"/>
      <c r="O84" s="2"/>
      <c r="P84" s="2"/>
      <c r="Q84" s="2"/>
      <c r="R84" s="2"/>
    </row>
    <row r="85" spans="1:18" ht="15.75" customHeight="1">
      <c r="A85" s="2"/>
      <c r="B85" s="2"/>
      <c r="C85" s="2"/>
      <c r="D85" s="11"/>
      <c r="E85" s="2"/>
      <c r="F85" s="2"/>
      <c r="G85" s="2"/>
      <c r="H85" s="2"/>
      <c r="I85" s="13"/>
      <c r="J85" s="13"/>
      <c r="K85" s="2"/>
      <c r="L85" s="2"/>
      <c r="M85" s="19" t="str">
        <f t="shared" si="0"/>
        <v/>
      </c>
      <c r="N85" s="2"/>
      <c r="O85" s="2"/>
      <c r="P85" s="2"/>
      <c r="Q85" s="2"/>
      <c r="R85" s="2"/>
    </row>
    <row r="86" spans="1:18" ht="15.75" customHeight="1">
      <c r="A86" s="2"/>
      <c r="B86" s="2"/>
      <c r="C86" s="2"/>
      <c r="D86" s="11"/>
      <c r="E86" s="2"/>
      <c r="F86" s="2"/>
      <c r="G86" s="2"/>
      <c r="H86" s="2"/>
      <c r="I86" s="13"/>
      <c r="J86" s="13"/>
      <c r="K86" s="2"/>
      <c r="L86" s="2"/>
      <c r="M86" s="19" t="str">
        <f t="shared" si="0"/>
        <v/>
      </c>
      <c r="N86" s="2"/>
      <c r="O86" s="2"/>
      <c r="P86" s="2"/>
      <c r="Q86" s="2"/>
      <c r="R86" s="2"/>
    </row>
    <row r="87" spans="1:18" ht="15.75" customHeight="1">
      <c r="A87" s="2"/>
      <c r="B87" s="2"/>
      <c r="C87" s="2"/>
      <c r="D87" s="11"/>
      <c r="E87" s="2"/>
      <c r="F87" s="2"/>
      <c r="G87" s="2"/>
      <c r="H87" s="2"/>
      <c r="I87" s="13"/>
      <c r="J87" s="13"/>
      <c r="K87" s="2"/>
      <c r="L87" s="2"/>
      <c r="M87" s="19" t="str">
        <f t="shared" si="0"/>
        <v/>
      </c>
      <c r="N87" s="2"/>
      <c r="O87" s="2"/>
      <c r="P87" s="2"/>
      <c r="Q87" s="2"/>
      <c r="R87" s="2"/>
    </row>
    <row r="88" spans="1:18" ht="15.75" customHeight="1">
      <c r="A88" s="2"/>
      <c r="B88" s="2"/>
      <c r="C88" s="2"/>
      <c r="D88" s="11"/>
      <c r="E88" s="2"/>
      <c r="F88" s="2"/>
      <c r="G88" s="2"/>
      <c r="H88" s="2"/>
      <c r="I88" s="13"/>
      <c r="J88" s="13"/>
      <c r="K88" s="2"/>
      <c r="L88" s="2"/>
      <c r="M88" s="19" t="str">
        <f t="shared" si="0"/>
        <v/>
      </c>
      <c r="N88" s="2"/>
      <c r="O88" s="2"/>
      <c r="P88" s="2"/>
      <c r="Q88" s="2"/>
      <c r="R88" s="2"/>
    </row>
    <row r="89" spans="1:18" ht="15.75" customHeight="1">
      <c r="A89" s="2"/>
      <c r="B89" s="2"/>
      <c r="C89" s="2"/>
      <c r="D89" s="11"/>
      <c r="E89" s="2"/>
      <c r="F89" s="2"/>
      <c r="G89" s="2"/>
      <c r="H89" s="2"/>
      <c r="I89" s="13"/>
      <c r="J89" s="13"/>
      <c r="K89" s="2"/>
      <c r="L89" s="2"/>
      <c r="M89" s="19" t="str">
        <f t="shared" si="0"/>
        <v/>
      </c>
      <c r="N89" s="2"/>
      <c r="O89" s="2"/>
      <c r="P89" s="2"/>
      <c r="Q89" s="2"/>
      <c r="R89" s="2"/>
    </row>
    <row r="90" spans="1:18" ht="15.75" customHeight="1">
      <c r="A90" s="2"/>
      <c r="B90" s="2"/>
      <c r="C90" s="2"/>
      <c r="D90" s="11"/>
      <c r="E90" s="2"/>
      <c r="F90" s="2"/>
      <c r="G90" s="2"/>
      <c r="H90" s="2"/>
      <c r="I90" s="13"/>
      <c r="J90" s="13"/>
      <c r="K90" s="2"/>
      <c r="L90" s="2"/>
      <c r="M90" s="19" t="str">
        <f t="shared" si="0"/>
        <v/>
      </c>
      <c r="N90" s="2"/>
      <c r="O90" s="2"/>
      <c r="P90" s="2"/>
      <c r="Q90" s="2"/>
      <c r="R90" s="2"/>
    </row>
    <row r="91" spans="1:18" ht="15.75" customHeight="1">
      <c r="A91" s="2"/>
      <c r="B91" s="2"/>
      <c r="C91" s="2"/>
      <c r="D91" s="11"/>
      <c r="E91" s="2"/>
      <c r="F91" s="2"/>
      <c r="G91" s="2"/>
      <c r="H91" s="2"/>
      <c r="I91" s="13"/>
      <c r="J91" s="13"/>
      <c r="K91" s="2"/>
      <c r="L91" s="2"/>
      <c r="M91" s="19" t="str">
        <f t="shared" si="0"/>
        <v/>
      </c>
      <c r="N91" s="2"/>
      <c r="O91" s="2"/>
      <c r="P91" s="2"/>
      <c r="Q91" s="2"/>
      <c r="R91" s="2"/>
    </row>
    <row r="92" spans="1:18" ht="15.75" customHeight="1">
      <c r="A92" s="2"/>
      <c r="B92" s="2"/>
      <c r="C92" s="2"/>
      <c r="D92" s="11"/>
      <c r="E92" s="2"/>
      <c r="F92" s="2"/>
      <c r="G92" s="2"/>
      <c r="H92" s="2"/>
      <c r="I92" s="13"/>
      <c r="J92" s="13"/>
      <c r="K92" s="2"/>
      <c r="L92" s="2"/>
      <c r="M92" s="19" t="str">
        <f t="shared" si="0"/>
        <v/>
      </c>
      <c r="N92" s="2"/>
      <c r="O92" s="2"/>
      <c r="P92" s="2"/>
      <c r="Q92" s="2"/>
      <c r="R92" s="2"/>
    </row>
    <row r="93" spans="1:18" ht="15.75" customHeight="1">
      <c r="A93" s="2"/>
      <c r="B93" s="2"/>
      <c r="C93" s="2"/>
      <c r="D93" s="11"/>
      <c r="E93" s="2"/>
      <c r="F93" s="2"/>
      <c r="G93" s="2"/>
      <c r="H93" s="2"/>
      <c r="I93" s="13"/>
      <c r="J93" s="13"/>
      <c r="K93" s="2"/>
      <c r="L93" s="2"/>
      <c r="M93" s="19" t="str">
        <f t="shared" si="0"/>
        <v/>
      </c>
      <c r="N93" s="2"/>
      <c r="O93" s="2"/>
      <c r="P93" s="2"/>
      <c r="Q93" s="2"/>
      <c r="R93" s="2"/>
    </row>
    <row r="94" spans="1:18" ht="15.75" customHeight="1">
      <c r="A94" s="2"/>
      <c r="B94" s="2"/>
      <c r="C94" s="2"/>
      <c r="D94" s="11"/>
      <c r="E94" s="2"/>
      <c r="F94" s="2"/>
      <c r="G94" s="2"/>
      <c r="H94" s="2"/>
      <c r="I94" s="13"/>
      <c r="J94" s="13"/>
      <c r="K94" s="2"/>
      <c r="L94" s="2"/>
      <c r="M94" s="19" t="str">
        <f t="shared" si="0"/>
        <v/>
      </c>
      <c r="N94" s="2"/>
      <c r="O94" s="2"/>
      <c r="P94" s="2"/>
      <c r="Q94" s="2"/>
      <c r="R94" s="2"/>
    </row>
    <row r="95" spans="1:18" ht="15.75" customHeight="1">
      <c r="A95" s="2"/>
      <c r="B95" s="2"/>
      <c r="C95" s="2"/>
      <c r="D95" s="11"/>
      <c r="E95" s="2"/>
      <c r="F95" s="2"/>
      <c r="G95" s="2"/>
      <c r="H95" s="2"/>
      <c r="I95" s="13"/>
      <c r="J95" s="13"/>
      <c r="K95" s="2"/>
      <c r="L95" s="2"/>
      <c r="M95" s="19" t="str">
        <f t="shared" si="0"/>
        <v/>
      </c>
      <c r="N95" s="2"/>
      <c r="O95" s="2"/>
      <c r="P95" s="2"/>
      <c r="Q95" s="2"/>
      <c r="R95" s="2"/>
    </row>
    <row r="96" spans="1:18" ht="15.75" customHeight="1">
      <c r="A96" s="2"/>
      <c r="B96" s="2"/>
      <c r="C96" s="2"/>
      <c r="D96" s="11"/>
      <c r="E96" s="2"/>
      <c r="F96" s="2"/>
      <c r="G96" s="2"/>
      <c r="H96" s="2"/>
      <c r="I96" s="13"/>
      <c r="J96" s="13"/>
      <c r="K96" s="2"/>
      <c r="L96" s="2"/>
      <c r="M96" s="19" t="str">
        <f t="shared" si="0"/>
        <v/>
      </c>
      <c r="N96" s="2"/>
      <c r="O96" s="2"/>
      <c r="P96" s="2"/>
      <c r="Q96" s="2"/>
      <c r="R96" s="2"/>
    </row>
    <row r="97" spans="1:18" ht="15.75" customHeight="1">
      <c r="A97" s="2"/>
      <c r="B97" s="2"/>
      <c r="C97" s="2"/>
      <c r="D97" s="11"/>
      <c r="E97" s="2"/>
      <c r="F97" s="2"/>
      <c r="G97" s="2"/>
      <c r="H97" s="2"/>
      <c r="I97" s="13"/>
      <c r="J97" s="13"/>
      <c r="K97" s="2"/>
      <c r="L97" s="2"/>
      <c r="M97" s="19" t="str">
        <f t="shared" si="0"/>
        <v/>
      </c>
      <c r="N97" s="2"/>
      <c r="O97" s="2"/>
      <c r="P97" s="2"/>
      <c r="Q97" s="2"/>
      <c r="R97" s="2"/>
    </row>
    <row r="98" spans="1:18" ht="15.75" customHeight="1">
      <c r="A98" s="2"/>
      <c r="B98" s="2"/>
      <c r="C98" s="2"/>
      <c r="D98" s="11"/>
      <c r="E98" s="2"/>
      <c r="F98" s="2"/>
      <c r="G98" s="2"/>
      <c r="H98" s="2"/>
      <c r="I98" s="13"/>
      <c r="J98" s="13"/>
      <c r="K98" s="2"/>
      <c r="L98" s="2"/>
      <c r="M98" s="19" t="str">
        <f t="shared" si="0"/>
        <v/>
      </c>
      <c r="N98" s="2"/>
      <c r="O98" s="2"/>
      <c r="P98" s="2"/>
      <c r="Q98" s="2"/>
      <c r="R98" s="2"/>
    </row>
    <row r="99" spans="1:18" ht="15.75" customHeight="1">
      <c r="A99" s="2"/>
      <c r="B99" s="2"/>
      <c r="C99" s="2"/>
      <c r="D99" s="11"/>
      <c r="E99" s="2"/>
      <c r="F99" s="2"/>
      <c r="G99" s="2"/>
      <c r="H99" s="2"/>
      <c r="I99" s="13"/>
      <c r="J99" s="13"/>
      <c r="K99" s="2"/>
      <c r="L99" s="2"/>
      <c r="M99" s="19" t="str">
        <f t="shared" si="0"/>
        <v/>
      </c>
      <c r="N99" s="2"/>
      <c r="O99" s="2"/>
      <c r="P99" s="2"/>
      <c r="Q99" s="2"/>
      <c r="R99" s="2"/>
    </row>
    <row r="100" spans="1:18" ht="15.75" customHeight="1">
      <c r="A100" s="2"/>
      <c r="B100" s="2"/>
      <c r="C100" s="2"/>
      <c r="D100" s="11"/>
      <c r="E100" s="2"/>
      <c r="F100" s="2"/>
      <c r="G100" s="2"/>
      <c r="H100" s="2"/>
      <c r="I100" s="13"/>
      <c r="J100" s="13"/>
      <c r="K100" s="2"/>
      <c r="L100" s="2"/>
      <c r="M100" s="19" t="str">
        <f t="shared" si="0"/>
        <v/>
      </c>
      <c r="N100" s="2"/>
      <c r="O100" s="2"/>
      <c r="P100" s="2"/>
      <c r="Q100" s="2"/>
      <c r="R100" s="2"/>
    </row>
    <row r="101" spans="1:18" ht="15.75" customHeight="1">
      <c r="A101" s="2"/>
      <c r="B101" s="2"/>
      <c r="C101" s="2"/>
      <c r="D101" s="11"/>
      <c r="E101" s="2"/>
      <c r="F101" s="2"/>
      <c r="G101" s="2"/>
      <c r="H101" s="2"/>
      <c r="I101" s="13"/>
      <c r="J101" s="13"/>
      <c r="K101" s="2"/>
      <c r="L101" s="2"/>
      <c r="M101" s="19" t="str">
        <f t="shared" si="0"/>
        <v/>
      </c>
      <c r="N101" s="2"/>
      <c r="O101" s="2"/>
      <c r="P101" s="2"/>
      <c r="Q101" s="2"/>
      <c r="R101" s="2"/>
    </row>
    <row r="102" spans="1:18" ht="15.75" customHeight="1">
      <c r="A102" s="2"/>
      <c r="B102" s="2"/>
      <c r="C102" s="2"/>
      <c r="D102" s="11"/>
      <c r="E102" s="2"/>
      <c r="F102" s="2"/>
      <c r="G102" s="2"/>
      <c r="H102" s="2"/>
      <c r="I102" s="13"/>
      <c r="J102" s="13"/>
      <c r="K102" s="2"/>
      <c r="L102" s="2"/>
      <c r="M102" s="19" t="str">
        <f t="shared" si="0"/>
        <v/>
      </c>
      <c r="N102" s="2"/>
      <c r="O102" s="2"/>
      <c r="P102" s="2"/>
      <c r="Q102" s="2"/>
      <c r="R102" s="2"/>
    </row>
    <row r="103" spans="1:18" ht="15.75" customHeight="1">
      <c r="A103" s="2"/>
      <c r="B103" s="2"/>
      <c r="C103" s="2"/>
      <c r="D103" s="11"/>
      <c r="E103" s="2"/>
      <c r="F103" s="2"/>
      <c r="G103" s="2"/>
      <c r="H103" s="2"/>
      <c r="I103" s="13"/>
      <c r="J103" s="13"/>
      <c r="K103" s="2"/>
      <c r="L103" s="2"/>
      <c r="M103" s="19" t="str">
        <f t="shared" si="0"/>
        <v/>
      </c>
      <c r="N103" s="2"/>
      <c r="O103" s="2"/>
      <c r="P103" s="2"/>
      <c r="Q103" s="2"/>
      <c r="R103" s="2"/>
    </row>
    <row r="104" spans="1:18" ht="15.75" customHeight="1">
      <c r="A104" s="2"/>
      <c r="B104" s="2"/>
      <c r="C104" s="2"/>
      <c r="D104" s="11"/>
      <c r="E104" s="2"/>
      <c r="F104" s="2"/>
      <c r="G104" s="2"/>
      <c r="H104" s="2"/>
      <c r="I104" s="13"/>
      <c r="J104" s="13"/>
      <c r="K104" s="2"/>
      <c r="L104" s="2"/>
      <c r="M104" s="19" t="str">
        <f t="shared" si="0"/>
        <v/>
      </c>
      <c r="N104" s="2"/>
      <c r="O104" s="2"/>
      <c r="P104" s="2"/>
      <c r="Q104" s="2"/>
      <c r="R104" s="2"/>
    </row>
    <row r="105" spans="1:18" ht="15.75" customHeight="1">
      <c r="A105" s="2"/>
      <c r="B105" s="2"/>
      <c r="C105" s="2"/>
      <c r="D105" s="11"/>
      <c r="E105" s="2"/>
      <c r="F105" s="2"/>
      <c r="G105" s="2"/>
      <c r="H105" s="2"/>
      <c r="I105" s="13"/>
      <c r="J105" s="13"/>
      <c r="K105" s="2"/>
      <c r="L105" s="2"/>
      <c r="M105" s="19" t="str">
        <f t="shared" si="0"/>
        <v/>
      </c>
      <c r="N105" s="2"/>
      <c r="O105" s="2"/>
      <c r="P105" s="2"/>
      <c r="Q105" s="2"/>
      <c r="R105" s="2"/>
    </row>
    <row r="106" spans="1:18" ht="15.75" customHeight="1">
      <c r="A106" s="2"/>
      <c r="B106" s="2"/>
      <c r="C106" s="2"/>
      <c r="D106" s="11"/>
      <c r="E106" s="2"/>
      <c r="F106" s="2"/>
      <c r="G106" s="2"/>
      <c r="H106" s="2"/>
      <c r="I106" s="13"/>
      <c r="J106" s="13"/>
      <c r="K106" s="2"/>
      <c r="L106" s="2"/>
      <c r="M106" s="19" t="str">
        <f t="shared" si="0"/>
        <v/>
      </c>
      <c r="N106" s="2"/>
      <c r="O106" s="2"/>
      <c r="P106" s="2"/>
      <c r="Q106" s="2"/>
      <c r="R106" s="2"/>
    </row>
    <row r="107" spans="1:18" ht="15.75" customHeight="1">
      <c r="A107" s="2"/>
      <c r="B107" s="2"/>
      <c r="C107" s="2"/>
      <c r="D107" s="11"/>
      <c r="E107" s="2"/>
      <c r="F107" s="2"/>
      <c r="G107" s="2"/>
      <c r="H107" s="2"/>
      <c r="I107" s="13"/>
      <c r="J107" s="13"/>
      <c r="K107" s="2"/>
      <c r="L107" s="2"/>
      <c r="M107" s="19" t="str">
        <f t="shared" si="0"/>
        <v/>
      </c>
      <c r="N107" s="2"/>
      <c r="O107" s="2"/>
      <c r="P107" s="2"/>
      <c r="Q107" s="2"/>
      <c r="R107" s="2"/>
    </row>
    <row r="108" spans="1:18" ht="15.75" customHeight="1">
      <c r="A108" s="2"/>
      <c r="B108" s="2"/>
      <c r="C108" s="2"/>
      <c r="D108" s="11"/>
      <c r="E108" s="2"/>
      <c r="F108" s="2"/>
      <c r="G108" s="2"/>
      <c r="H108" s="2"/>
      <c r="I108" s="13"/>
      <c r="J108" s="13"/>
      <c r="K108" s="2"/>
      <c r="L108" s="2"/>
      <c r="M108" s="19" t="str">
        <f t="shared" si="0"/>
        <v/>
      </c>
      <c r="N108" s="2"/>
      <c r="O108" s="2"/>
      <c r="P108" s="2"/>
      <c r="Q108" s="2"/>
      <c r="R108" s="2"/>
    </row>
    <row r="109" spans="1:18" ht="15.75" customHeight="1">
      <c r="A109" s="2"/>
      <c r="B109" s="2"/>
      <c r="C109" s="2"/>
      <c r="D109" s="11"/>
      <c r="E109" s="2"/>
      <c r="F109" s="2"/>
      <c r="G109" s="2"/>
      <c r="H109" s="2"/>
      <c r="I109" s="13"/>
      <c r="J109" s="13"/>
      <c r="K109" s="2"/>
      <c r="L109" s="2"/>
      <c r="M109" s="19" t="str">
        <f t="shared" si="0"/>
        <v/>
      </c>
      <c r="N109" s="2"/>
      <c r="O109" s="2"/>
      <c r="P109" s="2"/>
      <c r="Q109" s="2"/>
      <c r="R109" s="2"/>
    </row>
    <row r="110" spans="1:18" ht="15.75" customHeight="1">
      <c r="A110" s="2"/>
      <c r="B110" s="2"/>
      <c r="C110" s="2"/>
      <c r="D110" s="11"/>
      <c r="E110" s="2"/>
      <c r="F110" s="2"/>
      <c r="G110" s="2"/>
      <c r="H110" s="2"/>
      <c r="I110" s="13"/>
      <c r="J110" s="13"/>
      <c r="K110" s="2"/>
      <c r="L110" s="2"/>
      <c r="M110" s="19" t="str">
        <f t="shared" si="0"/>
        <v/>
      </c>
      <c r="N110" s="2"/>
      <c r="O110" s="2"/>
      <c r="P110" s="2"/>
      <c r="Q110" s="2"/>
      <c r="R110" s="2"/>
    </row>
    <row r="111" spans="1:18" ht="15.75" customHeight="1">
      <c r="A111" s="2"/>
      <c r="B111" s="2"/>
      <c r="C111" s="2"/>
      <c r="D111" s="11"/>
      <c r="E111" s="2"/>
      <c r="F111" s="2"/>
      <c r="G111" s="2"/>
      <c r="H111" s="2"/>
      <c r="I111" s="13"/>
      <c r="J111" s="13"/>
      <c r="K111" s="2"/>
      <c r="L111" s="2"/>
      <c r="M111" s="19" t="str">
        <f t="shared" si="0"/>
        <v/>
      </c>
      <c r="N111" s="2"/>
      <c r="O111" s="2"/>
      <c r="P111" s="2"/>
      <c r="Q111" s="2"/>
      <c r="R111" s="2"/>
    </row>
    <row r="112" spans="1:18" ht="15.75" customHeight="1">
      <c r="A112" s="2"/>
      <c r="B112" s="2"/>
      <c r="C112" s="2"/>
      <c r="D112" s="11"/>
      <c r="E112" s="2"/>
      <c r="F112" s="2"/>
      <c r="G112" s="2"/>
      <c r="H112" s="2"/>
      <c r="I112" s="13"/>
      <c r="J112" s="13"/>
      <c r="K112" s="2"/>
      <c r="L112" s="2"/>
      <c r="M112" s="19" t="str">
        <f t="shared" si="0"/>
        <v/>
      </c>
      <c r="N112" s="2"/>
      <c r="O112" s="2"/>
      <c r="P112" s="2"/>
      <c r="Q112" s="2"/>
      <c r="R112" s="2"/>
    </row>
    <row r="113" spans="1:18" ht="15.75" customHeight="1">
      <c r="A113" s="2"/>
      <c r="B113" s="2"/>
      <c r="C113" s="2"/>
      <c r="D113" s="11"/>
      <c r="E113" s="2"/>
      <c r="F113" s="2"/>
      <c r="G113" s="2"/>
      <c r="H113" s="2"/>
      <c r="I113" s="13"/>
      <c r="J113" s="13"/>
      <c r="K113" s="2"/>
      <c r="L113" s="2"/>
      <c r="M113" s="19" t="str">
        <f t="shared" si="0"/>
        <v/>
      </c>
      <c r="N113" s="2"/>
      <c r="O113" s="2"/>
      <c r="P113" s="2"/>
      <c r="Q113" s="2"/>
      <c r="R113" s="2"/>
    </row>
    <row r="114" spans="1:18" ht="15.75" customHeight="1">
      <c r="A114" s="2"/>
      <c r="B114" s="2"/>
      <c r="C114" s="2"/>
      <c r="D114" s="11"/>
      <c r="E114" s="2"/>
      <c r="F114" s="2"/>
      <c r="G114" s="2"/>
      <c r="H114" s="2"/>
      <c r="I114" s="13"/>
      <c r="J114" s="13"/>
      <c r="K114" s="2"/>
      <c r="L114" s="2"/>
      <c r="M114" s="19" t="str">
        <f t="shared" si="0"/>
        <v/>
      </c>
      <c r="N114" s="2"/>
      <c r="O114" s="2"/>
      <c r="P114" s="2"/>
      <c r="Q114" s="2"/>
      <c r="R114" s="2"/>
    </row>
    <row r="115" spans="1:18" ht="15.75" customHeight="1">
      <c r="A115" s="2"/>
      <c r="B115" s="2"/>
      <c r="C115" s="2"/>
      <c r="D115" s="11"/>
      <c r="E115" s="2"/>
      <c r="F115" s="2"/>
      <c r="G115" s="2"/>
      <c r="H115" s="2"/>
      <c r="I115" s="13"/>
      <c r="J115" s="13"/>
      <c r="K115" s="2"/>
      <c r="L115" s="2"/>
      <c r="M115" s="19" t="str">
        <f t="shared" si="0"/>
        <v/>
      </c>
      <c r="N115" s="2"/>
      <c r="O115" s="2"/>
      <c r="P115" s="2"/>
      <c r="Q115" s="2"/>
      <c r="R115" s="2"/>
    </row>
    <row r="116" spans="1:18" ht="15.75" customHeight="1">
      <c r="A116" s="2"/>
      <c r="B116" s="2"/>
      <c r="C116" s="2"/>
      <c r="D116" s="11"/>
      <c r="E116" s="2"/>
      <c r="F116" s="2"/>
      <c r="G116" s="2"/>
      <c r="H116" s="2"/>
      <c r="I116" s="13"/>
      <c r="J116" s="13"/>
      <c r="K116" s="2"/>
      <c r="L116" s="2"/>
      <c r="M116" s="19" t="str">
        <f t="shared" si="0"/>
        <v/>
      </c>
      <c r="N116" s="2"/>
      <c r="O116" s="2"/>
      <c r="P116" s="2"/>
      <c r="Q116" s="2"/>
      <c r="R116" s="2"/>
    </row>
    <row r="117" spans="1:18" ht="15.75" customHeight="1">
      <c r="A117" s="2"/>
      <c r="B117" s="2"/>
      <c r="C117" s="2"/>
      <c r="D117" s="11"/>
      <c r="E117" s="2"/>
      <c r="F117" s="2"/>
      <c r="G117" s="2"/>
      <c r="H117" s="2"/>
      <c r="I117" s="13"/>
      <c r="J117" s="13"/>
      <c r="K117" s="2"/>
      <c r="L117" s="2"/>
      <c r="M117" s="19" t="str">
        <f t="shared" si="0"/>
        <v/>
      </c>
      <c r="N117" s="2"/>
      <c r="O117" s="2"/>
      <c r="P117" s="2"/>
      <c r="Q117" s="2"/>
      <c r="R117" s="2"/>
    </row>
    <row r="118" spans="1:18" ht="15.75" customHeight="1">
      <c r="A118" s="2"/>
      <c r="B118" s="2"/>
      <c r="C118" s="2"/>
      <c r="D118" s="11"/>
      <c r="E118" s="2"/>
      <c r="F118" s="2"/>
      <c r="G118" s="2"/>
      <c r="H118" s="2"/>
      <c r="I118" s="13"/>
      <c r="J118" s="13"/>
      <c r="K118" s="2"/>
      <c r="L118" s="2"/>
      <c r="M118" s="19" t="str">
        <f t="shared" si="0"/>
        <v/>
      </c>
      <c r="N118" s="2"/>
      <c r="O118" s="2"/>
      <c r="P118" s="2"/>
      <c r="Q118" s="2"/>
      <c r="R118" s="2"/>
    </row>
    <row r="119" spans="1:18" ht="15.75" customHeight="1">
      <c r="A119" s="2"/>
      <c r="B119" s="2"/>
      <c r="C119" s="2"/>
      <c r="D119" s="11"/>
      <c r="E119" s="2"/>
      <c r="F119" s="2"/>
      <c r="G119" s="2"/>
      <c r="H119" s="2"/>
      <c r="I119" s="13"/>
      <c r="J119" s="13"/>
      <c r="K119" s="2"/>
      <c r="L119" s="2"/>
      <c r="M119" s="19" t="str">
        <f t="shared" si="0"/>
        <v/>
      </c>
      <c r="N119" s="2"/>
      <c r="O119" s="2"/>
      <c r="P119" s="2"/>
      <c r="Q119" s="2"/>
      <c r="R119" s="2"/>
    </row>
    <row r="120" spans="1:18" ht="15.75" customHeight="1">
      <c r="A120" s="2"/>
      <c r="B120" s="2"/>
      <c r="C120" s="2"/>
      <c r="D120" s="11"/>
      <c r="E120" s="2"/>
      <c r="F120" s="2"/>
      <c r="G120" s="2"/>
      <c r="H120" s="2"/>
      <c r="I120" s="13"/>
      <c r="J120" s="13"/>
      <c r="K120" s="2"/>
      <c r="L120" s="2"/>
      <c r="M120" s="19" t="str">
        <f t="shared" si="0"/>
        <v/>
      </c>
      <c r="N120" s="2"/>
      <c r="O120" s="2"/>
      <c r="P120" s="2"/>
      <c r="Q120" s="2"/>
      <c r="R120" s="2"/>
    </row>
    <row r="121" spans="1:18" ht="15.75" customHeight="1">
      <c r="A121" s="2"/>
      <c r="B121" s="2"/>
      <c r="C121" s="2"/>
      <c r="D121" s="11"/>
      <c r="E121" s="2"/>
      <c r="F121" s="2"/>
      <c r="G121" s="2"/>
      <c r="H121" s="2"/>
      <c r="I121" s="13"/>
      <c r="J121" s="13"/>
      <c r="K121" s="2"/>
      <c r="L121" s="2"/>
      <c r="M121" s="19" t="str">
        <f t="shared" si="0"/>
        <v/>
      </c>
      <c r="N121" s="2"/>
      <c r="O121" s="2"/>
      <c r="P121" s="2"/>
      <c r="Q121" s="2"/>
      <c r="R121" s="2"/>
    </row>
    <row r="122" spans="1:18" ht="15.75" customHeight="1">
      <c r="A122" s="2"/>
      <c r="B122" s="2"/>
      <c r="C122" s="2"/>
      <c r="D122" s="11"/>
      <c r="E122" s="2"/>
      <c r="F122" s="2"/>
      <c r="G122" s="2"/>
      <c r="H122" s="2"/>
      <c r="I122" s="13"/>
      <c r="J122" s="13"/>
      <c r="K122" s="2"/>
      <c r="L122" s="2"/>
      <c r="M122" s="19" t="str">
        <f t="shared" si="0"/>
        <v/>
      </c>
      <c r="N122" s="2"/>
      <c r="O122" s="2"/>
      <c r="P122" s="2"/>
      <c r="Q122" s="2"/>
      <c r="R122" s="2"/>
    </row>
    <row r="123" spans="1:18" ht="15.75" customHeight="1">
      <c r="A123" s="2"/>
      <c r="B123" s="2"/>
      <c r="C123" s="2"/>
      <c r="D123" s="11"/>
      <c r="E123" s="2"/>
      <c r="F123" s="2"/>
      <c r="G123" s="2"/>
      <c r="H123" s="2"/>
      <c r="I123" s="13"/>
      <c r="J123" s="13"/>
      <c r="K123" s="2"/>
      <c r="L123" s="2"/>
      <c r="M123" s="19" t="str">
        <f t="shared" si="0"/>
        <v/>
      </c>
      <c r="N123" s="2"/>
      <c r="O123" s="2"/>
      <c r="P123" s="2"/>
      <c r="Q123" s="2"/>
      <c r="R123" s="2"/>
    </row>
    <row r="124" spans="1:18" ht="15.75" customHeight="1">
      <c r="A124" s="2"/>
      <c r="B124" s="2"/>
      <c r="C124" s="2"/>
      <c r="D124" s="11"/>
      <c r="E124" s="2"/>
      <c r="F124" s="2"/>
      <c r="G124" s="2"/>
      <c r="H124" s="2"/>
      <c r="I124" s="13"/>
      <c r="J124" s="13"/>
      <c r="K124" s="2"/>
      <c r="L124" s="2"/>
      <c r="M124" s="19" t="str">
        <f t="shared" si="0"/>
        <v/>
      </c>
      <c r="N124" s="2"/>
      <c r="O124" s="2"/>
      <c r="P124" s="2"/>
      <c r="Q124" s="2"/>
      <c r="R124" s="2"/>
    </row>
    <row r="125" spans="1:18" ht="15.75" customHeight="1">
      <c r="A125" s="2"/>
      <c r="B125" s="2"/>
      <c r="C125" s="2"/>
      <c r="D125" s="11"/>
      <c r="E125" s="2"/>
      <c r="F125" s="2"/>
      <c r="G125" s="2"/>
      <c r="H125" s="2"/>
      <c r="I125" s="13"/>
      <c r="J125" s="13"/>
      <c r="K125" s="2"/>
      <c r="L125" s="2"/>
      <c r="M125" s="19" t="str">
        <f t="shared" si="0"/>
        <v/>
      </c>
      <c r="N125" s="2"/>
      <c r="O125" s="2"/>
      <c r="P125" s="2"/>
      <c r="Q125" s="2"/>
      <c r="R125" s="2"/>
    </row>
    <row r="126" spans="1:18" ht="15.75" customHeight="1">
      <c r="A126" s="2"/>
      <c r="B126" s="2"/>
      <c r="C126" s="2"/>
      <c r="D126" s="11"/>
      <c r="E126" s="2"/>
      <c r="F126" s="2"/>
      <c r="G126" s="2"/>
      <c r="H126" s="2"/>
      <c r="I126" s="13"/>
      <c r="J126" s="13"/>
      <c r="K126" s="2"/>
      <c r="L126" s="2"/>
      <c r="M126" s="19" t="str">
        <f t="shared" si="0"/>
        <v/>
      </c>
      <c r="N126" s="2"/>
      <c r="O126" s="2"/>
      <c r="P126" s="2"/>
      <c r="Q126" s="2"/>
      <c r="R126" s="2"/>
    </row>
    <row r="127" spans="1:18" ht="15.75" customHeight="1">
      <c r="A127" s="2"/>
      <c r="B127" s="2"/>
      <c r="C127" s="2"/>
      <c r="D127" s="11"/>
      <c r="E127" s="2"/>
      <c r="F127" s="2"/>
      <c r="G127" s="2"/>
      <c r="H127" s="2"/>
      <c r="I127" s="13"/>
      <c r="J127" s="13"/>
      <c r="K127" s="2"/>
      <c r="L127" s="2"/>
      <c r="M127" s="19" t="str">
        <f t="shared" si="0"/>
        <v/>
      </c>
      <c r="N127" s="2"/>
      <c r="O127" s="2"/>
      <c r="P127" s="2"/>
      <c r="Q127" s="2"/>
      <c r="R127" s="2"/>
    </row>
    <row r="128" spans="1:18" ht="15.75" customHeight="1">
      <c r="A128" s="2"/>
      <c r="B128" s="2"/>
      <c r="C128" s="2"/>
      <c r="D128" s="11"/>
      <c r="E128" s="2"/>
      <c r="F128" s="2"/>
      <c r="G128" s="2"/>
      <c r="H128" s="2"/>
      <c r="I128" s="13"/>
      <c r="J128" s="13"/>
      <c r="K128" s="2"/>
      <c r="L128" s="2"/>
      <c r="M128" s="19" t="str">
        <f t="shared" si="0"/>
        <v/>
      </c>
      <c r="N128" s="2"/>
      <c r="O128" s="2"/>
      <c r="P128" s="2"/>
      <c r="Q128" s="2"/>
      <c r="R128" s="2"/>
    </row>
    <row r="129" spans="1:18" ht="15.75" customHeight="1">
      <c r="A129" s="2"/>
      <c r="B129" s="2"/>
      <c r="C129" s="2"/>
      <c r="D129" s="11"/>
      <c r="E129" s="2"/>
      <c r="F129" s="2"/>
      <c r="G129" s="2"/>
      <c r="H129" s="2"/>
      <c r="I129" s="13"/>
      <c r="J129" s="13"/>
      <c r="K129" s="2"/>
      <c r="L129" s="2"/>
      <c r="M129" s="19" t="str">
        <f t="shared" si="0"/>
        <v/>
      </c>
      <c r="N129" s="2"/>
      <c r="O129" s="2"/>
      <c r="P129" s="2"/>
      <c r="Q129" s="2"/>
      <c r="R129" s="2"/>
    </row>
    <row r="130" spans="1:18" ht="15.75" customHeight="1">
      <c r="A130" s="2"/>
      <c r="B130" s="2"/>
      <c r="C130" s="2"/>
      <c r="D130" s="11"/>
      <c r="E130" s="2"/>
      <c r="F130" s="2"/>
      <c r="G130" s="2"/>
      <c r="H130" s="2"/>
      <c r="I130" s="13"/>
      <c r="J130" s="13"/>
      <c r="K130" s="2"/>
      <c r="L130" s="2"/>
      <c r="M130" s="19" t="str">
        <f t="shared" si="0"/>
        <v/>
      </c>
      <c r="N130" s="2"/>
      <c r="O130" s="2"/>
      <c r="P130" s="2"/>
      <c r="Q130" s="2"/>
      <c r="R130" s="2"/>
    </row>
    <row r="131" spans="1:18" ht="15.75" customHeight="1">
      <c r="A131" s="2"/>
      <c r="B131" s="2"/>
      <c r="C131" s="2"/>
      <c r="D131" s="11"/>
      <c r="E131" s="2"/>
      <c r="F131" s="2"/>
      <c r="G131" s="2"/>
      <c r="H131" s="2"/>
      <c r="I131" s="13"/>
      <c r="J131" s="13"/>
      <c r="K131" s="2"/>
      <c r="L131" s="2"/>
      <c r="M131" s="19" t="str">
        <f t="shared" si="0"/>
        <v/>
      </c>
      <c r="N131" s="2"/>
      <c r="O131" s="2"/>
      <c r="P131" s="2"/>
      <c r="Q131" s="2"/>
      <c r="R131" s="2"/>
    </row>
    <row r="132" spans="1:18" ht="15.75" customHeight="1">
      <c r="A132" s="2"/>
      <c r="B132" s="2"/>
      <c r="C132" s="2"/>
      <c r="D132" s="11"/>
      <c r="E132" s="2"/>
      <c r="F132" s="2"/>
      <c r="G132" s="2"/>
      <c r="H132" s="2"/>
      <c r="I132" s="13"/>
      <c r="J132" s="13"/>
      <c r="K132" s="2"/>
      <c r="L132" s="2"/>
      <c r="M132" s="19" t="str">
        <f t="shared" si="0"/>
        <v/>
      </c>
      <c r="N132" s="2"/>
      <c r="O132" s="2"/>
      <c r="P132" s="2"/>
      <c r="Q132" s="2"/>
      <c r="R132" s="2"/>
    </row>
    <row r="133" spans="1:18" ht="15.75" customHeight="1">
      <c r="A133" s="2"/>
      <c r="B133" s="2"/>
      <c r="C133" s="2"/>
      <c r="D133" s="11"/>
      <c r="E133" s="2"/>
      <c r="F133" s="2"/>
      <c r="G133" s="2"/>
      <c r="H133" s="2"/>
      <c r="I133" s="13"/>
      <c r="J133" s="13"/>
      <c r="K133" s="2"/>
      <c r="L133" s="2"/>
      <c r="M133" s="19" t="str">
        <f t="shared" si="0"/>
        <v/>
      </c>
      <c r="N133" s="2"/>
      <c r="O133" s="2"/>
      <c r="P133" s="2"/>
      <c r="Q133" s="2"/>
      <c r="R133" s="2"/>
    </row>
    <row r="134" spans="1:18" ht="15.75" customHeight="1">
      <c r="A134" s="2"/>
      <c r="B134" s="2"/>
      <c r="C134" s="2"/>
      <c r="D134" s="11"/>
      <c r="E134" s="2"/>
      <c r="F134" s="2"/>
      <c r="G134" s="2"/>
      <c r="H134" s="2"/>
      <c r="I134" s="13"/>
      <c r="J134" s="13"/>
      <c r="K134" s="2"/>
      <c r="L134" s="2"/>
      <c r="M134" s="19" t="str">
        <f t="shared" si="0"/>
        <v/>
      </c>
      <c r="N134" s="2"/>
      <c r="O134" s="2"/>
      <c r="P134" s="2"/>
      <c r="Q134" s="2"/>
      <c r="R134" s="2"/>
    </row>
    <row r="135" spans="1:18" ht="15.75" customHeight="1">
      <c r="A135" s="2"/>
      <c r="B135" s="2"/>
      <c r="C135" s="2"/>
      <c r="D135" s="11"/>
      <c r="E135" s="2"/>
      <c r="F135" s="2"/>
      <c r="G135" s="2"/>
      <c r="H135" s="2"/>
      <c r="I135" s="13"/>
      <c r="J135" s="13"/>
      <c r="K135" s="2"/>
      <c r="L135" s="2"/>
      <c r="M135" s="19" t="str">
        <f t="shared" si="0"/>
        <v/>
      </c>
      <c r="N135" s="2"/>
      <c r="O135" s="2"/>
      <c r="P135" s="2"/>
      <c r="Q135" s="2"/>
      <c r="R135" s="2"/>
    </row>
    <row r="136" spans="1:18" ht="15.75" customHeight="1">
      <c r="A136" s="2"/>
      <c r="B136" s="2"/>
      <c r="C136" s="2"/>
      <c r="D136" s="11"/>
      <c r="E136" s="2"/>
      <c r="F136" s="2"/>
      <c r="G136" s="2"/>
      <c r="H136" s="2"/>
      <c r="I136" s="13"/>
      <c r="J136" s="13"/>
      <c r="K136" s="2"/>
      <c r="L136" s="2"/>
      <c r="M136" s="19" t="str">
        <f t="shared" si="0"/>
        <v/>
      </c>
      <c r="N136" s="2"/>
      <c r="O136" s="2"/>
      <c r="P136" s="2"/>
      <c r="Q136" s="2"/>
      <c r="R136" s="2"/>
    </row>
    <row r="137" spans="1:18" ht="15.75" customHeight="1">
      <c r="A137" s="2"/>
      <c r="B137" s="2"/>
      <c r="C137" s="2"/>
      <c r="D137" s="11"/>
      <c r="E137" s="2"/>
      <c r="F137" s="2"/>
      <c r="G137" s="2"/>
      <c r="H137" s="2"/>
      <c r="I137" s="13"/>
      <c r="J137" s="13"/>
      <c r="K137" s="2"/>
      <c r="L137" s="2"/>
      <c r="M137" s="19" t="str">
        <f t="shared" si="0"/>
        <v/>
      </c>
      <c r="N137" s="2"/>
      <c r="O137" s="2"/>
      <c r="P137" s="2"/>
      <c r="Q137" s="2"/>
      <c r="R137" s="2"/>
    </row>
    <row r="138" spans="1:18" ht="15.75" customHeight="1">
      <c r="A138" s="2"/>
      <c r="B138" s="2"/>
      <c r="C138" s="2"/>
      <c r="D138" s="11"/>
      <c r="E138" s="2"/>
      <c r="F138" s="2"/>
      <c r="G138" s="2"/>
      <c r="H138" s="2"/>
      <c r="I138" s="13"/>
      <c r="J138" s="13"/>
      <c r="K138" s="2"/>
      <c r="L138" s="2"/>
      <c r="M138" s="19" t="str">
        <f t="shared" si="0"/>
        <v/>
      </c>
      <c r="N138" s="2"/>
      <c r="O138" s="2"/>
      <c r="P138" s="2"/>
      <c r="Q138" s="2"/>
      <c r="R138" s="2"/>
    </row>
    <row r="139" spans="1:18" ht="15.75" customHeight="1">
      <c r="A139" s="2"/>
      <c r="B139" s="2"/>
      <c r="C139" s="2"/>
      <c r="D139" s="11"/>
      <c r="E139" s="2"/>
      <c r="F139" s="2"/>
      <c r="G139" s="2"/>
      <c r="H139" s="2"/>
      <c r="I139" s="13"/>
      <c r="J139" s="13"/>
      <c r="K139" s="2"/>
      <c r="L139" s="2"/>
      <c r="M139" s="19" t="str">
        <f t="shared" si="0"/>
        <v/>
      </c>
      <c r="N139" s="2"/>
      <c r="O139" s="2"/>
      <c r="P139" s="2"/>
      <c r="Q139" s="2"/>
      <c r="R139" s="2"/>
    </row>
    <row r="140" spans="1:18" ht="15.75" customHeight="1">
      <c r="A140" s="2"/>
      <c r="B140" s="2"/>
      <c r="C140" s="2"/>
      <c r="D140" s="11"/>
      <c r="E140" s="2"/>
      <c r="F140" s="2"/>
      <c r="G140" s="2"/>
      <c r="H140" s="2"/>
      <c r="I140" s="13"/>
      <c r="J140" s="13"/>
      <c r="K140" s="2"/>
      <c r="L140" s="2"/>
      <c r="M140" s="19" t="str">
        <f t="shared" si="0"/>
        <v/>
      </c>
      <c r="N140" s="2"/>
      <c r="O140" s="2"/>
      <c r="P140" s="2"/>
      <c r="Q140" s="2"/>
      <c r="R140" s="2"/>
    </row>
    <row r="141" spans="1:18" ht="15.75" customHeight="1">
      <c r="A141" s="2"/>
      <c r="B141" s="2"/>
      <c r="C141" s="2"/>
      <c r="D141" s="11"/>
      <c r="E141" s="2"/>
      <c r="F141" s="2"/>
      <c r="G141" s="2"/>
      <c r="H141" s="2"/>
      <c r="I141" s="13"/>
      <c r="J141" s="13"/>
      <c r="K141" s="2"/>
      <c r="L141" s="2"/>
      <c r="M141" s="19" t="str">
        <f t="shared" si="0"/>
        <v/>
      </c>
      <c r="N141" s="2"/>
      <c r="O141" s="2"/>
      <c r="P141" s="2"/>
      <c r="Q141" s="2"/>
      <c r="R141" s="2"/>
    </row>
    <row r="142" spans="1:18" ht="15.75" customHeight="1">
      <c r="A142" s="2"/>
      <c r="B142" s="2"/>
      <c r="C142" s="2"/>
      <c r="D142" s="11"/>
      <c r="E142" s="2"/>
      <c r="F142" s="2"/>
      <c r="G142" s="2"/>
      <c r="H142" s="2"/>
      <c r="I142" s="13"/>
      <c r="J142" s="13"/>
      <c r="K142" s="2"/>
      <c r="L142" s="2"/>
      <c r="M142" s="19" t="str">
        <f t="shared" si="0"/>
        <v/>
      </c>
      <c r="N142" s="2"/>
      <c r="O142" s="2"/>
      <c r="P142" s="2"/>
      <c r="Q142" s="2"/>
      <c r="R142" s="2"/>
    </row>
    <row r="143" spans="1:18" ht="15.75" customHeight="1">
      <c r="A143" s="2"/>
      <c r="B143" s="2"/>
      <c r="C143" s="2"/>
      <c r="D143" s="11"/>
      <c r="E143" s="2"/>
      <c r="F143" s="2"/>
      <c r="G143" s="2"/>
      <c r="H143" s="2"/>
      <c r="I143" s="13"/>
      <c r="J143" s="13"/>
      <c r="K143" s="2"/>
      <c r="L143" s="2"/>
      <c r="M143" s="19" t="str">
        <f t="shared" si="0"/>
        <v/>
      </c>
      <c r="N143" s="2"/>
      <c r="O143" s="2"/>
      <c r="P143" s="2"/>
      <c r="Q143" s="2"/>
      <c r="R143" s="2"/>
    </row>
    <row r="144" spans="1:18" ht="15.75" customHeight="1">
      <c r="A144" s="2"/>
      <c r="B144" s="2"/>
      <c r="C144" s="2"/>
      <c r="D144" s="11"/>
      <c r="E144" s="2"/>
      <c r="F144" s="2"/>
      <c r="G144" s="2"/>
      <c r="H144" s="2"/>
      <c r="I144" s="13"/>
      <c r="J144" s="13"/>
      <c r="K144" s="2"/>
      <c r="L144" s="2"/>
      <c r="M144" s="19" t="str">
        <f t="shared" si="0"/>
        <v/>
      </c>
      <c r="N144" s="2"/>
      <c r="O144" s="2"/>
      <c r="P144" s="2"/>
      <c r="Q144" s="2"/>
      <c r="R144" s="2"/>
    </row>
    <row r="145" spans="1:18" ht="15.75" customHeight="1">
      <c r="A145" s="2"/>
      <c r="B145" s="2"/>
      <c r="C145" s="2"/>
      <c r="D145" s="11"/>
      <c r="E145" s="2"/>
      <c r="F145" s="2"/>
      <c r="G145" s="2"/>
      <c r="H145" s="2"/>
      <c r="I145" s="13"/>
      <c r="J145" s="13"/>
      <c r="K145" s="2"/>
      <c r="L145" s="2"/>
      <c r="M145" s="19" t="str">
        <f t="shared" si="0"/>
        <v/>
      </c>
      <c r="N145" s="2"/>
      <c r="O145" s="2"/>
      <c r="P145" s="2"/>
      <c r="Q145" s="2"/>
      <c r="R145" s="2"/>
    </row>
    <row r="146" spans="1:18" ht="15.75" customHeight="1">
      <c r="A146" s="2"/>
      <c r="B146" s="2"/>
      <c r="C146" s="2"/>
      <c r="D146" s="11"/>
      <c r="E146" s="2"/>
      <c r="F146" s="2"/>
      <c r="G146" s="2"/>
      <c r="H146" s="2"/>
      <c r="I146" s="13"/>
      <c r="J146" s="13"/>
      <c r="K146" s="2"/>
      <c r="L146" s="2"/>
      <c r="M146" s="19" t="str">
        <f t="shared" si="0"/>
        <v/>
      </c>
      <c r="N146" s="2"/>
      <c r="O146" s="2"/>
      <c r="P146" s="2"/>
      <c r="Q146" s="2"/>
      <c r="R146" s="2"/>
    </row>
    <row r="147" spans="1:18" ht="15.75" customHeight="1">
      <c r="A147" s="2"/>
      <c r="B147" s="2"/>
      <c r="C147" s="2"/>
      <c r="D147" s="11"/>
      <c r="E147" s="2"/>
      <c r="F147" s="2"/>
      <c r="G147" s="2"/>
      <c r="H147" s="2"/>
      <c r="I147" s="13"/>
      <c r="J147" s="13"/>
      <c r="K147" s="2"/>
      <c r="L147" s="2"/>
      <c r="M147" s="19" t="str">
        <f t="shared" si="0"/>
        <v/>
      </c>
      <c r="N147" s="2"/>
      <c r="O147" s="2"/>
      <c r="P147" s="2"/>
      <c r="Q147" s="2"/>
      <c r="R147" s="2"/>
    </row>
    <row r="148" spans="1:18" ht="15.75" customHeight="1">
      <c r="A148" s="2"/>
      <c r="B148" s="2"/>
      <c r="C148" s="2"/>
      <c r="D148" s="11"/>
      <c r="E148" s="2"/>
      <c r="F148" s="2"/>
      <c r="G148" s="2"/>
      <c r="H148" s="2"/>
      <c r="I148" s="13"/>
      <c r="J148" s="13"/>
      <c r="K148" s="2"/>
      <c r="L148" s="2"/>
      <c r="M148" s="19" t="str">
        <f t="shared" si="0"/>
        <v/>
      </c>
      <c r="N148" s="2"/>
      <c r="O148" s="2"/>
      <c r="P148" s="2"/>
      <c r="Q148" s="2"/>
      <c r="R148" s="2"/>
    </row>
    <row r="149" spans="1:18" ht="15.75" customHeight="1">
      <c r="A149" s="2"/>
      <c r="B149" s="2"/>
      <c r="C149" s="2"/>
      <c r="D149" s="11"/>
      <c r="E149" s="2"/>
      <c r="F149" s="2"/>
      <c r="G149" s="2"/>
      <c r="H149" s="2"/>
      <c r="I149" s="13"/>
      <c r="J149" s="13"/>
      <c r="K149" s="2"/>
      <c r="L149" s="2"/>
      <c r="M149" s="19" t="str">
        <f t="shared" si="0"/>
        <v/>
      </c>
      <c r="N149" s="2"/>
      <c r="O149" s="2"/>
      <c r="P149" s="2"/>
      <c r="Q149" s="2"/>
      <c r="R149" s="2"/>
    </row>
    <row r="150" spans="1:18" ht="15.75" customHeight="1">
      <c r="A150" s="2"/>
      <c r="B150" s="2"/>
      <c r="C150" s="2"/>
      <c r="D150" s="11"/>
      <c r="E150" s="2"/>
      <c r="F150" s="2"/>
      <c r="G150" s="2"/>
      <c r="H150" s="2"/>
      <c r="I150" s="13"/>
      <c r="J150" s="13"/>
      <c r="K150" s="2"/>
      <c r="L150" s="2"/>
      <c r="M150" s="19" t="str">
        <f t="shared" si="0"/>
        <v/>
      </c>
      <c r="N150" s="2"/>
      <c r="O150" s="2"/>
      <c r="P150" s="2"/>
      <c r="Q150" s="2"/>
      <c r="R150" s="2"/>
    </row>
    <row r="151" spans="1:18" ht="15.75" customHeight="1">
      <c r="A151" s="2"/>
      <c r="B151" s="2"/>
      <c r="C151" s="2"/>
      <c r="D151" s="11"/>
      <c r="E151" s="2"/>
      <c r="F151" s="2"/>
      <c r="G151" s="2"/>
      <c r="H151" s="2"/>
      <c r="I151" s="13"/>
      <c r="J151" s="13"/>
      <c r="K151" s="2"/>
      <c r="L151" s="2"/>
      <c r="M151" s="19" t="str">
        <f t="shared" si="0"/>
        <v/>
      </c>
      <c r="N151" s="2"/>
      <c r="O151" s="2"/>
      <c r="P151" s="2"/>
      <c r="Q151" s="2"/>
      <c r="R151" s="2"/>
    </row>
    <row r="152" spans="1:18" ht="15.75" customHeight="1">
      <c r="A152" s="2"/>
      <c r="B152" s="2"/>
      <c r="C152" s="2"/>
      <c r="D152" s="11"/>
      <c r="E152" s="2"/>
      <c r="F152" s="2"/>
      <c r="G152" s="2"/>
      <c r="H152" s="2"/>
      <c r="I152" s="13"/>
      <c r="J152" s="13"/>
      <c r="K152" s="2"/>
      <c r="L152" s="2"/>
      <c r="M152" s="19" t="str">
        <f t="shared" si="0"/>
        <v/>
      </c>
      <c r="N152" s="2"/>
      <c r="O152" s="2"/>
      <c r="P152" s="2"/>
      <c r="Q152" s="2"/>
      <c r="R152" s="2"/>
    </row>
    <row r="153" spans="1:18" ht="15.75" customHeight="1">
      <c r="A153" s="2"/>
      <c r="B153" s="2"/>
      <c r="C153" s="2"/>
      <c r="D153" s="11"/>
      <c r="E153" s="2"/>
      <c r="F153" s="2"/>
      <c r="G153" s="2"/>
      <c r="H153" s="2"/>
      <c r="I153" s="13"/>
      <c r="J153" s="13"/>
      <c r="K153" s="2"/>
      <c r="L153" s="2"/>
      <c r="M153" s="19" t="str">
        <f t="shared" si="0"/>
        <v/>
      </c>
      <c r="N153" s="2"/>
      <c r="O153" s="2"/>
      <c r="P153" s="2"/>
      <c r="Q153" s="2"/>
      <c r="R153" s="2"/>
    </row>
    <row r="154" spans="1:18" ht="15.75" customHeight="1">
      <c r="A154" s="2"/>
      <c r="B154" s="2"/>
      <c r="C154" s="2"/>
      <c r="D154" s="11"/>
      <c r="E154" s="2"/>
      <c r="F154" s="2"/>
      <c r="G154" s="2"/>
      <c r="H154" s="2"/>
      <c r="I154" s="13"/>
      <c r="J154" s="13"/>
      <c r="K154" s="2"/>
      <c r="L154" s="2"/>
      <c r="M154" s="19" t="str">
        <f t="shared" si="0"/>
        <v/>
      </c>
      <c r="N154" s="2"/>
      <c r="O154" s="2"/>
      <c r="P154" s="2"/>
      <c r="Q154" s="2"/>
      <c r="R154" s="2"/>
    </row>
    <row r="155" spans="1:18" ht="15.75" customHeight="1">
      <c r="A155" s="2"/>
      <c r="B155" s="2"/>
      <c r="C155" s="2"/>
      <c r="D155" s="11"/>
      <c r="E155" s="2"/>
      <c r="F155" s="2"/>
      <c r="G155" s="2"/>
      <c r="H155" s="2"/>
      <c r="I155" s="13"/>
      <c r="J155" s="13"/>
      <c r="K155" s="2"/>
      <c r="L155" s="2"/>
      <c r="M155" s="19" t="str">
        <f t="shared" si="0"/>
        <v/>
      </c>
      <c r="N155" s="2"/>
      <c r="O155" s="2"/>
      <c r="P155" s="2"/>
      <c r="Q155" s="2"/>
      <c r="R155" s="2"/>
    </row>
    <row r="156" spans="1:18" ht="15.75" customHeight="1">
      <c r="A156" s="2"/>
      <c r="B156" s="2"/>
      <c r="C156" s="2"/>
      <c r="D156" s="11"/>
      <c r="E156" s="2"/>
      <c r="F156" s="2"/>
      <c r="G156" s="2"/>
      <c r="H156" s="2"/>
      <c r="I156" s="13"/>
      <c r="J156" s="13"/>
      <c r="K156" s="2"/>
      <c r="L156" s="2"/>
      <c r="M156" s="19" t="str">
        <f t="shared" si="0"/>
        <v/>
      </c>
      <c r="N156" s="2"/>
      <c r="O156" s="2"/>
      <c r="P156" s="2"/>
      <c r="Q156" s="2"/>
      <c r="R156" s="2"/>
    </row>
    <row r="157" spans="1:18" ht="15.75" customHeight="1">
      <c r="A157" s="2"/>
      <c r="B157" s="2"/>
      <c r="C157" s="2"/>
      <c r="D157" s="11"/>
      <c r="E157" s="2"/>
      <c r="F157" s="2"/>
      <c r="G157" s="2"/>
      <c r="H157" s="2"/>
      <c r="I157" s="13"/>
      <c r="J157" s="13"/>
      <c r="K157" s="2"/>
      <c r="L157" s="2"/>
      <c r="M157" s="19" t="str">
        <f t="shared" si="0"/>
        <v/>
      </c>
      <c r="N157" s="2"/>
      <c r="O157" s="2"/>
      <c r="P157" s="2"/>
      <c r="Q157" s="2"/>
      <c r="R157" s="2"/>
    </row>
    <row r="158" spans="1:18" ht="15.75" customHeight="1">
      <c r="A158" s="2"/>
      <c r="B158" s="2"/>
      <c r="C158" s="2"/>
      <c r="D158" s="11"/>
      <c r="E158" s="2"/>
      <c r="F158" s="2"/>
      <c r="G158" s="2"/>
      <c r="H158" s="2"/>
      <c r="I158" s="13"/>
      <c r="J158" s="13"/>
      <c r="K158" s="2"/>
      <c r="L158" s="2"/>
      <c r="M158" s="19" t="str">
        <f t="shared" si="0"/>
        <v/>
      </c>
      <c r="N158" s="2"/>
      <c r="O158" s="2"/>
      <c r="P158" s="2"/>
      <c r="Q158" s="2"/>
      <c r="R158" s="2"/>
    </row>
    <row r="159" spans="1:18" ht="15.75" customHeight="1">
      <c r="A159" s="2"/>
      <c r="B159" s="2"/>
      <c r="C159" s="2"/>
      <c r="D159" s="11"/>
      <c r="E159" s="2"/>
      <c r="F159" s="2"/>
      <c r="G159" s="2"/>
      <c r="H159" s="2"/>
      <c r="I159" s="13"/>
      <c r="J159" s="13"/>
      <c r="K159" s="2"/>
      <c r="L159" s="2"/>
      <c r="M159" s="19" t="str">
        <f t="shared" si="0"/>
        <v/>
      </c>
      <c r="N159" s="2"/>
      <c r="O159" s="2"/>
      <c r="P159" s="2"/>
      <c r="Q159" s="2"/>
      <c r="R159" s="2"/>
    </row>
    <row r="160" spans="1:18" ht="15.75" customHeight="1">
      <c r="A160" s="2"/>
      <c r="B160" s="2"/>
      <c r="C160" s="2"/>
      <c r="D160" s="11"/>
      <c r="E160" s="2"/>
      <c r="F160" s="2"/>
      <c r="G160" s="2"/>
      <c r="H160" s="2"/>
      <c r="I160" s="13"/>
      <c r="J160" s="13"/>
      <c r="K160" s="2"/>
      <c r="L160" s="2"/>
      <c r="M160" s="19" t="str">
        <f t="shared" si="0"/>
        <v/>
      </c>
      <c r="N160" s="2"/>
      <c r="O160" s="2"/>
      <c r="P160" s="2"/>
      <c r="Q160" s="2"/>
      <c r="R160" s="2"/>
    </row>
    <row r="161" spans="1:18" ht="15.75" customHeight="1">
      <c r="A161" s="2"/>
      <c r="B161" s="2"/>
      <c r="C161" s="2"/>
      <c r="D161" s="11"/>
      <c r="E161" s="2"/>
      <c r="F161" s="2"/>
      <c r="G161" s="2"/>
      <c r="H161" s="2"/>
      <c r="I161" s="13"/>
      <c r="J161" s="13"/>
      <c r="K161" s="2"/>
      <c r="L161" s="2"/>
      <c r="M161" s="19" t="str">
        <f t="shared" si="0"/>
        <v/>
      </c>
      <c r="N161" s="2"/>
      <c r="O161" s="2"/>
      <c r="P161" s="2"/>
      <c r="Q161" s="2"/>
      <c r="R161" s="2"/>
    </row>
    <row r="162" spans="1:18" ht="15.75" customHeight="1">
      <c r="A162" s="2"/>
      <c r="B162" s="2"/>
      <c r="C162" s="2"/>
      <c r="D162" s="11"/>
      <c r="E162" s="2"/>
      <c r="F162" s="2"/>
      <c r="G162" s="2"/>
      <c r="H162" s="2"/>
      <c r="I162" s="13"/>
      <c r="J162" s="13"/>
      <c r="K162" s="2"/>
      <c r="L162" s="2"/>
      <c r="M162" s="19" t="str">
        <f t="shared" si="0"/>
        <v/>
      </c>
      <c r="N162" s="2"/>
      <c r="O162" s="2"/>
      <c r="P162" s="2"/>
      <c r="Q162" s="2"/>
      <c r="R162" s="2"/>
    </row>
    <row r="163" spans="1:18" ht="15.75" customHeight="1">
      <c r="A163" s="2"/>
      <c r="B163" s="2"/>
      <c r="C163" s="2"/>
      <c r="D163" s="11"/>
      <c r="E163" s="2"/>
      <c r="F163" s="2"/>
      <c r="G163" s="2"/>
      <c r="H163" s="2"/>
      <c r="I163" s="13"/>
      <c r="J163" s="13"/>
      <c r="K163" s="2"/>
      <c r="L163" s="2"/>
      <c r="M163" s="19" t="str">
        <f t="shared" si="0"/>
        <v/>
      </c>
      <c r="N163" s="2"/>
      <c r="O163" s="2"/>
      <c r="P163" s="2"/>
      <c r="Q163" s="2"/>
      <c r="R163" s="2"/>
    </row>
    <row r="164" spans="1:18" ht="15.75" customHeight="1">
      <c r="A164" s="2"/>
      <c r="B164" s="2"/>
      <c r="C164" s="2"/>
      <c r="D164" s="11"/>
      <c r="E164" s="2"/>
      <c r="F164" s="2"/>
      <c r="G164" s="2"/>
      <c r="H164" s="2"/>
      <c r="I164" s="13"/>
      <c r="J164" s="13"/>
      <c r="K164" s="2"/>
      <c r="L164" s="2"/>
      <c r="M164" s="19" t="str">
        <f t="shared" si="0"/>
        <v/>
      </c>
      <c r="N164" s="2"/>
      <c r="O164" s="2"/>
      <c r="P164" s="2"/>
      <c r="Q164" s="2"/>
      <c r="R164" s="2"/>
    </row>
    <row r="165" spans="1:18" ht="15.75" customHeight="1">
      <c r="A165" s="2"/>
      <c r="B165" s="2"/>
      <c r="C165" s="2"/>
      <c r="D165" s="11"/>
      <c r="E165" s="2"/>
      <c r="F165" s="2"/>
      <c r="G165" s="2"/>
      <c r="H165" s="2"/>
      <c r="I165" s="13"/>
      <c r="J165" s="13"/>
      <c r="K165" s="2"/>
      <c r="L165" s="2"/>
      <c r="M165" s="19" t="str">
        <f t="shared" si="0"/>
        <v/>
      </c>
      <c r="N165" s="2"/>
      <c r="O165" s="2"/>
      <c r="P165" s="2"/>
      <c r="Q165" s="2"/>
      <c r="R165" s="2"/>
    </row>
    <row r="166" spans="1:18" ht="15.75" customHeight="1">
      <c r="A166" s="2"/>
      <c r="B166" s="2"/>
      <c r="C166" s="2"/>
      <c r="D166" s="11"/>
      <c r="E166" s="2"/>
      <c r="F166" s="2"/>
      <c r="G166" s="2"/>
      <c r="H166" s="2"/>
      <c r="I166" s="13"/>
      <c r="J166" s="13"/>
      <c r="K166" s="2"/>
      <c r="L166" s="2"/>
      <c r="M166" s="19" t="str">
        <f t="shared" si="0"/>
        <v/>
      </c>
      <c r="N166" s="2"/>
      <c r="O166" s="2"/>
      <c r="P166" s="2"/>
      <c r="Q166" s="2"/>
      <c r="R166" s="2"/>
    </row>
    <row r="167" spans="1:18" ht="15.75" customHeight="1">
      <c r="A167" s="2"/>
      <c r="B167" s="2"/>
      <c r="C167" s="2"/>
      <c r="D167" s="11"/>
      <c r="E167" s="2"/>
      <c r="F167" s="2"/>
      <c r="G167" s="2"/>
      <c r="H167" s="2"/>
      <c r="I167" s="13"/>
      <c r="J167" s="13"/>
      <c r="K167" s="2"/>
      <c r="L167" s="2"/>
      <c r="M167" s="19" t="str">
        <f t="shared" si="0"/>
        <v/>
      </c>
      <c r="N167" s="2"/>
      <c r="O167" s="2"/>
      <c r="P167" s="2"/>
      <c r="Q167" s="2"/>
      <c r="R167" s="2"/>
    </row>
    <row r="168" spans="1:18" ht="15.75" customHeight="1">
      <c r="A168" s="2"/>
      <c r="B168" s="2"/>
      <c r="C168" s="2"/>
      <c r="D168" s="11"/>
      <c r="E168" s="2"/>
      <c r="F168" s="2"/>
      <c r="G168" s="2"/>
      <c r="H168" s="2"/>
      <c r="I168" s="13"/>
      <c r="J168" s="13"/>
      <c r="K168" s="2"/>
      <c r="L168" s="2"/>
      <c r="M168" s="19" t="str">
        <f t="shared" si="0"/>
        <v/>
      </c>
      <c r="N168" s="2"/>
      <c r="O168" s="2"/>
      <c r="P168" s="2"/>
      <c r="Q168" s="2"/>
      <c r="R168" s="2"/>
    </row>
    <row r="169" spans="1:18" ht="15.75" customHeight="1">
      <c r="A169" s="2"/>
      <c r="B169" s="2"/>
      <c r="C169" s="2"/>
      <c r="D169" s="11"/>
      <c r="E169" s="2"/>
      <c r="F169" s="2"/>
      <c r="G169" s="2"/>
      <c r="H169" s="2"/>
      <c r="I169" s="13"/>
      <c r="J169" s="13"/>
      <c r="K169" s="2"/>
      <c r="L169" s="2"/>
      <c r="M169" s="19" t="str">
        <f t="shared" si="0"/>
        <v/>
      </c>
      <c r="N169" s="2"/>
      <c r="O169" s="2"/>
      <c r="P169" s="2"/>
      <c r="Q169" s="2"/>
      <c r="R169" s="2"/>
    </row>
    <row r="170" spans="1:18" ht="15.75" customHeight="1">
      <c r="A170" s="2"/>
      <c r="B170" s="2"/>
      <c r="C170" s="2"/>
      <c r="D170" s="11"/>
      <c r="E170" s="2"/>
      <c r="F170" s="2"/>
      <c r="G170" s="2"/>
      <c r="H170" s="2"/>
      <c r="I170" s="13"/>
      <c r="J170" s="13"/>
      <c r="K170" s="2"/>
      <c r="L170" s="2"/>
      <c r="M170" s="19" t="str">
        <f t="shared" si="0"/>
        <v/>
      </c>
      <c r="N170" s="2"/>
      <c r="O170" s="2"/>
      <c r="P170" s="2"/>
      <c r="Q170" s="2"/>
      <c r="R170" s="2"/>
    </row>
    <row r="171" spans="1:18" ht="15.75" customHeight="1">
      <c r="A171" s="2"/>
      <c r="B171" s="2"/>
      <c r="C171" s="2"/>
      <c r="D171" s="11"/>
      <c r="E171" s="2"/>
      <c r="F171" s="2"/>
      <c r="G171" s="2"/>
      <c r="H171" s="2"/>
      <c r="I171" s="13"/>
      <c r="J171" s="13"/>
      <c r="K171" s="2"/>
      <c r="L171" s="2"/>
      <c r="M171" s="19" t="str">
        <f t="shared" si="0"/>
        <v/>
      </c>
      <c r="N171" s="2"/>
      <c r="O171" s="2"/>
      <c r="P171" s="2"/>
      <c r="Q171" s="2"/>
      <c r="R171" s="2"/>
    </row>
    <row r="172" spans="1:18" ht="15.75" customHeight="1">
      <c r="A172" s="2"/>
      <c r="B172" s="2"/>
      <c r="C172" s="2"/>
      <c r="D172" s="11"/>
      <c r="E172" s="2"/>
      <c r="F172" s="2"/>
      <c r="G172" s="2"/>
      <c r="H172" s="2"/>
      <c r="I172" s="13"/>
      <c r="J172" s="13"/>
      <c r="K172" s="2"/>
      <c r="L172" s="2"/>
      <c r="M172" s="19" t="str">
        <f t="shared" si="0"/>
        <v/>
      </c>
      <c r="N172" s="2"/>
      <c r="O172" s="2"/>
      <c r="P172" s="2"/>
      <c r="Q172" s="2"/>
      <c r="R172" s="2"/>
    </row>
    <row r="173" spans="1:18" ht="15.75" customHeight="1">
      <c r="A173" s="2"/>
      <c r="B173" s="2"/>
      <c r="C173" s="2"/>
      <c r="D173" s="11"/>
      <c r="E173" s="2"/>
      <c r="F173" s="2"/>
      <c r="G173" s="2"/>
      <c r="H173" s="2"/>
      <c r="I173" s="13"/>
      <c r="J173" s="13"/>
      <c r="K173" s="2"/>
      <c r="L173" s="2"/>
      <c r="M173" s="19" t="str">
        <f t="shared" si="0"/>
        <v/>
      </c>
      <c r="N173" s="2"/>
      <c r="O173" s="2"/>
      <c r="P173" s="2"/>
      <c r="Q173" s="2"/>
      <c r="R173" s="2"/>
    </row>
    <row r="174" spans="1:18" ht="15.75" customHeight="1">
      <c r="A174" s="2"/>
      <c r="B174" s="2"/>
      <c r="C174" s="2"/>
      <c r="D174" s="11"/>
      <c r="E174" s="2"/>
      <c r="F174" s="2"/>
      <c r="G174" s="2"/>
      <c r="H174" s="2"/>
      <c r="I174" s="13"/>
      <c r="J174" s="13"/>
      <c r="K174" s="2"/>
      <c r="L174" s="2"/>
      <c r="M174" s="19" t="str">
        <f t="shared" si="0"/>
        <v/>
      </c>
      <c r="N174" s="2"/>
      <c r="O174" s="2"/>
      <c r="P174" s="2"/>
      <c r="Q174" s="2"/>
      <c r="R174" s="2"/>
    </row>
    <row r="175" spans="1:18" ht="15.75" customHeight="1">
      <c r="A175" s="2"/>
      <c r="B175" s="2"/>
      <c r="C175" s="2"/>
      <c r="D175" s="11"/>
      <c r="E175" s="2"/>
      <c r="F175" s="2"/>
      <c r="G175" s="2"/>
      <c r="H175" s="2"/>
      <c r="I175" s="13"/>
      <c r="J175" s="13"/>
      <c r="K175" s="2"/>
      <c r="L175" s="2"/>
      <c r="M175" s="19" t="str">
        <f t="shared" si="0"/>
        <v/>
      </c>
      <c r="N175" s="2"/>
      <c r="O175" s="2"/>
      <c r="P175" s="2"/>
      <c r="Q175" s="2"/>
      <c r="R175" s="2"/>
    </row>
    <row r="176" spans="1:18" ht="15.75" customHeight="1">
      <c r="A176" s="2"/>
      <c r="B176" s="2"/>
      <c r="C176" s="2"/>
      <c r="D176" s="11"/>
      <c r="E176" s="2"/>
      <c r="F176" s="2"/>
      <c r="G176" s="2"/>
      <c r="H176" s="2"/>
      <c r="I176" s="13"/>
      <c r="J176" s="13"/>
      <c r="K176" s="2"/>
      <c r="L176" s="2"/>
      <c r="M176" s="19" t="str">
        <f t="shared" si="0"/>
        <v/>
      </c>
      <c r="N176" s="2"/>
      <c r="O176" s="2"/>
      <c r="P176" s="2"/>
      <c r="Q176" s="2"/>
      <c r="R176" s="2"/>
    </row>
    <row r="177" spans="1:18" ht="15.75" customHeight="1">
      <c r="A177" s="2"/>
      <c r="B177" s="2"/>
      <c r="C177" s="2"/>
      <c r="D177" s="11"/>
      <c r="E177" s="2"/>
      <c r="F177" s="2"/>
      <c r="G177" s="2"/>
      <c r="H177" s="2"/>
      <c r="I177" s="13"/>
      <c r="J177" s="13"/>
      <c r="K177" s="2"/>
      <c r="L177" s="2"/>
      <c r="M177" s="19" t="str">
        <f t="shared" si="0"/>
        <v/>
      </c>
      <c r="N177" s="2"/>
      <c r="O177" s="2"/>
      <c r="P177" s="2"/>
      <c r="Q177" s="2"/>
      <c r="R177" s="2"/>
    </row>
    <row r="178" spans="1:18" ht="15.75" customHeight="1">
      <c r="A178" s="2"/>
      <c r="B178" s="2"/>
      <c r="C178" s="2"/>
      <c r="D178" s="11"/>
      <c r="E178" s="2"/>
      <c r="F178" s="2"/>
      <c r="G178" s="2"/>
      <c r="H178" s="2"/>
      <c r="I178" s="13"/>
      <c r="J178" s="13"/>
      <c r="K178" s="2"/>
      <c r="L178" s="2"/>
      <c r="M178" s="19" t="str">
        <f t="shared" si="0"/>
        <v/>
      </c>
      <c r="N178" s="2"/>
      <c r="O178" s="2"/>
      <c r="P178" s="2"/>
      <c r="Q178" s="2"/>
      <c r="R178" s="2"/>
    </row>
    <row r="179" spans="1:18" ht="15.75" customHeight="1">
      <c r="A179" s="2"/>
      <c r="B179" s="2"/>
      <c r="C179" s="2"/>
      <c r="D179" s="11"/>
      <c r="E179" s="2"/>
      <c r="F179" s="2"/>
      <c r="G179" s="2"/>
      <c r="H179" s="2"/>
      <c r="I179" s="13"/>
      <c r="J179" s="13"/>
      <c r="K179" s="2"/>
      <c r="L179" s="2"/>
      <c r="M179" s="19" t="str">
        <f t="shared" si="0"/>
        <v/>
      </c>
      <c r="N179" s="2"/>
      <c r="O179" s="2"/>
      <c r="P179" s="2"/>
      <c r="Q179" s="2"/>
      <c r="R179" s="2"/>
    </row>
    <row r="180" spans="1:18" ht="15.75" customHeight="1">
      <c r="A180" s="2"/>
      <c r="B180" s="2"/>
      <c r="C180" s="2"/>
      <c r="D180" s="11"/>
      <c r="E180" s="2"/>
      <c r="F180" s="2"/>
      <c r="G180" s="2"/>
      <c r="H180" s="2"/>
      <c r="I180" s="13"/>
      <c r="J180" s="13"/>
      <c r="K180" s="2"/>
      <c r="L180" s="2"/>
      <c r="M180" s="19" t="str">
        <f t="shared" si="0"/>
        <v/>
      </c>
      <c r="N180" s="2"/>
      <c r="O180" s="2"/>
      <c r="P180" s="2"/>
      <c r="Q180" s="2"/>
      <c r="R180" s="2"/>
    </row>
    <row r="181" spans="1:18" ht="15.75" customHeight="1">
      <c r="A181" s="2"/>
      <c r="B181" s="2"/>
      <c r="C181" s="2"/>
      <c r="D181" s="11"/>
      <c r="E181" s="2"/>
      <c r="F181" s="2"/>
      <c r="G181" s="2"/>
      <c r="H181" s="2"/>
      <c r="I181" s="13"/>
      <c r="J181" s="13"/>
      <c r="K181" s="2"/>
      <c r="L181" s="2"/>
      <c r="M181" s="19" t="str">
        <f t="shared" si="0"/>
        <v/>
      </c>
      <c r="N181" s="2"/>
      <c r="O181" s="2"/>
      <c r="P181" s="2"/>
      <c r="Q181" s="2"/>
      <c r="R181" s="2"/>
    </row>
    <row r="182" spans="1:18" ht="15.75" customHeight="1">
      <c r="A182" s="2"/>
      <c r="B182" s="2"/>
      <c r="C182" s="2"/>
      <c r="D182" s="11"/>
      <c r="E182" s="2"/>
      <c r="F182" s="2"/>
      <c r="G182" s="2"/>
      <c r="H182" s="2"/>
      <c r="I182" s="13"/>
      <c r="J182" s="13"/>
      <c r="K182" s="2"/>
      <c r="L182" s="2"/>
      <c r="M182" s="19" t="str">
        <f t="shared" si="0"/>
        <v/>
      </c>
      <c r="N182" s="2"/>
      <c r="O182" s="2"/>
      <c r="P182" s="2"/>
      <c r="Q182" s="2"/>
      <c r="R182" s="2"/>
    </row>
    <row r="183" spans="1:18" ht="15.75" customHeight="1">
      <c r="A183" s="2"/>
      <c r="B183" s="2"/>
      <c r="C183" s="2"/>
      <c r="D183" s="11"/>
      <c r="E183" s="2"/>
      <c r="F183" s="2"/>
      <c r="G183" s="2"/>
      <c r="H183" s="2"/>
      <c r="I183" s="13"/>
      <c r="J183" s="13"/>
      <c r="K183" s="2"/>
      <c r="L183" s="2"/>
      <c r="M183" s="19" t="str">
        <f t="shared" si="0"/>
        <v/>
      </c>
      <c r="N183" s="2"/>
      <c r="O183" s="2"/>
      <c r="P183" s="2"/>
      <c r="Q183" s="2"/>
      <c r="R183" s="2"/>
    </row>
    <row r="184" spans="1:18" ht="15.75" customHeight="1">
      <c r="A184" s="2"/>
      <c r="B184" s="2"/>
      <c r="C184" s="2"/>
      <c r="D184" s="11"/>
      <c r="E184" s="2"/>
      <c r="F184" s="2"/>
      <c r="G184" s="2"/>
      <c r="H184" s="2"/>
      <c r="I184" s="13"/>
      <c r="J184" s="13"/>
      <c r="K184" s="2"/>
      <c r="L184" s="2"/>
      <c r="M184" s="19" t="str">
        <f t="shared" si="0"/>
        <v/>
      </c>
      <c r="N184" s="2"/>
      <c r="O184" s="2"/>
      <c r="P184" s="2"/>
      <c r="Q184" s="2"/>
      <c r="R184" s="2"/>
    </row>
    <row r="185" spans="1:18" ht="15.75" customHeight="1">
      <c r="A185" s="2"/>
      <c r="B185" s="2"/>
      <c r="C185" s="2"/>
      <c r="D185" s="11"/>
      <c r="E185" s="2"/>
      <c r="F185" s="2"/>
      <c r="G185" s="2"/>
      <c r="H185" s="2"/>
      <c r="I185" s="13"/>
      <c r="J185" s="13"/>
      <c r="K185" s="2"/>
      <c r="L185" s="2"/>
      <c r="M185" s="19" t="str">
        <f t="shared" si="0"/>
        <v/>
      </c>
      <c r="N185" s="2"/>
      <c r="O185" s="2"/>
      <c r="P185" s="2"/>
      <c r="Q185" s="2"/>
      <c r="R185" s="2"/>
    </row>
    <row r="186" spans="1:18" ht="15.75" customHeight="1">
      <c r="A186" s="2"/>
      <c r="B186" s="2"/>
      <c r="C186" s="2"/>
      <c r="D186" s="11"/>
      <c r="E186" s="2"/>
      <c r="F186" s="2"/>
      <c r="G186" s="2"/>
      <c r="H186" s="2"/>
      <c r="I186" s="13"/>
      <c r="J186" s="13"/>
      <c r="K186" s="2"/>
      <c r="L186" s="2"/>
      <c r="M186" s="19" t="str">
        <f t="shared" si="0"/>
        <v/>
      </c>
      <c r="N186" s="2"/>
      <c r="O186" s="2"/>
      <c r="P186" s="2"/>
      <c r="Q186" s="2"/>
      <c r="R186" s="2"/>
    </row>
    <row r="187" spans="1:18" ht="15.75" customHeight="1">
      <c r="A187" s="2"/>
      <c r="B187" s="2"/>
      <c r="C187" s="2"/>
      <c r="D187" s="11"/>
      <c r="E187" s="2"/>
      <c r="F187" s="2"/>
      <c r="G187" s="2"/>
      <c r="H187" s="2"/>
      <c r="I187" s="13"/>
      <c r="J187" s="13"/>
      <c r="K187" s="2"/>
      <c r="L187" s="2"/>
      <c r="M187" s="19" t="str">
        <f t="shared" si="0"/>
        <v/>
      </c>
      <c r="N187" s="2"/>
      <c r="O187" s="2"/>
      <c r="P187" s="2"/>
      <c r="Q187" s="2"/>
      <c r="R187" s="2"/>
    </row>
    <row r="188" spans="1:18" ht="15.75" customHeight="1">
      <c r="A188" s="2"/>
      <c r="B188" s="2"/>
      <c r="C188" s="2"/>
      <c r="D188" s="11"/>
      <c r="E188" s="2"/>
      <c r="F188" s="2"/>
      <c r="G188" s="2"/>
      <c r="H188" s="2"/>
      <c r="I188" s="13"/>
      <c r="J188" s="13"/>
      <c r="K188" s="2"/>
      <c r="L188" s="2"/>
      <c r="M188" s="19" t="str">
        <f t="shared" si="0"/>
        <v/>
      </c>
      <c r="N188" s="2"/>
      <c r="O188" s="2"/>
      <c r="P188" s="2"/>
      <c r="Q188" s="2"/>
      <c r="R188" s="2"/>
    </row>
    <row r="189" spans="1:18" ht="15.75" customHeight="1">
      <c r="A189" s="2"/>
      <c r="B189" s="2"/>
      <c r="C189" s="2"/>
      <c r="D189" s="11"/>
      <c r="E189" s="2"/>
      <c r="F189" s="2"/>
      <c r="G189" s="2"/>
      <c r="H189" s="2"/>
      <c r="I189" s="13"/>
      <c r="J189" s="13"/>
      <c r="K189" s="2"/>
      <c r="L189" s="2"/>
      <c r="M189" s="19" t="str">
        <f t="shared" si="0"/>
        <v/>
      </c>
      <c r="N189" s="2"/>
      <c r="O189" s="2"/>
      <c r="P189" s="2"/>
      <c r="Q189" s="2"/>
      <c r="R189" s="2"/>
    </row>
    <row r="190" spans="1:18" ht="15.75" customHeight="1">
      <c r="A190" s="2"/>
      <c r="B190" s="2"/>
      <c r="C190" s="2"/>
      <c r="D190" s="11"/>
      <c r="E190" s="2"/>
      <c r="F190" s="2"/>
      <c r="G190" s="2"/>
      <c r="H190" s="2"/>
      <c r="I190" s="13"/>
      <c r="J190" s="13"/>
      <c r="K190" s="2"/>
      <c r="L190" s="2"/>
      <c r="M190" s="19" t="str">
        <f t="shared" si="0"/>
        <v/>
      </c>
      <c r="N190" s="2"/>
      <c r="O190" s="2"/>
      <c r="P190" s="2"/>
      <c r="Q190" s="2"/>
      <c r="R190" s="2"/>
    </row>
    <row r="191" spans="1:18" ht="15.75" customHeight="1">
      <c r="A191" s="2"/>
      <c r="B191" s="2"/>
      <c r="C191" s="2"/>
      <c r="D191" s="11"/>
      <c r="E191" s="2"/>
      <c r="F191" s="2"/>
      <c r="G191" s="2"/>
      <c r="H191" s="2"/>
      <c r="I191" s="13"/>
      <c r="J191" s="13"/>
      <c r="K191" s="2"/>
      <c r="L191" s="2"/>
      <c r="M191" s="19" t="str">
        <f t="shared" si="0"/>
        <v/>
      </c>
      <c r="N191" s="2"/>
      <c r="O191" s="2"/>
      <c r="P191" s="2"/>
      <c r="Q191" s="2"/>
      <c r="R191" s="2"/>
    </row>
    <row r="192" spans="1:18" ht="15.75" customHeight="1">
      <c r="A192" s="2"/>
      <c r="B192" s="2"/>
      <c r="C192" s="2"/>
      <c r="D192" s="11"/>
      <c r="E192" s="2"/>
      <c r="F192" s="2"/>
      <c r="G192" s="2"/>
      <c r="H192" s="2"/>
      <c r="I192" s="13"/>
      <c r="J192" s="13"/>
      <c r="K192" s="2"/>
      <c r="L192" s="2"/>
      <c r="M192" s="19" t="str">
        <f t="shared" si="0"/>
        <v/>
      </c>
      <c r="N192" s="2"/>
      <c r="O192" s="2"/>
      <c r="P192" s="2"/>
      <c r="Q192" s="2"/>
      <c r="R192" s="2"/>
    </row>
    <row r="193" spans="1:18" ht="15.75" customHeight="1">
      <c r="A193" s="2"/>
      <c r="B193" s="2"/>
      <c r="C193" s="2"/>
      <c r="D193" s="11"/>
      <c r="E193" s="2"/>
      <c r="F193" s="2"/>
      <c r="G193" s="2"/>
      <c r="H193" s="2"/>
      <c r="I193" s="13"/>
      <c r="J193" s="13"/>
      <c r="K193" s="2"/>
      <c r="L193" s="2"/>
      <c r="M193" s="19" t="str">
        <f t="shared" si="0"/>
        <v/>
      </c>
      <c r="N193" s="2"/>
      <c r="O193" s="2"/>
      <c r="P193" s="2"/>
      <c r="Q193" s="2"/>
      <c r="R193" s="2"/>
    </row>
    <row r="194" spans="1:18" ht="15.75" customHeight="1">
      <c r="A194" s="2"/>
      <c r="B194" s="2"/>
      <c r="C194" s="2"/>
      <c r="D194" s="11"/>
      <c r="E194" s="2"/>
      <c r="F194" s="2"/>
      <c r="G194" s="2"/>
      <c r="H194" s="2"/>
      <c r="I194" s="13"/>
      <c r="J194" s="13"/>
      <c r="K194" s="2"/>
      <c r="L194" s="2"/>
      <c r="M194" s="19" t="str">
        <f t="shared" si="0"/>
        <v/>
      </c>
      <c r="N194" s="2"/>
      <c r="O194" s="2"/>
      <c r="P194" s="2"/>
      <c r="Q194" s="2"/>
      <c r="R194" s="2"/>
    </row>
    <row r="195" spans="1:18" ht="15.75" customHeight="1">
      <c r="A195" s="2"/>
      <c r="B195" s="2"/>
      <c r="C195" s="2"/>
      <c r="D195" s="11"/>
      <c r="E195" s="2"/>
      <c r="F195" s="2"/>
      <c r="G195" s="2"/>
      <c r="H195" s="2"/>
      <c r="I195" s="13"/>
      <c r="J195" s="13"/>
      <c r="K195" s="2"/>
      <c r="L195" s="2"/>
      <c r="M195" s="19" t="str">
        <f t="shared" si="0"/>
        <v/>
      </c>
      <c r="N195" s="2"/>
      <c r="O195" s="2"/>
      <c r="P195" s="2"/>
      <c r="Q195" s="2"/>
      <c r="R195" s="2"/>
    </row>
    <row r="196" spans="1:18" ht="15.75" customHeight="1">
      <c r="A196" s="2"/>
      <c r="B196" s="2"/>
      <c r="C196" s="2"/>
      <c r="D196" s="11"/>
      <c r="E196" s="2"/>
      <c r="F196" s="2"/>
      <c r="G196" s="2"/>
      <c r="H196" s="2"/>
      <c r="I196" s="13"/>
      <c r="J196" s="13"/>
      <c r="K196" s="2"/>
      <c r="L196" s="2"/>
      <c r="M196" s="19" t="str">
        <f t="shared" si="0"/>
        <v/>
      </c>
      <c r="N196" s="2"/>
      <c r="O196" s="2"/>
      <c r="P196" s="2"/>
      <c r="Q196" s="2"/>
      <c r="R196" s="2"/>
    </row>
    <row r="197" spans="1:18" ht="15.75" customHeight="1">
      <c r="A197" s="2"/>
      <c r="B197" s="2"/>
      <c r="C197" s="2"/>
      <c r="D197" s="11"/>
      <c r="E197" s="2"/>
      <c r="F197" s="2"/>
      <c r="G197" s="2"/>
      <c r="H197" s="2"/>
      <c r="I197" s="13"/>
      <c r="J197" s="13"/>
      <c r="K197" s="2"/>
      <c r="L197" s="2"/>
      <c r="M197" s="19" t="str">
        <f t="shared" si="0"/>
        <v/>
      </c>
      <c r="N197" s="2"/>
      <c r="O197" s="2"/>
      <c r="P197" s="2"/>
      <c r="Q197" s="2"/>
      <c r="R197" s="2"/>
    </row>
    <row r="198" spans="1:18" ht="15.75" customHeight="1">
      <c r="A198" s="2"/>
      <c r="B198" s="2"/>
      <c r="C198" s="2"/>
      <c r="D198" s="11"/>
      <c r="E198" s="2"/>
      <c r="F198" s="2"/>
      <c r="G198" s="2"/>
      <c r="H198" s="2"/>
      <c r="I198" s="13"/>
      <c r="J198" s="13"/>
      <c r="K198" s="2"/>
      <c r="L198" s="2"/>
      <c r="M198" s="19" t="str">
        <f t="shared" si="0"/>
        <v/>
      </c>
      <c r="N198" s="2"/>
      <c r="O198" s="2"/>
      <c r="P198" s="2"/>
      <c r="Q198" s="2"/>
      <c r="R198" s="2"/>
    </row>
    <row r="199" spans="1:18" ht="15.75" customHeight="1">
      <c r="A199" s="2"/>
      <c r="B199" s="2"/>
      <c r="C199" s="2"/>
      <c r="D199" s="11"/>
      <c r="E199" s="2"/>
      <c r="F199" s="2"/>
      <c r="G199" s="2"/>
      <c r="H199" s="2"/>
      <c r="I199" s="13"/>
      <c r="J199" s="13"/>
      <c r="K199" s="2"/>
      <c r="L199" s="2"/>
      <c r="M199" s="19" t="str">
        <f t="shared" si="0"/>
        <v/>
      </c>
      <c r="N199" s="2"/>
      <c r="O199" s="2"/>
      <c r="P199" s="2"/>
      <c r="Q199" s="2"/>
      <c r="R199" s="2"/>
    </row>
    <row r="200" spans="1:18" ht="15.75" customHeight="1">
      <c r="A200" s="2"/>
      <c r="B200" s="2"/>
      <c r="C200" s="2"/>
      <c r="D200" s="11"/>
      <c r="E200" s="2"/>
      <c r="F200" s="2"/>
      <c r="G200" s="2"/>
      <c r="H200" s="2"/>
      <c r="I200" s="13"/>
      <c r="J200" s="13"/>
      <c r="K200" s="2"/>
      <c r="L200" s="2"/>
      <c r="M200" s="19" t="str">
        <f t="shared" si="0"/>
        <v/>
      </c>
      <c r="N200" s="2"/>
      <c r="O200" s="2"/>
      <c r="P200" s="2"/>
      <c r="Q200" s="2"/>
      <c r="R200" s="2"/>
    </row>
    <row r="201" spans="1:18" ht="15.75" customHeight="1">
      <c r="A201" s="2"/>
      <c r="B201" s="2"/>
      <c r="C201" s="2"/>
      <c r="D201" s="11"/>
      <c r="E201" s="2"/>
      <c r="F201" s="2"/>
      <c r="G201" s="2"/>
      <c r="H201" s="2"/>
      <c r="I201" s="13"/>
      <c r="J201" s="13"/>
      <c r="K201" s="2"/>
      <c r="L201" s="2"/>
      <c r="M201" s="19" t="str">
        <f t="shared" si="0"/>
        <v/>
      </c>
      <c r="N201" s="2"/>
      <c r="O201" s="2"/>
      <c r="P201" s="2"/>
      <c r="Q201" s="2"/>
      <c r="R201" s="2"/>
    </row>
    <row r="202" spans="1:18" ht="15.75" customHeight="1">
      <c r="A202" s="2"/>
      <c r="B202" s="2"/>
      <c r="C202" s="2"/>
      <c r="D202" s="11"/>
      <c r="E202" s="2"/>
      <c r="F202" s="2"/>
      <c r="G202" s="2"/>
      <c r="H202" s="2"/>
      <c r="I202" s="13"/>
      <c r="J202" s="13"/>
      <c r="K202" s="2"/>
      <c r="L202" s="2"/>
      <c r="M202" s="19" t="str">
        <f t="shared" si="0"/>
        <v/>
      </c>
      <c r="N202" s="2"/>
      <c r="O202" s="2"/>
      <c r="P202" s="2"/>
      <c r="Q202" s="2"/>
      <c r="R202" s="2"/>
    </row>
    <row r="203" spans="1:18" ht="15.75" customHeight="1">
      <c r="A203" s="2"/>
      <c r="B203" s="2"/>
      <c r="C203" s="2"/>
      <c r="D203" s="11"/>
      <c r="E203" s="2"/>
      <c r="F203" s="2"/>
      <c r="G203" s="2"/>
      <c r="H203" s="2"/>
      <c r="I203" s="13"/>
      <c r="J203" s="13"/>
      <c r="K203" s="2"/>
      <c r="L203" s="2"/>
      <c r="M203" s="19" t="str">
        <f t="shared" si="0"/>
        <v/>
      </c>
      <c r="N203" s="2"/>
      <c r="O203" s="2"/>
      <c r="P203" s="2"/>
      <c r="Q203" s="2"/>
      <c r="R203" s="2"/>
    </row>
    <row r="204" spans="1:18" ht="15.75" customHeight="1">
      <c r="A204" s="2"/>
      <c r="B204" s="2"/>
      <c r="C204" s="2"/>
      <c r="D204" s="11"/>
      <c r="E204" s="2"/>
      <c r="F204" s="2"/>
      <c r="G204" s="2"/>
      <c r="H204" s="2"/>
      <c r="I204" s="13"/>
      <c r="J204" s="13"/>
      <c r="K204" s="2"/>
      <c r="L204" s="2"/>
      <c r="M204" s="19" t="str">
        <f t="shared" si="0"/>
        <v/>
      </c>
      <c r="N204" s="2"/>
      <c r="O204" s="2"/>
      <c r="P204" s="2"/>
      <c r="Q204" s="2"/>
      <c r="R204" s="2"/>
    </row>
    <row r="205" spans="1:18" ht="15.75" customHeight="1">
      <c r="A205" s="2"/>
      <c r="B205" s="2"/>
      <c r="C205" s="2"/>
      <c r="D205" s="11"/>
      <c r="E205" s="2"/>
      <c r="F205" s="2"/>
      <c r="G205" s="2"/>
      <c r="H205" s="2"/>
      <c r="I205" s="13"/>
      <c r="J205" s="13"/>
      <c r="K205" s="2"/>
      <c r="L205" s="2"/>
      <c r="M205" s="19" t="str">
        <f t="shared" si="0"/>
        <v/>
      </c>
      <c r="N205" s="2"/>
      <c r="O205" s="2"/>
      <c r="P205" s="2"/>
      <c r="Q205" s="2"/>
      <c r="R205" s="2"/>
    </row>
    <row r="206" spans="1:18" ht="15.75" customHeight="1">
      <c r="A206" s="2"/>
      <c r="B206" s="2"/>
      <c r="C206" s="2"/>
      <c r="D206" s="11"/>
      <c r="E206" s="2"/>
      <c r="F206" s="2"/>
      <c r="G206" s="2"/>
      <c r="H206" s="2"/>
      <c r="I206" s="13"/>
      <c r="J206" s="13"/>
      <c r="K206" s="2"/>
      <c r="L206" s="2"/>
      <c r="M206" s="19" t="str">
        <f t="shared" si="0"/>
        <v/>
      </c>
      <c r="N206" s="2"/>
      <c r="O206" s="2"/>
      <c r="P206" s="2"/>
      <c r="Q206" s="2"/>
      <c r="R206" s="2"/>
    </row>
    <row r="207" spans="1:18" ht="15.75" customHeight="1">
      <c r="A207" s="2"/>
      <c r="B207" s="2"/>
      <c r="C207" s="2"/>
      <c r="D207" s="11"/>
      <c r="E207" s="2"/>
      <c r="F207" s="2"/>
      <c r="G207" s="2"/>
      <c r="H207" s="2"/>
      <c r="I207" s="13"/>
      <c r="J207" s="13"/>
      <c r="K207" s="2"/>
      <c r="L207" s="2"/>
      <c r="M207" s="19" t="str">
        <f t="shared" si="0"/>
        <v/>
      </c>
      <c r="N207" s="2"/>
      <c r="O207" s="2"/>
      <c r="P207" s="2"/>
      <c r="Q207" s="2"/>
      <c r="R207" s="2"/>
    </row>
    <row r="208" spans="1:18" ht="15.75" customHeight="1">
      <c r="A208" s="2"/>
      <c r="B208" s="2"/>
      <c r="C208" s="2"/>
      <c r="D208" s="11"/>
      <c r="E208" s="2"/>
      <c r="F208" s="2"/>
      <c r="G208" s="2"/>
      <c r="H208" s="2"/>
      <c r="I208" s="13"/>
      <c r="J208" s="13"/>
      <c r="K208" s="2"/>
      <c r="L208" s="2"/>
      <c r="M208" s="19" t="str">
        <f t="shared" si="0"/>
        <v/>
      </c>
      <c r="N208" s="2"/>
      <c r="O208" s="2"/>
      <c r="P208" s="2"/>
      <c r="Q208" s="2"/>
      <c r="R208" s="2"/>
    </row>
    <row r="209" spans="1:18" ht="15.75" customHeight="1">
      <c r="A209" s="2"/>
      <c r="B209" s="2"/>
      <c r="C209" s="2"/>
      <c r="D209" s="11"/>
      <c r="E209" s="2"/>
      <c r="F209" s="2"/>
      <c r="G209" s="2"/>
      <c r="H209" s="2"/>
      <c r="I209" s="13"/>
      <c r="J209" s="13"/>
      <c r="K209" s="2"/>
      <c r="L209" s="2"/>
      <c r="M209" s="19" t="str">
        <f t="shared" si="0"/>
        <v/>
      </c>
      <c r="N209" s="2"/>
      <c r="O209" s="2"/>
      <c r="P209" s="2"/>
      <c r="Q209" s="2"/>
      <c r="R209" s="2"/>
    </row>
    <row r="210" spans="1:18" ht="15.75" customHeight="1"/>
    <row r="211" spans="1:18" ht="15.75" customHeight="1"/>
    <row r="212" spans="1:18" ht="15.75" customHeight="1"/>
    <row r="213" spans="1:18" ht="15.75" customHeight="1"/>
    <row r="214" spans="1:18" ht="15.75" customHeight="1"/>
    <row r="215" spans="1:18" ht="15.75" customHeight="1"/>
    <row r="216" spans="1:18" ht="15.75" customHeight="1"/>
    <row r="217" spans="1:18" ht="15.75" customHeight="1"/>
    <row r="218" spans="1:18" ht="15.75" customHeight="1"/>
    <row r="219" spans="1:18" ht="15.75" customHeight="1"/>
    <row r="220" spans="1:18" ht="15.75" customHeight="1"/>
    <row r="221" spans="1:18" ht="15.75" customHeight="1"/>
    <row r="222" spans="1:18" ht="15.75" customHeight="1"/>
    <row r="223" spans="1:18" ht="15.75" customHeight="1"/>
    <row r="224" spans="1:1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6:Q6"/>
    <mergeCell ref="A7:Q7"/>
    <mergeCell ref="A1:Q1"/>
    <mergeCell ref="B2:Q2"/>
    <mergeCell ref="B3:Q3"/>
    <mergeCell ref="B4:Q4"/>
    <mergeCell ref="B5:Q5"/>
  </mergeCells>
  <pageMargins left="0.7" right="0.7" top="0.75" bottom="0.75" header="0" footer="0"/>
  <pageSetup orientation="landscape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000"/>
  <sheetViews>
    <sheetView workbookViewId="0">
      <selection sqref="A1:Q1"/>
    </sheetView>
  </sheetViews>
  <sheetFormatPr baseColWidth="10" defaultColWidth="12.59765625" defaultRowHeight="15" customHeight="1"/>
  <cols>
    <col min="1" max="1" width="18" customWidth="1"/>
    <col min="2" max="2" width="22" customWidth="1"/>
    <col min="3" max="3" width="30" customWidth="1"/>
    <col min="4" max="4" width="12" customWidth="1"/>
    <col min="5" max="5" width="24" customWidth="1"/>
    <col min="6" max="6" width="34" customWidth="1"/>
    <col min="7" max="7" width="20" customWidth="1"/>
    <col min="8" max="8" width="16" customWidth="1"/>
    <col min="9" max="9" width="15" customWidth="1"/>
    <col min="10" max="10" width="36" customWidth="1"/>
    <col min="11" max="13" width="18" customWidth="1"/>
    <col min="14" max="14" width="20" customWidth="1"/>
    <col min="15" max="15" width="12" customWidth="1"/>
    <col min="16" max="16" width="34" customWidth="1"/>
    <col min="17" max="17" width="30" customWidth="1"/>
    <col min="18" max="18" width="45" customWidth="1"/>
  </cols>
  <sheetData>
    <row r="1" spans="1:18" ht="36.75" customHeight="1">
      <c r="A1" s="25" t="s">
        <v>146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13.8">
      <c r="A2" s="7" t="s">
        <v>5</v>
      </c>
      <c r="B2" s="42" t="s">
        <v>147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8" ht="24">
      <c r="A3" s="7" t="s">
        <v>6</v>
      </c>
      <c r="B3" s="42" t="s">
        <v>148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8" ht="13.8">
      <c r="A4" s="7" t="s">
        <v>88</v>
      </c>
      <c r="B4" s="42" t="s">
        <v>149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8" ht="13.8">
      <c r="A5" s="7" t="s">
        <v>91</v>
      </c>
      <c r="B5" s="42" t="s">
        <v>150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8" ht="13.8">
      <c r="A6" s="7" t="s">
        <v>94</v>
      </c>
      <c r="B6" s="42" t="s">
        <v>151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8" spans="1:18" ht="50.25" customHeight="1">
      <c r="A8" s="9" t="s">
        <v>32</v>
      </c>
      <c r="B8" s="9" t="s">
        <v>46</v>
      </c>
      <c r="C8" s="9" t="s">
        <v>48</v>
      </c>
      <c r="D8" s="9" t="s">
        <v>43</v>
      </c>
      <c r="E8" s="9" t="s">
        <v>50</v>
      </c>
      <c r="F8" s="9" t="s">
        <v>152</v>
      </c>
      <c r="G8" s="9" t="s">
        <v>56</v>
      </c>
      <c r="H8" s="9" t="s">
        <v>153</v>
      </c>
      <c r="I8" s="9" t="s">
        <v>154</v>
      </c>
      <c r="J8" s="9" t="s">
        <v>155</v>
      </c>
      <c r="K8" s="9" t="s">
        <v>156</v>
      </c>
      <c r="L8" s="9" t="s">
        <v>157</v>
      </c>
      <c r="M8" s="9" t="s">
        <v>105</v>
      </c>
      <c r="N8" s="9" t="s">
        <v>106</v>
      </c>
      <c r="O8" s="9" t="s">
        <v>61</v>
      </c>
      <c r="P8" s="9" t="s">
        <v>63</v>
      </c>
      <c r="Q8" s="9" t="s">
        <v>65</v>
      </c>
      <c r="R8" s="9" t="s">
        <v>110</v>
      </c>
    </row>
    <row r="9" spans="1:18" ht="13.8">
      <c r="A9" s="2"/>
      <c r="B9" s="2"/>
      <c r="C9" s="2"/>
      <c r="D9" s="11"/>
      <c r="E9" s="2"/>
      <c r="F9" s="2"/>
      <c r="G9" s="2"/>
      <c r="H9" s="2"/>
      <c r="I9" s="2"/>
      <c r="J9" s="2"/>
      <c r="K9" s="2"/>
      <c r="L9" s="2"/>
      <c r="M9" s="12" t="str">
        <f t="shared" ref="M9:M208" si="0">IF(K9="Sí",L9,"")</f>
        <v/>
      </c>
      <c r="N9" s="2"/>
      <c r="O9" s="2"/>
      <c r="P9" s="2"/>
      <c r="Q9" s="2"/>
      <c r="R9" s="2"/>
    </row>
    <row r="10" spans="1:18" ht="13.8">
      <c r="A10" s="2"/>
      <c r="B10" s="2"/>
      <c r="C10" s="2"/>
      <c r="D10" s="11"/>
      <c r="E10" s="2"/>
      <c r="F10" s="2"/>
      <c r="G10" s="2"/>
      <c r="H10" s="2"/>
      <c r="I10" s="2"/>
      <c r="J10" s="2"/>
      <c r="K10" s="2"/>
      <c r="L10" s="2"/>
      <c r="M10" s="12" t="str">
        <f t="shared" si="0"/>
        <v/>
      </c>
      <c r="N10" s="2"/>
      <c r="O10" s="2"/>
      <c r="P10" s="2"/>
      <c r="Q10" s="2"/>
      <c r="R10" s="2"/>
    </row>
    <row r="11" spans="1:18" ht="13.8">
      <c r="A11" s="2"/>
      <c r="B11" s="2"/>
      <c r="C11" s="2"/>
      <c r="D11" s="11"/>
      <c r="E11" s="2"/>
      <c r="F11" s="2"/>
      <c r="G11" s="2"/>
      <c r="H11" s="2"/>
      <c r="I11" s="2"/>
      <c r="J11" s="2"/>
      <c r="K11" s="2"/>
      <c r="L11" s="2"/>
      <c r="M11" s="12" t="str">
        <f t="shared" si="0"/>
        <v/>
      </c>
      <c r="N11" s="2"/>
      <c r="O11" s="2"/>
      <c r="P11" s="2"/>
      <c r="Q11" s="2"/>
      <c r="R11" s="2"/>
    </row>
    <row r="12" spans="1:18" ht="13.8">
      <c r="A12" s="2"/>
      <c r="B12" s="2"/>
      <c r="C12" s="2"/>
      <c r="D12" s="11"/>
      <c r="E12" s="2"/>
      <c r="F12" s="2"/>
      <c r="G12" s="2"/>
      <c r="H12" s="2"/>
      <c r="I12" s="2"/>
      <c r="J12" s="2"/>
      <c r="K12" s="2"/>
      <c r="L12" s="2"/>
      <c r="M12" s="12" t="str">
        <f t="shared" si="0"/>
        <v/>
      </c>
      <c r="N12" s="2"/>
      <c r="O12" s="2"/>
      <c r="P12" s="2"/>
      <c r="Q12" s="2"/>
      <c r="R12" s="2"/>
    </row>
    <row r="13" spans="1:18" ht="13.8">
      <c r="A13" s="2"/>
      <c r="B13" s="2"/>
      <c r="C13" s="2"/>
      <c r="D13" s="11"/>
      <c r="E13" s="2"/>
      <c r="F13" s="2"/>
      <c r="G13" s="2"/>
      <c r="H13" s="2"/>
      <c r="I13" s="2"/>
      <c r="J13" s="2"/>
      <c r="K13" s="2"/>
      <c r="L13" s="2"/>
      <c r="M13" s="12" t="str">
        <f t="shared" si="0"/>
        <v/>
      </c>
      <c r="N13" s="2"/>
      <c r="O13" s="2"/>
      <c r="P13" s="2"/>
      <c r="Q13" s="2"/>
      <c r="R13" s="2"/>
    </row>
    <row r="14" spans="1:18" ht="13.8">
      <c r="A14" s="2"/>
      <c r="B14" s="2"/>
      <c r="C14" s="2"/>
      <c r="D14" s="11"/>
      <c r="E14" s="2"/>
      <c r="F14" s="2"/>
      <c r="G14" s="2"/>
      <c r="H14" s="2"/>
      <c r="I14" s="2"/>
      <c r="J14" s="2"/>
      <c r="K14" s="2"/>
      <c r="L14" s="2"/>
      <c r="M14" s="12" t="str">
        <f t="shared" si="0"/>
        <v/>
      </c>
      <c r="N14" s="2"/>
      <c r="O14" s="2"/>
      <c r="P14" s="2"/>
      <c r="Q14" s="2"/>
      <c r="R14" s="2"/>
    </row>
    <row r="15" spans="1:18" ht="13.8">
      <c r="A15" s="2"/>
      <c r="B15" s="2"/>
      <c r="C15" s="2"/>
      <c r="D15" s="11"/>
      <c r="E15" s="2"/>
      <c r="F15" s="2"/>
      <c r="G15" s="2"/>
      <c r="H15" s="2"/>
      <c r="I15" s="2"/>
      <c r="J15" s="2"/>
      <c r="K15" s="2"/>
      <c r="L15" s="2"/>
      <c r="M15" s="12" t="str">
        <f t="shared" si="0"/>
        <v/>
      </c>
      <c r="N15" s="2"/>
      <c r="O15" s="2"/>
      <c r="P15" s="2"/>
      <c r="Q15" s="2"/>
      <c r="R15" s="2"/>
    </row>
    <row r="16" spans="1:18" ht="13.8">
      <c r="A16" s="2"/>
      <c r="B16" s="2"/>
      <c r="C16" s="2"/>
      <c r="D16" s="11"/>
      <c r="E16" s="2"/>
      <c r="F16" s="2"/>
      <c r="G16" s="2"/>
      <c r="H16" s="2"/>
      <c r="I16" s="2"/>
      <c r="J16" s="2"/>
      <c r="K16" s="2"/>
      <c r="L16" s="2"/>
      <c r="M16" s="12" t="str">
        <f t="shared" si="0"/>
        <v/>
      </c>
      <c r="N16" s="2"/>
      <c r="O16" s="2"/>
      <c r="P16" s="2"/>
      <c r="Q16" s="2"/>
      <c r="R16" s="2"/>
    </row>
    <row r="17" spans="1:18" ht="13.8">
      <c r="A17" s="2"/>
      <c r="B17" s="2"/>
      <c r="C17" s="2"/>
      <c r="D17" s="11"/>
      <c r="E17" s="2"/>
      <c r="F17" s="2"/>
      <c r="G17" s="2"/>
      <c r="H17" s="2"/>
      <c r="I17" s="2"/>
      <c r="J17" s="2"/>
      <c r="K17" s="2"/>
      <c r="L17" s="2"/>
      <c r="M17" s="12" t="str">
        <f t="shared" si="0"/>
        <v/>
      </c>
      <c r="N17" s="2"/>
      <c r="O17" s="2"/>
      <c r="P17" s="2"/>
      <c r="Q17" s="2"/>
      <c r="R17" s="2"/>
    </row>
    <row r="18" spans="1:18" ht="13.8">
      <c r="A18" s="2"/>
      <c r="B18" s="2"/>
      <c r="C18" s="2"/>
      <c r="D18" s="11"/>
      <c r="E18" s="2"/>
      <c r="F18" s="2"/>
      <c r="G18" s="2"/>
      <c r="H18" s="2"/>
      <c r="I18" s="2"/>
      <c r="J18" s="2"/>
      <c r="K18" s="2"/>
      <c r="L18" s="2"/>
      <c r="M18" s="12" t="str">
        <f t="shared" si="0"/>
        <v/>
      </c>
      <c r="N18" s="2"/>
      <c r="O18" s="2"/>
      <c r="P18" s="2"/>
      <c r="Q18" s="2"/>
      <c r="R18" s="2"/>
    </row>
    <row r="19" spans="1:18" ht="13.8">
      <c r="A19" s="2"/>
      <c r="B19" s="2"/>
      <c r="C19" s="2"/>
      <c r="D19" s="11"/>
      <c r="E19" s="2"/>
      <c r="F19" s="2"/>
      <c r="G19" s="2"/>
      <c r="H19" s="2"/>
      <c r="I19" s="2"/>
      <c r="J19" s="2"/>
      <c r="K19" s="2"/>
      <c r="L19" s="2"/>
      <c r="M19" s="12" t="str">
        <f t="shared" si="0"/>
        <v/>
      </c>
      <c r="N19" s="2"/>
      <c r="O19" s="2"/>
      <c r="P19" s="2"/>
      <c r="Q19" s="2"/>
      <c r="R19" s="2"/>
    </row>
    <row r="20" spans="1:18" ht="13.8">
      <c r="A20" s="2"/>
      <c r="B20" s="2"/>
      <c r="C20" s="2"/>
      <c r="D20" s="11"/>
      <c r="E20" s="2"/>
      <c r="F20" s="2"/>
      <c r="G20" s="2"/>
      <c r="H20" s="2"/>
      <c r="I20" s="2"/>
      <c r="J20" s="2"/>
      <c r="K20" s="2"/>
      <c r="L20" s="2"/>
      <c r="M20" s="12" t="str">
        <f t="shared" si="0"/>
        <v/>
      </c>
      <c r="N20" s="2"/>
      <c r="O20" s="2"/>
      <c r="P20" s="2"/>
      <c r="Q20" s="2"/>
      <c r="R20" s="2"/>
    </row>
    <row r="21" spans="1:18" ht="15.75" customHeight="1">
      <c r="A21" s="2"/>
      <c r="B21" s="2"/>
      <c r="C21" s="2"/>
      <c r="D21" s="11"/>
      <c r="E21" s="2"/>
      <c r="F21" s="2"/>
      <c r="G21" s="2"/>
      <c r="H21" s="2"/>
      <c r="I21" s="2"/>
      <c r="J21" s="2"/>
      <c r="K21" s="2"/>
      <c r="L21" s="2"/>
      <c r="M21" s="12" t="str">
        <f t="shared" si="0"/>
        <v/>
      </c>
      <c r="N21" s="2"/>
      <c r="O21" s="2"/>
      <c r="P21" s="2"/>
      <c r="Q21" s="2"/>
      <c r="R21" s="2"/>
    </row>
    <row r="22" spans="1:18" ht="15.75" customHeight="1">
      <c r="A22" s="2"/>
      <c r="B22" s="2"/>
      <c r="C22" s="2"/>
      <c r="D22" s="11"/>
      <c r="E22" s="2"/>
      <c r="F22" s="2"/>
      <c r="G22" s="2"/>
      <c r="H22" s="2"/>
      <c r="I22" s="2"/>
      <c r="J22" s="2"/>
      <c r="K22" s="2"/>
      <c r="L22" s="2"/>
      <c r="M22" s="12" t="str">
        <f t="shared" si="0"/>
        <v/>
      </c>
      <c r="N22" s="2"/>
      <c r="O22" s="2"/>
      <c r="P22" s="2"/>
      <c r="Q22" s="2"/>
      <c r="R22" s="2"/>
    </row>
    <row r="23" spans="1:18" ht="15.75" customHeight="1">
      <c r="A23" s="2"/>
      <c r="B23" s="2"/>
      <c r="C23" s="2"/>
      <c r="D23" s="11"/>
      <c r="E23" s="2"/>
      <c r="F23" s="2"/>
      <c r="G23" s="2"/>
      <c r="H23" s="2"/>
      <c r="I23" s="2"/>
      <c r="J23" s="2"/>
      <c r="K23" s="2"/>
      <c r="L23" s="2"/>
      <c r="M23" s="12" t="str">
        <f t="shared" si="0"/>
        <v/>
      </c>
      <c r="N23" s="2"/>
      <c r="O23" s="2"/>
      <c r="P23" s="2"/>
      <c r="Q23" s="2"/>
      <c r="R23" s="2"/>
    </row>
    <row r="24" spans="1:18" ht="15.75" customHeight="1">
      <c r="A24" s="2"/>
      <c r="B24" s="2"/>
      <c r="C24" s="2"/>
      <c r="D24" s="11"/>
      <c r="E24" s="2"/>
      <c r="F24" s="2"/>
      <c r="G24" s="2"/>
      <c r="H24" s="2"/>
      <c r="I24" s="2"/>
      <c r="J24" s="2"/>
      <c r="K24" s="2"/>
      <c r="L24" s="2"/>
      <c r="M24" s="12" t="str">
        <f t="shared" si="0"/>
        <v/>
      </c>
      <c r="N24" s="2"/>
      <c r="O24" s="2"/>
      <c r="P24" s="2"/>
      <c r="Q24" s="2"/>
      <c r="R24" s="2"/>
    </row>
    <row r="25" spans="1:18" ht="15.75" customHeight="1">
      <c r="A25" s="2"/>
      <c r="B25" s="2"/>
      <c r="C25" s="2"/>
      <c r="D25" s="11"/>
      <c r="E25" s="2"/>
      <c r="F25" s="2"/>
      <c r="G25" s="2"/>
      <c r="H25" s="2"/>
      <c r="I25" s="2"/>
      <c r="J25" s="2"/>
      <c r="K25" s="2"/>
      <c r="L25" s="2"/>
      <c r="M25" s="12" t="str">
        <f t="shared" si="0"/>
        <v/>
      </c>
      <c r="N25" s="2"/>
      <c r="O25" s="2"/>
      <c r="P25" s="2"/>
      <c r="Q25" s="2"/>
      <c r="R25" s="2"/>
    </row>
    <row r="26" spans="1:18" ht="15.75" customHeight="1">
      <c r="A26" s="2"/>
      <c r="B26" s="2"/>
      <c r="C26" s="2"/>
      <c r="D26" s="11"/>
      <c r="E26" s="2"/>
      <c r="F26" s="2"/>
      <c r="G26" s="2"/>
      <c r="H26" s="2"/>
      <c r="I26" s="2"/>
      <c r="J26" s="2"/>
      <c r="K26" s="2"/>
      <c r="L26" s="2"/>
      <c r="M26" s="12" t="str">
        <f t="shared" si="0"/>
        <v/>
      </c>
      <c r="N26" s="2"/>
      <c r="O26" s="2"/>
      <c r="P26" s="2"/>
      <c r="Q26" s="2"/>
      <c r="R26" s="2"/>
    </row>
    <row r="27" spans="1:18" ht="15.75" customHeight="1">
      <c r="A27" s="2"/>
      <c r="B27" s="2"/>
      <c r="C27" s="2"/>
      <c r="D27" s="11"/>
      <c r="E27" s="2"/>
      <c r="F27" s="2"/>
      <c r="G27" s="2"/>
      <c r="H27" s="2"/>
      <c r="I27" s="2"/>
      <c r="J27" s="2"/>
      <c r="K27" s="2"/>
      <c r="L27" s="2"/>
      <c r="M27" s="12" t="str">
        <f t="shared" si="0"/>
        <v/>
      </c>
      <c r="N27" s="2"/>
      <c r="O27" s="2"/>
      <c r="P27" s="2"/>
      <c r="Q27" s="2"/>
      <c r="R27" s="2"/>
    </row>
    <row r="28" spans="1:18" ht="15.75" customHeight="1">
      <c r="A28" s="2"/>
      <c r="B28" s="2"/>
      <c r="C28" s="2"/>
      <c r="D28" s="11"/>
      <c r="E28" s="2"/>
      <c r="F28" s="2"/>
      <c r="G28" s="2"/>
      <c r="H28" s="2"/>
      <c r="I28" s="2"/>
      <c r="J28" s="2"/>
      <c r="K28" s="2"/>
      <c r="L28" s="2"/>
      <c r="M28" s="12" t="str">
        <f t="shared" si="0"/>
        <v/>
      </c>
      <c r="N28" s="2"/>
      <c r="O28" s="2"/>
      <c r="P28" s="2"/>
      <c r="Q28" s="2"/>
      <c r="R28" s="2"/>
    </row>
    <row r="29" spans="1:18" ht="15.75" customHeight="1">
      <c r="A29" s="2"/>
      <c r="B29" s="2"/>
      <c r="C29" s="2"/>
      <c r="D29" s="11"/>
      <c r="E29" s="2"/>
      <c r="F29" s="2"/>
      <c r="G29" s="2"/>
      <c r="H29" s="2"/>
      <c r="I29" s="2"/>
      <c r="J29" s="2"/>
      <c r="K29" s="2"/>
      <c r="L29" s="2"/>
      <c r="M29" s="12" t="str">
        <f t="shared" si="0"/>
        <v/>
      </c>
      <c r="N29" s="2"/>
      <c r="O29" s="2"/>
      <c r="P29" s="2"/>
      <c r="Q29" s="2"/>
      <c r="R29" s="2"/>
    </row>
    <row r="30" spans="1:18" ht="15.75" customHeight="1">
      <c r="A30" s="2"/>
      <c r="B30" s="2"/>
      <c r="C30" s="2"/>
      <c r="D30" s="11"/>
      <c r="E30" s="2"/>
      <c r="F30" s="2"/>
      <c r="G30" s="2"/>
      <c r="H30" s="2"/>
      <c r="I30" s="2"/>
      <c r="J30" s="2"/>
      <c r="K30" s="2"/>
      <c r="L30" s="2"/>
      <c r="M30" s="12" t="str">
        <f t="shared" si="0"/>
        <v/>
      </c>
      <c r="N30" s="2"/>
      <c r="O30" s="2"/>
      <c r="P30" s="2"/>
      <c r="Q30" s="2"/>
      <c r="R30" s="2"/>
    </row>
    <row r="31" spans="1:18" ht="15.75" customHeight="1">
      <c r="A31" s="2"/>
      <c r="B31" s="2"/>
      <c r="C31" s="2"/>
      <c r="D31" s="11"/>
      <c r="E31" s="2"/>
      <c r="F31" s="2"/>
      <c r="G31" s="2"/>
      <c r="H31" s="2"/>
      <c r="I31" s="2"/>
      <c r="J31" s="2"/>
      <c r="K31" s="2"/>
      <c r="L31" s="2"/>
      <c r="M31" s="12" t="str">
        <f t="shared" si="0"/>
        <v/>
      </c>
      <c r="N31" s="2"/>
      <c r="O31" s="2"/>
      <c r="P31" s="2"/>
      <c r="Q31" s="2"/>
      <c r="R31" s="2"/>
    </row>
    <row r="32" spans="1:18" ht="15.75" customHeight="1">
      <c r="A32" s="2"/>
      <c r="B32" s="2"/>
      <c r="C32" s="2"/>
      <c r="D32" s="11"/>
      <c r="E32" s="2"/>
      <c r="F32" s="2"/>
      <c r="G32" s="2"/>
      <c r="H32" s="2"/>
      <c r="I32" s="2"/>
      <c r="J32" s="2"/>
      <c r="K32" s="2"/>
      <c r="L32" s="2"/>
      <c r="M32" s="12" t="str">
        <f t="shared" si="0"/>
        <v/>
      </c>
      <c r="N32" s="2"/>
      <c r="O32" s="2"/>
      <c r="P32" s="2"/>
      <c r="Q32" s="2"/>
      <c r="R32" s="2"/>
    </row>
    <row r="33" spans="1:18" ht="15.75" customHeight="1">
      <c r="A33" s="2"/>
      <c r="B33" s="2"/>
      <c r="C33" s="2"/>
      <c r="D33" s="11"/>
      <c r="E33" s="2"/>
      <c r="F33" s="2"/>
      <c r="G33" s="2"/>
      <c r="H33" s="2"/>
      <c r="I33" s="2"/>
      <c r="J33" s="2"/>
      <c r="K33" s="2"/>
      <c r="L33" s="2"/>
      <c r="M33" s="12" t="str">
        <f t="shared" si="0"/>
        <v/>
      </c>
      <c r="N33" s="2"/>
      <c r="O33" s="2"/>
      <c r="P33" s="2"/>
      <c r="Q33" s="2"/>
      <c r="R33" s="2"/>
    </row>
    <row r="34" spans="1:18" ht="15.75" customHeight="1">
      <c r="A34" s="2"/>
      <c r="B34" s="2"/>
      <c r="C34" s="2"/>
      <c r="D34" s="11"/>
      <c r="E34" s="2"/>
      <c r="F34" s="2"/>
      <c r="G34" s="2"/>
      <c r="H34" s="2"/>
      <c r="I34" s="2"/>
      <c r="J34" s="2"/>
      <c r="K34" s="2"/>
      <c r="L34" s="2"/>
      <c r="M34" s="12" t="str">
        <f t="shared" si="0"/>
        <v/>
      </c>
      <c r="N34" s="2"/>
      <c r="O34" s="2"/>
      <c r="P34" s="2"/>
      <c r="Q34" s="2"/>
      <c r="R34" s="2"/>
    </row>
    <row r="35" spans="1:18" ht="15.75" customHeight="1">
      <c r="A35" s="2"/>
      <c r="B35" s="2"/>
      <c r="C35" s="2"/>
      <c r="D35" s="11"/>
      <c r="E35" s="2"/>
      <c r="F35" s="2"/>
      <c r="G35" s="2"/>
      <c r="H35" s="2"/>
      <c r="I35" s="2"/>
      <c r="J35" s="2"/>
      <c r="K35" s="2"/>
      <c r="L35" s="2"/>
      <c r="M35" s="12" t="str">
        <f t="shared" si="0"/>
        <v/>
      </c>
      <c r="N35" s="2"/>
      <c r="O35" s="2"/>
      <c r="P35" s="2"/>
      <c r="Q35" s="2"/>
      <c r="R35" s="2"/>
    </row>
    <row r="36" spans="1:18" ht="15.75" customHeight="1">
      <c r="A36" s="2"/>
      <c r="B36" s="2"/>
      <c r="C36" s="2"/>
      <c r="D36" s="11"/>
      <c r="E36" s="2"/>
      <c r="F36" s="2"/>
      <c r="G36" s="2"/>
      <c r="H36" s="2"/>
      <c r="I36" s="2"/>
      <c r="J36" s="2"/>
      <c r="K36" s="2"/>
      <c r="L36" s="2"/>
      <c r="M36" s="12" t="str">
        <f t="shared" si="0"/>
        <v/>
      </c>
      <c r="N36" s="2"/>
      <c r="O36" s="2"/>
      <c r="P36" s="2"/>
      <c r="Q36" s="2"/>
      <c r="R36" s="2"/>
    </row>
    <row r="37" spans="1:18" ht="15.75" customHeight="1">
      <c r="A37" s="2"/>
      <c r="B37" s="2"/>
      <c r="C37" s="2"/>
      <c r="D37" s="11"/>
      <c r="E37" s="2"/>
      <c r="F37" s="2"/>
      <c r="G37" s="2"/>
      <c r="H37" s="2"/>
      <c r="I37" s="2"/>
      <c r="J37" s="2"/>
      <c r="K37" s="2"/>
      <c r="L37" s="2"/>
      <c r="M37" s="12" t="str">
        <f t="shared" si="0"/>
        <v/>
      </c>
      <c r="N37" s="2"/>
      <c r="O37" s="2"/>
      <c r="P37" s="2"/>
      <c r="Q37" s="2"/>
      <c r="R37" s="2"/>
    </row>
    <row r="38" spans="1:18" ht="15.75" customHeight="1">
      <c r="A38" s="2"/>
      <c r="B38" s="2"/>
      <c r="C38" s="2"/>
      <c r="D38" s="11"/>
      <c r="E38" s="2"/>
      <c r="F38" s="2"/>
      <c r="G38" s="2"/>
      <c r="H38" s="2"/>
      <c r="I38" s="2"/>
      <c r="J38" s="2"/>
      <c r="K38" s="2"/>
      <c r="L38" s="2"/>
      <c r="M38" s="12" t="str">
        <f t="shared" si="0"/>
        <v/>
      </c>
      <c r="N38" s="2"/>
      <c r="O38" s="2"/>
      <c r="P38" s="2"/>
      <c r="Q38" s="2"/>
      <c r="R38" s="2"/>
    </row>
    <row r="39" spans="1:18" ht="15.75" customHeight="1">
      <c r="A39" s="2"/>
      <c r="B39" s="2"/>
      <c r="C39" s="2"/>
      <c r="D39" s="11"/>
      <c r="E39" s="2"/>
      <c r="F39" s="2"/>
      <c r="G39" s="2"/>
      <c r="H39" s="2"/>
      <c r="I39" s="2"/>
      <c r="J39" s="2"/>
      <c r="K39" s="2"/>
      <c r="L39" s="2"/>
      <c r="M39" s="12" t="str">
        <f t="shared" si="0"/>
        <v/>
      </c>
      <c r="N39" s="2"/>
      <c r="O39" s="2"/>
      <c r="P39" s="2"/>
      <c r="Q39" s="2"/>
      <c r="R39" s="2"/>
    </row>
    <row r="40" spans="1:18" ht="15.75" customHeight="1">
      <c r="A40" s="2"/>
      <c r="B40" s="2"/>
      <c r="C40" s="2"/>
      <c r="D40" s="11"/>
      <c r="E40" s="2"/>
      <c r="F40" s="2"/>
      <c r="G40" s="2"/>
      <c r="H40" s="2"/>
      <c r="I40" s="2"/>
      <c r="J40" s="2"/>
      <c r="K40" s="2"/>
      <c r="L40" s="2"/>
      <c r="M40" s="12" t="str">
        <f t="shared" si="0"/>
        <v/>
      </c>
      <c r="N40" s="2"/>
      <c r="O40" s="2"/>
      <c r="P40" s="2"/>
      <c r="Q40" s="2"/>
      <c r="R40" s="2"/>
    </row>
    <row r="41" spans="1:18" ht="15.75" customHeight="1">
      <c r="A41" s="2"/>
      <c r="B41" s="2"/>
      <c r="C41" s="2"/>
      <c r="D41" s="11"/>
      <c r="E41" s="2"/>
      <c r="F41" s="2"/>
      <c r="G41" s="2"/>
      <c r="H41" s="2"/>
      <c r="I41" s="2"/>
      <c r="J41" s="2"/>
      <c r="K41" s="2"/>
      <c r="L41" s="2"/>
      <c r="M41" s="12" t="str">
        <f t="shared" si="0"/>
        <v/>
      </c>
      <c r="N41" s="2"/>
      <c r="O41" s="2"/>
      <c r="P41" s="2"/>
      <c r="Q41" s="2"/>
      <c r="R41" s="2"/>
    </row>
    <row r="42" spans="1:18" ht="15.75" customHeight="1">
      <c r="A42" s="2"/>
      <c r="B42" s="2"/>
      <c r="C42" s="2"/>
      <c r="D42" s="11"/>
      <c r="E42" s="2"/>
      <c r="F42" s="2"/>
      <c r="G42" s="2"/>
      <c r="H42" s="2"/>
      <c r="I42" s="2"/>
      <c r="J42" s="2"/>
      <c r="K42" s="2"/>
      <c r="L42" s="2"/>
      <c r="M42" s="12" t="str">
        <f t="shared" si="0"/>
        <v/>
      </c>
      <c r="N42" s="2"/>
      <c r="O42" s="2"/>
      <c r="P42" s="2"/>
      <c r="Q42" s="2"/>
      <c r="R42" s="2"/>
    </row>
    <row r="43" spans="1:18" ht="15.75" customHeight="1">
      <c r="A43" s="2"/>
      <c r="B43" s="2"/>
      <c r="C43" s="2"/>
      <c r="D43" s="11"/>
      <c r="E43" s="2"/>
      <c r="F43" s="2"/>
      <c r="G43" s="2"/>
      <c r="H43" s="2"/>
      <c r="I43" s="2"/>
      <c r="J43" s="2"/>
      <c r="K43" s="2"/>
      <c r="L43" s="2"/>
      <c r="M43" s="12" t="str">
        <f t="shared" si="0"/>
        <v/>
      </c>
      <c r="N43" s="2"/>
      <c r="O43" s="2"/>
      <c r="P43" s="2"/>
      <c r="Q43" s="2"/>
      <c r="R43" s="2"/>
    </row>
    <row r="44" spans="1:18" ht="15.75" customHeight="1">
      <c r="A44" s="2"/>
      <c r="B44" s="2"/>
      <c r="C44" s="2"/>
      <c r="D44" s="11"/>
      <c r="E44" s="2"/>
      <c r="F44" s="2"/>
      <c r="G44" s="2"/>
      <c r="H44" s="2"/>
      <c r="I44" s="2"/>
      <c r="J44" s="2"/>
      <c r="K44" s="2"/>
      <c r="L44" s="2"/>
      <c r="M44" s="12" t="str">
        <f t="shared" si="0"/>
        <v/>
      </c>
      <c r="N44" s="2"/>
      <c r="O44" s="2"/>
      <c r="P44" s="2"/>
      <c r="Q44" s="2"/>
      <c r="R44" s="2"/>
    </row>
    <row r="45" spans="1:18" ht="15.75" customHeight="1">
      <c r="A45" s="2"/>
      <c r="B45" s="2"/>
      <c r="C45" s="2"/>
      <c r="D45" s="11"/>
      <c r="E45" s="2"/>
      <c r="F45" s="2"/>
      <c r="G45" s="2"/>
      <c r="H45" s="2"/>
      <c r="I45" s="2"/>
      <c r="J45" s="2"/>
      <c r="K45" s="2"/>
      <c r="L45" s="2"/>
      <c r="M45" s="12" t="str">
        <f t="shared" si="0"/>
        <v/>
      </c>
      <c r="N45" s="2"/>
      <c r="O45" s="2"/>
      <c r="P45" s="2"/>
      <c r="Q45" s="2"/>
      <c r="R45" s="2"/>
    </row>
    <row r="46" spans="1:18" ht="15.75" customHeight="1">
      <c r="A46" s="2"/>
      <c r="B46" s="2"/>
      <c r="C46" s="2"/>
      <c r="D46" s="11"/>
      <c r="E46" s="2"/>
      <c r="F46" s="2"/>
      <c r="G46" s="2"/>
      <c r="H46" s="2"/>
      <c r="I46" s="2"/>
      <c r="J46" s="2"/>
      <c r="K46" s="2"/>
      <c r="L46" s="2"/>
      <c r="M46" s="12" t="str">
        <f t="shared" si="0"/>
        <v/>
      </c>
      <c r="N46" s="2"/>
      <c r="O46" s="2"/>
      <c r="P46" s="2"/>
      <c r="Q46" s="2"/>
      <c r="R46" s="2"/>
    </row>
    <row r="47" spans="1:18" ht="15.75" customHeight="1">
      <c r="A47" s="2"/>
      <c r="B47" s="2"/>
      <c r="C47" s="2"/>
      <c r="D47" s="11"/>
      <c r="E47" s="2"/>
      <c r="F47" s="2"/>
      <c r="G47" s="2"/>
      <c r="H47" s="2"/>
      <c r="I47" s="2"/>
      <c r="J47" s="2"/>
      <c r="K47" s="2"/>
      <c r="L47" s="2"/>
      <c r="M47" s="12" t="str">
        <f t="shared" si="0"/>
        <v/>
      </c>
      <c r="N47" s="2"/>
      <c r="O47" s="2"/>
      <c r="P47" s="2"/>
      <c r="Q47" s="2"/>
      <c r="R47" s="2"/>
    </row>
    <row r="48" spans="1:18" ht="15.75" customHeight="1">
      <c r="A48" s="2"/>
      <c r="B48" s="2"/>
      <c r="C48" s="2"/>
      <c r="D48" s="11"/>
      <c r="E48" s="2"/>
      <c r="F48" s="2"/>
      <c r="G48" s="2"/>
      <c r="H48" s="2"/>
      <c r="I48" s="2"/>
      <c r="J48" s="2"/>
      <c r="K48" s="2"/>
      <c r="L48" s="2"/>
      <c r="M48" s="12" t="str">
        <f t="shared" si="0"/>
        <v/>
      </c>
      <c r="N48" s="2"/>
      <c r="O48" s="2"/>
      <c r="P48" s="2"/>
      <c r="Q48" s="2"/>
      <c r="R48" s="2"/>
    </row>
    <row r="49" spans="1:18" ht="15.75" customHeight="1">
      <c r="A49" s="2"/>
      <c r="B49" s="2"/>
      <c r="C49" s="2"/>
      <c r="D49" s="11"/>
      <c r="E49" s="2"/>
      <c r="F49" s="2"/>
      <c r="G49" s="2"/>
      <c r="H49" s="2"/>
      <c r="I49" s="2"/>
      <c r="J49" s="2"/>
      <c r="K49" s="2"/>
      <c r="L49" s="2"/>
      <c r="M49" s="12" t="str">
        <f t="shared" si="0"/>
        <v/>
      </c>
      <c r="N49" s="2"/>
      <c r="O49" s="2"/>
      <c r="P49" s="2"/>
      <c r="Q49" s="2"/>
      <c r="R49" s="2"/>
    </row>
    <row r="50" spans="1:18" ht="15.75" customHeight="1">
      <c r="A50" s="2"/>
      <c r="B50" s="2"/>
      <c r="C50" s="2"/>
      <c r="D50" s="11"/>
      <c r="E50" s="2"/>
      <c r="F50" s="2"/>
      <c r="G50" s="2"/>
      <c r="H50" s="2"/>
      <c r="I50" s="2"/>
      <c r="J50" s="2"/>
      <c r="K50" s="2"/>
      <c r="L50" s="2"/>
      <c r="M50" s="12" t="str">
        <f t="shared" si="0"/>
        <v/>
      </c>
      <c r="N50" s="2"/>
      <c r="O50" s="2"/>
      <c r="P50" s="2"/>
      <c r="Q50" s="2"/>
      <c r="R50" s="2"/>
    </row>
    <row r="51" spans="1:18" ht="15.75" customHeight="1">
      <c r="A51" s="2"/>
      <c r="B51" s="2"/>
      <c r="C51" s="2"/>
      <c r="D51" s="11"/>
      <c r="E51" s="2"/>
      <c r="F51" s="2"/>
      <c r="G51" s="2"/>
      <c r="H51" s="2"/>
      <c r="I51" s="2"/>
      <c r="J51" s="2"/>
      <c r="K51" s="2"/>
      <c r="L51" s="2"/>
      <c r="M51" s="12" t="str">
        <f t="shared" si="0"/>
        <v/>
      </c>
      <c r="N51" s="2"/>
      <c r="O51" s="2"/>
      <c r="P51" s="2"/>
      <c r="Q51" s="2"/>
      <c r="R51" s="2"/>
    </row>
    <row r="52" spans="1:18" ht="15.75" customHeight="1">
      <c r="A52" s="2"/>
      <c r="B52" s="2"/>
      <c r="C52" s="2"/>
      <c r="D52" s="11"/>
      <c r="E52" s="2"/>
      <c r="F52" s="2"/>
      <c r="G52" s="2"/>
      <c r="H52" s="2"/>
      <c r="I52" s="2"/>
      <c r="J52" s="2"/>
      <c r="K52" s="2"/>
      <c r="L52" s="2"/>
      <c r="M52" s="12" t="str">
        <f t="shared" si="0"/>
        <v/>
      </c>
      <c r="N52" s="2"/>
      <c r="O52" s="2"/>
      <c r="P52" s="2"/>
      <c r="Q52" s="2"/>
      <c r="R52" s="2"/>
    </row>
    <row r="53" spans="1:18" ht="15.75" customHeight="1">
      <c r="A53" s="2"/>
      <c r="B53" s="2"/>
      <c r="C53" s="2"/>
      <c r="D53" s="11"/>
      <c r="E53" s="2"/>
      <c r="F53" s="2"/>
      <c r="G53" s="2"/>
      <c r="H53" s="2"/>
      <c r="I53" s="2"/>
      <c r="J53" s="2"/>
      <c r="K53" s="2"/>
      <c r="L53" s="2"/>
      <c r="M53" s="12" t="str">
        <f t="shared" si="0"/>
        <v/>
      </c>
      <c r="N53" s="2"/>
      <c r="O53" s="2"/>
      <c r="P53" s="2"/>
      <c r="Q53" s="2"/>
      <c r="R53" s="2"/>
    </row>
    <row r="54" spans="1:18" ht="15.75" customHeight="1">
      <c r="A54" s="2"/>
      <c r="B54" s="2"/>
      <c r="C54" s="2"/>
      <c r="D54" s="11"/>
      <c r="E54" s="2"/>
      <c r="F54" s="2"/>
      <c r="G54" s="2"/>
      <c r="H54" s="2"/>
      <c r="I54" s="2"/>
      <c r="J54" s="2"/>
      <c r="K54" s="2"/>
      <c r="L54" s="2"/>
      <c r="M54" s="12" t="str">
        <f t="shared" si="0"/>
        <v/>
      </c>
      <c r="N54" s="2"/>
      <c r="O54" s="2"/>
      <c r="P54" s="2"/>
      <c r="Q54" s="2"/>
      <c r="R54" s="2"/>
    </row>
    <row r="55" spans="1:18" ht="15.75" customHeight="1">
      <c r="A55" s="2"/>
      <c r="B55" s="2"/>
      <c r="C55" s="2"/>
      <c r="D55" s="11"/>
      <c r="E55" s="2"/>
      <c r="F55" s="2"/>
      <c r="G55" s="2"/>
      <c r="H55" s="2"/>
      <c r="I55" s="2"/>
      <c r="J55" s="2"/>
      <c r="K55" s="2"/>
      <c r="L55" s="2"/>
      <c r="M55" s="12" t="str">
        <f t="shared" si="0"/>
        <v/>
      </c>
      <c r="N55" s="2"/>
      <c r="O55" s="2"/>
      <c r="P55" s="2"/>
      <c r="Q55" s="2"/>
      <c r="R55" s="2"/>
    </row>
    <row r="56" spans="1:18" ht="15.75" customHeight="1">
      <c r="A56" s="2"/>
      <c r="B56" s="2"/>
      <c r="C56" s="2"/>
      <c r="D56" s="11"/>
      <c r="E56" s="2"/>
      <c r="F56" s="2"/>
      <c r="G56" s="2"/>
      <c r="H56" s="2"/>
      <c r="I56" s="2"/>
      <c r="J56" s="2"/>
      <c r="K56" s="2"/>
      <c r="L56" s="2"/>
      <c r="M56" s="12" t="str">
        <f t="shared" si="0"/>
        <v/>
      </c>
      <c r="N56" s="2"/>
      <c r="O56" s="2"/>
      <c r="P56" s="2"/>
      <c r="Q56" s="2"/>
      <c r="R56" s="2"/>
    </row>
    <row r="57" spans="1:18" ht="15.75" customHeight="1">
      <c r="A57" s="2"/>
      <c r="B57" s="2"/>
      <c r="C57" s="2"/>
      <c r="D57" s="11"/>
      <c r="E57" s="2"/>
      <c r="F57" s="2"/>
      <c r="G57" s="2"/>
      <c r="H57" s="2"/>
      <c r="I57" s="2"/>
      <c r="J57" s="2"/>
      <c r="K57" s="2"/>
      <c r="L57" s="2"/>
      <c r="M57" s="12" t="str">
        <f t="shared" si="0"/>
        <v/>
      </c>
      <c r="N57" s="2"/>
      <c r="O57" s="2"/>
      <c r="P57" s="2"/>
      <c r="Q57" s="2"/>
      <c r="R57" s="2"/>
    </row>
    <row r="58" spans="1:18" ht="15.75" customHeight="1">
      <c r="A58" s="2"/>
      <c r="B58" s="2"/>
      <c r="C58" s="2"/>
      <c r="D58" s="11"/>
      <c r="E58" s="2"/>
      <c r="F58" s="2"/>
      <c r="G58" s="2"/>
      <c r="H58" s="2"/>
      <c r="I58" s="2"/>
      <c r="J58" s="2"/>
      <c r="K58" s="2"/>
      <c r="L58" s="2"/>
      <c r="M58" s="12" t="str">
        <f t="shared" si="0"/>
        <v/>
      </c>
      <c r="N58" s="2"/>
      <c r="O58" s="2"/>
      <c r="P58" s="2"/>
      <c r="Q58" s="2"/>
      <c r="R58" s="2"/>
    </row>
    <row r="59" spans="1:18" ht="15.75" customHeight="1">
      <c r="A59" s="2"/>
      <c r="B59" s="2"/>
      <c r="C59" s="2"/>
      <c r="D59" s="11"/>
      <c r="E59" s="2"/>
      <c r="F59" s="2"/>
      <c r="G59" s="2"/>
      <c r="H59" s="2"/>
      <c r="I59" s="2"/>
      <c r="J59" s="2"/>
      <c r="K59" s="2"/>
      <c r="L59" s="2"/>
      <c r="M59" s="12" t="str">
        <f t="shared" si="0"/>
        <v/>
      </c>
      <c r="N59" s="2"/>
      <c r="O59" s="2"/>
      <c r="P59" s="2"/>
      <c r="Q59" s="2"/>
      <c r="R59" s="2"/>
    </row>
    <row r="60" spans="1:18" ht="15.75" customHeight="1">
      <c r="A60" s="2"/>
      <c r="B60" s="2"/>
      <c r="C60" s="2"/>
      <c r="D60" s="11"/>
      <c r="E60" s="2"/>
      <c r="F60" s="2"/>
      <c r="G60" s="2"/>
      <c r="H60" s="2"/>
      <c r="I60" s="2"/>
      <c r="J60" s="2"/>
      <c r="K60" s="2"/>
      <c r="L60" s="2"/>
      <c r="M60" s="12" t="str">
        <f t="shared" si="0"/>
        <v/>
      </c>
      <c r="N60" s="2"/>
      <c r="O60" s="2"/>
      <c r="P60" s="2"/>
      <c r="Q60" s="2"/>
      <c r="R60" s="2"/>
    </row>
    <row r="61" spans="1:18" ht="15.75" customHeight="1">
      <c r="A61" s="2"/>
      <c r="B61" s="2"/>
      <c r="C61" s="2"/>
      <c r="D61" s="11"/>
      <c r="E61" s="2"/>
      <c r="F61" s="2"/>
      <c r="G61" s="2"/>
      <c r="H61" s="2"/>
      <c r="I61" s="2"/>
      <c r="J61" s="2"/>
      <c r="K61" s="2"/>
      <c r="L61" s="2"/>
      <c r="M61" s="12" t="str">
        <f t="shared" si="0"/>
        <v/>
      </c>
      <c r="N61" s="2"/>
      <c r="O61" s="2"/>
      <c r="P61" s="2"/>
      <c r="Q61" s="2"/>
      <c r="R61" s="2"/>
    </row>
    <row r="62" spans="1:18" ht="15.75" customHeight="1">
      <c r="A62" s="2"/>
      <c r="B62" s="2"/>
      <c r="C62" s="2"/>
      <c r="D62" s="11"/>
      <c r="E62" s="2"/>
      <c r="F62" s="2"/>
      <c r="G62" s="2"/>
      <c r="H62" s="2"/>
      <c r="I62" s="2"/>
      <c r="J62" s="2"/>
      <c r="K62" s="2"/>
      <c r="L62" s="2"/>
      <c r="M62" s="12" t="str">
        <f t="shared" si="0"/>
        <v/>
      </c>
      <c r="N62" s="2"/>
      <c r="O62" s="2"/>
      <c r="P62" s="2"/>
      <c r="Q62" s="2"/>
      <c r="R62" s="2"/>
    </row>
    <row r="63" spans="1:18" ht="15.75" customHeight="1">
      <c r="A63" s="2"/>
      <c r="B63" s="2"/>
      <c r="C63" s="2"/>
      <c r="D63" s="11"/>
      <c r="E63" s="2"/>
      <c r="F63" s="2"/>
      <c r="G63" s="2"/>
      <c r="H63" s="2"/>
      <c r="I63" s="2"/>
      <c r="J63" s="2"/>
      <c r="K63" s="2"/>
      <c r="L63" s="2"/>
      <c r="M63" s="12" t="str">
        <f t="shared" si="0"/>
        <v/>
      </c>
      <c r="N63" s="2"/>
      <c r="O63" s="2"/>
      <c r="P63" s="2"/>
      <c r="Q63" s="2"/>
      <c r="R63" s="2"/>
    </row>
    <row r="64" spans="1:18" ht="15.75" customHeight="1">
      <c r="A64" s="2"/>
      <c r="B64" s="2"/>
      <c r="C64" s="2"/>
      <c r="D64" s="11"/>
      <c r="E64" s="2"/>
      <c r="F64" s="2"/>
      <c r="G64" s="2"/>
      <c r="H64" s="2"/>
      <c r="I64" s="2"/>
      <c r="J64" s="2"/>
      <c r="K64" s="2"/>
      <c r="L64" s="2"/>
      <c r="M64" s="12" t="str">
        <f t="shared" si="0"/>
        <v/>
      </c>
      <c r="N64" s="2"/>
      <c r="O64" s="2"/>
      <c r="P64" s="2"/>
      <c r="Q64" s="2"/>
      <c r="R64" s="2"/>
    </row>
    <row r="65" spans="1:18" ht="15.75" customHeight="1">
      <c r="A65" s="2"/>
      <c r="B65" s="2"/>
      <c r="C65" s="2"/>
      <c r="D65" s="11"/>
      <c r="E65" s="2"/>
      <c r="F65" s="2"/>
      <c r="G65" s="2"/>
      <c r="H65" s="2"/>
      <c r="I65" s="2"/>
      <c r="J65" s="2"/>
      <c r="K65" s="2"/>
      <c r="L65" s="2"/>
      <c r="M65" s="12" t="str">
        <f t="shared" si="0"/>
        <v/>
      </c>
      <c r="N65" s="2"/>
      <c r="O65" s="2"/>
      <c r="P65" s="2"/>
      <c r="Q65" s="2"/>
      <c r="R65" s="2"/>
    </row>
    <row r="66" spans="1:18" ht="15.75" customHeight="1">
      <c r="A66" s="2"/>
      <c r="B66" s="2"/>
      <c r="C66" s="2"/>
      <c r="D66" s="11"/>
      <c r="E66" s="2"/>
      <c r="F66" s="2"/>
      <c r="G66" s="2"/>
      <c r="H66" s="2"/>
      <c r="I66" s="2"/>
      <c r="J66" s="2"/>
      <c r="K66" s="2"/>
      <c r="L66" s="2"/>
      <c r="M66" s="12" t="str">
        <f t="shared" si="0"/>
        <v/>
      </c>
      <c r="N66" s="2"/>
      <c r="O66" s="2"/>
      <c r="P66" s="2"/>
      <c r="Q66" s="2"/>
      <c r="R66" s="2"/>
    </row>
    <row r="67" spans="1:18" ht="15.75" customHeight="1">
      <c r="A67" s="2"/>
      <c r="B67" s="2"/>
      <c r="C67" s="2"/>
      <c r="D67" s="11"/>
      <c r="E67" s="2"/>
      <c r="F67" s="2"/>
      <c r="G67" s="2"/>
      <c r="H67" s="2"/>
      <c r="I67" s="2"/>
      <c r="J67" s="2"/>
      <c r="K67" s="2"/>
      <c r="L67" s="2"/>
      <c r="M67" s="12" t="str">
        <f t="shared" si="0"/>
        <v/>
      </c>
      <c r="N67" s="2"/>
      <c r="O67" s="2"/>
      <c r="P67" s="2"/>
      <c r="Q67" s="2"/>
      <c r="R67" s="2"/>
    </row>
    <row r="68" spans="1:18" ht="15.75" customHeight="1">
      <c r="A68" s="2"/>
      <c r="B68" s="2"/>
      <c r="C68" s="2"/>
      <c r="D68" s="11"/>
      <c r="E68" s="2"/>
      <c r="F68" s="2"/>
      <c r="G68" s="2"/>
      <c r="H68" s="2"/>
      <c r="I68" s="2"/>
      <c r="J68" s="2"/>
      <c r="K68" s="2"/>
      <c r="L68" s="2"/>
      <c r="M68" s="12" t="str">
        <f t="shared" si="0"/>
        <v/>
      </c>
      <c r="N68" s="2"/>
      <c r="O68" s="2"/>
      <c r="P68" s="2"/>
      <c r="Q68" s="2"/>
      <c r="R68" s="2"/>
    </row>
    <row r="69" spans="1:18" ht="15.75" customHeight="1">
      <c r="A69" s="2"/>
      <c r="B69" s="2"/>
      <c r="C69" s="2"/>
      <c r="D69" s="11"/>
      <c r="E69" s="2"/>
      <c r="F69" s="2"/>
      <c r="G69" s="2"/>
      <c r="H69" s="2"/>
      <c r="I69" s="2"/>
      <c r="J69" s="2"/>
      <c r="K69" s="2"/>
      <c r="L69" s="2"/>
      <c r="M69" s="12" t="str">
        <f t="shared" si="0"/>
        <v/>
      </c>
      <c r="N69" s="2"/>
      <c r="O69" s="2"/>
      <c r="P69" s="2"/>
      <c r="Q69" s="2"/>
      <c r="R69" s="2"/>
    </row>
    <row r="70" spans="1:18" ht="15.75" customHeight="1">
      <c r="A70" s="2"/>
      <c r="B70" s="2"/>
      <c r="C70" s="2"/>
      <c r="D70" s="11"/>
      <c r="E70" s="2"/>
      <c r="F70" s="2"/>
      <c r="G70" s="2"/>
      <c r="H70" s="2"/>
      <c r="I70" s="2"/>
      <c r="J70" s="2"/>
      <c r="K70" s="2"/>
      <c r="L70" s="2"/>
      <c r="M70" s="12" t="str">
        <f t="shared" si="0"/>
        <v/>
      </c>
      <c r="N70" s="2"/>
      <c r="O70" s="2"/>
      <c r="P70" s="2"/>
      <c r="Q70" s="2"/>
      <c r="R70" s="2"/>
    </row>
    <row r="71" spans="1:18" ht="15.75" customHeight="1">
      <c r="A71" s="2"/>
      <c r="B71" s="2"/>
      <c r="C71" s="2"/>
      <c r="D71" s="11"/>
      <c r="E71" s="2"/>
      <c r="F71" s="2"/>
      <c r="G71" s="2"/>
      <c r="H71" s="2"/>
      <c r="I71" s="2"/>
      <c r="J71" s="2"/>
      <c r="K71" s="2"/>
      <c r="L71" s="2"/>
      <c r="M71" s="12" t="str">
        <f t="shared" si="0"/>
        <v/>
      </c>
      <c r="N71" s="2"/>
      <c r="O71" s="2"/>
      <c r="P71" s="2"/>
      <c r="Q71" s="2"/>
      <c r="R71" s="2"/>
    </row>
    <row r="72" spans="1:18" ht="15.75" customHeight="1">
      <c r="A72" s="2"/>
      <c r="B72" s="2"/>
      <c r="C72" s="2"/>
      <c r="D72" s="11"/>
      <c r="E72" s="2"/>
      <c r="F72" s="2"/>
      <c r="G72" s="2"/>
      <c r="H72" s="2"/>
      <c r="I72" s="2"/>
      <c r="J72" s="2"/>
      <c r="K72" s="2"/>
      <c r="L72" s="2"/>
      <c r="M72" s="12" t="str">
        <f t="shared" si="0"/>
        <v/>
      </c>
      <c r="N72" s="2"/>
      <c r="O72" s="2"/>
      <c r="P72" s="2"/>
      <c r="Q72" s="2"/>
      <c r="R72" s="2"/>
    </row>
    <row r="73" spans="1:18" ht="15.75" customHeight="1">
      <c r="A73" s="2"/>
      <c r="B73" s="2"/>
      <c r="C73" s="2"/>
      <c r="D73" s="11"/>
      <c r="E73" s="2"/>
      <c r="F73" s="2"/>
      <c r="G73" s="2"/>
      <c r="H73" s="2"/>
      <c r="I73" s="2"/>
      <c r="J73" s="2"/>
      <c r="K73" s="2"/>
      <c r="L73" s="2"/>
      <c r="M73" s="12" t="str">
        <f t="shared" si="0"/>
        <v/>
      </c>
      <c r="N73" s="2"/>
      <c r="O73" s="2"/>
      <c r="P73" s="2"/>
      <c r="Q73" s="2"/>
      <c r="R73" s="2"/>
    </row>
    <row r="74" spans="1:18" ht="15.75" customHeight="1">
      <c r="A74" s="2"/>
      <c r="B74" s="2"/>
      <c r="C74" s="2"/>
      <c r="D74" s="11"/>
      <c r="E74" s="2"/>
      <c r="F74" s="2"/>
      <c r="G74" s="2"/>
      <c r="H74" s="2"/>
      <c r="I74" s="2"/>
      <c r="J74" s="2"/>
      <c r="K74" s="2"/>
      <c r="L74" s="2"/>
      <c r="M74" s="12" t="str">
        <f t="shared" si="0"/>
        <v/>
      </c>
      <c r="N74" s="2"/>
      <c r="O74" s="2"/>
      <c r="P74" s="2"/>
      <c r="Q74" s="2"/>
      <c r="R74" s="2"/>
    </row>
    <row r="75" spans="1:18" ht="15.75" customHeight="1">
      <c r="A75" s="2"/>
      <c r="B75" s="2"/>
      <c r="C75" s="2"/>
      <c r="D75" s="11"/>
      <c r="E75" s="2"/>
      <c r="F75" s="2"/>
      <c r="G75" s="2"/>
      <c r="H75" s="2"/>
      <c r="I75" s="2"/>
      <c r="J75" s="2"/>
      <c r="K75" s="2"/>
      <c r="L75" s="2"/>
      <c r="M75" s="12" t="str">
        <f t="shared" si="0"/>
        <v/>
      </c>
      <c r="N75" s="2"/>
      <c r="O75" s="2"/>
      <c r="P75" s="2"/>
      <c r="Q75" s="2"/>
      <c r="R75" s="2"/>
    </row>
    <row r="76" spans="1:18" ht="15.75" customHeight="1">
      <c r="A76" s="2"/>
      <c r="B76" s="2"/>
      <c r="C76" s="2"/>
      <c r="D76" s="11"/>
      <c r="E76" s="2"/>
      <c r="F76" s="2"/>
      <c r="G76" s="2"/>
      <c r="H76" s="2"/>
      <c r="I76" s="2"/>
      <c r="J76" s="2"/>
      <c r="K76" s="2"/>
      <c r="L76" s="2"/>
      <c r="M76" s="12" t="str">
        <f t="shared" si="0"/>
        <v/>
      </c>
      <c r="N76" s="2"/>
      <c r="O76" s="2"/>
      <c r="P76" s="2"/>
      <c r="Q76" s="2"/>
      <c r="R76" s="2"/>
    </row>
    <row r="77" spans="1:18" ht="15.75" customHeight="1">
      <c r="A77" s="2"/>
      <c r="B77" s="2"/>
      <c r="C77" s="2"/>
      <c r="D77" s="11"/>
      <c r="E77" s="2"/>
      <c r="F77" s="2"/>
      <c r="G77" s="2"/>
      <c r="H77" s="2"/>
      <c r="I77" s="2"/>
      <c r="J77" s="2"/>
      <c r="K77" s="2"/>
      <c r="L77" s="2"/>
      <c r="M77" s="12" t="str">
        <f t="shared" si="0"/>
        <v/>
      </c>
      <c r="N77" s="2"/>
      <c r="O77" s="2"/>
      <c r="P77" s="2"/>
      <c r="Q77" s="2"/>
      <c r="R77" s="2"/>
    </row>
    <row r="78" spans="1:18" ht="15.75" customHeight="1">
      <c r="A78" s="2"/>
      <c r="B78" s="2"/>
      <c r="C78" s="2"/>
      <c r="D78" s="11"/>
      <c r="E78" s="2"/>
      <c r="F78" s="2"/>
      <c r="G78" s="2"/>
      <c r="H78" s="2"/>
      <c r="I78" s="2"/>
      <c r="J78" s="2"/>
      <c r="K78" s="2"/>
      <c r="L78" s="2"/>
      <c r="M78" s="12" t="str">
        <f t="shared" si="0"/>
        <v/>
      </c>
      <c r="N78" s="2"/>
      <c r="O78" s="2"/>
      <c r="P78" s="2"/>
      <c r="Q78" s="2"/>
      <c r="R78" s="2"/>
    </row>
    <row r="79" spans="1:18" ht="15.75" customHeight="1">
      <c r="A79" s="2"/>
      <c r="B79" s="2"/>
      <c r="C79" s="2"/>
      <c r="D79" s="11"/>
      <c r="E79" s="2"/>
      <c r="F79" s="2"/>
      <c r="G79" s="2"/>
      <c r="H79" s="2"/>
      <c r="I79" s="2"/>
      <c r="J79" s="2"/>
      <c r="K79" s="2"/>
      <c r="L79" s="2"/>
      <c r="M79" s="12" t="str">
        <f t="shared" si="0"/>
        <v/>
      </c>
      <c r="N79" s="2"/>
      <c r="O79" s="2"/>
      <c r="P79" s="2"/>
      <c r="Q79" s="2"/>
      <c r="R79" s="2"/>
    </row>
    <row r="80" spans="1:18" ht="15.75" customHeight="1">
      <c r="A80" s="2"/>
      <c r="B80" s="2"/>
      <c r="C80" s="2"/>
      <c r="D80" s="11"/>
      <c r="E80" s="2"/>
      <c r="F80" s="2"/>
      <c r="G80" s="2"/>
      <c r="H80" s="2"/>
      <c r="I80" s="2"/>
      <c r="J80" s="2"/>
      <c r="K80" s="2"/>
      <c r="L80" s="2"/>
      <c r="M80" s="12" t="str">
        <f t="shared" si="0"/>
        <v/>
      </c>
      <c r="N80" s="2"/>
      <c r="O80" s="2"/>
      <c r="P80" s="2"/>
      <c r="Q80" s="2"/>
      <c r="R80" s="2"/>
    </row>
    <row r="81" spans="1:18" ht="15.75" customHeight="1">
      <c r="A81" s="2"/>
      <c r="B81" s="2"/>
      <c r="C81" s="2"/>
      <c r="D81" s="11"/>
      <c r="E81" s="2"/>
      <c r="F81" s="2"/>
      <c r="G81" s="2"/>
      <c r="H81" s="2"/>
      <c r="I81" s="2"/>
      <c r="J81" s="2"/>
      <c r="K81" s="2"/>
      <c r="L81" s="2"/>
      <c r="M81" s="12" t="str">
        <f t="shared" si="0"/>
        <v/>
      </c>
      <c r="N81" s="2"/>
      <c r="O81" s="2"/>
      <c r="P81" s="2"/>
      <c r="Q81" s="2"/>
      <c r="R81" s="2"/>
    </row>
    <row r="82" spans="1:18" ht="15.75" customHeight="1">
      <c r="A82" s="2"/>
      <c r="B82" s="2"/>
      <c r="C82" s="2"/>
      <c r="D82" s="11"/>
      <c r="E82" s="2"/>
      <c r="F82" s="2"/>
      <c r="G82" s="2"/>
      <c r="H82" s="2"/>
      <c r="I82" s="2"/>
      <c r="J82" s="2"/>
      <c r="K82" s="2"/>
      <c r="L82" s="2"/>
      <c r="M82" s="12" t="str">
        <f t="shared" si="0"/>
        <v/>
      </c>
      <c r="N82" s="2"/>
      <c r="O82" s="2"/>
      <c r="P82" s="2"/>
      <c r="Q82" s="2"/>
      <c r="R82" s="2"/>
    </row>
    <row r="83" spans="1:18" ht="15.75" customHeight="1">
      <c r="A83" s="2"/>
      <c r="B83" s="2"/>
      <c r="C83" s="2"/>
      <c r="D83" s="11"/>
      <c r="E83" s="2"/>
      <c r="F83" s="2"/>
      <c r="G83" s="2"/>
      <c r="H83" s="2"/>
      <c r="I83" s="2"/>
      <c r="J83" s="2"/>
      <c r="K83" s="2"/>
      <c r="L83" s="2"/>
      <c r="M83" s="12" t="str">
        <f t="shared" si="0"/>
        <v/>
      </c>
      <c r="N83" s="2"/>
      <c r="O83" s="2"/>
      <c r="P83" s="2"/>
      <c r="Q83" s="2"/>
      <c r="R83" s="2"/>
    </row>
    <row r="84" spans="1:18" ht="15.75" customHeight="1">
      <c r="A84" s="2"/>
      <c r="B84" s="2"/>
      <c r="C84" s="2"/>
      <c r="D84" s="11"/>
      <c r="E84" s="2"/>
      <c r="F84" s="2"/>
      <c r="G84" s="2"/>
      <c r="H84" s="2"/>
      <c r="I84" s="2"/>
      <c r="J84" s="2"/>
      <c r="K84" s="2"/>
      <c r="L84" s="2"/>
      <c r="M84" s="12" t="str">
        <f t="shared" si="0"/>
        <v/>
      </c>
      <c r="N84" s="2"/>
      <c r="O84" s="2"/>
      <c r="P84" s="2"/>
      <c r="Q84" s="2"/>
      <c r="R84" s="2"/>
    </row>
    <row r="85" spans="1:18" ht="15.75" customHeight="1">
      <c r="A85" s="2"/>
      <c r="B85" s="2"/>
      <c r="C85" s="2"/>
      <c r="D85" s="11"/>
      <c r="E85" s="2"/>
      <c r="F85" s="2"/>
      <c r="G85" s="2"/>
      <c r="H85" s="2"/>
      <c r="I85" s="2"/>
      <c r="J85" s="2"/>
      <c r="K85" s="2"/>
      <c r="L85" s="2"/>
      <c r="M85" s="12" t="str">
        <f t="shared" si="0"/>
        <v/>
      </c>
      <c r="N85" s="2"/>
      <c r="O85" s="2"/>
      <c r="P85" s="2"/>
      <c r="Q85" s="2"/>
      <c r="R85" s="2"/>
    </row>
    <row r="86" spans="1:18" ht="15.75" customHeight="1">
      <c r="A86" s="2"/>
      <c r="B86" s="2"/>
      <c r="C86" s="2"/>
      <c r="D86" s="11"/>
      <c r="E86" s="2"/>
      <c r="F86" s="2"/>
      <c r="G86" s="2"/>
      <c r="H86" s="2"/>
      <c r="I86" s="2"/>
      <c r="J86" s="2"/>
      <c r="K86" s="2"/>
      <c r="L86" s="2"/>
      <c r="M86" s="12" t="str">
        <f t="shared" si="0"/>
        <v/>
      </c>
      <c r="N86" s="2"/>
      <c r="O86" s="2"/>
      <c r="P86" s="2"/>
      <c r="Q86" s="2"/>
      <c r="R86" s="2"/>
    </row>
    <row r="87" spans="1:18" ht="15.75" customHeight="1">
      <c r="A87" s="2"/>
      <c r="B87" s="2"/>
      <c r="C87" s="2"/>
      <c r="D87" s="11"/>
      <c r="E87" s="2"/>
      <c r="F87" s="2"/>
      <c r="G87" s="2"/>
      <c r="H87" s="2"/>
      <c r="I87" s="2"/>
      <c r="J87" s="2"/>
      <c r="K87" s="2"/>
      <c r="L87" s="2"/>
      <c r="M87" s="12" t="str">
        <f t="shared" si="0"/>
        <v/>
      </c>
      <c r="N87" s="2"/>
      <c r="O87" s="2"/>
      <c r="P87" s="2"/>
      <c r="Q87" s="2"/>
      <c r="R87" s="2"/>
    </row>
    <row r="88" spans="1:18" ht="15.75" customHeight="1">
      <c r="A88" s="2"/>
      <c r="B88" s="2"/>
      <c r="C88" s="2"/>
      <c r="D88" s="11"/>
      <c r="E88" s="2"/>
      <c r="F88" s="2"/>
      <c r="G88" s="2"/>
      <c r="H88" s="2"/>
      <c r="I88" s="2"/>
      <c r="J88" s="2"/>
      <c r="K88" s="2"/>
      <c r="L88" s="2"/>
      <c r="M88" s="12" t="str">
        <f t="shared" si="0"/>
        <v/>
      </c>
      <c r="N88" s="2"/>
      <c r="O88" s="2"/>
      <c r="P88" s="2"/>
      <c r="Q88" s="2"/>
      <c r="R88" s="2"/>
    </row>
    <row r="89" spans="1:18" ht="15.75" customHeight="1">
      <c r="A89" s="2"/>
      <c r="B89" s="2"/>
      <c r="C89" s="2"/>
      <c r="D89" s="11"/>
      <c r="E89" s="2"/>
      <c r="F89" s="2"/>
      <c r="G89" s="2"/>
      <c r="H89" s="2"/>
      <c r="I89" s="2"/>
      <c r="J89" s="2"/>
      <c r="K89" s="2"/>
      <c r="L89" s="2"/>
      <c r="M89" s="12" t="str">
        <f t="shared" si="0"/>
        <v/>
      </c>
      <c r="N89" s="2"/>
      <c r="O89" s="2"/>
      <c r="P89" s="2"/>
      <c r="Q89" s="2"/>
      <c r="R89" s="2"/>
    </row>
    <row r="90" spans="1:18" ht="15.75" customHeight="1">
      <c r="A90" s="2"/>
      <c r="B90" s="2"/>
      <c r="C90" s="2"/>
      <c r="D90" s="11"/>
      <c r="E90" s="2"/>
      <c r="F90" s="2"/>
      <c r="G90" s="2"/>
      <c r="H90" s="2"/>
      <c r="I90" s="2"/>
      <c r="J90" s="2"/>
      <c r="K90" s="2"/>
      <c r="L90" s="2"/>
      <c r="M90" s="12" t="str">
        <f t="shared" si="0"/>
        <v/>
      </c>
      <c r="N90" s="2"/>
      <c r="O90" s="2"/>
      <c r="P90" s="2"/>
      <c r="Q90" s="2"/>
      <c r="R90" s="2"/>
    </row>
    <row r="91" spans="1:18" ht="15.75" customHeight="1">
      <c r="A91" s="2"/>
      <c r="B91" s="2"/>
      <c r="C91" s="2"/>
      <c r="D91" s="11"/>
      <c r="E91" s="2"/>
      <c r="F91" s="2"/>
      <c r="G91" s="2"/>
      <c r="H91" s="2"/>
      <c r="I91" s="2"/>
      <c r="J91" s="2"/>
      <c r="K91" s="2"/>
      <c r="L91" s="2"/>
      <c r="M91" s="12" t="str">
        <f t="shared" si="0"/>
        <v/>
      </c>
      <c r="N91" s="2"/>
      <c r="O91" s="2"/>
      <c r="P91" s="2"/>
      <c r="Q91" s="2"/>
      <c r="R91" s="2"/>
    </row>
    <row r="92" spans="1:18" ht="15.75" customHeight="1">
      <c r="A92" s="2"/>
      <c r="B92" s="2"/>
      <c r="C92" s="2"/>
      <c r="D92" s="11"/>
      <c r="E92" s="2"/>
      <c r="F92" s="2"/>
      <c r="G92" s="2"/>
      <c r="H92" s="2"/>
      <c r="I92" s="2"/>
      <c r="J92" s="2"/>
      <c r="K92" s="2"/>
      <c r="L92" s="2"/>
      <c r="M92" s="12" t="str">
        <f t="shared" si="0"/>
        <v/>
      </c>
      <c r="N92" s="2"/>
      <c r="O92" s="2"/>
      <c r="P92" s="2"/>
      <c r="Q92" s="2"/>
      <c r="R92" s="2"/>
    </row>
    <row r="93" spans="1:18" ht="15.75" customHeight="1">
      <c r="A93" s="2"/>
      <c r="B93" s="2"/>
      <c r="C93" s="2"/>
      <c r="D93" s="11"/>
      <c r="E93" s="2"/>
      <c r="F93" s="2"/>
      <c r="G93" s="2"/>
      <c r="H93" s="2"/>
      <c r="I93" s="2"/>
      <c r="J93" s="2"/>
      <c r="K93" s="2"/>
      <c r="L93" s="2"/>
      <c r="M93" s="12" t="str">
        <f t="shared" si="0"/>
        <v/>
      </c>
      <c r="N93" s="2"/>
      <c r="O93" s="2"/>
      <c r="P93" s="2"/>
      <c r="Q93" s="2"/>
      <c r="R93" s="2"/>
    </row>
    <row r="94" spans="1:18" ht="15.75" customHeight="1">
      <c r="A94" s="2"/>
      <c r="B94" s="2"/>
      <c r="C94" s="2"/>
      <c r="D94" s="11"/>
      <c r="E94" s="2"/>
      <c r="F94" s="2"/>
      <c r="G94" s="2"/>
      <c r="H94" s="2"/>
      <c r="I94" s="2"/>
      <c r="J94" s="2"/>
      <c r="K94" s="2"/>
      <c r="L94" s="2"/>
      <c r="M94" s="12" t="str">
        <f t="shared" si="0"/>
        <v/>
      </c>
      <c r="N94" s="2"/>
      <c r="O94" s="2"/>
      <c r="P94" s="2"/>
      <c r="Q94" s="2"/>
      <c r="R94" s="2"/>
    </row>
    <row r="95" spans="1:18" ht="15.75" customHeight="1">
      <c r="A95" s="2"/>
      <c r="B95" s="2"/>
      <c r="C95" s="2"/>
      <c r="D95" s="11"/>
      <c r="E95" s="2"/>
      <c r="F95" s="2"/>
      <c r="G95" s="2"/>
      <c r="H95" s="2"/>
      <c r="I95" s="2"/>
      <c r="J95" s="2"/>
      <c r="K95" s="2"/>
      <c r="L95" s="2"/>
      <c r="M95" s="12" t="str">
        <f t="shared" si="0"/>
        <v/>
      </c>
      <c r="N95" s="2"/>
      <c r="O95" s="2"/>
      <c r="P95" s="2"/>
      <c r="Q95" s="2"/>
      <c r="R95" s="2"/>
    </row>
    <row r="96" spans="1:18" ht="15.75" customHeight="1">
      <c r="A96" s="2"/>
      <c r="B96" s="2"/>
      <c r="C96" s="2"/>
      <c r="D96" s="11"/>
      <c r="E96" s="2"/>
      <c r="F96" s="2"/>
      <c r="G96" s="2"/>
      <c r="H96" s="2"/>
      <c r="I96" s="2"/>
      <c r="J96" s="2"/>
      <c r="K96" s="2"/>
      <c r="L96" s="2"/>
      <c r="M96" s="12" t="str">
        <f t="shared" si="0"/>
        <v/>
      </c>
      <c r="N96" s="2"/>
      <c r="O96" s="2"/>
      <c r="P96" s="2"/>
      <c r="Q96" s="2"/>
      <c r="R96" s="2"/>
    </row>
    <row r="97" spans="1:18" ht="15.75" customHeight="1">
      <c r="A97" s="2"/>
      <c r="B97" s="2"/>
      <c r="C97" s="2"/>
      <c r="D97" s="11"/>
      <c r="E97" s="2"/>
      <c r="F97" s="2"/>
      <c r="G97" s="2"/>
      <c r="H97" s="2"/>
      <c r="I97" s="2"/>
      <c r="J97" s="2"/>
      <c r="K97" s="2"/>
      <c r="L97" s="2"/>
      <c r="M97" s="12" t="str">
        <f t="shared" si="0"/>
        <v/>
      </c>
      <c r="N97" s="2"/>
      <c r="O97" s="2"/>
      <c r="P97" s="2"/>
      <c r="Q97" s="2"/>
      <c r="R97" s="2"/>
    </row>
    <row r="98" spans="1:18" ht="15.75" customHeight="1">
      <c r="A98" s="2"/>
      <c r="B98" s="2"/>
      <c r="C98" s="2"/>
      <c r="D98" s="11"/>
      <c r="E98" s="2"/>
      <c r="F98" s="2"/>
      <c r="G98" s="2"/>
      <c r="H98" s="2"/>
      <c r="I98" s="2"/>
      <c r="J98" s="2"/>
      <c r="K98" s="2"/>
      <c r="L98" s="2"/>
      <c r="M98" s="12" t="str">
        <f t="shared" si="0"/>
        <v/>
      </c>
      <c r="N98" s="2"/>
      <c r="O98" s="2"/>
      <c r="P98" s="2"/>
      <c r="Q98" s="2"/>
      <c r="R98" s="2"/>
    </row>
    <row r="99" spans="1:18" ht="15.75" customHeight="1">
      <c r="A99" s="2"/>
      <c r="B99" s="2"/>
      <c r="C99" s="2"/>
      <c r="D99" s="11"/>
      <c r="E99" s="2"/>
      <c r="F99" s="2"/>
      <c r="G99" s="2"/>
      <c r="H99" s="2"/>
      <c r="I99" s="2"/>
      <c r="J99" s="2"/>
      <c r="K99" s="2"/>
      <c r="L99" s="2"/>
      <c r="M99" s="12" t="str">
        <f t="shared" si="0"/>
        <v/>
      </c>
      <c r="N99" s="2"/>
      <c r="O99" s="2"/>
      <c r="P99" s="2"/>
      <c r="Q99" s="2"/>
      <c r="R99" s="2"/>
    </row>
    <row r="100" spans="1:18" ht="15.75" customHeight="1">
      <c r="A100" s="2"/>
      <c r="B100" s="2"/>
      <c r="C100" s="2"/>
      <c r="D100" s="11"/>
      <c r="E100" s="2"/>
      <c r="F100" s="2"/>
      <c r="G100" s="2"/>
      <c r="H100" s="2"/>
      <c r="I100" s="2"/>
      <c r="J100" s="2"/>
      <c r="K100" s="2"/>
      <c r="L100" s="2"/>
      <c r="M100" s="12" t="str">
        <f t="shared" si="0"/>
        <v/>
      </c>
      <c r="N100" s="2"/>
      <c r="O100" s="2"/>
      <c r="P100" s="2"/>
      <c r="Q100" s="2"/>
      <c r="R100" s="2"/>
    </row>
    <row r="101" spans="1:18" ht="15.75" customHeight="1">
      <c r="A101" s="2"/>
      <c r="B101" s="2"/>
      <c r="C101" s="2"/>
      <c r="D101" s="11"/>
      <c r="E101" s="2"/>
      <c r="F101" s="2"/>
      <c r="G101" s="2"/>
      <c r="H101" s="2"/>
      <c r="I101" s="2"/>
      <c r="J101" s="2"/>
      <c r="K101" s="2"/>
      <c r="L101" s="2"/>
      <c r="M101" s="12" t="str">
        <f t="shared" si="0"/>
        <v/>
      </c>
      <c r="N101" s="2"/>
      <c r="O101" s="2"/>
      <c r="P101" s="2"/>
      <c r="Q101" s="2"/>
      <c r="R101" s="2"/>
    </row>
    <row r="102" spans="1:18" ht="15.75" customHeight="1">
      <c r="A102" s="2"/>
      <c r="B102" s="2"/>
      <c r="C102" s="2"/>
      <c r="D102" s="11"/>
      <c r="E102" s="2"/>
      <c r="F102" s="2"/>
      <c r="G102" s="2"/>
      <c r="H102" s="2"/>
      <c r="I102" s="2"/>
      <c r="J102" s="2"/>
      <c r="K102" s="2"/>
      <c r="L102" s="2"/>
      <c r="M102" s="12" t="str">
        <f t="shared" si="0"/>
        <v/>
      </c>
      <c r="N102" s="2"/>
      <c r="O102" s="2"/>
      <c r="P102" s="2"/>
      <c r="Q102" s="2"/>
      <c r="R102" s="2"/>
    </row>
    <row r="103" spans="1:18" ht="15.75" customHeight="1">
      <c r="A103" s="2"/>
      <c r="B103" s="2"/>
      <c r="C103" s="2"/>
      <c r="D103" s="11"/>
      <c r="E103" s="2"/>
      <c r="F103" s="2"/>
      <c r="G103" s="2"/>
      <c r="H103" s="2"/>
      <c r="I103" s="2"/>
      <c r="J103" s="2"/>
      <c r="K103" s="2"/>
      <c r="L103" s="2"/>
      <c r="M103" s="12" t="str">
        <f t="shared" si="0"/>
        <v/>
      </c>
      <c r="N103" s="2"/>
      <c r="O103" s="2"/>
      <c r="P103" s="2"/>
      <c r="Q103" s="2"/>
      <c r="R103" s="2"/>
    </row>
    <row r="104" spans="1:18" ht="15.75" customHeight="1">
      <c r="A104" s="2"/>
      <c r="B104" s="2"/>
      <c r="C104" s="2"/>
      <c r="D104" s="11"/>
      <c r="E104" s="2"/>
      <c r="F104" s="2"/>
      <c r="G104" s="2"/>
      <c r="H104" s="2"/>
      <c r="I104" s="2"/>
      <c r="J104" s="2"/>
      <c r="K104" s="2"/>
      <c r="L104" s="2"/>
      <c r="M104" s="12" t="str">
        <f t="shared" si="0"/>
        <v/>
      </c>
      <c r="N104" s="2"/>
      <c r="O104" s="2"/>
      <c r="P104" s="2"/>
      <c r="Q104" s="2"/>
      <c r="R104" s="2"/>
    </row>
    <row r="105" spans="1:18" ht="15.75" customHeight="1">
      <c r="A105" s="2"/>
      <c r="B105" s="2"/>
      <c r="C105" s="2"/>
      <c r="D105" s="11"/>
      <c r="E105" s="2"/>
      <c r="F105" s="2"/>
      <c r="G105" s="2"/>
      <c r="H105" s="2"/>
      <c r="I105" s="2"/>
      <c r="J105" s="2"/>
      <c r="K105" s="2"/>
      <c r="L105" s="2"/>
      <c r="M105" s="12" t="str">
        <f t="shared" si="0"/>
        <v/>
      </c>
      <c r="N105" s="2"/>
      <c r="O105" s="2"/>
      <c r="P105" s="2"/>
      <c r="Q105" s="2"/>
      <c r="R105" s="2"/>
    </row>
    <row r="106" spans="1:18" ht="15.75" customHeight="1">
      <c r="A106" s="2"/>
      <c r="B106" s="2"/>
      <c r="C106" s="2"/>
      <c r="D106" s="11"/>
      <c r="E106" s="2"/>
      <c r="F106" s="2"/>
      <c r="G106" s="2"/>
      <c r="H106" s="2"/>
      <c r="I106" s="2"/>
      <c r="J106" s="2"/>
      <c r="K106" s="2"/>
      <c r="L106" s="2"/>
      <c r="M106" s="12" t="str">
        <f t="shared" si="0"/>
        <v/>
      </c>
      <c r="N106" s="2"/>
      <c r="O106" s="2"/>
      <c r="P106" s="2"/>
      <c r="Q106" s="2"/>
      <c r="R106" s="2"/>
    </row>
    <row r="107" spans="1:18" ht="15.75" customHeight="1">
      <c r="A107" s="2"/>
      <c r="B107" s="2"/>
      <c r="C107" s="2"/>
      <c r="D107" s="11"/>
      <c r="E107" s="2"/>
      <c r="F107" s="2"/>
      <c r="G107" s="2"/>
      <c r="H107" s="2"/>
      <c r="I107" s="2"/>
      <c r="J107" s="2"/>
      <c r="K107" s="2"/>
      <c r="L107" s="2"/>
      <c r="M107" s="12" t="str">
        <f t="shared" si="0"/>
        <v/>
      </c>
      <c r="N107" s="2"/>
      <c r="O107" s="2"/>
      <c r="P107" s="2"/>
      <c r="Q107" s="2"/>
      <c r="R107" s="2"/>
    </row>
    <row r="108" spans="1:18" ht="15.75" customHeight="1">
      <c r="A108" s="2"/>
      <c r="B108" s="2"/>
      <c r="C108" s="2"/>
      <c r="D108" s="11"/>
      <c r="E108" s="2"/>
      <c r="F108" s="2"/>
      <c r="G108" s="2"/>
      <c r="H108" s="2"/>
      <c r="I108" s="2"/>
      <c r="J108" s="2"/>
      <c r="K108" s="2"/>
      <c r="L108" s="2"/>
      <c r="M108" s="12" t="str">
        <f t="shared" si="0"/>
        <v/>
      </c>
      <c r="N108" s="2"/>
      <c r="O108" s="2"/>
      <c r="P108" s="2"/>
      <c r="Q108" s="2"/>
      <c r="R108" s="2"/>
    </row>
    <row r="109" spans="1:18" ht="15.75" customHeight="1">
      <c r="A109" s="2"/>
      <c r="B109" s="2"/>
      <c r="C109" s="2"/>
      <c r="D109" s="11"/>
      <c r="E109" s="2"/>
      <c r="F109" s="2"/>
      <c r="G109" s="2"/>
      <c r="H109" s="2"/>
      <c r="I109" s="2"/>
      <c r="J109" s="2"/>
      <c r="K109" s="2"/>
      <c r="L109" s="2"/>
      <c r="M109" s="12" t="str">
        <f t="shared" si="0"/>
        <v/>
      </c>
      <c r="N109" s="2"/>
      <c r="O109" s="2"/>
      <c r="P109" s="2"/>
      <c r="Q109" s="2"/>
      <c r="R109" s="2"/>
    </row>
    <row r="110" spans="1:18" ht="15.75" customHeight="1">
      <c r="A110" s="2"/>
      <c r="B110" s="2"/>
      <c r="C110" s="2"/>
      <c r="D110" s="11"/>
      <c r="E110" s="2"/>
      <c r="F110" s="2"/>
      <c r="G110" s="2"/>
      <c r="H110" s="2"/>
      <c r="I110" s="2"/>
      <c r="J110" s="2"/>
      <c r="K110" s="2"/>
      <c r="L110" s="2"/>
      <c r="M110" s="12" t="str">
        <f t="shared" si="0"/>
        <v/>
      </c>
      <c r="N110" s="2"/>
      <c r="O110" s="2"/>
      <c r="P110" s="2"/>
      <c r="Q110" s="2"/>
      <c r="R110" s="2"/>
    </row>
    <row r="111" spans="1:18" ht="15.75" customHeight="1">
      <c r="A111" s="2"/>
      <c r="B111" s="2"/>
      <c r="C111" s="2"/>
      <c r="D111" s="11"/>
      <c r="E111" s="2"/>
      <c r="F111" s="2"/>
      <c r="G111" s="2"/>
      <c r="H111" s="2"/>
      <c r="I111" s="2"/>
      <c r="J111" s="2"/>
      <c r="K111" s="2"/>
      <c r="L111" s="2"/>
      <c r="M111" s="12" t="str">
        <f t="shared" si="0"/>
        <v/>
      </c>
      <c r="N111" s="2"/>
      <c r="O111" s="2"/>
      <c r="P111" s="2"/>
      <c r="Q111" s="2"/>
      <c r="R111" s="2"/>
    </row>
    <row r="112" spans="1:18" ht="15.75" customHeight="1">
      <c r="A112" s="2"/>
      <c r="B112" s="2"/>
      <c r="C112" s="2"/>
      <c r="D112" s="11"/>
      <c r="E112" s="2"/>
      <c r="F112" s="2"/>
      <c r="G112" s="2"/>
      <c r="H112" s="2"/>
      <c r="I112" s="2"/>
      <c r="J112" s="2"/>
      <c r="K112" s="2"/>
      <c r="L112" s="2"/>
      <c r="M112" s="12" t="str">
        <f t="shared" si="0"/>
        <v/>
      </c>
      <c r="N112" s="2"/>
      <c r="O112" s="2"/>
      <c r="P112" s="2"/>
      <c r="Q112" s="2"/>
      <c r="R112" s="2"/>
    </row>
    <row r="113" spans="1:18" ht="15.75" customHeight="1">
      <c r="A113" s="2"/>
      <c r="B113" s="2"/>
      <c r="C113" s="2"/>
      <c r="D113" s="11"/>
      <c r="E113" s="2"/>
      <c r="F113" s="2"/>
      <c r="G113" s="2"/>
      <c r="H113" s="2"/>
      <c r="I113" s="2"/>
      <c r="J113" s="2"/>
      <c r="K113" s="2"/>
      <c r="L113" s="2"/>
      <c r="M113" s="12" t="str">
        <f t="shared" si="0"/>
        <v/>
      </c>
      <c r="N113" s="2"/>
      <c r="O113" s="2"/>
      <c r="P113" s="2"/>
      <c r="Q113" s="2"/>
      <c r="R113" s="2"/>
    </row>
    <row r="114" spans="1:18" ht="15.75" customHeight="1">
      <c r="A114" s="2"/>
      <c r="B114" s="2"/>
      <c r="C114" s="2"/>
      <c r="D114" s="11"/>
      <c r="E114" s="2"/>
      <c r="F114" s="2"/>
      <c r="G114" s="2"/>
      <c r="H114" s="2"/>
      <c r="I114" s="2"/>
      <c r="J114" s="2"/>
      <c r="K114" s="2"/>
      <c r="L114" s="2"/>
      <c r="M114" s="12" t="str">
        <f t="shared" si="0"/>
        <v/>
      </c>
      <c r="N114" s="2"/>
      <c r="O114" s="2"/>
      <c r="P114" s="2"/>
      <c r="Q114" s="2"/>
      <c r="R114" s="2"/>
    </row>
    <row r="115" spans="1:18" ht="15.75" customHeight="1">
      <c r="A115" s="2"/>
      <c r="B115" s="2"/>
      <c r="C115" s="2"/>
      <c r="D115" s="11"/>
      <c r="E115" s="2"/>
      <c r="F115" s="2"/>
      <c r="G115" s="2"/>
      <c r="H115" s="2"/>
      <c r="I115" s="2"/>
      <c r="J115" s="2"/>
      <c r="K115" s="2"/>
      <c r="L115" s="2"/>
      <c r="M115" s="12" t="str">
        <f t="shared" si="0"/>
        <v/>
      </c>
      <c r="N115" s="2"/>
      <c r="O115" s="2"/>
      <c r="P115" s="2"/>
      <c r="Q115" s="2"/>
      <c r="R115" s="2"/>
    </row>
    <row r="116" spans="1:18" ht="15.75" customHeight="1">
      <c r="A116" s="2"/>
      <c r="B116" s="2"/>
      <c r="C116" s="2"/>
      <c r="D116" s="11"/>
      <c r="E116" s="2"/>
      <c r="F116" s="2"/>
      <c r="G116" s="2"/>
      <c r="H116" s="2"/>
      <c r="I116" s="2"/>
      <c r="J116" s="2"/>
      <c r="K116" s="2"/>
      <c r="L116" s="2"/>
      <c r="M116" s="12" t="str">
        <f t="shared" si="0"/>
        <v/>
      </c>
      <c r="N116" s="2"/>
      <c r="O116" s="2"/>
      <c r="P116" s="2"/>
      <c r="Q116" s="2"/>
      <c r="R116" s="2"/>
    </row>
    <row r="117" spans="1:18" ht="15.75" customHeight="1">
      <c r="A117" s="2"/>
      <c r="B117" s="2"/>
      <c r="C117" s="2"/>
      <c r="D117" s="11"/>
      <c r="E117" s="2"/>
      <c r="F117" s="2"/>
      <c r="G117" s="2"/>
      <c r="H117" s="2"/>
      <c r="I117" s="2"/>
      <c r="J117" s="2"/>
      <c r="K117" s="2"/>
      <c r="L117" s="2"/>
      <c r="M117" s="12" t="str">
        <f t="shared" si="0"/>
        <v/>
      </c>
      <c r="N117" s="2"/>
      <c r="O117" s="2"/>
      <c r="P117" s="2"/>
      <c r="Q117" s="2"/>
      <c r="R117" s="2"/>
    </row>
    <row r="118" spans="1:18" ht="15.75" customHeight="1">
      <c r="A118" s="2"/>
      <c r="B118" s="2"/>
      <c r="C118" s="2"/>
      <c r="D118" s="11"/>
      <c r="E118" s="2"/>
      <c r="F118" s="2"/>
      <c r="G118" s="2"/>
      <c r="H118" s="2"/>
      <c r="I118" s="2"/>
      <c r="J118" s="2"/>
      <c r="K118" s="2"/>
      <c r="L118" s="2"/>
      <c r="M118" s="12" t="str">
        <f t="shared" si="0"/>
        <v/>
      </c>
      <c r="N118" s="2"/>
      <c r="O118" s="2"/>
      <c r="P118" s="2"/>
      <c r="Q118" s="2"/>
      <c r="R118" s="2"/>
    </row>
    <row r="119" spans="1:18" ht="15.75" customHeight="1">
      <c r="A119" s="2"/>
      <c r="B119" s="2"/>
      <c r="C119" s="2"/>
      <c r="D119" s="11"/>
      <c r="E119" s="2"/>
      <c r="F119" s="2"/>
      <c r="G119" s="2"/>
      <c r="H119" s="2"/>
      <c r="I119" s="2"/>
      <c r="J119" s="2"/>
      <c r="K119" s="2"/>
      <c r="L119" s="2"/>
      <c r="M119" s="12" t="str">
        <f t="shared" si="0"/>
        <v/>
      </c>
      <c r="N119" s="2"/>
      <c r="O119" s="2"/>
      <c r="P119" s="2"/>
      <c r="Q119" s="2"/>
      <c r="R119" s="2"/>
    </row>
    <row r="120" spans="1:18" ht="15.75" customHeight="1">
      <c r="A120" s="2"/>
      <c r="B120" s="2"/>
      <c r="C120" s="2"/>
      <c r="D120" s="11"/>
      <c r="E120" s="2"/>
      <c r="F120" s="2"/>
      <c r="G120" s="2"/>
      <c r="H120" s="2"/>
      <c r="I120" s="2"/>
      <c r="J120" s="2"/>
      <c r="K120" s="2"/>
      <c r="L120" s="2"/>
      <c r="M120" s="12" t="str">
        <f t="shared" si="0"/>
        <v/>
      </c>
      <c r="N120" s="2"/>
      <c r="O120" s="2"/>
      <c r="P120" s="2"/>
      <c r="Q120" s="2"/>
      <c r="R120" s="2"/>
    </row>
    <row r="121" spans="1:18" ht="15.75" customHeight="1">
      <c r="A121" s="2"/>
      <c r="B121" s="2"/>
      <c r="C121" s="2"/>
      <c r="D121" s="11"/>
      <c r="E121" s="2"/>
      <c r="F121" s="2"/>
      <c r="G121" s="2"/>
      <c r="H121" s="2"/>
      <c r="I121" s="2"/>
      <c r="J121" s="2"/>
      <c r="K121" s="2"/>
      <c r="L121" s="2"/>
      <c r="M121" s="12" t="str">
        <f t="shared" si="0"/>
        <v/>
      </c>
      <c r="N121" s="2"/>
      <c r="O121" s="2"/>
      <c r="P121" s="2"/>
      <c r="Q121" s="2"/>
      <c r="R121" s="2"/>
    </row>
    <row r="122" spans="1:18" ht="15.75" customHeight="1">
      <c r="A122" s="2"/>
      <c r="B122" s="2"/>
      <c r="C122" s="2"/>
      <c r="D122" s="11"/>
      <c r="E122" s="2"/>
      <c r="F122" s="2"/>
      <c r="G122" s="2"/>
      <c r="H122" s="2"/>
      <c r="I122" s="2"/>
      <c r="J122" s="2"/>
      <c r="K122" s="2"/>
      <c r="L122" s="2"/>
      <c r="M122" s="12" t="str">
        <f t="shared" si="0"/>
        <v/>
      </c>
      <c r="N122" s="2"/>
      <c r="O122" s="2"/>
      <c r="P122" s="2"/>
      <c r="Q122" s="2"/>
      <c r="R122" s="2"/>
    </row>
    <row r="123" spans="1:18" ht="15.75" customHeight="1">
      <c r="A123" s="2"/>
      <c r="B123" s="2"/>
      <c r="C123" s="2"/>
      <c r="D123" s="11"/>
      <c r="E123" s="2"/>
      <c r="F123" s="2"/>
      <c r="G123" s="2"/>
      <c r="H123" s="2"/>
      <c r="I123" s="2"/>
      <c r="J123" s="2"/>
      <c r="K123" s="2"/>
      <c r="L123" s="2"/>
      <c r="M123" s="12" t="str">
        <f t="shared" si="0"/>
        <v/>
      </c>
      <c r="N123" s="2"/>
      <c r="O123" s="2"/>
      <c r="P123" s="2"/>
      <c r="Q123" s="2"/>
      <c r="R123" s="2"/>
    </row>
    <row r="124" spans="1:18" ht="15.75" customHeight="1">
      <c r="A124" s="2"/>
      <c r="B124" s="2"/>
      <c r="C124" s="2"/>
      <c r="D124" s="11"/>
      <c r="E124" s="2"/>
      <c r="F124" s="2"/>
      <c r="G124" s="2"/>
      <c r="H124" s="2"/>
      <c r="I124" s="2"/>
      <c r="J124" s="2"/>
      <c r="K124" s="2"/>
      <c r="L124" s="2"/>
      <c r="M124" s="12" t="str">
        <f t="shared" si="0"/>
        <v/>
      </c>
      <c r="N124" s="2"/>
      <c r="O124" s="2"/>
      <c r="P124" s="2"/>
      <c r="Q124" s="2"/>
      <c r="R124" s="2"/>
    </row>
    <row r="125" spans="1:18" ht="15.75" customHeight="1">
      <c r="A125" s="2"/>
      <c r="B125" s="2"/>
      <c r="C125" s="2"/>
      <c r="D125" s="11"/>
      <c r="E125" s="2"/>
      <c r="F125" s="2"/>
      <c r="G125" s="2"/>
      <c r="H125" s="2"/>
      <c r="I125" s="2"/>
      <c r="J125" s="2"/>
      <c r="K125" s="2"/>
      <c r="L125" s="2"/>
      <c r="M125" s="12" t="str">
        <f t="shared" si="0"/>
        <v/>
      </c>
      <c r="N125" s="2"/>
      <c r="O125" s="2"/>
      <c r="P125" s="2"/>
      <c r="Q125" s="2"/>
      <c r="R125" s="2"/>
    </row>
    <row r="126" spans="1:18" ht="15.75" customHeight="1">
      <c r="A126" s="2"/>
      <c r="B126" s="2"/>
      <c r="C126" s="2"/>
      <c r="D126" s="11"/>
      <c r="E126" s="2"/>
      <c r="F126" s="2"/>
      <c r="G126" s="2"/>
      <c r="H126" s="2"/>
      <c r="I126" s="2"/>
      <c r="J126" s="2"/>
      <c r="K126" s="2"/>
      <c r="L126" s="2"/>
      <c r="M126" s="12" t="str">
        <f t="shared" si="0"/>
        <v/>
      </c>
      <c r="N126" s="2"/>
      <c r="O126" s="2"/>
      <c r="P126" s="2"/>
      <c r="Q126" s="2"/>
      <c r="R126" s="2"/>
    </row>
    <row r="127" spans="1:18" ht="15.75" customHeight="1">
      <c r="A127" s="2"/>
      <c r="B127" s="2"/>
      <c r="C127" s="2"/>
      <c r="D127" s="11"/>
      <c r="E127" s="2"/>
      <c r="F127" s="2"/>
      <c r="G127" s="2"/>
      <c r="H127" s="2"/>
      <c r="I127" s="2"/>
      <c r="J127" s="2"/>
      <c r="K127" s="2"/>
      <c r="L127" s="2"/>
      <c r="M127" s="12" t="str">
        <f t="shared" si="0"/>
        <v/>
      </c>
      <c r="N127" s="2"/>
      <c r="O127" s="2"/>
      <c r="P127" s="2"/>
      <c r="Q127" s="2"/>
      <c r="R127" s="2"/>
    </row>
    <row r="128" spans="1:18" ht="15.75" customHeight="1">
      <c r="A128" s="2"/>
      <c r="B128" s="2"/>
      <c r="C128" s="2"/>
      <c r="D128" s="11"/>
      <c r="E128" s="2"/>
      <c r="F128" s="2"/>
      <c r="G128" s="2"/>
      <c r="H128" s="2"/>
      <c r="I128" s="2"/>
      <c r="J128" s="2"/>
      <c r="K128" s="2"/>
      <c r="L128" s="2"/>
      <c r="M128" s="12" t="str">
        <f t="shared" si="0"/>
        <v/>
      </c>
      <c r="N128" s="2"/>
      <c r="O128" s="2"/>
      <c r="P128" s="2"/>
      <c r="Q128" s="2"/>
      <c r="R128" s="2"/>
    </row>
    <row r="129" spans="1:18" ht="15.75" customHeight="1">
      <c r="A129" s="2"/>
      <c r="B129" s="2"/>
      <c r="C129" s="2"/>
      <c r="D129" s="11"/>
      <c r="E129" s="2"/>
      <c r="F129" s="2"/>
      <c r="G129" s="2"/>
      <c r="H129" s="2"/>
      <c r="I129" s="2"/>
      <c r="J129" s="2"/>
      <c r="K129" s="2"/>
      <c r="L129" s="2"/>
      <c r="M129" s="12" t="str">
        <f t="shared" si="0"/>
        <v/>
      </c>
      <c r="N129" s="2"/>
      <c r="O129" s="2"/>
      <c r="P129" s="2"/>
      <c r="Q129" s="2"/>
      <c r="R129" s="2"/>
    </row>
    <row r="130" spans="1:18" ht="15.75" customHeight="1">
      <c r="A130" s="2"/>
      <c r="B130" s="2"/>
      <c r="C130" s="2"/>
      <c r="D130" s="11"/>
      <c r="E130" s="2"/>
      <c r="F130" s="2"/>
      <c r="G130" s="2"/>
      <c r="H130" s="2"/>
      <c r="I130" s="2"/>
      <c r="J130" s="2"/>
      <c r="K130" s="2"/>
      <c r="L130" s="2"/>
      <c r="M130" s="12" t="str">
        <f t="shared" si="0"/>
        <v/>
      </c>
      <c r="N130" s="2"/>
      <c r="O130" s="2"/>
      <c r="P130" s="2"/>
      <c r="Q130" s="2"/>
      <c r="R130" s="2"/>
    </row>
    <row r="131" spans="1:18" ht="15.75" customHeight="1">
      <c r="A131" s="2"/>
      <c r="B131" s="2"/>
      <c r="C131" s="2"/>
      <c r="D131" s="11"/>
      <c r="E131" s="2"/>
      <c r="F131" s="2"/>
      <c r="G131" s="2"/>
      <c r="H131" s="2"/>
      <c r="I131" s="2"/>
      <c r="J131" s="2"/>
      <c r="K131" s="2"/>
      <c r="L131" s="2"/>
      <c r="M131" s="12" t="str">
        <f t="shared" si="0"/>
        <v/>
      </c>
      <c r="N131" s="2"/>
      <c r="O131" s="2"/>
      <c r="P131" s="2"/>
      <c r="Q131" s="2"/>
      <c r="R131" s="2"/>
    </row>
    <row r="132" spans="1:18" ht="15.75" customHeight="1">
      <c r="A132" s="2"/>
      <c r="B132" s="2"/>
      <c r="C132" s="2"/>
      <c r="D132" s="11"/>
      <c r="E132" s="2"/>
      <c r="F132" s="2"/>
      <c r="G132" s="2"/>
      <c r="H132" s="2"/>
      <c r="I132" s="2"/>
      <c r="J132" s="2"/>
      <c r="K132" s="2"/>
      <c r="L132" s="2"/>
      <c r="M132" s="12" t="str">
        <f t="shared" si="0"/>
        <v/>
      </c>
      <c r="N132" s="2"/>
      <c r="O132" s="2"/>
      <c r="P132" s="2"/>
      <c r="Q132" s="2"/>
      <c r="R132" s="2"/>
    </row>
    <row r="133" spans="1:18" ht="15.75" customHeight="1">
      <c r="A133" s="2"/>
      <c r="B133" s="2"/>
      <c r="C133" s="2"/>
      <c r="D133" s="11"/>
      <c r="E133" s="2"/>
      <c r="F133" s="2"/>
      <c r="G133" s="2"/>
      <c r="H133" s="2"/>
      <c r="I133" s="2"/>
      <c r="J133" s="2"/>
      <c r="K133" s="2"/>
      <c r="L133" s="2"/>
      <c r="M133" s="12" t="str">
        <f t="shared" si="0"/>
        <v/>
      </c>
      <c r="N133" s="2"/>
      <c r="O133" s="2"/>
      <c r="P133" s="2"/>
      <c r="Q133" s="2"/>
      <c r="R133" s="2"/>
    </row>
    <row r="134" spans="1:18" ht="15.75" customHeight="1">
      <c r="A134" s="2"/>
      <c r="B134" s="2"/>
      <c r="C134" s="2"/>
      <c r="D134" s="11"/>
      <c r="E134" s="2"/>
      <c r="F134" s="2"/>
      <c r="G134" s="2"/>
      <c r="H134" s="2"/>
      <c r="I134" s="2"/>
      <c r="J134" s="2"/>
      <c r="K134" s="2"/>
      <c r="L134" s="2"/>
      <c r="M134" s="12" t="str">
        <f t="shared" si="0"/>
        <v/>
      </c>
      <c r="N134" s="2"/>
      <c r="O134" s="2"/>
      <c r="P134" s="2"/>
      <c r="Q134" s="2"/>
      <c r="R134" s="2"/>
    </row>
    <row r="135" spans="1:18" ht="15.75" customHeight="1">
      <c r="A135" s="2"/>
      <c r="B135" s="2"/>
      <c r="C135" s="2"/>
      <c r="D135" s="11"/>
      <c r="E135" s="2"/>
      <c r="F135" s="2"/>
      <c r="G135" s="2"/>
      <c r="H135" s="2"/>
      <c r="I135" s="2"/>
      <c r="J135" s="2"/>
      <c r="K135" s="2"/>
      <c r="L135" s="2"/>
      <c r="M135" s="12" t="str">
        <f t="shared" si="0"/>
        <v/>
      </c>
      <c r="N135" s="2"/>
      <c r="O135" s="2"/>
      <c r="P135" s="2"/>
      <c r="Q135" s="2"/>
      <c r="R135" s="2"/>
    </row>
    <row r="136" spans="1:18" ht="15.75" customHeight="1">
      <c r="A136" s="2"/>
      <c r="B136" s="2"/>
      <c r="C136" s="2"/>
      <c r="D136" s="11"/>
      <c r="E136" s="2"/>
      <c r="F136" s="2"/>
      <c r="G136" s="2"/>
      <c r="H136" s="2"/>
      <c r="I136" s="2"/>
      <c r="J136" s="2"/>
      <c r="K136" s="2"/>
      <c r="L136" s="2"/>
      <c r="M136" s="12" t="str">
        <f t="shared" si="0"/>
        <v/>
      </c>
      <c r="N136" s="2"/>
      <c r="O136" s="2"/>
      <c r="P136" s="2"/>
      <c r="Q136" s="2"/>
      <c r="R136" s="2"/>
    </row>
    <row r="137" spans="1:18" ht="15.75" customHeight="1">
      <c r="A137" s="2"/>
      <c r="B137" s="2"/>
      <c r="C137" s="2"/>
      <c r="D137" s="11"/>
      <c r="E137" s="2"/>
      <c r="F137" s="2"/>
      <c r="G137" s="2"/>
      <c r="H137" s="2"/>
      <c r="I137" s="2"/>
      <c r="J137" s="2"/>
      <c r="K137" s="2"/>
      <c r="L137" s="2"/>
      <c r="M137" s="12" t="str">
        <f t="shared" si="0"/>
        <v/>
      </c>
      <c r="N137" s="2"/>
      <c r="O137" s="2"/>
      <c r="P137" s="2"/>
      <c r="Q137" s="2"/>
      <c r="R137" s="2"/>
    </row>
    <row r="138" spans="1:18" ht="15.75" customHeight="1">
      <c r="A138" s="2"/>
      <c r="B138" s="2"/>
      <c r="C138" s="2"/>
      <c r="D138" s="11"/>
      <c r="E138" s="2"/>
      <c r="F138" s="2"/>
      <c r="G138" s="2"/>
      <c r="H138" s="2"/>
      <c r="I138" s="2"/>
      <c r="J138" s="2"/>
      <c r="K138" s="2"/>
      <c r="L138" s="2"/>
      <c r="M138" s="12" t="str">
        <f t="shared" si="0"/>
        <v/>
      </c>
      <c r="N138" s="2"/>
      <c r="O138" s="2"/>
      <c r="P138" s="2"/>
      <c r="Q138" s="2"/>
      <c r="R138" s="2"/>
    </row>
    <row r="139" spans="1:18" ht="15.75" customHeight="1">
      <c r="A139" s="2"/>
      <c r="B139" s="2"/>
      <c r="C139" s="2"/>
      <c r="D139" s="11"/>
      <c r="E139" s="2"/>
      <c r="F139" s="2"/>
      <c r="G139" s="2"/>
      <c r="H139" s="2"/>
      <c r="I139" s="2"/>
      <c r="J139" s="2"/>
      <c r="K139" s="2"/>
      <c r="L139" s="2"/>
      <c r="M139" s="12" t="str">
        <f t="shared" si="0"/>
        <v/>
      </c>
      <c r="N139" s="2"/>
      <c r="O139" s="2"/>
      <c r="P139" s="2"/>
      <c r="Q139" s="2"/>
      <c r="R139" s="2"/>
    </row>
    <row r="140" spans="1:18" ht="15.75" customHeight="1">
      <c r="A140" s="2"/>
      <c r="B140" s="2"/>
      <c r="C140" s="2"/>
      <c r="D140" s="11"/>
      <c r="E140" s="2"/>
      <c r="F140" s="2"/>
      <c r="G140" s="2"/>
      <c r="H140" s="2"/>
      <c r="I140" s="2"/>
      <c r="J140" s="2"/>
      <c r="K140" s="2"/>
      <c r="L140" s="2"/>
      <c r="M140" s="12" t="str">
        <f t="shared" si="0"/>
        <v/>
      </c>
      <c r="N140" s="2"/>
      <c r="O140" s="2"/>
      <c r="P140" s="2"/>
      <c r="Q140" s="2"/>
      <c r="R140" s="2"/>
    </row>
    <row r="141" spans="1:18" ht="15.75" customHeight="1">
      <c r="A141" s="2"/>
      <c r="B141" s="2"/>
      <c r="C141" s="2"/>
      <c r="D141" s="11"/>
      <c r="E141" s="2"/>
      <c r="F141" s="2"/>
      <c r="G141" s="2"/>
      <c r="H141" s="2"/>
      <c r="I141" s="2"/>
      <c r="J141" s="2"/>
      <c r="K141" s="2"/>
      <c r="L141" s="2"/>
      <c r="M141" s="12" t="str">
        <f t="shared" si="0"/>
        <v/>
      </c>
      <c r="N141" s="2"/>
      <c r="O141" s="2"/>
      <c r="P141" s="2"/>
      <c r="Q141" s="2"/>
      <c r="R141" s="2"/>
    </row>
    <row r="142" spans="1:18" ht="15.75" customHeight="1">
      <c r="A142" s="2"/>
      <c r="B142" s="2"/>
      <c r="C142" s="2"/>
      <c r="D142" s="11"/>
      <c r="E142" s="2"/>
      <c r="F142" s="2"/>
      <c r="G142" s="2"/>
      <c r="H142" s="2"/>
      <c r="I142" s="2"/>
      <c r="J142" s="2"/>
      <c r="K142" s="2"/>
      <c r="L142" s="2"/>
      <c r="M142" s="12" t="str">
        <f t="shared" si="0"/>
        <v/>
      </c>
      <c r="N142" s="2"/>
      <c r="O142" s="2"/>
      <c r="P142" s="2"/>
      <c r="Q142" s="2"/>
      <c r="R142" s="2"/>
    </row>
    <row r="143" spans="1:18" ht="15.75" customHeight="1">
      <c r="A143" s="2"/>
      <c r="B143" s="2"/>
      <c r="C143" s="2"/>
      <c r="D143" s="11"/>
      <c r="E143" s="2"/>
      <c r="F143" s="2"/>
      <c r="G143" s="2"/>
      <c r="H143" s="2"/>
      <c r="I143" s="2"/>
      <c r="J143" s="2"/>
      <c r="K143" s="2"/>
      <c r="L143" s="2"/>
      <c r="M143" s="12" t="str">
        <f t="shared" si="0"/>
        <v/>
      </c>
      <c r="N143" s="2"/>
      <c r="O143" s="2"/>
      <c r="P143" s="2"/>
      <c r="Q143" s="2"/>
      <c r="R143" s="2"/>
    </row>
    <row r="144" spans="1:18" ht="15.75" customHeight="1">
      <c r="A144" s="2"/>
      <c r="B144" s="2"/>
      <c r="C144" s="2"/>
      <c r="D144" s="11"/>
      <c r="E144" s="2"/>
      <c r="F144" s="2"/>
      <c r="G144" s="2"/>
      <c r="H144" s="2"/>
      <c r="I144" s="2"/>
      <c r="J144" s="2"/>
      <c r="K144" s="2"/>
      <c r="L144" s="2"/>
      <c r="M144" s="12" t="str">
        <f t="shared" si="0"/>
        <v/>
      </c>
      <c r="N144" s="2"/>
      <c r="O144" s="2"/>
      <c r="P144" s="2"/>
      <c r="Q144" s="2"/>
      <c r="R144" s="2"/>
    </row>
    <row r="145" spans="1:18" ht="15.75" customHeight="1">
      <c r="A145" s="2"/>
      <c r="B145" s="2"/>
      <c r="C145" s="2"/>
      <c r="D145" s="11"/>
      <c r="E145" s="2"/>
      <c r="F145" s="2"/>
      <c r="G145" s="2"/>
      <c r="H145" s="2"/>
      <c r="I145" s="2"/>
      <c r="J145" s="2"/>
      <c r="K145" s="2"/>
      <c r="L145" s="2"/>
      <c r="M145" s="12" t="str">
        <f t="shared" si="0"/>
        <v/>
      </c>
      <c r="N145" s="2"/>
      <c r="O145" s="2"/>
      <c r="P145" s="2"/>
      <c r="Q145" s="2"/>
      <c r="R145" s="2"/>
    </row>
    <row r="146" spans="1:18" ht="15.75" customHeight="1">
      <c r="A146" s="2"/>
      <c r="B146" s="2"/>
      <c r="C146" s="2"/>
      <c r="D146" s="11"/>
      <c r="E146" s="2"/>
      <c r="F146" s="2"/>
      <c r="G146" s="2"/>
      <c r="H146" s="2"/>
      <c r="I146" s="2"/>
      <c r="J146" s="2"/>
      <c r="K146" s="2"/>
      <c r="L146" s="2"/>
      <c r="M146" s="12" t="str">
        <f t="shared" si="0"/>
        <v/>
      </c>
      <c r="N146" s="2"/>
      <c r="O146" s="2"/>
      <c r="P146" s="2"/>
      <c r="Q146" s="2"/>
      <c r="R146" s="2"/>
    </row>
    <row r="147" spans="1:18" ht="15.75" customHeight="1">
      <c r="A147" s="2"/>
      <c r="B147" s="2"/>
      <c r="C147" s="2"/>
      <c r="D147" s="11"/>
      <c r="E147" s="2"/>
      <c r="F147" s="2"/>
      <c r="G147" s="2"/>
      <c r="H147" s="2"/>
      <c r="I147" s="2"/>
      <c r="J147" s="2"/>
      <c r="K147" s="2"/>
      <c r="L147" s="2"/>
      <c r="M147" s="12" t="str">
        <f t="shared" si="0"/>
        <v/>
      </c>
      <c r="N147" s="2"/>
      <c r="O147" s="2"/>
      <c r="P147" s="2"/>
      <c r="Q147" s="2"/>
      <c r="R147" s="2"/>
    </row>
    <row r="148" spans="1:18" ht="15.75" customHeight="1">
      <c r="A148" s="2"/>
      <c r="B148" s="2"/>
      <c r="C148" s="2"/>
      <c r="D148" s="11"/>
      <c r="E148" s="2"/>
      <c r="F148" s="2"/>
      <c r="G148" s="2"/>
      <c r="H148" s="2"/>
      <c r="I148" s="2"/>
      <c r="J148" s="2"/>
      <c r="K148" s="2"/>
      <c r="L148" s="2"/>
      <c r="M148" s="12" t="str">
        <f t="shared" si="0"/>
        <v/>
      </c>
      <c r="N148" s="2"/>
      <c r="O148" s="2"/>
      <c r="P148" s="2"/>
      <c r="Q148" s="2"/>
      <c r="R148" s="2"/>
    </row>
    <row r="149" spans="1:18" ht="15.75" customHeight="1">
      <c r="A149" s="2"/>
      <c r="B149" s="2"/>
      <c r="C149" s="2"/>
      <c r="D149" s="11"/>
      <c r="E149" s="2"/>
      <c r="F149" s="2"/>
      <c r="G149" s="2"/>
      <c r="H149" s="2"/>
      <c r="I149" s="2"/>
      <c r="J149" s="2"/>
      <c r="K149" s="2"/>
      <c r="L149" s="2"/>
      <c r="M149" s="12" t="str">
        <f t="shared" si="0"/>
        <v/>
      </c>
      <c r="N149" s="2"/>
      <c r="O149" s="2"/>
      <c r="P149" s="2"/>
      <c r="Q149" s="2"/>
      <c r="R149" s="2"/>
    </row>
    <row r="150" spans="1:18" ht="15.75" customHeight="1">
      <c r="A150" s="2"/>
      <c r="B150" s="2"/>
      <c r="C150" s="2"/>
      <c r="D150" s="11"/>
      <c r="E150" s="2"/>
      <c r="F150" s="2"/>
      <c r="G150" s="2"/>
      <c r="H150" s="2"/>
      <c r="I150" s="2"/>
      <c r="J150" s="2"/>
      <c r="K150" s="2"/>
      <c r="L150" s="2"/>
      <c r="M150" s="12" t="str">
        <f t="shared" si="0"/>
        <v/>
      </c>
      <c r="N150" s="2"/>
      <c r="O150" s="2"/>
      <c r="P150" s="2"/>
      <c r="Q150" s="2"/>
      <c r="R150" s="2"/>
    </row>
    <row r="151" spans="1:18" ht="15.75" customHeight="1">
      <c r="A151" s="2"/>
      <c r="B151" s="2"/>
      <c r="C151" s="2"/>
      <c r="D151" s="11"/>
      <c r="E151" s="2"/>
      <c r="F151" s="2"/>
      <c r="G151" s="2"/>
      <c r="H151" s="2"/>
      <c r="I151" s="2"/>
      <c r="J151" s="2"/>
      <c r="K151" s="2"/>
      <c r="L151" s="2"/>
      <c r="M151" s="12" t="str">
        <f t="shared" si="0"/>
        <v/>
      </c>
      <c r="N151" s="2"/>
      <c r="O151" s="2"/>
      <c r="P151" s="2"/>
      <c r="Q151" s="2"/>
      <c r="R151" s="2"/>
    </row>
    <row r="152" spans="1:18" ht="15.75" customHeight="1">
      <c r="A152" s="2"/>
      <c r="B152" s="2"/>
      <c r="C152" s="2"/>
      <c r="D152" s="11"/>
      <c r="E152" s="2"/>
      <c r="F152" s="2"/>
      <c r="G152" s="2"/>
      <c r="H152" s="2"/>
      <c r="I152" s="2"/>
      <c r="J152" s="2"/>
      <c r="K152" s="2"/>
      <c r="L152" s="2"/>
      <c r="M152" s="12" t="str">
        <f t="shared" si="0"/>
        <v/>
      </c>
      <c r="N152" s="2"/>
      <c r="O152" s="2"/>
      <c r="P152" s="2"/>
      <c r="Q152" s="2"/>
      <c r="R152" s="2"/>
    </row>
    <row r="153" spans="1:18" ht="15.75" customHeight="1">
      <c r="A153" s="2"/>
      <c r="B153" s="2"/>
      <c r="C153" s="2"/>
      <c r="D153" s="11"/>
      <c r="E153" s="2"/>
      <c r="F153" s="2"/>
      <c r="G153" s="2"/>
      <c r="H153" s="2"/>
      <c r="I153" s="2"/>
      <c r="J153" s="2"/>
      <c r="K153" s="2"/>
      <c r="L153" s="2"/>
      <c r="M153" s="12" t="str">
        <f t="shared" si="0"/>
        <v/>
      </c>
      <c r="N153" s="2"/>
      <c r="O153" s="2"/>
      <c r="P153" s="2"/>
      <c r="Q153" s="2"/>
      <c r="R153" s="2"/>
    </row>
    <row r="154" spans="1:18" ht="15.75" customHeight="1">
      <c r="A154" s="2"/>
      <c r="B154" s="2"/>
      <c r="C154" s="2"/>
      <c r="D154" s="11"/>
      <c r="E154" s="2"/>
      <c r="F154" s="2"/>
      <c r="G154" s="2"/>
      <c r="H154" s="2"/>
      <c r="I154" s="2"/>
      <c r="J154" s="2"/>
      <c r="K154" s="2"/>
      <c r="L154" s="2"/>
      <c r="M154" s="12" t="str">
        <f t="shared" si="0"/>
        <v/>
      </c>
      <c r="N154" s="2"/>
      <c r="O154" s="2"/>
      <c r="P154" s="2"/>
      <c r="Q154" s="2"/>
      <c r="R154" s="2"/>
    </row>
    <row r="155" spans="1:18" ht="15.75" customHeight="1">
      <c r="A155" s="2"/>
      <c r="B155" s="2"/>
      <c r="C155" s="2"/>
      <c r="D155" s="11"/>
      <c r="E155" s="2"/>
      <c r="F155" s="2"/>
      <c r="G155" s="2"/>
      <c r="H155" s="2"/>
      <c r="I155" s="2"/>
      <c r="J155" s="2"/>
      <c r="K155" s="2"/>
      <c r="L155" s="2"/>
      <c r="M155" s="12" t="str">
        <f t="shared" si="0"/>
        <v/>
      </c>
      <c r="N155" s="2"/>
      <c r="O155" s="2"/>
      <c r="P155" s="2"/>
      <c r="Q155" s="2"/>
      <c r="R155" s="2"/>
    </row>
    <row r="156" spans="1:18" ht="15.75" customHeight="1">
      <c r="A156" s="2"/>
      <c r="B156" s="2"/>
      <c r="C156" s="2"/>
      <c r="D156" s="11"/>
      <c r="E156" s="2"/>
      <c r="F156" s="2"/>
      <c r="G156" s="2"/>
      <c r="H156" s="2"/>
      <c r="I156" s="2"/>
      <c r="J156" s="2"/>
      <c r="K156" s="2"/>
      <c r="L156" s="2"/>
      <c r="M156" s="12" t="str">
        <f t="shared" si="0"/>
        <v/>
      </c>
      <c r="N156" s="2"/>
      <c r="O156" s="2"/>
      <c r="P156" s="2"/>
      <c r="Q156" s="2"/>
      <c r="R156" s="2"/>
    </row>
    <row r="157" spans="1:18" ht="15.75" customHeight="1">
      <c r="A157" s="2"/>
      <c r="B157" s="2"/>
      <c r="C157" s="2"/>
      <c r="D157" s="11"/>
      <c r="E157" s="2"/>
      <c r="F157" s="2"/>
      <c r="G157" s="2"/>
      <c r="H157" s="2"/>
      <c r="I157" s="2"/>
      <c r="J157" s="2"/>
      <c r="K157" s="2"/>
      <c r="L157" s="2"/>
      <c r="M157" s="12" t="str">
        <f t="shared" si="0"/>
        <v/>
      </c>
      <c r="N157" s="2"/>
      <c r="O157" s="2"/>
      <c r="P157" s="2"/>
      <c r="Q157" s="2"/>
      <c r="R157" s="2"/>
    </row>
    <row r="158" spans="1:18" ht="15.75" customHeight="1">
      <c r="A158" s="2"/>
      <c r="B158" s="2"/>
      <c r="C158" s="2"/>
      <c r="D158" s="11"/>
      <c r="E158" s="2"/>
      <c r="F158" s="2"/>
      <c r="G158" s="2"/>
      <c r="H158" s="2"/>
      <c r="I158" s="2"/>
      <c r="J158" s="2"/>
      <c r="K158" s="2"/>
      <c r="L158" s="2"/>
      <c r="M158" s="12" t="str">
        <f t="shared" si="0"/>
        <v/>
      </c>
      <c r="N158" s="2"/>
      <c r="O158" s="2"/>
      <c r="P158" s="2"/>
      <c r="Q158" s="2"/>
      <c r="R158" s="2"/>
    </row>
    <row r="159" spans="1:18" ht="15.75" customHeight="1">
      <c r="A159" s="2"/>
      <c r="B159" s="2"/>
      <c r="C159" s="2"/>
      <c r="D159" s="11"/>
      <c r="E159" s="2"/>
      <c r="F159" s="2"/>
      <c r="G159" s="2"/>
      <c r="H159" s="2"/>
      <c r="I159" s="2"/>
      <c r="J159" s="2"/>
      <c r="K159" s="2"/>
      <c r="L159" s="2"/>
      <c r="M159" s="12" t="str">
        <f t="shared" si="0"/>
        <v/>
      </c>
      <c r="N159" s="2"/>
      <c r="O159" s="2"/>
      <c r="P159" s="2"/>
      <c r="Q159" s="2"/>
      <c r="R159" s="2"/>
    </row>
    <row r="160" spans="1:18" ht="15.75" customHeight="1">
      <c r="A160" s="2"/>
      <c r="B160" s="2"/>
      <c r="C160" s="2"/>
      <c r="D160" s="11"/>
      <c r="E160" s="2"/>
      <c r="F160" s="2"/>
      <c r="G160" s="2"/>
      <c r="H160" s="2"/>
      <c r="I160" s="2"/>
      <c r="J160" s="2"/>
      <c r="K160" s="2"/>
      <c r="L160" s="2"/>
      <c r="M160" s="12" t="str">
        <f t="shared" si="0"/>
        <v/>
      </c>
      <c r="N160" s="2"/>
      <c r="O160" s="2"/>
      <c r="P160" s="2"/>
      <c r="Q160" s="2"/>
      <c r="R160" s="2"/>
    </row>
    <row r="161" spans="1:18" ht="15.75" customHeight="1">
      <c r="A161" s="2"/>
      <c r="B161" s="2"/>
      <c r="C161" s="2"/>
      <c r="D161" s="11"/>
      <c r="E161" s="2"/>
      <c r="F161" s="2"/>
      <c r="G161" s="2"/>
      <c r="H161" s="2"/>
      <c r="I161" s="2"/>
      <c r="J161" s="2"/>
      <c r="K161" s="2"/>
      <c r="L161" s="2"/>
      <c r="M161" s="12" t="str">
        <f t="shared" si="0"/>
        <v/>
      </c>
      <c r="N161" s="2"/>
      <c r="O161" s="2"/>
      <c r="P161" s="2"/>
      <c r="Q161" s="2"/>
      <c r="R161" s="2"/>
    </row>
    <row r="162" spans="1:18" ht="15.75" customHeight="1">
      <c r="A162" s="2"/>
      <c r="B162" s="2"/>
      <c r="C162" s="2"/>
      <c r="D162" s="11"/>
      <c r="E162" s="2"/>
      <c r="F162" s="2"/>
      <c r="G162" s="2"/>
      <c r="H162" s="2"/>
      <c r="I162" s="2"/>
      <c r="J162" s="2"/>
      <c r="K162" s="2"/>
      <c r="L162" s="2"/>
      <c r="M162" s="12" t="str">
        <f t="shared" si="0"/>
        <v/>
      </c>
      <c r="N162" s="2"/>
      <c r="O162" s="2"/>
      <c r="P162" s="2"/>
      <c r="Q162" s="2"/>
      <c r="R162" s="2"/>
    </row>
    <row r="163" spans="1:18" ht="15.75" customHeight="1">
      <c r="A163" s="2"/>
      <c r="B163" s="2"/>
      <c r="C163" s="2"/>
      <c r="D163" s="11"/>
      <c r="E163" s="2"/>
      <c r="F163" s="2"/>
      <c r="G163" s="2"/>
      <c r="H163" s="2"/>
      <c r="I163" s="2"/>
      <c r="J163" s="2"/>
      <c r="K163" s="2"/>
      <c r="L163" s="2"/>
      <c r="M163" s="12" t="str">
        <f t="shared" si="0"/>
        <v/>
      </c>
      <c r="N163" s="2"/>
      <c r="O163" s="2"/>
      <c r="P163" s="2"/>
      <c r="Q163" s="2"/>
      <c r="R163" s="2"/>
    </row>
    <row r="164" spans="1:18" ht="15.75" customHeight="1">
      <c r="A164" s="2"/>
      <c r="B164" s="2"/>
      <c r="C164" s="2"/>
      <c r="D164" s="11"/>
      <c r="E164" s="2"/>
      <c r="F164" s="2"/>
      <c r="G164" s="2"/>
      <c r="H164" s="2"/>
      <c r="I164" s="2"/>
      <c r="J164" s="2"/>
      <c r="K164" s="2"/>
      <c r="L164" s="2"/>
      <c r="M164" s="12" t="str">
        <f t="shared" si="0"/>
        <v/>
      </c>
      <c r="N164" s="2"/>
      <c r="O164" s="2"/>
      <c r="P164" s="2"/>
      <c r="Q164" s="2"/>
      <c r="R164" s="2"/>
    </row>
    <row r="165" spans="1:18" ht="15.75" customHeight="1">
      <c r="A165" s="2"/>
      <c r="B165" s="2"/>
      <c r="C165" s="2"/>
      <c r="D165" s="11"/>
      <c r="E165" s="2"/>
      <c r="F165" s="2"/>
      <c r="G165" s="2"/>
      <c r="H165" s="2"/>
      <c r="I165" s="2"/>
      <c r="J165" s="2"/>
      <c r="K165" s="2"/>
      <c r="L165" s="2"/>
      <c r="M165" s="12" t="str">
        <f t="shared" si="0"/>
        <v/>
      </c>
      <c r="N165" s="2"/>
      <c r="O165" s="2"/>
      <c r="P165" s="2"/>
      <c r="Q165" s="2"/>
      <c r="R165" s="2"/>
    </row>
    <row r="166" spans="1:18" ht="15.75" customHeight="1">
      <c r="A166" s="2"/>
      <c r="B166" s="2"/>
      <c r="C166" s="2"/>
      <c r="D166" s="11"/>
      <c r="E166" s="2"/>
      <c r="F166" s="2"/>
      <c r="G166" s="2"/>
      <c r="H166" s="2"/>
      <c r="I166" s="2"/>
      <c r="J166" s="2"/>
      <c r="K166" s="2"/>
      <c r="L166" s="2"/>
      <c r="M166" s="12" t="str">
        <f t="shared" si="0"/>
        <v/>
      </c>
      <c r="N166" s="2"/>
      <c r="O166" s="2"/>
      <c r="P166" s="2"/>
      <c r="Q166" s="2"/>
      <c r="R166" s="2"/>
    </row>
    <row r="167" spans="1:18" ht="15.75" customHeight="1">
      <c r="A167" s="2"/>
      <c r="B167" s="2"/>
      <c r="C167" s="2"/>
      <c r="D167" s="11"/>
      <c r="E167" s="2"/>
      <c r="F167" s="2"/>
      <c r="G167" s="2"/>
      <c r="H167" s="2"/>
      <c r="I167" s="2"/>
      <c r="J167" s="2"/>
      <c r="K167" s="2"/>
      <c r="L167" s="2"/>
      <c r="M167" s="12" t="str">
        <f t="shared" si="0"/>
        <v/>
      </c>
      <c r="N167" s="2"/>
      <c r="O167" s="2"/>
      <c r="P167" s="2"/>
      <c r="Q167" s="2"/>
      <c r="R167" s="2"/>
    </row>
    <row r="168" spans="1:18" ht="15.75" customHeight="1">
      <c r="A168" s="2"/>
      <c r="B168" s="2"/>
      <c r="C168" s="2"/>
      <c r="D168" s="11"/>
      <c r="E168" s="2"/>
      <c r="F168" s="2"/>
      <c r="G168" s="2"/>
      <c r="H168" s="2"/>
      <c r="I168" s="2"/>
      <c r="J168" s="2"/>
      <c r="K168" s="2"/>
      <c r="L168" s="2"/>
      <c r="M168" s="12" t="str">
        <f t="shared" si="0"/>
        <v/>
      </c>
      <c r="N168" s="2"/>
      <c r="O168" s="2"/>
      <c r="P168" s="2"/>
      <c r="Q168" s="2"/>
      <c r="R168" s="2"/>
    </row>
    <row r="169" spans="1:18" ht="15.75" customHeight="1">
      <c r="A169" s="2"/>
      <c r="B169" s="2"/>
      <c r="C169" s="2"/>
      <c r="D169" s="11"/>
      <c r="E169" s="2"/>
      <c r="F169" s="2"/>
      <c r="G169" s="2"/>
      <c r="H169" s="2"/>
      <c r="I169" s="2"/>
      <c r="J169" s="2"/>
      <c r="K169" s="2"/>
      <c r="L169" s="2"/>
      <c r="M169" s="12" t="str">
        <f t="shared" si="0"/>
        <v/>
      </c>
      <c r="N169" s="2"/>
      <c r="O169" s="2"/>
      <c r="P169" s="2"/>
      <c r="Q169" s="2"/>
      <c r="R169" s="2"/>
    </row>
    <row r="170" spans="1:18" ht="15.75" customHeight="1">
      <c r="A170" s="2"/>
      <c r="B170" s="2"/>
      <c r="C170" s="2"/>
      <c r="D170" s="11"/>
      <c r="E170" s="2"/>
      <c r="F170" s="2"/>
      <c r="G170" s="2"/>
      <c r="H170" s="2"/>
      <c r="I170" s="2"/>
      <c r="J170" s="2"/>
      <c r="K170" s="2"/>
      <c r="L170" s="2"/>
      <c r="M170" s="12" t="str">
        <f t="shared" si="0"/>
        <v/>
      </c>
      <c r="N170" s="2"/>
      <c r="O170" s="2"/>
      <c r="P170" s="2"/>
      <c r="Q170" s="2"/>
      <c r="R170" s="2"/>
    </row>
    <row r="171" spans="1:18" ht="15.75" customHeight="1">
      <c r="A171" s="2"/>
      <c r="B171" s="2"/>
      <c r="C171" s="2"/>
      <c r="D171" s="11"/>
      <c r="E171" s="2"/>
      <c r="F171" s="2"/>
      <c r="G171" s="2"/>
      <c r="H171" s="2"/>
      <c r="I171" s="2"/>
      <c r="J171" s="2"/>
      <c r="K171" s="2"/>
      <c r="L171" s="2"/>
      <c r="M171" s="12" t="str">
        <f t="shared" si="0"/>
        <v/>
      </c>
      <c r="N171" s="2"/>
      <c r="O171" s="2"/>
      <c r="P171" s="2"/>
      <c r="Q171" s="2"/>
      <c r="R171" s="2"/>
    </row>
    <row r="172" spans="1:18" ht="15.75" customHeight="1">
      <c r="A172" s="2"/>
      <c r="B172" s="2"/>
      <c r="C172" s="2"/>
      <c r="D172" s="11"/>
      <c r="E172" s="2"/>
      <c r="F172" s="2"/>
      <c r="G172" s="2"/>
      <c r="H172" s="2"/>
      <c r="I172" s="2"/>
      <c r="J172" s="2"/>
      <c r="K172" s="2"/>
      <c r="L172" s="2"/>
      <c r="M172" s="12" t="str">
        <f t="shared" si="0"/>
        <v/>
      </c>
      <c r="N172" s="2"/>
      <c r="O172" s="2"/>
      <c r="P172" s="2"/>
      <c r="Q172" s="2"/>
      <c r="R172" s="2"/>
    </row>
    <row r="173" spans="1:18" ht="15.75" customHeight="1">
      <c r="A173" s="2"/>
      <c r="B173" s="2"/>
      <c r="C173" s="2"/>
      <c r="D173" s="11"/>
      <c r="E173" s="2"/>
      <c r="F173" s="2"/>
      <c r="G173" s="2"/>
      <c r="H173" s="2"/>
      <c r="I173" s="2"/>
      <c r="J173" s="2"/>
      <c r="K173" s="2"/>
      <c r="L173" s="2"/>
      <c r="M173" s="12" t="str">
        <f t="shared" si="0"/>
        <v/>
      </c>
      <c r="N173" s="2"/>
      <c r="O173" s="2"/>
      <c r="P173" s="2"/>
      <c r="Q173" s="2"/>
      <c r="R173" s="2"/>
    </row>
    <row r="174" spans="1:18" ht="15.75" customHeight="1">
      <c r="A174" s="2"/>
      <c r="B174" s="2"/>
      <c r="C174" s="2"/>
      <c r="D174" s="11"/>
      <c r="E174" s="2"/>
      <c r="F174" s="2"/>
      <c r="G174" s="2"/>
      <c r="H174" s="2"/>
      <c r="I174" s="2"/>
      <c r="J174" s="2"/>
      <c r="K174" s="2"/>
      <c r="L174" s="2"/>
      <c r="M174" s="12" t="str">
        <f t="shared" si="0"/>
        <v/>
      </c>
      <c r="N174" s="2"/>
      <c r="O174" s="2"/>
      <c r="P174" s="2"/>
      <c r="Q174" s="2"/>
      <c r="R174" s="2"/>
    </row>
    <row r="175" spans="1:18" ht="15.75" customHeight="1">
      <c r="A175" s="2"/>
      <c r="B175" s="2"/>
      <c r="C175" s="2"/>
      <c r="D175" s="11"/>
      <c r="E175" s="2"/>
      <c r="F175" s="2"/>
      <c r="G175" s="2"/>
      <c r="H175" s="2"/>
      <c r="I175" s="2"/>
      <c r="J175" s="2"/>
      <c r="K175" s="2"/>
      <c r="L175" s="2"/>
      <c r="M175" s="12" t="str">
        <f t="shared" si="0"/>
        <v/>
      </c>
      <c r="N175" s="2"/>
      <c r="O175" s="2"/>
      <c r="P175" s="2"/>
      <c r="Q175" s="2"/>
      <c r="R175" s="2"/>
    </row>
    <row r="176" spans="1:18" ht="15.75" customHeight="1">
      <c r="A176" s="2"/>
      <c r="B176" s="2"/>
      <c r="C176" s="2"/>
      <c r="D176" s="11"/>
      <c r="E176" s="2"/>
      <c r="F176" s="2"/>
      <c r="G176" s="2"/>
      <c r="H176" s="2"/>
      <c r="I176" s="2"/>
      <c r="J176" s="2"/>
      <c r="K176" s="2"/>
      <c r="L176" s="2"/>
      <c r="M176" s="12" t="str">
        <f t="shared" si="0"/>
        <v/>
      </c>
      <c r="N176" s="2"/>
      <c r="O176" s="2"/>
      <c r="P176" s="2"/>
      <c r="Q176" s="2"/>
      <c r="R176" s="2"/>
    </row>
    <row r="177" spans="1:18" ht="15.75" customHeight="1">
      <c r="A177" s="2"/>
      <c r="B177" s="2"/>
      <c r="C177" s="2"/>
      <c r="D177" s="11"/>
      <c r="E177" s="2"/>
      <c r="F177" s="2"/>
      <c r="G177" s="2"/>
      <c r="H177" s="2"/>
      <c r="I177" s="2"/>
      <c r="J177" s="2"/>
      <c r="K177" s="2"/>
      <c r="L177" s="2"/>
      <c r="M177" s="12" t="str">
        <f t="shared" si="0"/>
        <v/>
      </c>
      <c r="N177" s="2"/>
      <c r="O177" s="2"/>
      <c r="P177" s="2"/>
      <c r="Q177" s="2"/>
      <c r="R177" s="2"/>
    </row>
    <row r="178" spans="1:18" ht="15.75" customHeight="1">
      <c r="A178" s="2"/>
      <c r="B178" s="2"/>
      <c r="C178" s="2"/>
      <c r="D178" s="11"/>
      <c r="E178" s="2"/>
      <c r="F178" s="2"/>
      <c r="G178" s="2"/>
      <c r="H178" s="2"/>
      <c r="I178" s="2"/>
      <c r="J178" s="2"/>
      <c r="K178" s="2"/>
      <c r="L178" s="2"/>
      <c r="M178" s="12" t="str">
        <f t="shared" si="0"/>
        <v/>
      </c>
      <c r="N178" s="2"/>
      <c r="O178" s="2"/>
      <c r="P178" s="2"/>
      <c r="Q178" s="2"/>
      <c r="R178" s="2"/>
    </row>
    <row r="179" spans="1:18" ht="15.75" customHeight="1">
      <c r="A179" s="2"/>
      <c r="B179" s="2"/>
      <c r="C179" s="2"/>
      <c r="D179" s="11"/>
      <c r="E179" s="2"/>
      <c r="F179" s="2"/>
      <c r="G179" s="2"/>
      <c r="H179" s="2"/>
      <c r="I179" s="2"/>
      <c r="J179" s="2"/>
      <c r="K179" s="2"/>
      <c r="L179" s="2"/>
      <c r="M179" s="12" t="str">
        <f t="shared" si="0"/>
        <v/>
      </c>
      <c r="N179" s="2"/>
      <c r="O179" s="2"/>
      <c r="P179" s="2"/>
      <c r="Q179" s="2"/>
      <c r="R179" s="2"/>
    </row>
    <row r="180" spans="1:18" ht="15.75" customHeight="1">
      <c r="A180" s="2"/>
      <c r="B180" s="2"/>
      <c r="C180" s="2"/>
      <c r="D180" s="11"/>
      <c r="E180" s="2"/>
      <c r="F180" s="2"/>
      <c r="G180" s="2"/>
      <c r="H180" s="2"/>
      <c r="I180" s="2"/>
      <c r="J180" s="2"/>
      <c r="K180" s="2"/>
      <c r="L180" s="2"/>
      <c r="M180" s="12" t="str">
        <f t="shared" si="0"/>
        <v/>
      </c>
      <c r="N180" s="2"/>
      <c r="O180" s="2"/>
      <c r="P180" s="2"/>
      <c r="Q180" s="2"/>
      <c r="R180" s="2"/>
    </row>
    <row r="181" spans="1:18" ht="15.75" customHeight="1">
      <c r="A181" s="2"/>
      <c r="B181" s="2"/>
      <c r="C181" s="2"/>
      <c r="D181" s="11"/>
      <c r="E181" s="2"/>
      <c r="F181" s="2"/>
      <c r="G181" s="2"/>
      <c r="H181" s="2"/>
      <c r="I181" s="2"/>
      <c r="J181" s="2"/>
      <c r="K181" s="2"/>
      <c r="L181" s="2"/>
      <c r="M181" s="12" t="str">
        <f t="shared" si="0"/>
        <v/>
      </c>
      <c r="N181" s="2"/>
      <c r="O181" s="2"/>
      <c r="P181" s="2"/>
      <c r="Q181" s="2"/>
      <c r="R181" s="2"/>
    </row>
    <row r="182" spans="1:18" ht="15.75" customHeight="1">
      <c r="A182" s="2"/>
      <c r="B182" s="2"/>
      <c r="C182" s="2"/>
      <c r="D182" s="11"/>
      <c r="E182" s="2"/>
      <c r="F182" s="2"/>
      <c r="G182" s="2"/>
      <c r="H182" s="2"/>
      <c r="I182" s="2"/>
      <c r="J182" s="2"/>
      <c r="K182" s="2"/>
      <c r="L182" s="2"/>
      <c r="M182" s="12" t="str">
        <f t="shared" si="0"/>
        <v/>
      </c>
      <c r="N182" s="2"/>
      <c r="O182" s="2"/>
      <c r="P182" s="2"/>
      <c r="Q182" s="2"/>
      <c r="R182" s="2"/>
    </row>
    <row r="183" spans="1:18" ht="15.75" customHeight="1">
      <c r="A183" s="2"/>
      <c r="B183" s="2"/>
      <c r="C183" s="2"/>
      <c r="D183" s="11"/>
      <c r="E183" s="2"/>
      <c r="F183" s="2"/>
      <c r="G183" s="2"/>
      <c r="H183" s="2"/>
      <c r="I183" s="2"/>
      <c r="J183" s="2"/>
      <c r="K183" s="2"/>
      <c r="L183" s="2"/>
      <c r="M183" s="12" t="str">
        <f t="shared" si="0"/>
        <v/>
      </c>
      <c r="N183" s="2"/>
      <c r="O183" s="2"/>
      <c r="P183" s="2"/>
      <c r="Q183" s="2"/>
      <c r="R183" s="2"/>
    </row>
    <row r="184" spans="1:18" ht="15.75" customHeight="1">
      <c r="A184" s="2"/>
      <c r="B184" s="2"/>
      <c r="C184" s="2"/>
      <c r="D184" s="11"/>
      <c r="E184" s="2"/>
      <c r="F184" s="2"/>
      <c r="G184" s="2"/>
      <c r="H184" s="2"/>
      <c r="I184" s="2"/>
      <c r="J184" s="2"/>
      <c r="K184" s="2"/>
      <c r="L184" s="2"/>
      <c r="M184" s="12" t="str">
        <f t="shared" si="0"/>
        <v/>
      </c>
      <c r="N184" s="2"/>
      <c r="O184" s="2"/>
      <c r="P184" s="2"/>
      <c r="Q184" s="2"/>
      <c r="R184" s="2"/>
    </row>
    <row r="185" spans="1:18" ht="15.75" customHeight="1">
      <c r="A185" s="2"/>
      <c r="B185" s="2"/>
      <c r="C185" s="2"/>
      <c r="D185" s="11"/>
      <c r="E185" s="2"/>
      <c r="F185" s="2"/>
      <c r="G185" s="2"/>
      <c r="H185" s="2"/>
      <c r="I185" s="2"/>
      <c r="J185" s="2"/>
      <c r="K185" s="2"/>
      <c r="L185" s="2"/>
      <c r="M185" s="12" t="str">
        <f t="shared" si="0"/>
        <v/>
      </c>
      <c r="N185" s="2"/>
      <c r="O185" s="2"/>
      <c r="P185" s="2"/>
      <c r="Q185" s="2"/>
      <c r="R185" s="2"/>
    </row>
    <row r="186" spans="1:18" ht="15.75" customHeight="1">
      <c r="A186" s="2"/>
      <c r="B186" s="2"/>
      <c r="C186" s="2"/>
      <c r="D186" s="11"/>
      <c r="E186" s="2"/>
      <c r="F186" s="2"/>
      <c r="G186" s="2"/>
      <c r="H186" s="2"/>
      <c r="I186" s="2"/>
      <c r="J186" s="2"/>
      <c r="K186" s="2"/>
      <c r="L186" s="2"/>
      <c r="M186" s="12" t="str">
        <f t="shared" si="0"/>
        <v/>
      </c>
      <c r="N186" s="2"/>
      <c r="O186" s="2"/>
      <c r="P186" s="2"/>
      <c r="Q186" s="2"/>
      <c r="R186" s="2"/>
    </row>
    <row r="187" spans="1:18" ht="15.75" customHeight="1">
      <c r="A187" s="2"/>
      <c r="B187" s="2"/>
      <c r="C187" s="2"/>
      <c r="D187" s="11"/>
      <c r="E187" s="2"/>
      <c r="F187" s="2"/>
      <c r="G187" s="2"/>
      <c r="H187" s="2"/>
      <c r="I187" s="2"/>
      <c r="J187" s="2"/>
      <c r="K187" s="2"/>
      <c r="L187" s="2"/>
      <c r="M187" s="12" t="str">
        <f t="shared" si="0"/>
        <v/>
      </c>
      <c r="N187" s="2"/>
      <c r="O187" s="2"/>
      <c r="P187" s="2"/>
      <c r="Q187" s="2"/>
      <c r="R187" s="2"/>
    </row>
    <row r="188" spans="1:18" ht="15.75" customHeight="1">
      <c r="A188" s="2"/>
      <c r="B188" s="2"/>
      <c r="C188" s="2"/>
      <c r="D188" s="11"/>
      <c r="E188" s="2"/>
      <c r="F188" s="2"/>
      <c r="G188" s="2"/>
      <c r="H188" s="2"/>
      <c r="I188" s="2"/>
      <c r="J188" s="2"/>
      <c r="K188" s="2"/>
      <c r="L188" s="2"/>
      <c r="M188" s="12" t="str">
        <f t="shared" si="0"/>
        <v/>
      </c>
      <c r="N188" s="2"/>
      <c r="O188" s="2"/>
      <c r="P188" s="2"/>
      <c r="Q188" s="2"/>
      <c r="R188" s="2"/>
    </row>
    <row r="189" spans="1:18" ht="15.75" customHeight="1">
      <c r="A189" s="2"/>
      <c r="B189" s="2"/>
      <c r="C189" s="2"/>
      <c r="D189" s="11"/>
      <c r="E189" s="2"/>
      <c r="F189" s="2"/>
      <c r="G189" s="2"/>
      <c r="H189" s="2"/>
      <c r="I189" s="2"/>
      <c r="J189" s="2"/>
      <c r="K189" s="2"/>
      <c r="L189" s="2"/>
      <c r="M189" s="12" t="str">
        <f t="shared" si="0"/>
        <v/>
      </c>
      <c r="N189" s="2"/>
      <c r="O189" s="2"/>
      <c r="P189" s="2"/>
      <c r="Q189" s="2"/>
      <c r="R189" s="2"/>
    </row>
    <row r="190" spans="1:18" ht="15.75" customHeight="1">
      <c r="A190" s="2"/>
      <c r="B190" s="2"/>
      <c r="C190" s="2"/>
      <c r="D190" s="11"/>
      <c r="E190" s="2"/>
      <c r="F190" s="2"/>
      <c r="G190" s="2"/>
      <c r="H190" s="2"/>
      <c r="I190" s="2"/>
      <c r="J190" s="2"/>
      <c r="K190" s="2"/>
      <c r="L190" s="2"/>
      <c r="M190" s="12" t="str">
        <f t="shared" si="0"/>
        <v/>
      </c>
      <c r="N190" s="2"/>
      <c r="O190" s="2"/>
      <c r="P190" s="2"/>
      <c r="Q190" s="2"/>
      <c r="R190" s="2"/>
    </row>
    <row r="191" spans="1:18" ht="15.75" customHeight="1">
      <c r="A191" s="2"/>
      <c r="B191" s="2"/>
      <c r="C191" s="2"/>
      <c r="D191" s="11"/>
      <c r="E191" s="2"/>
      <c r="F191" s="2"/>
      <c r="G191" s="2"/>
      <c r="H191" s="2"/>
      <c r="I191" s="2"/>
      <c r="J191" s="2"/>
      <c r="K191" s="2"/>
      <c r="L191" s="2"/>
      <c r="M191" s="12" t="str">
        <f t="shared" si="0"/>
        <v/>
      </c>
      <c r="N191" s="2"/>
      <c r="O191" s="2"/>
      <c r="P191" s="2"/>
      <c r="Q191" s="2"/>
      <c r="R191" s="2"/>
    </row>
    <row r="192" spans="1:18" ht="15.75" customHeight="1">
      <c r="A192" s="2"/>
      <c r="B192" s="2"/>
      <c r="C192" s="2"/>
      <c r="D192" s="11"/>
      <c r="E192" s="2"/>
      <c r="F192" s="2"/>
      <c r="G192" s="2"/>
      <c r="H192" s="2"/>
      <c r="I192" s="2"/>
      <c r="J192" s="2"/>
      <c r="K192" s="2"/>
      <c r="L192" s="2"/>
      <c r="M192" s="12" t="str">
        <f t="shared" si="0"/>
        <v/>
      </c>
      <c r="N192" s="2"/>
      <c r="O192" s="2"/>
      <c r="P192" s="2"/>
      <c r="Q192" s="2"/>
      <c r="R192" s="2"/>
    </row>
    <row r="193" spans="1:18" ht="15.75" customHeight="1">
      <c r="A193" s="2"/>
      <c r="B193" s="2"/>
      <c r="C193" s="2"/>
      <c r="D193" s="11"/>
      <c r="E193" s="2"/>
      <c r="F193" s="2"/>
      <c r="G193" s="2"/>
      <c r="H193" s="2"/>
      <c r="I193" s="2"/>
      <c r="J193" s="2"/>
      <c r="K193" s="2"/>
      <c r="L193" s="2"/>
      <c r="M193" s="12" t="str">
        <f t="shared" si="0"/>
        <v/>
      </c>
      <c r="N193" s="2"/>
      <c r="O193" s="2"/>
      <c r="P193" s="2"/>
      <c r="Q193" s="2"/>
      <c r="R193" s="2"/>
    </row>
    <row r="194" spans="1:18" ht="15.75" customHeight="1">
      <c r="A194" s="2"/>
      <c r="B194" s="2"/>
      <c r="C194" s="2"/>
      <c r="D194" s="11"/>
      <c r="E194" s="2"/>
      <c r="F194" s="2"/>
      <c r="G194" s="2"/>
      <c r="H194" s="2"/>
      <c r="I194" s="2"/>
      <c r="J194" s="2"/>
      <c r="K194" s="2"/>
      <c r="L194" s="2"/>
      <c r="M194" s="12" t="str">
        <f t="shared" si="0"/>
        <v/>
      </c>
      <c r="N194" s="2"/>
      <c r="O194" s="2"/>
      <c r="P194" s="2"/>
      <c r="Q194" s="2"/>
      <c r="R194" s="2"/>
    </row>
    <row r="195" spans="1:18" ht="15.75" customHeight="1">
      <c r="A195" s="2"/>
      <c r="B195" s="2"/>
      <c r="C195" s="2"/>
      <c r="D195" s="11"/>
      <c r="E195" s="2"/>
      <c r="F195" s="2"/>
      <c r="G195" s="2"/>
      <c r="H195" s="2"/>
      <c r="I195" s="2"/>
      <c r="J195" s="2"/>
      <c r="K195" s="2"/>
      <c r="L195" s="2"/>
      <c r="M195" s="12" t="str">
        <f t="shared" si="0"/>
        <v/>
      </c>
      <c r="N195" s="2"/>
      <c r="O195" s="2"/>
      <c r="P195" s="2"/>
      <c r="Q195" s="2"/>
      <c r="R195" s="2"/>
    </row>
    <row r="196" spans="1:18" ht="15.75" customHeight="1">
      <c r="A196" s="2"/>
      <c r="B196" s="2"/>
      <c r="C196" s="2"/>
      <c r="D196" s="11"/>
      <c r="E196" s="2"/>
      <c r="F196" s="2"/>
      <c r="G196" s="2"/>
      <c r="H196" s="2"/>
      <c r="I196" s="2"/>
      <c r="J196" s="2"/>
      <c r="K196" s="2"/>
      <c r="L196" s="2"/>
      <c r="M196" s="12" t="str">
        <f t="shared" si="0"/>
        <v/>
      </c>
      <c r="N196" s="2"/>
      <c r="O196" s="2"/>
      <c r="P196" s="2"/>
      <c r="Q196" s="2"/>
      <c r="R196" s="2"/>
    </row>
    <row r="197" spans="1:18" ht="15.75" customHeight="1">
      <c r="A197" s="2"/>
      <c r="B197" s="2"/>
      <c r="C197" s="2"/>
      <c r="D197" s="11"/>
      <c r="E197" s="2"/>
      <c r="F197" s="2"/>
      <c r="G197" s="2"/>
      <c r="H197" s="2"/>
      <c r="I197" s="2"/>
      <c r="J197" s="2"/>
      <c r="K197" s="2"/>
      <c r="L197" s="2"/>
      <c r="M197" s="12" t="str">
        <f t="shared" si="0"/>
        <v/>
      </c>
      <c r="N197" s="2"/>
      <c r="O197" s="2"/>
      <c r="P197" s="2"/>
      <c r="Q197" s="2"/>
      <c r="R197" s="2"/>
    </row>
    <row r="198" spans="1:18" ht="15.75" customHeight="1">
      <c r="A198" s="2"/>
      <c r="B198" s="2"/>
      <c r="C198" s="2"/>
      <c r="D198" s="11"/>
      <c r="E198" s="2"/>
      <c r="F198" s="2"/>
      <c r="G198" s="2"/>
      <c r="H198" s="2"/>
      <c r="I198" s="2"/>
      <c r="J198" s="2"/>
      <c r="K198" s="2"/>
      <c r="L198" s="2"/>
      <c r="M198" s="12" t="str">
        <f t="shared" si="0"/>
        <v/>
      </c>
      <c r="N198" s="2"/>
      <c r="O198" s="2"/>
      <c r="P198" s="2"/>
      <c r="Q198" s="2"/>
      <c r="R198" s="2"/>
    </row>
    <row r="199" spans="1:18" ht="15.75" customHeight="1">
      <c r="A199" s="2"/>
      <c r="B199" s="2"/>
      <c r="C199" s="2"/>
      <c r="D199" s="11"/>
      <c r="E199" s="2"/>
      <c r="F199" s="2"/>
      <c r="G199" s="2"/>
      <c r="H199" s="2"/>
      <c r="I199" s="2"/>
      <c r="J199" s="2"/>
      <c r="K199" s="2"/>
      <c r="L199" s="2"/>
      <c r="M199" s="12" t="str">
        <f t="shared" si="0"/>
        <v/>
      </c>
      <c r="N199" s="2"/>
      <c r="O199" s="2"/>
      <c r="P199" s="2"/>
      <c r="Q199" s="2"/>
      <c r="R199" s="2"/>
    </row>
    <row r="200" spans="1:18" ht="15.75" customHeight="1">
      <c r="A200" s="2"/>
      <c r="B200" s="2"/>
      <c r="C200" s="2"/>
      <c r="D200" s="11"/>
      <c r="E200" s="2"/>
      <c r="F200" s="2"/>
      <c r="G200" s="2"/>
      <c r="H200" s="2"/>
      <c r="I200" s="2"/>
      <c r="J200" s="2"/>
      <c r="K200" s="2"/>
      <c r="L200" s="2"/>
      <c r="M200" s="12" t="str">
        <f t="shared" si="0"/>
        <v/>
      </c>
      <c r="N200" s="2"/>
      <c r="O200" s="2"/>
      <c r="P200" s="2"/>
      <c r="Q200" s="2"/>
      <c r="R200" s="2"/>
    </row>
    <row r="201" spans="1:18" ht="15.75" customHeight="1">
      <c r="A201" s="2"/>
      <c r="B201" s="2"/>
      <c r="C201" s="2"/>
      <c r="D201" s="11"/>
      <c r="E201" s="2"/>
      <c r="F201" s="2"/>
      <c r="G201" s="2"/>
      <c r="H201" s="2"/>
      <c r="I201" s="2"/>
      <c r="J201" s="2"/>
      <c r="K201" s="2"/>
      <c r="L201" s="2"/>
      <c r="M201" s="12" t="str">
        <f t="shared" si="0"/>
        <v/>
      </c>
      <c r="N201" s="2"/>
      <c r="O201" s="2"/>
      <c r="P201" s="2"/>
      <c r="Q201" s="2"/>
      <c r="R201" s="2"/>
    </row>
    <row r="202" spans="1:18" ht="15.75" customHeight="1">
      <c r="A202" s="2"/>
      <c r="B202" s="2"/>
      <c r="C202" s="2"/>
      <c r="D202" s="11"/>
      <c r="E202" s="2"/>
      <c r="F202" s="2"/>
      <c r="G202" s="2"/>
      <c r="H202" s="2"/>
      <c r="I202" s="2"/>
      <c r="J202" s="2"/>
      <c r="K202" s="2"/>
      <c r="L202" s="2"/>
      <c r="M202" s="12" t="str">
        <f t="shared" si="0"/>
        <v/>
      </c>
      <c r="N202" s="2"/>
      <c r="O202" s="2"/>
      <c r="P202" s="2"/>
      <c r="Q202" s="2"/>
      <c r="R202" s="2"/>
    </row>
    <row r="203" spans="1:18" ht="15.75" customHeight="1">
      <c r="A203" s="2"/>
      <c r="B203" s="2"/>
      <c r="C203" s="2"/>
      <c r="D203" s="11"/>
      <c r="E203" s="2"/>
      <c r="F203" s="2"/>
      <c r="G203" s="2"/>
      <c r="H203" s="2"/>
      <c r="I203" s="2"/>
      <c r="J203" s="2"/>
      <c r="K203" s="2"/>
      <c r="L203" s="2"/>
      <c r="M203" s="12" t="str">
        <f t="shared" si="0"/>
        <v/>
      </c>
      <c r="N203" s="2"/>
      <c r="O203" s="2"/>
      <c r="P203" s="2"/>
      <c r="Q203" s="2"/>
      <c r="R203" s="2"/>
    </row>
    <row r="204" spans="1:18" ht="15.75" customHeight="1">
      <c r="A204" s="2"/>
      <c r="B204" s="2"/>
      <c r="C204" s="2"/>
      <c r="D204" s="11"/>
      <c r="E204" s="2"/>
      <c r="F204" s="2"/>
      <c r="G204" s="2"/>
      <c r="H204" s="2"/>
      <c r="I204" s="2"/>
      <c r="J204" s="2"/>
      <c r="K204" s="2"/>
      <c r="L204" s="2"/>
      <c r="M204" s="12" t="str">
        <f t="shared" si="0"/>
        <v/>
      </c>
      <c r="N204" s="2"/>
      <c r="O204" s="2"/>
      <c r="P204" s="2"/>
      <c r="Q204" s="2"/>
      <c r="R204" s="2"/>
    </row>
    <row r="205" spans="1:18" ht="15.75" customHeight="1">
      <c r="A205" s="2"/>
      <c r="B205" s="2"/>
      <c r="C205" s="2"/>
      <c r="D205" s="11"/>
      <c r="E205" s="2"/>
      <c r="F205" s="2"/>
      <c r="G205" s="2"/>
      <c r="H205" s="2"/>
      <c r="I205" s="2"/>
      <c r="J205" s="2"/>
      <c r="K205" s="2"/>
      <c r="L205" s="2"/>
      <c r="M205" s="12" t="str">
        <f t="shared" si="0"/>
        <v/>
      </c>
      <c r="N205" s="2"/>
      <c r="O205" s="2"/>
      <c r="P205" s="2"/>
      <c r="Q205" s="2"/>
      <c r="R205" s="2"/>
    </row>
    <row r="206" spans="1:18" ht="15.75" customHeight="1">
      <c r="A206" s="2"/>
      <c r="B206" s="2"/>
      <c r="C206" s="2"/>
      <c r="D206" s="11"/>
      <c r="E206" s="2"/>
      <c r="F206" s="2"/>
      <c r="G206" s="2"/>
      <c r="H206" s="2"/>
      <c r="I206" s="2"/>
      <c r="J206" s="2"/>
      <c r="K206" s="2"/>
      <c r="L206" s="2"/>
      <c r="M206" s="12" t="str">
        <f t="shared" si="0"/>
        <v/>
      </c>
      <c r="N206" s="2"/>
      <c r="O206" s="2"/>
      <c r="P206" s="2"/>
      <c r="Q206" s="2"/>
      <c r="R206" s="2"/>
    </row>
    <row r="207" spans="1:18" ht="15.75" customHeight="1">
      <c r="A207" s="2"/>
      <c r="B207" s="2"/>
      <c r="C207" s="2"/>
      <c r="D207" s="11"/>
      <c r="E207" s="2"/>
      <c r="F207" s="2"/>
      <c r="G207" s="2"/>
      <c r="H207" s="2"/>
      <c r="I207" s="2"/>
      <c r="J207" s="2"/>
      <c r="K207" s="2"/>
      <c r="L207" s="2"/>
      <c r="M207" s="12" t="str">
        <f t="shared" si="0"/>
        <v/>
      </c>
      <c r="N207" s="2"/>
      <c r="O207" s="2"/>
      <c r="P207" s="2"/>
      <c r="Q207" s="2"/>
      <c r="R207" s="2"/>
    </row>
    <row r="208" spans="1:18" ht="15.75" customHeight="1">
      <c r="A208" s="2"/>
      <c r="B208" s="2"/>
      <c r="C208" s="2"/>
      <c r="D208" s="11"/>
      <c r="E208" s="2"/>
      <c r="F208" s="2"/>
      <c r="G208" s="2"/>
      <c r="H208" s="2"/>
      <c r="I208" s="2"/>
      <c r="J208" s="2"/>
      <c r="K208" s="2"/>
      <c r="L208" s="2"/>
      <c r="M208" s="12" t="str">
        <f t="shared" si="0"/>
        <v/>
      </c>
      <c r="N208" s="2"/>
      <c r="O208" s="2"/>
      <c r="P208" s="2"/>
      <c r="Q208" s="2"/>
      <c r="R208" s="2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6:Q6"/>
    <mergeCell ref="A1:Q1"/>
    <mergeCell ref="B2:Q2"/>
    <mergeCell ref="B3:Q3"/>
    <mergeCell ref="B4:Q4"/>
    <mergeCell ref="B5:Q5"/>
  </mergeCells>
  <pageMargins left="0.7" right="0.7" top="0.75" bottom="0.75" header="0" footer="0"/>
  <pageSetup orientation="landscape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view="pageBreakPreview" zoomScale="60" zoomScaleNormal="100" workbookViewId="0">
      <selection activeCell="C9" sqref="C9"/>
    </sheetView>
  </sheetViews>
  <sheetFormatPr baseColWidth="10" defaultColWidth="12.59765625" defaultRowHeight="15" customHeight="1"/>
  <cols>
    <col min="1" max="1" width="22" customWidth="1"/>
    <col min="2" max="3" width="33" customWidth="1"/>
    <col min="4" max="4" width="28" customWidth="1"/>
    <col min="5" max="5" width="33" customWidth="1"/>
    <col min="6" max="6" width="36" customWidth="1"/>
    <col min="7" max="7" width="14" customWidth="1"/>
  </cols>
  <sheetData>
    <row r="1" spans="1:7" ht="36.75" customHeight="1">
      <c r="A1" s="25" t="s">
        <v>0</v>
      </c>
      <c r="B1" s="24"/>
      <c r="C1" s="24"/>
      <c r="D1" s="24"/>
      <c r="E1" s="24"/>
      <c r="F1" s="24"/>
      <c r="G1" s="24"/>
    </row>
    <row r="2" spans="1:7" ht="13.8">
      <c r="A2" s="26" t="s">
        <v>2</v>
      </c>
      <c r="B2" s="27"/>
      <c r="C2" s="27"/>
      <c r="D2" s="27"/>
      <c r="E2" s="27"/>
      <c r="F2" s="27"/>
      <c r="G2" s="27"/>
    </row>
    <row r="3" spans="1:7" ht="13.8">
      <c r="A3" s="28"/>
      <c r="B3" s="29"/>
      <c r="C3" s="29"/>
      <c r="D3" s="29"/>
      <c r="E3" s="29"/>
      <c r="F3" s="29"/>
      <c r="G3" s="29"/>
    </row>
    <row r="5" spans="1:7" ht="13.8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 ht="22.8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17</v>
      </c>
    </row>
    <row r="7" spans="1:7" ht="22.8">
      <c r="A7" s="2" t="s">
        <v>18</v>
      </c>
      <c r="B7" s="2" t="s">
        <v>19</v>
      </c>
      <c r="C7" s="2" t="s">
        <v>20</v>
      </c>
      <c r="D7" s="2" t="s">
        <v>22</v>
      </c>
      <c r="E7" s="2" t="s">
        <v>23</v>
      </c>
      <c r="F7" s="2" t="s">
        <v>24</v>
      </c>
      <c r="G7" s="2" t="s">
        <v>25</v>
      </c>
    </row>
    <row r="8" spans="1:7" ht="22.8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33</v>
      </c>
    </row>
    <row r="9" spans="1:7" ht="22.8">
      <c r="A9" s="2" t="s">
        <v>34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41</v>
      </c>
    </row>
    <row r="10" spans="1:7" ht="22.8">
      <c r="A10" s="2" t="s">
        <v>42</v>
      </c>
      <c r="B10" s="2" t="s">
        <v>44</v>
      </c>
      <c r="C10" s="2" t="s">
        <v>45</v>
      </c>
      <c r="D10" s="2" t="s">
        <v>47</v>
      </c>
      <c r="E10" s="2" t="s">
        <v>49</v>
      </c>
      <c r="F10" s="2" t="s">
        <v>51</v>
      </c>
      <c r="G10" s="2" t="s">
        <v>52</v>
      </c>
    </row>
    <row r="11" spans="1:7" ht="22.8">
      <c r="A11" s="2" t="s">
        <v>55</v>
      </c>
      <c r="B11" s="2" t="s">
        <v>57</v>
      </c>
      <c r="C11" s="2" t="s">
        <v>59</v>
      </c>
      <c r="D11" s="2" t="s">
        <v>60</v>
      </c>
      <c r="E11" s="2" t="s">
        <v>62</v>
      </c>
      <c r="F11" s="2" t="s">
        <v>64</v>
      </c>
      <c r="G11" s="2" t="s">
        <v>25</v>
      </c>
    </row>
    <row r="13" spans="1:7" ht="13.8">
      <c r="A13" s="30" t="s">
        <v>69</v>
      </c>
      <c r="B13" s="24"/>
      <c r="C13" s="24"/>
      <c r="D13" s="24"/>
      <c r="E13" s="24"/>
      <c r="F13" s="24"/>
      <c r="G13" s="24"/>
    </row>
    <row r="14" spans="1:7" ht="13.8">
      <c r="A14" s="5" t="s">
        <v>70</v>
      </c>
      <c r="B14" s="23" t="s">
        <v>71</v>
      </c>
      <c r="C14" s="24"/>
      <c r="D14" s="24"/>
      <c r="E14" s="24"/>
      <c r="F14" s="24"/>
      <c r="G14" s="24"/>
    </row>
    <row r="15" spans="1:7" ht="13.8">
      <c r="A15" s="5" t="s">
        <v>72</v>
      </c>
      <c r="B15" s="23" t="s">
        <v>73</v>
      </c>
      <c r="C15" s="24"/>
      <c r="D15" s="24"/>
      <c r="E15" s="24"/>
      <c r="F15" s="24"/>
      <c r="G15" s="24"/>
    </row>
    <row r="16" spans="1:7" ht="13.8">
      <c r="A16" s="5" t="s">
        <v>74</v>
      </c>
      <c r="B16" s="23" t="s">
        <v>75</v>
      </c>
      <c r="C16" s="24"/>
      <c r="D16" s="24"/>
      <c r="E16" s="24"/>
      <c r="F16" s="24"/>
      <c r="G16" s="24"/>
    </row>
    <row r="17" spans="1:7" ht="13.8">
      <c r="A17" s="5" t="s">
        <v>76</v>
      </c>
      <c r="B17" s="23" t="s">
        <v>77</v>
      </c>
      <c r="C17" s="24"/>
      <c r="D17" s="24"/>
      <c r="E17" s="24"/>
      <c r="F17" s="24"/>
      <c r="G17" s="24"/>
    </row>
    <row r="18" spans="1:7" ht="13.8">
      <c r="A18" s="5" t="s">
        <v>78</v>
      </c>
      <c r="B18" s="23" t="s">
        <v>79</v>
      </c>
      <c r="C18" s="24"/>
      <c r="D18" s="24"/>
      <c r="E18" s="24"/>
      <c r="F18" s="24"/>
      <c r="G18" s="24"/>
    </row>
    <row r="19" spans="1:7" ht="13.8">
      <c r="A19" s="5" t="s">
        <v>80</v>
      </c>
      <c r="B19" s="23" t="s">
        <v>81</v>
      </c>
      <c r="C19" s="24"/>
      <c r="D19" s="24"/>
      <c r="E19" s="24"/>
      <c r="F19" s="24"/>
      <c r="G19" s="24"/>
    </row>
    <row r="21" spans="1:7" ht="15.75" customHeight="1"/>
    <row r="22" spans="1:7" ht="15.75" customHeight="1"/>
    <row r="23" spans="1:7" ht="15.75" customHeight="1"/>
    <row r="24" spans="1:7" ht="15.75" customHeight="1"/>
    <row r="25" spans="1:7" ht="15.75" customHeight="1"/>
    <row r="26" spans="1:7" ht="15.75" customHeight="1"/>
    <row r="27" spans="1:7" ht="15.75" customHeight="1"/>
    <row r="28" spans="1:7" ht="15.75" customHeight="1"/>
    <row r="29" spans="1:7" ht="15.75" customHeight="1"/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B18:G18"/>
    <mergeCell ref="B19:G19"/>
    <mergeCell ref="A1:G1"/>
    <mergeCell ref="A2:G3"/>
    <mergeCell ref="A13:G13"/>
    <mergeCell ref="B14:G14"/>
    <mergeCell ref="B15:G15"/>
    <mergeCell ref="B16:G16"/>
    <mergeCell ref="B17:G17"/>
  </mergeCells>
  <pageMargins left="0.7" right="0.7" top="0.75" bottom="0.75" header="0" footer="0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00_Resumen</vt:lpstr>
      <vt:lpstr>M1_Administrativo</vt:lpstr>
      <vt:lpstr>M2_Accesos</vt:lpstr>
      <vt:lpstr>M3_Silleteria</vt:lpstr>
      <vt:lpstr>M4_Sectores</vt:lpstr>
      <vt:lpstr>M5_Ocupacion</vt:lpstr>
      <vt:lpstr>M6_Puntos_Control</vt:lpstr>
      <vt:lpstr>00_Instructivo</vt:lpstr>
      <vt:lpstr>'00_Resumen'!Área_de_impresión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Cristian Cabra</cp:lastModifiedBy>
  <cp:lastPrinted>2026-10-27T21:19:20Z</cp:lastPrinted>
  <dcterms:modified xsi:type="dcterms:W3CDTF">2026-10-27T21:19:24Z</dcterms:modified>
</cp:coreProperties>
</file>