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C:\Users\ingloz\Desktop\SCRD\PAGOS 2023\Activos de la información\"/>
    </mc:Choice>
  </mc:AlternateContent>
  <xr:revisionPtr revIDLastSave="0" documentId="8_{40BE0305-69A7-4687-A012-7D448D016DBE}" xr6:coauthVersionLast="47" xr6:coauthVersionMax="47" xr10:uidLastSave="{00000000-0000-0000-0000-000000000000}"/>
  <bookViews>
    <workbookView xWindow="-120" yWindow="-120" windowWidth="29040" windowHeight="1584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Procesos" sheetId="21" state="hidden" r:id="rId8"/>
    <sheet name="Opciones Tratamiento" sheetId="16" state="hidden" r:id="rId9"/>
    <sheet name="Hoja1" sheetId="11" state="hidden" r:id="rId10"/>
  </sheets>
  <calcPr calcId="191029" iterateDelta="1E-4"/>
  <pivotCaches>
    <pivotCache cacheId="0" r:id="rId11"/>
    <pivotCache cacheId="1"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4" i="1" l="1"/>
  <c r="T12" i="1"/>
  <c r="T13"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11" i="1"/>
  <c r="K11" i="1" l="1"/>
  <c r="G26" i="21"/>
  <c r="W11" i="1" l="1"/>
  <c r="L11" i="1"/>
  <c r="N30" i="1"/>
  <c r="N44" i="1"/>
  <c r="N29" i="1"/>
  <c r="N41" i="1"/>
  <c r="N20" i="1"/>
  <c r="N24" i="1"/>
  <c r="N28" i="1"/>
  <c r="N17" i="1"/>
  <c r="N47" i="1"/>
  <c r="N22" i="1"/>
  <c r="N42" i="1"/>
  <c r="N35" i="1"/>
  <c r="N26" i="1"/>
  <c r="N36" i="1"/>
  <c r="N38" i="1"/>
  <c r="N34" i="1"/>
  <c r="N19" i="1"/>
  <c r="N37" i="1"/>
  <c r="N31" i="1"/>
  <c r="N50" i="1"/>
  <c r="N43" i="1"/>
  <c r="N32" i="1"/>
  <c r="N18" i="1"/>
  <c r="N49" i="1"/>
  <c r="N46" i="1"/>
  <c r="N16" i="1"/>
  <c r="N25" i="1"/>
  <c r="N40" i="1"/>
  <c r="N23" i="1"/>
  <c r="N48" i="1"/>
  <c r="F221" i="13" l="1"/>
  <c r="F211" i="13"/>
  <c r="F212" i="13"/>
  <c r="F213" i="13"/>
  <c r="F214" i="13"/>
  <c r="F215" i="13"/>
  <c r="F216" i="13"/>
  <c r="F217" i="13"/>
  <c r="F218" i="13"/>
  <c r="F219" i="13"/>
  <c r="F220" i="13"/>
  <c r="F210" i="13"/>
  <c r="B221" i="13" a="1"/>
  <c r="N12"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W50" i="1" l="1"/>
  <c r="W49" i="1"/>
  <c r="W48" i="1"/>
  <c r="W47" i="1"/>
  <c r="W46" i="1"/>
  <c r="W45" i="1"/>
  <c r="K45" i="1"/>
  <c r="L45" i="1" s="1"/>
  <c r="W44" i="1"/>
  <c r="W43" i="1"/>
  <c r="W42" i="1"/>
  <c r="W41" i="1"/>
  <c r="W40" i="1"/>
  <c r="W39" i="1"/>
  <c r="K39" i="1"/>
  <c r="L39" i="1" s="1"/>
  <c r="W38" i="1"/>
  <c r="W37" i="1"/>
  <c r="W36" i="1"/>
  <c r="W35" i="1"/>
  <c r="W34" i="1"/>
  <c r="AE34" i="1"/>
  <c r="W33" i="1"/>
  <c r="K33" i="1"/>
  <c r="L33" i="1" s="1"/>
  <c r="W32" i="1"/>
  <c r="W31" i="1"/>
  <c r="W30" i="1"/>
  <c r="W29" i="1"/>
  <c r="W28" i="1"/>
  <c r="W27" i="1"/>
  <c r="AE28" i="1"/>
  <c r="K27" i="1"/>
  <c r="L27" i="1" s="1"/>
  <c r="W26" i="1"/>
  <c r="W25" i="1"/>
  <c r="W24" i="1"/>
  <c r="W23" i="1"/>
  <c r="W22" i="1"/>
  <c r="W21" i="1"/>
  <c r="AE22" i="1"/>
  <c r="K21" i="1"/>
  <c r="L21" i="1" s="1"/>
  <c r="W20" i="1"/>
  <c r="W19" i="1"/>
  <c r="W18" i="1"/>
  <c r="W17" i="1"/>
  <c r="W16" i="1"/>
  <c r="W15" i="1"/>
  <c r="K15" i="1"/>
  <c r="L15" i="1" s="1"/>
  <c r="W14" i="1"/>
  <c r="K14" i="1"/>
  <c r="L14" i="1" s="1"/>
  <c r="K13" i="1"/>
  <c r="W13" i="1"/>
  <c r="AE46" i="1" l="1"/>
  <c r="AE16" i="1"/>
  <c r="AE40" i="1"/>
  <c r="AE31" i="1"/>
  <c r="AD31" i="1" s="1"/>
  <c r="AE32" i="1"/>
  <c r="AD32" i="1" s="1"/>
  <c r="L13" i="1"/>
  <c r="AA13" i="1" s="1"/>
  <c r="AA45" i="1"/>
  <c r="AA39" i="1"/>
  <c r="AA33" i="1"/>
  <c r="AA27" i="1"/>
  <c r="AA31" i="1"/>
  <c r="AA32" i="1"/>
  <c r="AA21" i="1"/>
  <c r="AA15" i="1"/>
  <c r="AA14" i="1"/>
  <c r="AB45" i="1" l="1"/>
  <c r="AC45" i="1"/>
  <c r="AA46" i="1" s="1"/>
  <c r="AB46" i="1" s="1"/>
  <c r="AB39" i="1"/>
  <c r="AC39" i="1"/>
  <c r="AA40" i="1" s="1"/>
  <c r="AC40" i="1" s="1"/>
  <c r="AA41" i="1" s="1"/>
  <c r="AB33" i="1"/>
  <c r="AC33" i="1"/>
  <c r="AA34" i="1" s="1"/>
  <c r="AC34" i="1" s="1"/>
  <c r="AA35" i="1" s="1"/>
  <c r="AB32" i="1"/>
  <c r="AC32" i="1"/>
  <c r="AB31" i="1"/>
  <c r="AC31" i="1"/>
  <c r="AB27" i="1"/>
  <c r="AC27" i="1"/>
  <c r="AB21" i="1"/>
  <c r="AC21" i="1"/>
  <c r="AA22" i="1" s="1"/>
  <c r="AC22" i="1" s="1"/>
  <c r="AA23" i="1" s="1"/>
  <c r="AB15" i="1"/>
  <c r="AC15" i="1"/>
  <c r="AB14" i="1"/>
  <c r="AC14" i="1"/>
  <c r="AB13" i="1"/>
  <c r="AC13" i="1"/>
  <c r="AB40" i="1" l="1"/>
  <c r="AB34" i="1"/>
  <c r="AB22" i="1"/>
  <c r="AB23" i="1"/>
  <c r="AC23" i="1"/>
  <c r="AC41" i="1"/>
  <c r="AA42" i="1" s="1"/>
  <c r="AB41" i="1"/>
  <c r="AC35" i="1"/>
  <c r="AA36" i="1" s="1"/>
  <c r="AB35" i="1"/>
  <c r="AC46" i="1"/>
  <c r="AA47" i="1" s="1"/>
  <c r="AA16" i="1"/>
  <c r="AA28" i="1"/>
  <c r="AA29"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F31" i="1"/>
  <c r="AF32" i="1"/>
  <c r="W12" i="1"/>
  <c r="AB42" i="1" l="1"/>
  <c r="AC42" i="1"/>
  <c r="AB36" i="1"/>
  <c r="AC36" i="1"/>
  <c r="AA37" i="1" s="1"/>
  <c r="AB29" i="1"/>
  <c r="AC29" i="1"/>
  <c r="AA30" i="1" s="1"/>
  <c r="AB47" i="1"/>
  <c r="AC47" i="1"/>
  <c r="AA48" i="1" s="1"/>
  <c r="AB28" i="1"/>
  <c r="AC28" i="1"/>
  <c r="AA24" i="1"/>
  <c r="AB16" i="1"/>
  <c r="AC16" i="1"/>
  <c r="AA17" i="1" s="1"/>
  <c r="AB17" i="1" s="1"/>
  <c r="AC17" i="1" l="1"/>
  <c r="AA18" i="1" s="1"/>
  <c r="AC18" i="1" s="1"/>
  <c r="AA19" i="1" s="1"/>
  <c r="AB37" i="1"/>
  <c r="AC37" i="1"/>
  <c r="AA38" i="1" s="1"/>
  <c r="AA43" i="1"/>
  <c r="AA44" i="1"/>
  <c r="AB24" i="1"/>
  <c r="AC24" i="1"/>
  <c r="AA25" i="1" s="1"/>
  <c r="AB25" i="1" s="1"/>
  <c r="AB30" i="1"/>
  <c r="AC30" i="1"/>
  <c r="AC48" i="1"/>
  <c r="AB48" i="1"/>
  <c r="AB18" i="1" l="1"/>
  <c r="AB44" i="1"/>
  <c r="AC44" i="1"/>
  <c r="AB43" i="1"/>
  <c r="AC43" i="1"/>
  <c r="AB38" i="1"/>
  <c r="AC38" i="1"/>
  <c r="AA49" i="1"/>
  <c r="AA50" i="1"/>
  <c r="AC25" i="1"/>
  <c r="AA26" i="1" s="1"/>
  <c r="AB26" i="1" s="1"/>
  <c r="AC19" i="1"/>
  <c r="AA20" i="1" s="1"/>
  <c r="AB19" i="1"/>
  <c r="AA11" i="1"/>
  <c r="AB11" i="1" s="1"/>
  <c r="AB50" i="1" l="1"/>
  <c r="AC50" i="1"/>
  <c r="AB49" i="1"/>
  <c r="AC49" i="1"/>
  <c r="AB20" i="1"/>
  <c r="AC20" i="1"/>
  <c r="AC26" i="1"/>
  <c r="AC11" i="1" l="1"/>
  <c r="AA12" i="1" s="1"/>
  <c r="AB12" i="1" l="1"/>
  <c r="AC12" i="1" l="1"/>
  <c r="AE47" i="1" l="1"/>
  <c r="AE39" i="1"/>
  <c r="AE21" i="1"/>
  <c r="AD21" i="1" s="1"/>
  <c r="AE33" i="1"/>
  <c r="AD33" i="1" s="1"/>
  <c r="AE27" i="1"/>
  <c r="AD27" i="1" s="1"/>
  <c r="AE15" i="1"/>
  <c r="AD15" i="1" s="1"/>
  <c r="J40" i="19" l="1"/>
  <c r="V30" i="19"/>
  <c r="AH20" i="19"/>
  <c r="J30" i="19"/>
  <c r="V20" i="19"/>
  <c r="AH10" i="19"/>
  <c r="P10" i="19"/>
  <c r="AB50" i="19"/>
  <c r="J50" i="19"/>
  <c r="AB40" i="19"/>
  <c r="P30" i="19"/>
  <c r="V50" i="19"/>
  <c r="P50" i="19"/>
  <c r="AB10" i="19"/>
  <c r="AH30" i="19"/>
  <c r="AH40" i="19"/>
  <c r="J10" i="19"/>
  <c r="AB20" i="19"/>
  <c r="AH50" i="19"/>
  <c r="AF15" i="1"/>
  <c r="V10" i="19"/>
  <c r="P20" i="19"/>
  <c r="J20" i="19"/>
  <c r="P40" i="19"/>
  <c r="V40" i="19"/>
  <c r="AB30" i="19"/>
  <c r="J11" i="19"/>
  <c r="V11" i="19"/>
  <c r="AB21" i="19"/>
  <c r="P31" i="19"/>
  <c r="J31" i="19"/>
  <c r="AB41" i="19"/>
  <c r="AF21" i="1"/>
  <c r="AH41" i="19"/>
  <c r="P41" i="19"/>
  <c r="J21" i="19"/>
  <c r="AB31" i="19"/>
  <c r="AB51" i="19"/>
  <c r="P21" i="19"/>
  <c r="V41" i="19"/>
  <c r="V31" i="19"/>
  <c r="AH21" i="19"/>
  <c r="AB11" i="19"/>
  <c r="P51" i="19"/>
  <c r="V21" i="19"/>
  <c r="AH31" i="19"/>
  <c r="V51" i="19"/>
  <c r="J51" i="19"/>
  <c r="AH51" i="19"/>
  <c r="AH11" i="19"/>
  <c r="J41" i="19"/>
  <c r="P11" i="19"/>
  <c r="AF33"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D39" i="1"/>
  <c r="AD46" i="1"/>
  <c r="AD47" i="1"/>
  <c r="AE48" i="1"/>
  <c r="AE17" i="1"/>
  <c r="AD16" i="1"/>
  <c r="AD22" i="1"/>
  <c r="AE23" i="1"/>
  <c r="AD23" i="1" s="1"/>
  <c r="AE24" i="1"/>
  <c r="V32" i="19"/>
  <c r="P42" i="19"/>
  <c r="J12" i="19"/>
  <c r="J32" i="19"/>
  <c r="AB52" i="19"/>
  <c r="AF27" i="1"/>
  <c r="J22" i="19"/>
  <c r="V22" i="19"/>
  <c r="J52" i="19"/>
  <c r="AH12" i="19"/>
  <c r="J42" i="19"/>
  <c r="AH42" i="19"/>
  <c r="P32" i="19"/>
  <c r="AB12" i="19"/>
  <c r="AH32" i="19"/>
  <c r="AB32" i="19"/>
  <c r="AB42" i="19"/>
  <c r="V42" i="19"/>
  <c r="V12" i="19"/>
  <c r="V52" i="19"/>
  <c r="AB22" i="19"/>
  <c r="AH52" i="19"/>
  <c r="AH22" i="19"/>
  <c r="P22" i="19"/>
  <c r="P12" i="19"/>
  <c r="P52" i="19"/>
  <c r="AE29" i="1"/>
  <c r="AD29" i="1" s="1"/>
  <c r="AE30" i="1"/>
  <c r="AD30" i="1" s="1"/>
  <c r="AD28" i="1"/>
  <c r="AD34" i="1"/>
  <c r="AE35" i="1"/>
  <c r="AD40" i="1"/>
  <c r="AE41"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D48" i="1"/>
  <c r="AE49" i="1"/>
  <c r="K35" i="19"/>
  <c r="AC25" i="19"/>
  <c r="K45" i="19"/>
  <c r="AI45" i="19"/>
  <c r="W45" i="19"/>
  <c r="Q35" i="19"/>
  <c r="K55" i="19"/>
  <c r="AC15" i="19"/>
  <c r="Q15" i="19"/>
  <c r="AC35" i="19"/>
  <c r="AI35" i="19"/>
  <c r="Q55" i="19"/>
  <c r="AI25" i="19"/>
  <c r="AF46"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F40"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F22" i="1"/>
  <c r="AD55" i="19"/>
  <c r="R15" i="19"/>
  <c r="AJ35" i="19"/>
  <c r="AF47"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F39"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F29" i="1"/>
  <c r="AD12" i="19"/>
  <c r="AD32" i="19"/>
  <c r="AD22" i="19"/>
  <c r="X52" i="19"/>
  <c r="AD52" i="19"/>
  <c r="L42" i="19"/>
  <c r="R42" i="19"/>
  <c r="AJ21" i="19"/>
  <c r="AD31" i="19"/>
  <c r="R21" i="19"/>
  <c r="AD41" i="19"/>
  <c r="AJ11" i="19"/>
  <c r="AJ51" i="19"/>
  <c r="AF23" i="1"/>
  <c r="L41" i="19"/>
  <c r="AD11" i="19"/>
  <c r="L21" i="19"/>
  <c r="L11" i="19"/>
  <c r="X51" i="19"/>
  <c r="X21" i="19"/>
  <c r="R11" i="19"/>
  <c r="R31" i="19"/>
  <c r="AJ41" i="19"/>
  <c r="L31" i="19"/>
  <c r="R51" i="19"/>
  <c r="X31" i="19"/>
  <c r="X11" i="19"/>
  <c r="X41" i="19"/>
  <c r="AJ31" i="19"/>
  <c r="AD51" i="19"/>
  <c r="R41" i="19"/>
  <c r="AD21" i="19"/>
  <c r="L51" i="19"/>
  <c r="AD35" i="1"/>
  <c r="AE36" i="1"/>
  <c r="K42" i="19"/>
  <c r="AC32" i="19"/>
  <c r="W42" i="19"/>
  <c r="AI52" i="19"/>
  <c r="K22" i="19"/>
  <c r="Q32" i="19"/>
  <c r="AI12" i="19"/>
  <c r="AC52" i="19"/>
  <c r="Q42" i="19"/>
  <c r="AC42" i="19"/>
  <c r="K12" i="19"/>
  <c r="Q22" i="19"/>
  <c r="W52" i="19"/>
  <c r="AI42" i="19"/>
  <c r="W32" i="19"/>
  <c r="AI22" i="19"/>
  <c r="W12" i="19"/>
  <c r="AI32" i="19"/>
  <c r="AC12" i="19"/>
  <c r="Q12" i="19"/>
  <c r="Q52" i="19"/>
  <c r="AF28" i="1"/>
  <c r="K32" i="19"/>
  <c r="W22" i="19"/>
  <c r="K52" i="19"/>
  <c r="AC22" i="19"/>
  <c r="AC40" i="19"/>
  <c r="W10" i="19"/>
  <c r="AC50" i="19"/>
  <c r="Q10" i="19"/>
  <c r="Q30" i="19"/>
  <c r="W50" i="19"/>
  <c r="K40" i="19"/>
  <c r="Q50" i="19"/>
  <c r="W20" i="19"/>
  <c r="AF16" i="1"/>
  <c r="K10" i="19"/>
  <c r="Q40" i="19"/>
  <c r="K30" i="19"/>
  <c r="AI50" i="19"/>
  <c r="AI20" i="19"/>
  <c r="K50" i="19"/>
  <c r="AI40" i="19"/>
  <c r="W40" i="19"/>
  <c r="K20" i="19"/>
  <c r="AC10" i="19"/>
  <c r="AI10" i="19"/>
  <c r="AC20" i="19"/>
  <c r="AI30" i="19"/>
  <c r="AC30" i="19"/>
  <c r="W30" i="19"/>
  <c r="Q20" i="19"/>
  <c r="AD41" i="1"/>
  <c r="AE42"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F34" i="1"/>
  <c r="Q33" i="19"/>
  <c r="AI23" i="19"/>
  <c r="K53" i="19"/>
  <c r="AC23" i="19"/>
  <c r="AC13" i="19"/>
  <c r="W23" i="19"/>
  <c r="W33" i="19"/>
  <c r="Q13" i="19"/>
  <c r="W13" i="19"/>
  <c r="AI13" i="19"/>
  <c r="Q43" i="19"/>
  <c r="Q23" i="19"/>
  <c r="W53" i="19"/>
  <c r="M12" i="19"/>
  <c r="AK42" i="19"/>
  <c r="AE32" i="19"/>
  <c r="AF30" i="1"/>
  <c r="M52" i="19"/>
  <c r="S12" i="19"/>
  <c r="M32" i="19"/>
  <c r="S52" i="19"/>
  <c r="Y52" i="19"/>
  <c r="Y42" i="19"/>
  <c r="AK12" i="19"/>
  <c r="S22" i="19"/>
  <c r="AE12" i="19"/>
  <c r="Y22" i="19"/>
  <c r="S32" i="19"/>
  <c r="AK52" i="19"/>
  <c r="M22" i="19"/>
  <c r="AK32" i="19"/>
  <c r="AE22" i="19"/>
  <c r="AE42" i="19"/>
  <c r="Y32" i="19"/>
  <c r="M42" i="19"/>
  <c r="Y12" i="19"/>
  <c r="AE52" i="19"/>
  <c r="AK22" i="19"/>
  <c r="S42" i="19"/>
  <c r="AD24" i="1"/>
  <c r="AE26" i="1"/>
  <c r="AD26" i="1" s="1"/>
  <c r="AE25" i="1"/>
  <c r="AD25" i="1" s="1"/>
  <c r="AD17" i="1"/>
  <c r="AE18"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AF17" i="1"/>
  <c r="L10" i="19"/>
  <c r="L50" i="19"/>
  <c r="AJ20" i="19"/>
  <c r="AJ40" i="19"/>
  <c r="AD30" i="19"/>
  <c r="R20" i="19"/>
  <c r="AD50" i="19"/>
  <c r="AJ30" i="19"/>
  <c r="AJ50" i="19"/>
  <c r="X30" i="19"/>
  <c r="AD20" i="19"/>
  <c r="L40" i="19"/>
  <c r="X50" i="19"/>
  <c r="X20" i="19"/>
  <c r="AD40" i="19"/>
  <c r="R10" i="19"/>
  <c r="L30" i="19"/>
  <c r="L20" i="19"/>
  <c r="AD36" i="1"/>
  <c r="AE37" i="1"/>
  <c r="AD49" i="1"/>
  <c r="AE50" i="1"/>
  <c r="AD50"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F35" i="1"/>
  <c r="X23" i="19"/>
  <c r="R33" i="19"/>
  <c r="R43" i="19"/>
  <c r="AD53" i="19"/>
  <c r="AJ13" i="19"/>
  <c r="R23" i="19"/>
  <c r="R13" i="19"/>
  <c r="AJ53" i="19"/>
  <c r="L33" i="19"/>
  <c r="L23" i="19"/>
  <c r="X43" i="19"/>
  <c r="X53" i="19"/>
  <c r="AD13" i="19"/>
  <c r="L53" i="19"/>
  <c r="L13" i="19"/>
  <c r="AD23" i="19"/>
  <c r="AJ33" i="19"/>
  <c r="AJ23" i="19"/>
  <c r="R53" i="19"/>
  <c r="M55" i="19"/>
  <c r="AK15" i="19"/>
  <c r="AE25" i="19"/>
  <c r="AF48"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F25"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F26" i="1"/>
  <c r="AG11" i="19"/>
  <c r="AM41" i="19"/>
  <c r="AA21" i="19"/>
  <c r="AA51" i="19"/>
  <c r="U51" i="19"/>
  <c r="U31" i="19"/>
  <c r="AA11" i="19"/>
  <c r="AG21" i="19"/>
  <c r="O31" i="19"/>
  <c r="AD42" i="1"/>
  <c r="AE43"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D18" i="1"/>
  <c r="AE19" i="1"/>
  <c r="AE11" i="19"/>
  <c r="Y41" i="19"/>
  <c r="M41" i="19"/>
  <c r="Y21" i="19"/>
  <c r="AK41" i="19"/>
  <c r="S31" i="19"/>
  <c r="M31" i="19"/>
  <c r="M51" i="19"/>
  <c r="Y51" i="19"/>
  <c r="AK21" i="19"/>
  <c r="AK31" i="19"/>
  <c r="Y11" i="19"/>
  <c r="AE41" i="19"/>
  <c r="AE21" i="19"/>
  <c r="S51" i="19"/>
  <c r="AE51" i="19"/>
  <c r="AK51" i="19"/>
  <c r="M21" i="19"/>
  <c r="AE31" i="19"/>
  <c r="AF24" i="1"/>
  <c r="S41" i="19"/>
  <c r="AK11" i="19"/>
  <c r="S11" i="19"/>
  <c r="Y31" i="19"/>
  <c r="S21" i="19"/>
  <c r="M11" i="19"/>
  <c r="L54" i="19"/>
  <c r="AJ14" i="19"/>
  <c r="AD44" i="19"/>
  <c r="X54" i="19"/>
  <c r="R14" i="19"/>
  <c r="AD24" i="19"/>
  <c r="AD34" i="19"/>
  <c r="R54" i="19"/>
  <c r="L34" i="19"/>
  <c r="AJ34" i="19"/>
  <c r="X24" i="19"/>
  <c r="AJ24" i="19"/>
  <c r="X44" i="19"/>
  <c r="R24" i="19"/>
  <c r="AF41"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D19" i="1" l="1"/>
  <c r="AE20" i="1"/>
  <c r="AD20" i="1" s="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F42"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F50" i="1"/>
  <c r="AG15" i="19"/>
  <c r="U15" i="19"/>
  <c r="AG55" i="19"/>
  <c r="U55" i="19"/>
  <c r="AE40" i="19"/>
  <c r="Y30" i="19"/>
  <c r="M20" i="19"/>
  <c r="AF18"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F49"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D37" i="1"/>
  <c r="AE38" i="1"/>
  <c r="AD38"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D43" i="1"/>
  <c r="AE44" i="1"/>
  <c r="AD44"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F36"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F44" i="1"/>
  <c r="AA14" i="19"/>
  <c r="O54" i="19"/>
  <c r="U44" i="19"/>
  <c r="U43" i="19"/>
  <c r="U13" i="19"/>
  <c r="AM53" i="19"/>
  <c r="AA53" i="19"/>
  <c r="AA43" i="19"/>
  <c r="O53" i="19"/>
  <c r="O23" i="19"/>
  <c r="O13" i="19"/>
  <c r="AG43" i="19"/>
  <c r="U33" i="19"/>
  <c r="U23" i="19"/>
  <c r="AM13" i="19"/>
  <c r="AM23" i="19"/>
  <c r="AG13" i="19"/>
  <c r="AA23" i="19"/>
  <c r="AG33" i="19"/>
  <c r="AA33" i="19"/>
  <c r="AM33" i="19"/>
  <c r="AA13" i="19"/>
  <c r="AF38"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43" i="1"/>
  <c r="AF53" i="19"/>
  <c r="T43" i="19"/>
  <c r="Z53" i="19"/>
  <c r="N43" i="19"/>
  <c r="T23" i="19"/>
  <c r="AF43" i="19"/>
  <c r="Z13" i="19"/>
  <c r="Z43" i="19"/>
  <c r="AF23" i="19"/>
  <c r="AL13" i="19"/>
  <c r="Z23" i="19"/>
  <c r="AL43" i="19"/>
  <c r="AF13" i="19"/>
  <c r="AL23" i="19"/>
  <c r="N13" i="19"/>
  <c r="T33" i="19"/>
  <c r="AL53" i="19"/>
  <c r="N23" i="19"/>
  <c r="N53" i="19"/>
  <c r="AF33" i="19"/>
  <c r="N33" i="19"/>
  <c r="AF37"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F20"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F19"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N21" i="1" l="1"/>
  <c r="O21" i="1" s="1"/>
  <c r="N11" i="1"/>
  <c r="O11" i="1" s="1"/>
  <c r="N14" i="1"/>
  <c r="O14" i="1" s="1"/>
  <c r="N33" i="1"/>
  <c r="O33" i="1" s="1"/>
  <c r="N27" i="1"/>
  <c r="O27" i="1" s="1"/>
  <c r="N15" i="1"/>
  <c r="O15" i="1" s="1"/>
  <c r="N13" i="1"/>
  <c r="O13" i="1" s="1"/>
  <c r="N45" i="1"/>
  <c r="O45" i="1" s="1"/>
  <c r="N39" i="1"/>
  <c r="O39" i="1" s="1"/>
  <c r="X6" i="18" l="1"/>
  <c r="AJ30" i="18"/>
  <c r="R22" i="18"/>
  <c r="L6" i="18"/>
  <c r="R30" i="18"/>
  <c r="X22" i="18"/>
  <c r="X38" i="18"/>
  <c r="AD38" i="18"/>
  <c r="Q13" i="1"/>
  <c r="AD22" i="18"/>
  <c r="P13" i="1"/>
  <c r="AE13" i="1" s="1"/>
  <c r="AD13" i="1" s="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Q15" i="1"/>
  <c r="L32" i="18"/>
  <c r="X8" i="18"/>
  <c r="X24" i="18"/>
  <c r="AJ8" i="18"/>
  <c r="P15" i="1"/>
  <c r="R40" i="18"/>
  <c r="L40" i="18"/>
  <c r="X16" i="18"/>
  <c r="L24" i="18"/>
  <c r="AJ24" i="18"/>
  <c r="X32" i="18"/>
  <c r="AJ40" i="18"/>
  <c r="R16" i="18"/>
  <c r="AD40" i="18"/>
  <c r="AD32" i="18"/>
  <c r="AD16" i="18"/>
  <c r="P27" i="1"/>
  <c r="J42" i="18"/>
  <c r="P34" i="18"/>
  <c r="AB18" i="18"/>
  <c r="AB42" i="18"/>
  <c r="AH34" i="18"/>
  <c r="P10" i="18"/>
  <c r="V34" i="18"/>
  <c r="P42" i="18"/>
  <c r="V42" i="18"/>
  <c r="AH42" i="18"/>
  <c r="AB26" i="18"/>
  <c r="AH26" i="18"/>
  <c r="V26" i="18"/>
  <c r="AB34" i="18"/>
  <c r="V10" i="18"/>
  <c r="AH18" i="18"/>
  <c r="J34" i="18"/>
  <c r="J10" i="18"/>
  <c r="AB10" i="18"/>
  <c r="J18" i="18"/>
  <c r="Q27" i="1"/>
  <c r="P26" i="18"/>
  <c r="J26" i="18"/>
  <c r="AH10" i="18"/>
  <c r="P18" i="18"/>
  <c r="V18" i="18"/>
  <c r="X42" i="18"/>
  <c r="AD34" i="18"/>
  <c r="AD10" i="18"/>
  <c r="AD26" i="18"/>
  <c r="L10" i="18"/>
  <c r="L42" i="18"/>
  <c r="L26" i="18"/>
  <c r="X18" i="18"/>
  <c r="X34" i="18"/>
  <c r="X10" i="18"/>
  <c r="R18" i="18"/>
  <c r="AJ10" i="18"/>
  <c r="AD42" i="18"/>
  <c r="AJ34" i="18"/>
  <c r="R26" i="18"/>
  <c r="P33" i="1"/>
  <c r="L18" i="18"/>
  <c r="AJ26" i="18"/>
  <c r="AD18" i="18"/>
  <c r="R34" i="18"/>
  <c r="L34" i="18"/>
  <c r="AJ42" i="18"/>
  <c r="R10" i="18"/>
  <c r="R42" i="18"/>
  <c r="X26" i="18"/>
  <c r="AJ18" i="18"/>
  <c r="Q33" i="1"/>
  <c r="T14" i="18"/>
  <c r="AL38" i="18"/>
  <c r="N14" i="18"/>
  <c r="Z6" i="18"/>
  <c r="T38" i="18"/>
  <c r="T22" i="18"/>
  <c r="AL14" i="18"/>
  <c r="N22" i="18"/>
  <c r="Q14" i="1"/>
  <c r="AF22" i="18"/>
  <c r="N6" i="18"/>
  <c r="AF6" i="18"/>
  <c r="AF38" i="18"/>
  <c r="P14" i="1"/>
  <c r="AE14" i="1" s="1"/>
  <c r="AD14" i="1" s="1"/>
  <c r="N38" i="18"/>
  <c r="AL30" i="18"/>
  <c r="AL22" i="18"/>
  <c r="T6" i="18"/>
  <c r="AF14" i="18"/>
  <c r="AF30" i="18"/>
  <c r="Z22" i="18"/>
  <c r="T30" i="18"/>
  <c r="Z30" i="18"/>
  <c r="AL6" i="18"/>
  <c r="Z14" i="18"/>
  <c r="Z38" i="18"/>
  <c r="N30" i="18"/>
  <c r="J40" i="18"/>
  <c r="AB40" i="18"/>
  <c r="AH32" i="18"/>
  <c r="AB24" i="18"/>
  <c r="V16" i="18"/>
  <c r="J16" i="18"/>
  <c r="P32" i="18"/>
  <c r="V24" i="18"/>
  <c r="P24" i="18"/>
  <c r="V40" i="18"/>
  <c r="P16" i="18"/>
  <c r="P40" i="18"/>
  <c r="V32" i="18"/>
  <c r="AH16" i="18"/>
  <c r="AB16" i="18"/>
  <c r="V8" i="18"/>
  <c r="AH24" i="18"/>
  <c r="AH8" i="18"/>
  <c r="AH40" i="18"/>
  <c r="J8" i="18"/>
  <c r="AB32" i="18"/>
  <c r="AB8" i="18"/>
  <c r="J24" i="18"/>
  <c r="J32" i="18"/>
  <c r="P8" i="18"/>
  <c r="Z42" i="18"/>
  <c r="T18" i="18"/>
  <c r="AF34" i="18"/>
  <c r="AF42" i="18"/>
  <c r="N42" i="18"/>
  <c r="Z18" i="18"/>
  <c r="AL10" i="18"/>
  <c r="AL26" i="18"/>
  <c r="AF26" i="18"/>
  <c r="Z10" i="18"/>
  <c r="N18" i="18"/>
  <c r="T26" i="18"/>
  <c r="AF10" i="18"/>
  <c r="T34" i="18"/>
  <c r="N26" i="18"/>
  <c r="AL18" i="18"/>
  <c r="N10" i="18"/>
  <c r="AF18" i="18"/>
  <c r="Z26" i="18"/>
  <c r="AL34" i="18"/>
  <c r="P39" i="1"/>
  <c r="Z34" i="18"/>
  <c r="T10" i="18"/>
  <c r="Q39" i="1"/>
  <c r="AL42" i="18"/>
  <c r="N34" i="18"/>
  <c r="T42" i="18"/>
  <c r="P14" i="18"/>
  <c r="V22" i="18"/>
  <c r="V14" i="18"/>
  <c r="P22" i="18"/>
  <c r="V38" i="18"/>
  <c r="AH14" i="18"/>
  <c r="AH38" i="18"/>
  <c r="J14" i="18"/>
  <c r="AB22" i="18"/>
  <c r="V30" i="18"/>
  <c r="AB14" i="18"/>
  <c r="AB38" i="18"/>
  <c r="J30" i="18"/>
  <c r="P38" i="18"/>
  <c r="AB6" i="18"/>
  <c r="P11" i="1"/>
  <c r="AE11" i="1" s="1"/>
  <c r="AH30" i="18"/>
  <c r="J38" i="18"/>
  <c r="AH6" i="18"/>
  <c r="V6" i="18"/>
  <c r="AB30" i="18"/>
  <c r="J22" i="18"/>
  <c r="J6" i="18"/>
  <c r="P30" i="18"/>
  <c r="AH22" i="18"/>
  <c r="P6" i="18"/>
  <c r="Q11" i="1"/>
  <c r="AH12" i="18"/>
  <c r="J20" i="18"/>
  <c r="J44" i="18"/>
  <c r="AB28" i="18"/>
  <c r="P28" i="18"/>
  <c r="Q45" i="1"/>
  <c r="P12" i="18"/>
  <c r="AH20" i="18"/>
  <c r="P44" i="18"/>
  <c r="AB12" i="18"/>
  <c r="P20" i="18"/>
  <c r="J36" i="18"/>
  <c r="P36" i="18"/>
  <c r="AB44" i="18"/>
  <c r="V44" i="18"/>
  <c r="J28" i="18"/>
  <c r="AH36" i="18"/>
  <c r="V12" i="18"/>
  <c r="V28" i="18"/>
  <c r="AH44" i="18"/>
  <c r="AB20" i="18"/>
  <c r="AB36" i="18"/>
  <c r="AH28" i="18"/>
  <c r="V36" i="18"/>
  <c r="V20" i="18"/>
  <c r="P45" i="1"/>
  <c r="AE45" i="1" s="1"/>
  <c r="AD45" i="1" s="1"/>
  <c r="J12" i="18"/>
  <c r="AF24" i="18"/>
  <c r="AF32" i="18"/>
  <c r="T40" i="18"/>
  <c r="P21" i="1"/>
  <c r="Z40" i="18"/>
  <c r="AL8" i="18"/>
  <c r="AF8" i="18"/>
  <c r="T8" i="18"/>
  <c r="Z16" i="18"/>
  <c r="T24" i="18"/>
  <c r="AL24" i="18"/>
  <c r="Z32" i="18"/>
  <c r="N32" i="18"/>
  <c r="N16" i="18"/>
  <c r="Z8" i="18"/>
  <c r="AL40" i="18"/>
  <c r="N8" i="18"/>
  <c r="N24" i="18"/>
  <c r="T32" i="18"/>
  <c r="T16" i="18"/>
  <c r="AF40" i="18"/>
  <c r="AF16" i="18"/>
  <c r="AL32" i="18"/>
  <c r="N40" i="18"/>
  <c r="Z24" i="18"/>
  <c r="AL16" i="18"/>
  <c r="Q21" i="1"/>
  <c r="J39" i="19" l="1"/>
  <c r="AH9" i="19"/>
  <c r="J49" i="19"/>
  <c r="J9" i="19"/>
  <c r="P39" i="19"/>
  <c r="V9" i="19"/>
  <c r="AB39" i="19"/>
  <c r="J29" i="19"/>
  <c r="P19" i="19"/>
  <c r="AH49" i="19"/>
  <c r="J19" i="19"/>
  <c r="V49" i="19"/>
  <c r="V29" i="19"/>
  <c r="P49" i="19"/>
  <c r="AH39" i="19"/>
  <c r="P9" i="19"/>
  <c r="P29" i="19"/>
  <c r="V19" i="19"/>
  <c r="AB29" i="19"/>
  <c r="AB19" i="19"/>
  <c r="AB9" i="19"/>
  <c r="AB49" i="19"/>
  <c r="AH19" i="19"/>
  <c r="V39" i="19"/>
  <c r="AH29" i="19"/>
  <c r="P18" i="19"/>
  <c r="V28" i="19"/>
  <c r="V18" i="19"/>
  <c r="AB28" i="19"/>
  <c r="AB38" i="19"/>
  <c r="J48" i="19"/>
  <c r="P38" i="19"/>
  <c r="AB18" i="19"/>
  <c r="AB8" i="19"/>
  <c r="AB48" i="19"/>
  <c r="AH18" i="19"/>
  <c r="J28" i="19"/>
  <c r="P28" i="19"/>
  <c r="V38" i="19"/>
  <c r="V48" i="19"/>
  <c r="AH38" i="19"/>
  <c r="J8" i="19"/>
  <c r="V8" i="19"/>
  <c r="AH28" i="19"/>
  <c r="P8" i="19"/>
  <c r="J18" i="19"/>
  <c r="AF14" i="1"/>
  <c r="P48" i="19"/>
  <c r="AH8" i="19"/>
  <c r="AH48" i="19"/>
  <c r="J38" i="19"/>
  <c r="J37" i="19"/>
  <c r="AB17" i="19"/>
  <c r="AF13" i="1"/>
  <c r="J7" i="19"/>
  <c r="AB37" i="19"/>
  <c r="V37" i="19"/>
  <c r="J27" i="19"/>
  <c r="AH17" i="19"/>
  <c r="V7" i="19"/>
  <c r="P7" i="19"/>
  <c r="J47" i="19"/>
  <c r="AH37" i="19"/>
  <c r="AH27" i="19"/>
  <c r="V27" i="19"/>
  <c r="P27" i="19"/>
  <c r="AB47" i="19"/>
  <c r="AH7" i="19"/>
  <c r="AB7" i="19"/>
  <c r="P47" i="19"/>
  <c r="P17" i="19"/>
  <c r="AB27" i="19"/>
  <c r="V17" i="19"/>
  <c r="J17" i="19"/>
  <c r="AH47" i="19"/>
  <c r="P37" i="19"/>
  <c r="V47" i="19"/>
  <c r="AD11" i="1"/>
  <c r="P16" i="19" s="1"/>
  <c r="AE12" i="1"/>
  <c r="AD12" i="1" s="1"/>
  <c r="V25" i="19"/>
  <c r="V45" i="19"/>
  <c r="J15" i="19"/>
  <c r="AB45" i="19"/>
  <c r="AH25" i="19"/>
  <c r="AH55" i="19"/>
  <c r="AB15" i="19"/>
  <c r="P15" i="19"/>
  <c r="P45" i="19"/>
  <c r="V15" i="19"/>
  <c r="J35" i="19"/>
  <c r="AH45" i="19"/>
  <c r="J25" i="19"/>
  <c r="AB35" i="19"/>
  <c r="AH15" i="19"/>
  <c r="V35" i="19"/>
  <c r="J55" i="19"/>
  <c r="AB55" i="19"/>
  <c r="AF45" i="1"/>
  <c r="AB25" i="19"/>
  <c r="AH35" i="19"/>
  <c r="P55" i="19"/>
  <c r="J45" i="19"/>
  <c r="P25" i="19"/>
  <c r="P35" i="19"/>
  <c r="V55" i="19"/>
  <c r="V36" i="19" l="1"/>
  <c r="V6" i="19"/>
  <c r="V16" i="19"/>
  <c r="P26" i="19"/>
  <c r="J26" i="19"/>
  <c r="V26" i="19"/>
  <c r="J36" i="19"/>
  <c r="J16" i="19"/>
  <c r="P36" i="19"/>
  <c r="AB26" i="19"/>
  <c r="AB36" i="19"/>
  <c r="J6" i="19"/>
  <c r="P46" i="19"/>
  <c r="AB6" i="19"/>
  <c r="AH36" i="19"/>
  <c r="AB46" i="19"/>
  <c r="AH46" i="19"/>
  <c r="V46" i="19"/>
  <c r="AH16" i="19"/>
  <c r="AH26" i="19"/>
  <c r="AH6" i="19"/>
  <c r="J46" i="19"/>
  <c r="AF11" i="1"/>
  <c r="AB16" i="19"/>
  <c r="P6" i="19"/>
  <c r="W36" i="19"/>
  <c r="AC36" i="19"/>
  <c r="K16" i="19"/>
  <c r="AI36" i="19"/>
  <c r="K46" i="19"/>
  <c r="AI46" i="19"/>
  <c r="AC46" i="19"/>
  <c r="Q46" i="19"/>
  <c r="AC26" i="19"/>
  <c r="AC16" i="19"/>
  <c r="W16" i="19"/>
  <c r="K36" i="19"/>
  <c r="Q26" i="19"/>
  <c r="AF12" i="1"/>
  <c r="Q6" i="19"/>
  <c r="K6" i="19"/>
  <c r="Q16" i="19"/>
  <c r="Q36" i="19"/>
  <c r="AC6" i="19"/>
  <c r="AI6" i="19"/>
  <c r="AI16" i="19"/>
  <c r="W6" i="19"/>
  <c r="AI26" i="19"/>
  <c r="W26" i="19"/>
  <c r="K26" i="19"/>
  <c r="W46" i="19"/>
  <c r="B223" i="13"/>
  <c r="B22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Andru</author>
    <author>User</author>
  </authors>
  <commentList>
    <comment ref="D6" authorId="0" shapeId="0" xr:uid="{00000000-0006-0000-0100-000001000000}">
      <text>
        <r>
          <rPr>
            <b/>
            <sz val="9"/>
            <color indexed="81"/>
            <rFont val="Tahoma"/>
            <family val="2"/>
          </rPr>
          <t>Traer la Información de la caracterización del proceso.</t>
        </r>
      </text>
    </comment>
    <comment ref="D7" authorId="0" shapeId="0" xr:uid="{00000000-0006-0000-0100-000002000000}">
      <text>
        <r>
          <rPr>
            <b/>
            <sz val="9"/>
            <color indexed="81"/>
            <rFont val="Tahoma"/>
            <family val="2"/>
          </rPr>
          <t>Traer la Información de la caracterización del proceso.</t>
        </r>
        <r>
          <rPr>
            <sz val="9"/>
            <color indexed="81"/>
            <rFont val="Tahoma"/>
            <family val="2"/>
          </rPr>
          <t xml:space="preserve">
</t>
        </r>
      </text>
    </comment>
    <comment ref="A9" authorId="0" shapeId="0" xr:uid="{00000000-0006-0000-0100-000003000000}">
      <text>
        <r>
          <rPr>
            <b/>
            <sz val="9"/>
            <color indexed="81"/>
            <rFont val="Tahoma"/>
            <family val="2"/>
          </rPr>
          <t>Número consecutivo de los riesgos que se identifican.</t>
        </r>
        <r>
          <rPr>
            <sz val="9"/>
            <color indexed="81"/>
            <rFont val="Tahoma"/>
            <family val="2"/>
          </rPr>
          <t xml:space="preserve">
</t>
        </r>
      </text>
    </comment>
    <comment ref="B9" authorId="0" shapeId="0" xr:uid="{00000000-0006-0000-0100-000004000000}">
      <text>
        <r>
          <rPr>
            <b/>
            <sz val="9"/>
            <color indexed="81"/>
            <rFont val="Tahoma"/>
            <family val="2"/>
          </rPr>
          <t>Consulte su matriz de activos de información.</t>
        </r>
      </text>
    </comment>
    <comment ref="C9" authorId="1" shapeId="0" xr:uid="{00000000-0006-0000-0100-000005000000}">
      <text>
        <r>
          <rPr>
            <b/>
            <sz val="9"/>
            <color indexed="81"/>
            <rFont val="Tahoma"/>
            <family val="2"/>
          </rPr>
          <t>Consulte su matriz de activos de información.</t>
        </r>
      </text>
    </comment>
    <comment ref="E9" authorId="0" shapeId="0" xr:uid="{00000000-0006-0000-0100-000006000000}">
      <text>
        <r>
          <rPr>
            <b/>
            <sz val="9"/>
            <color indexed="81"/>
            <rFont val="Tahoma"/>
            <family val="2"/>
          </rPr>
          <t>En el manual de gestión de riesgos de seguridad de la información, encontrará sugerencias de AMENAZAS que puede usar o ajustar según se requiera.</t>
        </r>
      </text>
    </comment>
    <comment ref="F9" authorId="0" shapeId="0" xr:uid="{00000000-0006-0000-0100-000007000000}">
      <text>
        <r>
          <rPr>
            <b/>
            <sz val="9"/>
            <color indexed="81"/>
            <rFont val="Tahoma"/>
            <family val="2"/>
          </rPr>
          <t>En el manual de gestión de riesgos de seguridad de la información, encontrará sugerencias de VULNERABILIDADES que puede usar o ajustar según se requiera.</t>
        </r>
        <r>
          <rPr>
            <sz val="9"/>
            <color indexed="81"/>
            <rFont val="Tahoma"/>
            <family val="2"/>
          </rPr>
          <t xml:space="preserve">
</t>
        </r>
      </text>
    </comment>
    <comment ref="T9" authorId="0" shapeId="0" xr:uid="{00000000-0006-0000-0100-000008000000}">
      <text>
        <r>
          <rPr>
            <b/>
            <sz val="9"/>
            <color indexed="81"/>
            <rFont val="Tahoma"/>
            <family val="2"/>
          </rPr>
          <t>Este campo es automático y se diligencia al seleccionar el tipo de control (Columna T)</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<sst xmlns="http://schemas.openxmlformats.org/spreadsheetml/2006/main" count="465" uniqueCount="311">
  <si>
    <t xml:space="preserve">Referencia </t>
  </si>
  <si>
    <t>Descripción del Riesgo</t>
  </si>
  <si>
    <t>Impacto</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</si>
  <si>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</si>
  <si>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</si>
  <si>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</si>
  <si>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</si>
  <si>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</si>
  <si>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</si>
  <si>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</si>
  <si>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</si>
  <si>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</si>
  <si>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</si>
  <si>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</si>
  <si>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</si>
  <si>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</si>
  <si>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</si>
  <si>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</si>
  <si>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</si>
  <si>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</si>
  <si>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</si>
  <si>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</si>
  <si>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</si>
  <si>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</si>
  <si>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</si>
  <si>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</si>
  <si>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</si>
  <si>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</si>
  <si>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</si>
  <si>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</si>
  <si>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</si>
  <si>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</si>
  <si>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</si>
  <si>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</si>
  <si>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</si>
  <si>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</si>
  <si>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</si>
  <si>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</si>
  <si>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</si>
  <si>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</si>
  <si>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</si>
  <si>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</si>
  <si>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</si>
  <si>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</si>
  <si>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</si>
  <si>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</si>
  <si>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</si>
  <si>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</si>
  <si>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</si>
  <si>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</si>
  <si>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</si>
  <si>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</si>
  <si>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</si>
  <si>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</si>
  <si>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</si>
  <si>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</si>
  <si>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</si>
  <si>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</si>
  <si>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</si>
  <si>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</si>
  <si>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</si>
  <si>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</si>
  <si>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</si>
  <si>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</si>
  <si>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</si>
  <si>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</si>
  <si>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</si>
  <si>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</si>
  <si>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</si>
  <si>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</si>
  <si>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</si>
  <si>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</si>
  <si>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</si>
  <si>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</si>
  <si>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</si>
  <si>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</si>
  <si>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</si>
  <si>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</si>
  <si>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</si>
  <si>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</si>
  <si>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</si>
  <si>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</si>
  <si>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</si>
  <si>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</si>
  <si>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</si>
  <si>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</si>
  <si>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</si>
  <si>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</si>
  <si>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</si>
  <si>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</si>
  <si>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</si>
  <si>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</si>
  <si>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</si>
  <si>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</si>
  <si>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</si>
  <si>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</si>
  <si>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</si>
  <si>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</si>
  <si>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</si>
  <si>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</si>
  <si>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</si>
  <si>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</si>
  <si>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</si>
  <si>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</si>
  <si>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</si>
  <si>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</si>
  <si>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</si>
  <si>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</si>
  <si>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</si>
  <si>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</si>
  <si>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</si>
  <si>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</si>
  <si>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</si>
  <si>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</si>
  <si>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</si>
  <si>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</si>
  <si>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</si>
  <si>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</si>
  <si>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</si>
  <si>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</si>
  <si>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</si>
  <si>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</si>
  <si>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</si>
  <si>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</si>
  <si>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</si>
  <si>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</si>
  <si>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</si>
  <si>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</si>
  <si>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</si>
  <si>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</si>
  <si>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</si>
  <si>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</si>
  <si>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</si>
  <si>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</si>
  <si>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</si>
  <si>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</si>
  <si>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</si>
  <si>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</si>
  <si>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</si>
  <si>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</si>
  <si>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</si>
  <si>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</si>
  <si>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</si>
  <si>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</si>
  <si>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</si>
  <si>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</si>
  <si>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</si>
  <si>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</si>
  <si>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</si>
  <si>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</si>
  <si>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</si>
  <si>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</si>
  <si>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</si>
  <si>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Criterios de Impacto</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</si>
  <si>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</si>
  <si>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</si>
  <si>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</si>
  <si>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</si>
  <si>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</si>
  <si>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</si>
  <si>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</si>
  <si>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</si>
  <si>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r>
      <t xml:space="preserve">Plan de Acción
</t>
    </r>
    <r>
      <rPr>
        <sz val="9"/>
        <rFont val="Arial Narrow"/>
        <family val="2"/>
      </rPr>
      <t xml:space="preserve">Responsable, fecha implementación, fecha seguimiento, seguimiento. </t>
    </r>
  </si>
  <si>
    <t>Proceso</t>
  </si>
  <si>
    <t>Objetivo</t>
  </si>
  <si>
    <t>Alcance</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</si>
  <si>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</si>
  <si>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</si>
  <si>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</si>
  <si>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</si>
  <si>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</si>
  <si>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</si>
  <si>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</si>
  <si>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</si>
  <si>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Dependencia:</t>
  </si>
  <si>
    <t>Procesos</t>
  </si>
  <si>
    <t>Dependencias</t>
  </si>
  <si>
    <t>Despacho</t>
  </si>
  <si>
    <t>Subsecretaría de la Políticas de Igualdad</t>
  </si>
  <si>
    <t>Subsecretaría de Fortalecimiento de Capacidades y Oportunidades</t>
  </si>
  <si>
    <t>Subsecretaría de Gestión Corporativa</t>
  </si>
  <si>
    <t>AMENAZA (Causa Inmediata)</t>
  </si>
  <si>
    <t>VULNERABILIDAD (Causa Raíz)</t>
  </si>
  <si>
    <t>TIPO DE ACTIVO</t>
  </si>
  <si>
    <t>Tipo de Activo</t>
  </si>
  <si>
    <t>Información</t>
  </si>
  <si>
    <t>Hardware</t>
  </si>
  <si>
    <t>Software</t>
  </si>
  <si>
    <t>Servicios</t>
  </si>
  <si>
    <t>Recurso Humano</t>
  </si>
  <si>
    <t>BD Personales</t>
  </si>
  <si>
    <t>Infraestructura Crítica Cibernética</t>
  </si>
  <si>
    <t>Tipo de Riesgo</t>
  </si>
  <si>
    <t>1. Posibilidad de pérdida de Confidencialidad</t>
  </si>
  <si>
    <t>2. Posibilidad de pérdida de Integridad</t>
  </si>
  <si>
    <t>3. Posibilidad de pérdida de Disponibilidad</t>
  </si>
  <si>
    <t>1. Posibilidad de pérdida de confidencialidad, divulgación no autorizada o mal uso de la información de datos personales.</t>
  </si>
  <si>
    <t>2. Posibilidad de pérdida de integridad, alteración, o modificación de la Información de datos personales.</t>
  </si>
  <si>
    <t>3. Posibilidad de afectación de la disponibilidad de la plataforma tecnológica o aplicativos que gestionan datos personales.</t>
  </si>
  <si>
    <t>4. Posibilidad de sanciones por incumplimiento de las directrices o normativas frente al tratamiento de los datos personales.</t>
  </si>
  <si>
    <t>TIPOS DE RIESGOS</t>
  </si>
  <si>
    <t>Etiquetas de fila</t>
  </si>
  <si>
    <t>Total general</t>
  </si>
  <si>
    <t>***Riesgos de Seguridad de la Información</t>
  </si>
  <si>
    <t>***Riesgos de Datos Personales</t>
  </si>
  <si>
    <t>Tabla Atributos para el diseño del control</t>
  </si>
  <si>
    <t>La actividad que conlleva el riesgo se ejecuta como máximos 5 veces por año</t>
  </si>
  <si>
    <t>La actividad que conlleva el riesgo se ejecuta de 6 a 24 veces por año</t>
  </si>
  <si>
    <t>La actividad que conlleva el riesgo se ejecuta de 25 a 150 veces por año</t>
  </si>
  <si>
    <t>La actividad que conlleva el riesgo se ejecuta mínimo 150 veces al año y máximo 300 veces por año</t>
  </si>
  <si>
    <t>La actividad que conlleva el riesgo se ejecuta más de 301 veces por año</t>
  </si>
  <si>
    <t>Sin Iniciar</t>
  </si>
  <si>
    <t>1. Ejecucion y Administracion de procesos</t>
  </si>
  <si>
    <t>2. Fraude Externo</t>
  </si>
  <si>
    <t>3. Fraude Interno</t>
  </si>
  <si>
    <t>4. Fallas Tecnologicas</t>
  </si>
  <si>
    <t>5. Relaciones Laborales</t>
  </si>
  <si>
    <t>6. Usuarios, productos y practicas , organizacionales</t>
  </si>
  <si>
    <t>7. Daños Activos Fisicos</t>
  </si>
  <si>
    <t>Dependencia</t>
  </si>
  <si>
    <t>Seleccione de la lista desplegable el nombre del proceso al cual se le identificarán y valorarán los riesgos.</t>
  </si>
  <si>
    <t>Seleccione de la lista desplegable el nombre de la dependencia al cual se le identificarán y valorarán los riesgos.</t>
  </si>
  <si>
    <t>Permite definir unl consecutivo de riesgos.</t>
  </si>
  <si>
    <t xml:space="preserve">Consulte la matriz de activos de su proceso o dependencia según corresponda, los activos se van a agrupar por tipo de activo (Información, Hardware, Software, Servicio, Bases de Datos Personales, Recurso Humano, Infraestructura Crítica Cibernética) para identificar los riesgos, amenazas y vulnerabilidades. En este campo en la lista desplegable seleccione el tipo de activo y consulte en la matriz de activos a qué hace referencia para definir la descripción del riesgo. </t>
  </si>
  <si>
    <t>Analice las consecuencias que puede ocasionar a la Entidad la materialización del riesgo.</t>
  </si>
  <si>
    <t>Consolida o resume los análisis sobre impacto + causa inmediata + causa raíz, permitiendo contar con una redacción clara y concreta del riesgo identificado. Tenga en cuenta que la descripción inicia con POSIBILIDAD DE + Tipo de Riesgo para la entidad + “AMENAZA - Causa Inmediata (Cómo)” + “VULNERABILIDADES - Causa Raíz (Por qué)”</t>
  </si>
  <si>
    <t>Utilice la lista desplegable que se encuentra parametrizada, le aparecerán las opciones: 1) Ejecución y Administración de procesos, 2) Fraude Externo, 3) Fraude Interno, 4) Fallas Tecnológicas, 5) Relaciones Laborales, 6) Usuarios, productos y practicas organizacionales, 7) Daños Activos Físicos, seleccione la opción que corresponda.
En el manual de gestión de riesgos de seguridad de la información, consulte el numeral 10.5 Clasificación del Riesgo, en el cual se encuentra la descripción de cada uno.</t>
  </si>
  <si>
    <t>Permite identificar el número de controles que se van a aplicar.</t>
  </si>
  <si>
    <t>Este campo NO se diligencia, depende de lo que seleccione en la columna T(Tipo).</t>
  </si>
  <si>
    <t xml:space="preserve">Utilice la lista desplegable que se encuentra parametrizada, le aparecerán las opciones: 1) Preventivo, 2) Detectivo, 3) Correctivo, seleccione según corresponda. </t>
  </si>
  <si>
    <t>Utilice la lista desplegable que se encuentra parametrizada, le aparecerán las opciones: 1) Automático, 2) Manual, seleccione según corresponda.</t>
  </si>
  <si>
    <t xml:space="preserve">Este campo NO se diligencia, la matriz automáticamente hará el cálculo para el control analizado (Columna V) </t>
  </si>
  <si>
    <t>Utilice la lista desplegable que se encuentra parametrizada, le aparecerán las opciones: 1) Documentado, 2) Sin documentar.</t>
  </si>
  <si>
    <t>Utilice la lista desplegable que se encuentra parametrizada, le aparecerán las opciones: 1) Continua, 2) Aleatoria.</t>
  </si>
  <si>
    <t>Utilice la lista desplegable que se encuentra parametrizada, le aparecerán las opciones: 1) Con Registro, 2) Sin Registro.</t>
  </si>
  <si>
    <t>Evaluación del Nivel de Riesgo - Nivel de Riesgo Residual
•	Probabilidad Residual (Z)
•	Probabilidad Residual Final (AA)
•	% (AB)
•	Impacto Residual Final (AC)
•	% (AD)
•	Zona de Riesgo Final (AE)</t>
  </si>
  <si>
    <t>Estos campos NO se diligencian, la matriz automáticamente hará el cálculo, acorde con el control o controles definidos con sus atributos analizados, lo que permitirá establecer el nivel de riesgo inherente (Columnas Z y AB,  AC - AE).</t>
  </si>
  <si>
    <t>Utilice la lista desplegable que se encuentra parametrizada, le aparecerán las opciones: 1) Aceptar, 2) Evitar, 3) Reducir (compartir), 4) 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</si>
  <si>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tercerización), indicando información relevante. </t>
  </si>
  <si>
    <t>Utilice la lista desplegable que se encuentra parametrizada, le aparecerán las opciones: 1) Finalizado, 2) En curso, 3) Sin Iniciar, la selección en este caso dependerá de las acciones del plan que se hayan establecido en cada caso.</t>
  </si>
  <si>
    <t>OFICINA DE CONTROL INTERNO</t>
  </si>
  <si>
    <t>OFICINA ASESORA DE COMUNICACIONES</t>
  </si>
  <si>
    <t>OFICINA ASESORA DE PLANEACIÓN</t>
  </si>
  <si>
    <t>OFICINA DE TECNOLOGÍAS DE LA INFORMACIÓN</t>
  </si>
  <si>
    <t>DIRECCIÓN DE FOMENTO</t>
  </si>
  <si>
    <t>DIRECCIÓN DE ASUNTOS LOCALES Y PARTICIPACIÓN</t>
  </si>
  <si>
    <t>DIRECCIÓN DE PERSONAS JURÍDICAS</t>
  </si>
  <si>
    <t>GESTIÓN DOCUMENTAL</t>
  </si>
  <si>
    <t xml:space="preserve">GESTIÓN DEL DIRECCIONAMIENTO ESTRATÉGICO </t>
  </si>
  <si>
    <t>GESTIÓN  JURÍDICA</t>
  </si>
  <si>
    <t xml:space="preserve">GESTIÓN ADMINISTRATIVA </t>
  </si>
  <si>
    <t>GESTIÓN CONTRACTUAL</t>
  </si>
  <si>
    <t xml:space="preserve">GESTIÓN DE INVESTIGACIONES, OBSERVACIONES Y ANALÍTICA DE LA CULTURA, LA RECREACIÓN Y EL DEPORTE </t>
  </si>
  <si>
    <t xml:space="preserve">GESTIÓN DE LA APROPIACIÓN DE LA INFRAESTRUCTURA Y PATRIMONIO CULTURAL  
</t>
  </si>
  <si>
    <t xml:space="preserve">GESTIÓN DE LA COMUNICACIÓN ESTRATÉGICA  </t>
  </si>
  <si>
    <t xml:space="preserve">GESTIÓN DE LA CULTURA CIUDADANA  </t>
  </si>
  <si>
    <t xml:space="preserve">GESTIÓN DE LA EVALUACIÓN INDEPENDIENTE </t>
  </si>
  <si>
    <t xml:space="preserve">GESTIÓN DE LA FORMULACIÓN Y SEGUIMIENTO DE POLÍTICA PÚBLICA </t>
  </si>
  <si>
    <t xml:space="preserve">GESTIÓN DE LA MEJORA CONTINUA </t>
  </si>
  <si>
    <t xml:space="preserve">GESTIÓN DE LA PARTICIPACIÓN CIUDADANA </t>
  </si>
  <si>
    <t xml:space="preserve">GESTIÓN DE LA PROMOCIÓN DE AGENTES Y PRÁCTICAS CULTURALES Y RECREODEPORTIVAS  </t>
  </si>
  <si>
    <t xml:space="preserve">GESTIÓN DE TALENTO HUMANO </t>
  </si>
  <si>
    <t xml:space="preserve">GESTIÓN DE TECNOLOGÍAS DE LA INFORMACIÓN Y LAS COMUNICACIONES  </t>
  </si>
  <si>
    <t>GESTIÓN DEL CONOCIMIENTO Y LA INNOVACIÒN</t>
  </si>
  <si>
    <t>GESTIÓN DEL CONTROL DISCIPLINARIO INTERNO</t>
  </si>
  <si>
    <t xml:space="preserve">GESTIÓN DEL RELACIONAMIENTO CON LA CIUDADANÍA 
</t>
  </si>
  <si>
    <t xml:space="preserve">GESTIÓN FINANCIERA  </t>
  </si>
  <si>
    <t>GESTIÒN DE LECTURA, ESCRITURA Y ORALIDAD</t>
  </si>
  <si>
    <t>CONTRATOS</t>
  </si>
  <si>
    <t>DESPACHO</t>
  </si>
  <si>
    <t>DIRECCIÓN  DE LECTURA Y BIBLIOTECAS</t>
  </si>
  <si>
    <t>DIRECCIÓN DE ARTE, CULTURA Y PATRIMONIO</t>
  </si>
  <si>
    <t>DIRECCIÓN DE ECONOMIA ESTUDIOS Y POLÍTICA</t>
  </si>
  <si>
    <t>DIRECCIÓN DE GESTIÓN CORPORATIVA Y RELACIÓN CON EL CIUDADANO</t>
  </si>
  <si>
    <t>DIRECCIÓN DE OBSERVATIORIO Y GESTIÓN DEL CONOCIMIENTO CULTURAL</t>
  </si>
  <si>
    <t>DIRECCIÓN DE REDES A ACCIÓN COLECTIVA</t>
  </si>
  <si>
    <t>DIRECCIÓN DE TRANSFORMACIONES CULTURALES</t>
  </si>
  <si>
    <t>FINANCIERA</t>
  </si>
  <si>
    <t>OFICINA DE CONTROL DISCIPLINARIO INTERNO</t>
  </si>
  <si>
    <t>OFICINA JURÍDICA</t>
  </si>
  <si>
    <t>SERVICIOS ADMINISTRTAIVOS</t>
  </si>
  <si>
    <t>SUBDIRECCIÓN DE GESTIÓN CULTURAL Y ARTISTICA</t>
  </si>
  <si>
    <t>SUBDIRECCIÓN DE INFRAESTRUCTURA Y PATRIMONIO CULTURAL</t>
  </si>
  <si>
    <t>SUBSECRETARÍA DE GOBERNANZA</t>
  </si>
  <si>
    <t xml:space="preserve">SUBSECRETARÍA DISTRITAL DE CULTURA CIUDADANA Y GESTIÓN DEL CONOCIMIENTO </t>
  </si>
  <si>
    <t>TALENTO HUMANO</t>
  </si>
  <si>
    <t>NOMBRE DEL ACTIVO</t>
  </si>
  <si>
    <t>Diligencie el objetivo del proceso o dependencia. Consulte la caracterización del proceso o dependencia en MIPG</t>
  </si>
  <si>
    <t>Diligencie el alcance del proceso o dependencia. Consulte la caracterización del proceso o dependencia en MIPG</t>
  </si>
  <si>
    <r>
      <t xml:space="preserve">Circunstancias bajo las cuales se presenta el riesgo, es la situación más evidente frente al riesgo, redacte de la forma más concreta posible. 
En el manual de gestión de riesgos de seguridad de la información, consulte el numeral </t>
    </r>
    <r>
      <rPr>
        <b/>
        <sz val="9"/>
        <rFont val="Arial Narrow"/>
        <family val="2"/>
      </rPr>
      <t>10.3</t>
    </r>
    <r>
      <rPr>
        <sz val="9"/>
        <rFont val="Arial Narrow"/>
        <family val="2"/>
      </rPr>
      <t xml:space="preserve"> </t>
    </r>
    <r>
      <rPr>
        <b/>
        <sz val="9"/>
        <rFont val="Arial Narrow"/>
        <family val="2"/>
      </rPr>
      <t>Amenazas</t>
    </r>
    <r>
      <rPr>
        <sz val="9"/>
        <rFont val="Arial Narrow"/>
        <family val="2"/>
      </rPr>
      <t>, verifique en la tabla de Amenazas si hay algunas de las amenazas comunes que le aplique, o adáptela de acuerdo a su necesidad, recuerde que la información allí consignada es una guía de referencia.</t>
    </r>
  </si>
  <si>
    <r>
      <t>Causa principal o básica, corresponde a las razones por la cuales se puede presentar el riesgo por la falta de un control, redacte de la forma más concreta posible.
En el manual de gestión de riesgos de seguridad de la información, consulte el numeral</t>
    </r>
    <r>
      <rPr>
        <b/>
        <sz val="9"/>
        <rFont val="Arial Narrow"/>
        <family val="2"/>
      </rPr>
      <t xml:space="preserve"> 10.2 Vulnerabilidades</t>
    </r>
    <r>
      <rPr>
        <sz val="9"/>
        <rFont val="Arial Narrow"/>
        <family val="2"/>
      </rPr>
      <t>, verifique en la tabla de Vulnerabilidades si hay algunas de las vulnerabilidades comunes que le aplique, o adáptela de acuerdo a su necesidad, recuerde que la información allí consignada es una guía de referencia.</t>
    </r>
  </si>
  <si>
    <r>
      <t xml:space="preserve">Seleccione de la Lista desplegable el tipo de riesgo, hay 3 riesgos asociados a seguridad de la información y 4 asociados a bases de datos personales.
En el manual de gestión de riesgos de seguridad de la información, consulte el numeral </t>
    </r>
    <r>
      <rPr>
        <b/>
        <sz val="9"/>
        <rFont val="Arial Narrow"/>
        <family val="2"/>
      </rPr>
      <t>10.1 Riesgos de Seguridad de la Información y Bases de Datos Personales.</t>
    </r>
  </si>
  <si>
    <r>
      <t xml:space="preserve">Defina el # de veces que se ejecuta la actividad durante el año, (Recuerde la probabilidad u ocurrencia del riesgo se define como el No. de veces que se pasa por el punto de riesgo en el periodo de 1 año). La matriz automáticamente hará el cálculo para el nivel de probabilidad inherente (Columnas J-K)
En el manual de gestión de riesgos de seguridad de la información, consulte el numeral </t>
    </r>
    <r>
      <rPr>
        <b/>
        <sz val="9"/>
        <rFont val="Arial Narrow"/>
        <family val="2"/>
      </rPr>
      <t>12.1 Probabilidad</t>
    </r>
    <r>
      <rPr>
        <sz val="9"/>
        <rFont val="Arial Narrow"/>
        <family val="2"/>
      </rPr>
      <t>, en el cual se encuentra la tabla Análisis de Probabilidad, con la descripción de cada uno, de igual forma también se encuentra en el instrumento en la hoja “Tabla Probabilidad”.</t>
    </r>
  </si>
  <si>
    <r>
      <t xml:space="preserve">Utilice la lista desplegable que se encuentra parametrizada, le aparecerán las opciones de la tabla de Impacto en la hoja “Tabla Impacto” del instrumento. La matriz automáticamente hará el cálculo para el nivel de impacto inherente (Columnas N-P).
En el manual de gestión de riesgos de seguridad de la información, consulte el numeral </t>
    </r>
    <r>
      <rPr>
        <b/>
        <sz val="9"/>
        <rFont val="Arial Narrow"/>
        <family val="2"/>
      </rPr>
      <t>12.2 Impacto</t>
    </r>
    <r>
      <rPr>
        <sz val="9"/>
        <rFont val="Arial Narrow"/>
        <family val="2"/>
      </rPr>
      <t>, en el cual se encuentra la tabla Análisis de Impacto.</t>
    </r>
  </si>
  <si>
    <t>Garantizar la administración, registro, control y actualización de la información financiera de la Entidad de manera eficiente yveraz, a través de las herramientas e instrumentos dispuestos para tal fin, en cumplimiento de la normatividad vigente y logro demetas y objetivos institucionales.</t>
  </si>
  <si>
    <t>El proceso de apoyo de gestión financiera inicia desde la determinación de los lineamientos financieros, el recibo del presupuesto aprobado de la Entidad, prosigue con la ejecución presupuestal, registro contable de la información y finaliza con el cierre del periodo contable, la presentación de los estados financieros y la realización de informes de gestion financiera, ante usuarios internos y externos.</t>
  </si>
  <si>
    <t>LIBRO MAYOR (LIMAY)</t>
  </si>
  <si>
    <t xml:space="preserve">Falta de mantenimiento </t>
  </si>
  <si>
    <t xml:space="preserve">Falta de actualizacion de nuevas funcionales de acuerdo al marco normativo </t>
  </si>
  <si>
    <t xml:space="preserve">Ausencia del mantenimiento preventivo en el software contable  con las funcionalidades requeridas para facilitar la operación contable. </t>
  </si>
  <si>
    <t>Posibilidad de perdida de disponibilidad en el sisttema Contable LIMAY, por falta de mantenimiento y nuevas funcionalidades.</t>
  </si>
  <si>
    <t xml:space="preserve">El Profesioinal del proceso contable informa al por medio de un correo electrónico lla actualización del sistema a traes de una historia de usuario digida a la Oficina de Técnologias por medio de la mesa de servicios, en la cual se asigna all funcinario correspondiente para la realizacion de dicha actualización y realizar el seguimiento. </t>
  </si>
  <si>
    <t>INFORMACION FINANCIERA</t>
  </si>
  <si>
    <t>Imposibilidad de acceso a la informacion financiera</t>
  </si>
  <si>
    <t>Ausencia o fallas en el servicio de internet.</t>
  </si>
  <si>
    <t xml:space="preserve">Posibilidad de perdida de disponibilidad  a la informacion financiera por ausencia en el serivicio de internet. </t>
  </si>
  <si>
    <t>El profesional encargado  del área informa la falla presentada a la oficina de la OTI, a traves de un correo a la mesa de servicios, y realiza el seguimiento al caso presentado.</t>
  </si>
  <si>
    <t>Denegación del servicio</t>
  </si>
  <si>
    <t>Posibilidad de perdida de disponibilidad del aplicativo de pagos por ausencia o falla en el servicio de internet.</t>
  </si>
  <si>
    <t>PAGOS
TERCEROS</t>
  </si>
  <si>
    <t>El profesional del area (pagos, terceros) informa la falla presentada a la oficina de la OTI, a traves de un correo a la mesa de servicios, y realiza el seguimiento al caso presentado.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</si>
</sst>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0"/>
      <name val="Times New Roman"/>
      <family val="1"/>
    </font>
    <font>
      <sz val="10"/>
      <name val="Times New Roman"/>
      <family val="1"/>
    </font>
    <font>
      <sz val="9"/>
      <color indexed="81"/>
      <name val="Tahoma"/>
      <family val="2"/>
    </font>
    <font>
      <b/>
      <sz val="9"/>
      <color indexed="81"/>
      <name val="Tahoma"/>
      <family val="2"/>
    </font>
    <font>
      <b/>
      <sz val="11"/>
      <name val="Calibri"/>
      <family val="2"/>
      <scheme val="minor"/>
    </font>
    <font>
      <sz val="11"/>
      <color rgb="FF000000"/>
      <name val="Calibri"/>
      <family val="2"/>
      <scheme val="minor"/>
    </font>
    <font>
      <sz val="11"/>
      <color theme="1"/>
      <name val="Calibri"/>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patternFill>
    </fill>
    <fill>
      <patternFill patternType="solid">
        <fgColor rgb="FF242BB9"/>
        <bgColor indexed="64"/>
      </patternFill>
    </fill>
    <fill>
      <patternFill patternType="solid">
        <fgColor indexed="65"/>
        <bgColor indexed="64"/>
      </patternFill>
    </fill>
    <fill>
      <patternFill patternType="solid">
        <fgColor theme="0"/>
        <bgColor rgb="FF008080"/>
      </patternFill>
    </fill>
    <fill>
      <patternFill patternType="solid">
        <fgColor theme="0"/>
        <bgColor rgb="FFBFBFBF"/>
      </patternFill>
    </fill>
    <fill>
      <patternFill patternType="solid">
        <fgColor theme="0"/>
        <bgColor rgb="FFA9D18E"/>
      </patternFill>
    </fill>
  </fills>
  <borders count="8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9" fontId="15" fillId="0" borderId="0" applyFont="0" applyFill="0" applyBorder="0" applyAlignment="0" applyProtection="0"/>
    <xf numFmtId="0" fontId="48" fillId="0" borderId="0"/>
    <xf numFmtId="0" fontId="49" fillId="0" borderId="0"/>
    <xf numFmtId="0" fontId="5" fillId="0" borderId="0"/>
    <xf numFmtId="0" fontId="14" fillId="16" borderId="0" applyNumberFormat="0" applyBorder="0" applyAlignment="0" applyProtection="0"/>
  </cellStyleXfs>
  <cellXfs count="42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59" fillId="17" borderId="33" xfId="5" applyFont="1" applyFill="1" applyBorder="1" applyAlignment="1">
      <alignment horizontal="center" vertical="center" wrapText="1"/>
    </xf>
    <xf numFmtId="0" fontId="59" fillId="17" borderId="77" xfId="5" applyFont="1" applyFill="1" applyBorder="1" applyAlignment="1">
      <alignment vertical="center" wrapText="1"/>
    </xf>
    <xf numFmtId="0" fontId="60" fillId="3" borderId="33" xfId="0" applyFont="1" applyFill="1" applyBorder="1" applyAlignment="1">
      <alignment horizontal="left" vertical="center" wrapText="1"/>
    </xf>
    <xf numFmtId="0" fontId="0" fillId="0" borderId="0" xfId="0" applyAlignment="1">
      <alignment horizontal="left"/>
    </xf>
    <xf numFmtId="0" fontId="0" fillId="0" borderId="0" xfId="0" applyAlignment="1">
      <alignment horizontal="left" indent="1"/>
    </xf>
    <xf numFmtId="0" fontId="63" fillId="0" borderId="0" xfId="0" applyFont="1"/>
    <xf numFmtId="0" fontId="60" fillId="18" borderId="76" xfId="0" applyFont="1" applyFill="1" applyBorder="1" applyAlignment="1">
      <alignment horizontal="left" vertical="center" wrapText="1"/>
    </xf>
    <xf numFmtId="0" fontId="1" fillId="0" borderId="4"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0" fontId="64" fillId="19" borderId="79" xfId="4" applyFont="1" applyFill="1" applyBorder="1" applyAlignment="1">
      <alignment horizontal="left" vertical="top" wrapText="1"/>
    </xf>
    <xf numFmtId="0" fontId="64" fillId="20" borderId="80" xfId="4" applyFont="1" applyFill="1" applyBorder="1" applyAlignment="1">
      <alignment horizontal="left" vertical="top" wrapText="1"/>
    </xf>
    <xf numFmtId="0" fontId="64" fillId="21" borderId="80" xfId="4" applyFont="1" applyFill="1" applyBorder="1" applyAlignment="1">
      <alignment horizontal="left" vertical="top" wrapText="1"/>
    </xf>
    <xf numFmtId="0" fontId="0" fillId="0" borderId="80" xfId="0" applyBorder="1" applyAlignment="1">
      <alignment horizontal="left" vertical="top"/>
    </xf>
    <xf numFmtId="0" fontId="64" fillId="3" borderId="80" xfId="4" applyFont="1" applyFill="1" applyBorder="1" applyAlignment="1">
      <alignment horizontal="left" vertical="top" wrapText="1"/>
    </xf>
    <xf numFmtId="0" fontId="64" fillId="0" borderId="80" xfId="4" applyFont="1" applyBorder="1" applyAlignment="1">
      <alignment horizontal="left" vertical="top"/>
    </xf>
    <xf numFmtId="0" fontId="64" fillId="19" borderId="80" xfId="4" applyFont="1" applyFill="1" applyBorder="1" applyAlignment="1">
      <alignment horizontal="left" vertical="top" wrapText="1"/>
    </xf>
    <xf numFmtId="0" fontId="64" fillId="0" borderId="81" xfId="4" applyFont="1" applyBorder="1"/>
    <xf numFmtId="0" fontId="65" fillId="3" borderId="79" xfId="0" applyFont="1" applyFill="1" applyBorder="1" applyAlignment="1">
      <alignment vertical="top" wrapText="1"/>
    </xf>
    <xf numFmtId="0" fontId="65" fillId="3" borderId="80" xfId="0" applyFont="1" applyFill="1" applyBorder="1" applyAlignment="1">
      <alignment vertical="top" wrapText="1"/>
    </xf>
    <xf numFmtId="0" fontId="65" fillId="3" borderId="81" xfId="0" applyFont="1" applyFill="1" applyBorder="1" applyAlignment="1">
      <alignment vertical="top" wrapText="1"/>
    </xf>
    <xf numFmtId="0" fontId="25" fillId="2" borderId="10" xfId="0" applyFont="1" applyFill="1" applyBorder="1" applyAlignment="1">
      <alignment horizontal="left" vertical="center"/>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6" fillId="0" borderId="4" xfId="0" applyFont="1" applyBorder="1" applyAlignment="1" applyProtection="1">
      <alignment horizontal="justify" vertical="top" wrapText="1"/>
      <protection locked="0"/>
    </xf>
    <xf numFmtId="0" fontId="0" fillId="0" borderId="5" xfId="0" applyBorder="1" applyAlignment="1">
      <alignment horizontal="justify" vertical="top" wrapText="1"/>
    </xf>
    <xf numFmtId="0" fontId="8" fillId="3" borderId="6"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9" fontId="1" fillId="0" borderId="5"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locked="0"/>
    </xf>
    <xf numFmtId="0" fontId="1" fillId="0" borderId="5" xfId="0" applyFont="1" applyBorder="1" applyAlignment="1">
      <alignment horizontal="center" vertical="top"/>
    </xf>
    <xf numFmtId="0" fontId="1" fillId="0" borderId="5"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5" xfId="0" applyFont="1" applyBorder="1" applyAlignment="1" applyProtection="1">
      <alignment horizontal="center" vertical="top" wrapText="1"/>
      <protection hidden="1"/>
    </xf>
    <xf numFmtId="0" fontId="1" fillId="0" borderId="5" xfId="0" applyFont="1" applyBorder="1" applyAlignment="1" applyProtection="1">
      <alignment horizontal="center" vertical="top"/>
      <protection locked="0"/>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0" borderId="5" xfId="0" applyFont="1" applyBorder="1" applyAlignment="1" applyProtection="1">
      <alignment horizontal="center" vertical="top"/>
      <protection hidden="1"/>
    </xf>
    <xf numFmtId="0" fontId="1" fillId="3" borderId="0" xfId="0" applyFont="1" applyFill="1" applyAlignment="1">
      <alignment horizontal="left"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9" fillId="17" borderId="77" xfId="5" applyFont="1" applyFill="1" applyBorder="1" applyAlignment="1">
      <alignment horizontal="center" vertical="center" wrapText="1"/>
    </xf>
    <xf numFmtId="0" fontId="59" fillId="17" borderId="78" xfId="5" applyFont="1" applyFill="1" applyBorder="1" applyAlignment="1">
      <alignment horizontal="center" vertical="center" wrapText="1"/>
    </xf>
    <xf numFmtId="0" fontId="60" fillId="3" borderId="75" xfId="0" applyFont="1" applyFill="1" applyBorder="1" applyAlignment="1">
      <alignment horizontal="center" vertical="center" wrapText="1"/>
    </xf>
    <xf numFmtId="0" fontId="60" fillId="3" borderId="76" xfId="0" applyFont="1" applyFill="1" applyBorder="1" applyAlignment="1">
      <alignment horizontal="center" vertical="center" wrapText="1"/>
    </xf>
    <xf numFmtId="0" fontId="60" fillId="3" borderId="34" xfId="0" applyFont="1" applyFill="1" applyBorder="1" applyAlignment="1">
      <alignment horizontal="center" vertical="center" wrapText="1"/>
    </xf>
  </cellXfs>
  <cellStyles count="6">
    <cellStyle name="Énfasis6" xfId="5" builtinId="49"/>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76">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rgb="FF9C0006"/>
      </font>
      <fill>
        <patternFill>
          <bgColor rgb="FFFFC7CE"/>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g. Andru" refreshedDate="44719.797894097224" createdVersion="6" refreshedVersion="8"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g. Andru" refreshedDate="44719.820464814817" createdVersion="8" refreshedVersion="8" minRefreshableVersion="3" recordCount="7" xr:uid="{00000000-000A-0000-FFFF-FFFF01000000}">
  <cacheSource type="worksheet">
    <worksheetSource name="Tabla5"/>
  </cacheSource>
  <cacheFields count="2">
    <cacheField name="Criterios" numFmtId="0">
      <sharedItems count="4">
        <s v="***Riesgos de Seguridad de la Información"/>
        <s v="***Riesgos de Datos Personales"/>
        <s v="Riesgos de Datos Personales" u="1"/>
        <s v="Riesgos de Seguridad de la Información" u="1"/>
      </sharedItems>
    </cacheField>
    <cacheField name="Subcriterios" numFmtId="0">
      <sharedItems count="7">
        <s v="1. Posibilidad de pérdida de Confidencialidad"/>
        <s v="2. Posibilidad de pérdida de Integridad"/>
        <s v="3. Posibilidad de pérdida de Disponibilidad"/>
        <s v="1. Posibilidad de pérdida de confidencialidad, divulgación no autorizada o mal uso de la información de datos personales."/>
        <s v="2. Posibilidad de pérdida de integridad, alteración, o modificación de la Información de datos personales."/>
        <s v="3. Posibilidad de afectación de la disponibilidad de la plataforma tecnológica o aplicativos que gestionan datos personales."/>
        <s v="4. Posibilidad de sanciones por incumplimiento de las directrices o normativas frente al tratamiento de los datos personale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x v="0"/>
  </r>
  <r>
    <x v="0"/>
    <x v="1"/>
  </r>
  <r>
    <x v="0"/>
    <x v="2"/>
  </r>
  <r>
    <x v="1"/>
    <x v="3"/>
  </r>
  <r>
    <x v="1"/>
    <x v="4"/>
  </r>
  <r>
    <x v="1"/>
    <x v="5"/>
  </r>
  <r>
    <x v="1"/>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8"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TablaDinámica6"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D228:D238" firstHeaderRow="1" firstDataRow="1" firstDataCol="1"/>
  <pivotFields count="2">
    <pivotField axis="axisRow" showAll="0">
      <items count="5">
        <item m="1" x="2"/>
        <item m="1" x="3"/>
        <item x="0"/>
        <item x="1"/>
        <item t="default"/>
      </items>
    </pivotField>
    <pivotField axis="axisRow" showAll="0">
      <items count="8">
        <item x="0"/>
        <item x="3"/>
        <item x="1"/>
        <item x="4"/>
        <item x="5"/>
        <item x="2"/>
        <item x="6"/>
        <item t="default"/>
      </items>
    </pivotField>
  </pivotFields>
  <rowFields count="2">
    <field x="0"/>
    <field x="1"/>
  </rowFields>
  <rowItems count="10">
    <i>
      <x v="2"/>
    </i>
    <i r="1">
      <x/>
    </i>
    <i r="1">
      <x v="2"/>
    </i>
    <i r="1">
      <x v="5"/>
    </i>
    <i>
      <x v="3"/>
    </i>
    <i r="1">
      <x v="1"/>
    </i>
    <i r="1">
      <x v="3"/>
    </i>
    <i r="1">
      <x v="4"/>
    </i>
    <i r="1">
      <x v="6"/>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75" dataDxfId="74">
  <autoFilter ref="B209:C219" xr:uid="{00000000-0009-0000-0100-000001000000}"/>
  <tableColumns count="2">
    <tableColumn id="1" xr3:uid="{00000000-0010-0000-0000-000001000000}" name="Criterios" dataDxfId="73"/>
    <tableColumn id="2" xr3:uid="{00000000-0010-0000-0000-000002000000}" name="Subcriterios" dataDxfId="7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5" displayName="Tabla5" ref="B228:C235" totalsRowShown="0" dataDxfId="71">
  <autoFilter ref="B228:C235" xr:uid="{00000000-0009-0000-0100-000005000000}"/>
  <tableColumns count="2">
    <tableColumn id="1" xr3:uid="{00000000-0010-0000-0100-000001000000}" name="Criterios" dataDxfId="70"/>
    <tableColumn id="2" xr3:uid="{00000000-0010-0000-0100-000002000000}" name="Subcriterios" dataDxfId="6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table" Target="../tables/table2.xml"/><Relationship Id="rId4"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8"/>
  <sheetViews>
    <sheetView zoomScale="110" zoomScaleNormal="110" workbookViewId="0">
      <selection activeCell="E30" sqref="E30:F30"/>
    </sheetView>
  </sheetViews>
  <sheetFormatPr baseColWidth="10" defaultColWidth="11.42578125" defaultRowHeight="15" x14ac:dyDescent="0.25"/>
  <cols>
    <col min="1" max="1" width="2.85546875" style="83" customWidth="1"/>
    <col min="2" max="3" width="24.5703125" style="83" customWidth="1"/>
    <col min="4" max="4" width="16" style="83" customWidth="1"/>
    <col min="5" max="5" width="24.5703125" style="83" customWidth="1"/>
    <col min="6" max="6" width="27.5703125" style="83" customWidth="1"/>
    <col min="7" max="8" width="24.5703125" style="83" customWidth="1"/>
    <col min="9" max="16384" width="11.42578125" style="83"/>
  </cols>
  <sheetData>
    <row r="1" spans="2:8" thickBot="1" x14ac:dyDescent="0.3"/>
    <row r="2" spans="2:8" ht="18.399999999999999" x14ac:dyDescent="0.25">
      <c r="B2" s="176" t="s">
        <v>149</v>
      </c>
      <c r="C2" s="177"/>
      <c r="D2" s="177"/>
      <c r="E2" s="177"/>
      <c r="F2" s="177"/>
      <c r="G2" s="177"/>
      <c r="H2" s="178"/>
    </row>
    <row r="3" spans="2:8" x14ac:dyDescent="0.3">
      <c r="B3" s="84"/>
      <c r="C3" s="85"/>
      <c r="D3" s="85"/>
      <c r="E3" s="85"/>
      <c r="F3" s="85"/>
      <c r="G3" s="85"/>
      <c r="H3" s="86"/>
    </row>
    <row r="4" spans="2:8" ht="63" customHeight="1" x14ac:dyDescent="0.25">
      <c r="B4" s="179" t="s">
        <v>173</v>
      </c>
      <c r="C4" s="180"/>
      <c r="D4" s="180"/>
      <c r="E4" s="180"/>
      <c r="F4" s="180"/>
      <c r="G4" s="180"/>
      <c r="H4" s="181"/>
    </row>
    <row r="5" spans="2:8" ht="63" customHeight="1" x14ac:dyDescent="0.25">
      <c r="B5" s="182"/>
      <c r="C5" s="183"/>
      <c r="D5" s="183"/>
      <c r="E5" s="183"/>
      <c r="F5" s="183"/>
      <c r="G5" s="183"/>
      <c r="H5" s="184"/>
    </row>
    <row r="6" spans="2:8" ht="14.25" x14ac:dyDescent="0.25">
      <c r="B6" s="185" t="s">
        <v>147</v>
      </c>
      <c r="C6" s="186"/>
      <c r="D6" s="186"/>
      <c r="E6" s="186"/>
      <c r="F6" s="186"/>
      <c r="G6" s="186"/>
      <c r="H6" s="187"/>
    </row>
    <row r="7" spans="2:8" ht="95.25" customHeight="1" x14ac:dyDescent="0.25">
      <c r="B7" s="195" t="s">
        <v>151</v>
      </c>
      <c r="C7" s="196"/>
      <c r="D7" s="196"/>
      <c r="E7" s="196"/>
      <c r="F7" s="196"/>
      <c r="G7" s="196"/>
      <c r="H7" s="197"/>
    </row>
    <row r="8" spans="2:8" ht="14.25" x14ac:dyDescent="0.25">
      <c r="B8" s="120"/>
      <c r="C8" s="121"/>
      <c r="D8" s="121"/>
      <c r="E8" s="121"/>
      <c r="F8" s="121"/>
      <c r="G8" s="121"/>
      <c r="H8" s="122"/>
    </row>
    <row r="9" spans="2:8" ht="16.5" customHeight="1" x14ac:dyDescent="0.25">
      <c r="B9" s="188" t="s">
        <v>166</v>
      </c>
      <c r="C9" s="189"/>
      <c r="D9" s="189"/>
      <c r="E9" s="189"/>
      <c r="F9" s="189"/>
      <c r="G9" s="189"/>
      <c r="H9" s="190"/>
    </row>
    <row r="10" spans="2:8" ht="44.45" customHeight="1" x14ac:dyDescent="0.25">
      <c r="B10" s="188"/>
      <c r="C10" s="189"/>
      <c r="D10" s="189"/>
      <c r="E10" s="189"/>
      <c r="F10" s="189"/>
      <c r="G10" s="189"/>
      <c r="H10" s="190"/>
    </row>
    <row r="11" spans="2:8" ht="15.6" thickBot="1" x14ac:dyDescent="0.35">
      <c r="B11" s="109"/>
      <c r="C11" s="112"/>
      <c r="D11" s="117"/>
      <c r="E11" s="118"/>
      <c r="F11" s="118"/>
      <c r="G11" s="119"/>
      <c r="H11" s="113"/>
    </row>
    <row r="12" spans="2:8" ht="15.75" thickTop="1" x14ac:dyDescent="0.25">
      <c r="B12" s="109"/>
      <c r="C12" s="191" t="s">
        <v>148</v>
      </c>
      <c r="D12" s="192"/>
      <c r="E12" s="193" t="s">
        <v>167</v>
      </c>
      <c r="F12" s="194"/>
      <c r="G12" s="112"/>
      <c r="H12" s="113"/>
    </row>
    <row r="13" spans="2:8" ht="35.450000000000003" customHeight="1" x14ac:dyDescent="0.25">
      <c r="B13" s="109"/>
      <c r="C13" s="166" t="s">
        <v>163</v>
      </c>
      <c r="D13" s="167"/>
      <c r="E13" s="168" t="s">
        <v>220</v>
      </c>
      <c r="F13" s="169"/>
      <c r="G13" s="112"/>
      <c r="H13" s="113"/>
    </row>
    <row r="14" spans="2:8" ht="35.450000000000003" customHeight="1" x14ac:dyDescent="0.25">
      <c r="B14" s="109"/>
      <c r="C14" s="166" t="s">
        <v>219</v>
      </c>
      <c r="D14" s="167"/>
      <c r="E14" s="168" t="s">
        <v>221</v>
      </c>
      <c r="F14" s="169"/>
      <c r="G14" s="112"/>
      <c r="H14" s="113"/>
    </row>
    <row r="15" spans="2:8" ht="25.9" customHeight="1" x14ac:dyDescent="0.25">
      <c r="B15" s="109"/>
      <c r="C15" s="166" t="s">
        <v>164</v>
      </c>
      <c r="D15" s="167"/>
      <c r="E15" s="168" t="s">
        <v>287</v>
      </c>
      <c r="F15" s="169"/>
      <c r="G15" s="112"/>
      <c r="H15" s="113"/>
    </row>
    <row r="16" spans="2:8" ht="25.15" customHeight="1" x14ac:dyDescent="0.25">
      <c r="B16" s="109"/>
      <c r="C16" s="166" t="s">
        <v>165</v>
      </c>
      <c r="D16" s="167"/>
      <c r="E16" s="168" t="s">
        <v>288</v>
      </c>
      <c r="F16" s="169"/>
      <c r="G16" s="112"/>
      <c r="H16" s="113"/>
    </row>
    <row r="17" spans="2:8" ht="21.2" customHeight="1" x14ac:dyDescent="0.25">
      <c r="B17" s="109"/>
      <c r="C17" s="166" t="s">
        <v>150</v>
      </c>
      <c r="D17" s="167"/>
      <c r="E17" s="168" t="s">
        <v>222</v>
      </c>
      <c r="F17" s="169"/>
      <c r="G17" s="112"/>
      <c r="H17" s="113"/>
    </row>
    <row r="18" spans="2:8" ht="83.45" customHeight="1" x14ac:dyDescent="0.25">
      <c r="B18" s="109"/>
      <c r="C18" s="170" t="s">
        <v>184</v>
      </c>
      <c r="D18" s="171"/>
      <c r="E18" s="172" t="s">
        <v>223</v>
      </c>
      <c r="F18" s="173"/>
      <c r="G18" s="112"/>
      <c r="H18" s="113"/>
    </row>
    <row r="19" spans="2:8" ht="34.5" customHeight="1" x14ac:dyDescent="0.25">
      <c r="B19" s="109"/>
      <c r="C19" s="170" t="s">
        <v>2</v>
      </c>
      <c r="D19" s="171"/>
      <c r="E19" s="172" t="s">
        <v>224</v>
      </c>
      <c r="F19" s="173"/>
      <c r="G19" s="112"/>
      <c r="H19" s="113"/>
    </row>
    <row r="20" spans="2:8" ht="87" customHeight="1" x14ac:dyDescent="0.25">
      <c r="B20" s="109"/>
      <c r="C20" s="174" t="s">
        <v>181</v>
      </c>
      <c r="D20" s="175"/>
      <c r="E20" s="172" t="s">
        <v>289</v>
      </c>
      <c r="F20" s="173"/>
      <c r="G20" s="112"/>
      <c r="H20" s="113"/>
    </row>
    <row r="21" spans="2:8" ht="103.35" customHeight="1" x14ac:dyDescent="0.25">
      <c r="B21" s="109"/>
      <c r="C21" s="174" t="s">
        <v>182</v>
      </c>
      <c r="D21" s="175"/>
      <c r="E21" s="172" t="s">
        <v>290</v>
      </c>
      <c r="F21" s="173"/>
      <c r="G21" s="112"/>
      <c r="H21" s="113"/>
    </row>
    <row r="22" spans="2:8" ht="72.75" customHeight="1" x14ac:dyDescent="0.25">
      <c r="B22" s="109"/>
      <c r="C22" s="174" t="s">
        <v>192</v>
      </c>
      <c r="D22" s="175"/>
      <c r="E22" s="172" t="s">
        <v>291</v>
      </c>
      <c r="F22" s="173"/>
      <c r="G22" s="112"/>
      <c r="H22" s="113"/>
    </row>
    <row r="23" spans="2:8" ht="72.75" customHeight="1" x14ac:dyDescent="0.25">
      <c r="B23" s="109"/>
      <c r="C23" s="174" t="s">
        <v>1</v>
      </c>
      <c r="D23" s="175"/>
      <c r="E23" s="172" t="s">
        <v>225</v>
      </c>
      <c r="F23" s="173"/>
      <c r="G23" s="112"/>
      <c r="H23" s="113"/>
    </row>
    <row r="24" spans="2:8" ht="102.6" customHeight="1" x14ac:dyDescent="0.25">
      <c r="B24" s="109"/>
      <c r="C24" s="174" t="s">
        <v>48</v>
      </c>
      <c r="D24" s="175"/>
      <c r="E24" s="172" t="s">
        <v>226</v>
      </c>
      <c r="F24" s="173"/>
      <c r="G24" s="112"/>
      <c r="H24" s="113"/>
    </row>
    <row r="25" spans="2:8" ht="106.15" customHeight="1" x14ac:dyDescent="0.25">
      <c r="B25" s="109"/>
      <c r="C25" s="174" t="s">
        <v>152</v>
      </c>
      <c r="D25" s="175"/>
      <c r="E25" s="172" t="s">
        <v>292</v>
      </c>
      <c r="F25" s="173"/>
      <c r="G25" s="112"/>
      <c r="H25" s="113"/>
    </row>
    <row r="26" spans="2:8" ht="87" customHeight="1" x14ac:dyDescent="0.25">
      <c r="B26" s="109"/>
      <c r="C26" s="170" t="s">
        <v>153</v>
      </c>
      <c r="D26" s="171"/>
      <c r="E26" s="172" t="s">
        <v>293</v>
      </c>
      <c r="F26" s="173"/>
      <c r="G26" s="112"/>
      <c r="H26" s="113"/>
    </row>
    <row r="27" spans="2:8" ht="42" customHeight="1" x14ac:dyDescent="0.25">
      <c r="B27" s="109"/>
      <c r="C27" s="170" t="s">
        <v>46</v>
      </c>
      <c r="D27" s="171"/>
      <c r="E27" s="172" t="s">
        <v>154</v>
      </c>
      <c r="F27" s="173"/>
      <c r="G27" s="112"/>
      <c r="H27" s="113"/>
    </row>
    <row r="28" spans="2:8" ht="30.6" customHeight="1" x14ac:dyDescent="0.25">
      <c r="B28" s="109"/>
      <c r="C28" s="170" t="s">
        <v>10</v>
      </c>
      <c r="D28" s="171"/>
      <c r="E28" s="172" t="s">
        <v>227</v>
      </c>
      <c r="F28" s="173"/>
      <c r="G28" s="112"/>
      <c r="H28" s="113"/>
    </row>
    <row r="29" spans="2:8" ht="59.25" customHeight="1" x14ac:dyDescent="0.25">
      <c r="B29" s="109"/>
      <c r="C29" s="170" t="s">
        <v>146</v>
      </c>
      <c r="D29" s="171"/>
      <c r="E29" s="172" t="s">
        <v>155</v>
      </c>
      <c r="F29" s="173"/>
      <c r="G29" s="112"/>
      <c r="H29" s="113"/>
    </row>
    <row r="30" spans="2:8" ht="27.75" customHeight="1" x14ac:dyDescent="0.25">
      <c r="B30" s="109"/>
      <c r="C30" s="170" t="s">
        <v>11</v>
      </c>
      <c r="D30" s="171"/>
      <c r="E30" s="172" t="s">
        <v>228</v>
      </c>
      <c r="F30" s="173"/>
      <c r="G30" s="112"/>
      <c r="H30" s="113"/>
    </row>
    <row r="31" spans="2:8" ht="41.45" customHeight="1" x14ac:dyDescent="0.25">
      <c r="B31" s="109"/>
      <c r="C31" s="170" t="s">
        <v>156</v>
      </c>
      <c r="D31" s="171"/>
      <c r="E31" s="172" t="s">
        <v>229</v>
      </c>
      <c r="F31" s="173"/>
      <c r="G31" s="112"/>
      <c r="H31" s="113"/>
    </row>
    <row r="32" spans="2:8" ht="35.450000000000003" customHeight="1" x14ac:dyDescent="0.25">
      <c r="B32" s="109"/>
      <c r="C32" s="170" t="s">
        <v>157</v>
      </c>
      <c r="D32" s="171"/>
      <c r="E32" s="172" t="s">
        <v>230</v>
      </c>
      <c r="F32" s="173"/>
      <c r="G32" s="112"/>
      <c r="H32" s="113"/>
    </row>
    <row r="33" spans="2:8" ht="30.2" customHeight="1" x14ac:dyDescent="0.25">
      <c r="B33" s="109"/>
      <c r="C33" s="170" t="s">
        <v>158</v>
      </c>
      <c r="D33" s="171"/>
      <c r="E33" s="172" t="s">
        <v>231</v>
      </c>
      <c r="F33" s="173"/>
      <c r="G33" s="112"/>
      <c r="H33" s="113"/>
    </row>
    <row r="34" spans="2:8" ht="35.450000000000003" customHeight="1" x14ac:dyDescent="0.25">
      <c r="B34" s="109"/>
      <c r="C34" s="170" t="s">
        <v>159</v>
      </c>
      <c r="D34" s="171"/>
      <c r="E34" s="172" t="s">
        <v>232</v>
      </c>
      <c r="F34" s="173"/>
      <c r="G34" s="112"/>
      <c r="H34" s="113"/>
    </row>
    <row r="35" spans="2:8" ht="31.7" customHeight="1" x14ac:dyDescent="0.25">
      <c r="B35" s="109"/>
      <c r="C35" s="170" t="s">
        <v>160</v>
      </c>
      <c r="D35" s="171"/>
      <c r="E35" s="172" t="s">
        <v>233</v>
      </c>
      <c r="F35" s="173"/>
      <c r="G35" s="112"/>
      <c r="H35" s="113"/>
    </row>
    <row r="36" spans="2:8" ht="35.450000000000003" customHeight="1" x14ac:dyDescent="0.25">
      <c r="B36" s="109"/>
      <c r="C36" s="170" t="s">
        <v>161</v>
      </c>
      <c r="D36" s="171"/>
      <c r="E36" s="172" t="s">
        <v>234</v>
      </c>
      <c r="F36" s="173"/>
      <c r="G36" s="112"/>
      <c r="H36" s="113"/>
    </row>
    <row r="37" spans="2:8" ht="101.45" customHeight="1" x14ac:dyDescent="0.25">
      <c r="B37" s="109"/>
      <c r="C37" s="170" t="s">
        <v>235</v>
      </c>
      <c r="D37" s="171"/>
      <c r="E37" s="172" t="s">
        <v>236</v>
      </c>
      <c r="F37" s="173"/>
      <c r="G37" s="112"/>
      <c r="H37" s="113"/>
    </row>
    <row r="38" spans="2:8" ht="29.25" customHeight="1" x14ac:dyDescent="0.25">
      <c r="B38" s="109"/>
      <c r="C38" s="170" t="s">
        <v>28</v>
      </c>
      <c r="D38" s="171"/>
      <c r="E38" s="172" t="s">
        <v>237</v>
      </c>
      <c r="F38" s="173"/>
      <c r="G38" s="112"/>
      <c r="H38" s="113"/>
    </row>
    <row r="39" spans="2:8" ht="82.5" customHeight="1" x14ac:dyDescent="0.25">
      <c r="B39" s="109"/>
      <c r="C39" s="170" t="s">
        <v>162</v>
      </c>
      <c r="D39" s="171"/>
      <c r="E39" s="172" t="s">
        <v>238</v>
      </c>
      <c r="F39" s="173"/>
      <c r="G39" s="112"/>
      <c r="H39" s="113"/>
    </row>
    <row r="40" spans="2:8" ht="46.5" customHeight="1" x14ac:dyDescent="0.25">
      <c r="B40" s="109"/>
      <c r="C40" s="170" t="s">
        <v>38</v>
      </c>
      <c r="D40" s="171"/>
      <c r="E40" s="172" t="s">
        <v>239</v>
      </c>
      <c r="F40" s="173"/>
      <c r="G40" s="112"/>
      <c r="H40" s="113"/>
    </row>
    <row r="41" spans="2:8" ht="6.75" customHeight="1" thickBot="1" x14ac:dyDescent="0.3">
      <c r="B41" s="109"/>
      <c r="C41" s="201"/>
      <c r="D41" s="202"/>
      <c r="E41" s="203"/>
      <c r="F41" s="204"/>
      <c r="G41" s="112"/>
      <c r="H41" s="113"/>
    </row>
    <row r="42" spans="2:8" ht="15.75" thickTop="1" x14ac:dyDescent="0.25">
      <c r="B42" s="109"/>
      <c r="C42" s="110"/>
      <c r="D42" s="110"/>
      <c r="E42" s="111"/>
      <c r="F42" s="111"/>
      <c r="G42" s="112"/>
      <c r="H42" s="113"/>
    </row>
    <row r="43" spans="2:8" ht="21.2" customHeight="1" x14ac:dyDescent="0.25">
      <c r="B43" s="198" t="s">
        <v>168</v>
      </c>
      <c r="C43" s="199"/>
      <c r="D43" s="199"/>
      <c r="E43" s="199"/>
      <c r="F43" s="199"/>
      <c r="G43" s="199"/>
      <c r="H43" s="200"/>
    </row>
    <row r="44" spans="2:8" ht="20.25" customHeight="1" x14ac:dyDescent="0.25">
      <c r="B44" s="198" t="s">
        <v>169</v>
      </c>
      <c r="C44" s="199"/>
      <c r="D44" s="199"/>
      <c r="E44" s="199"/>
      <c r="F44" s="199"/>
      <c r="G44" s="199"/>
      <c r="H44" s="200"/>
    </row>
    <row r="45" spans="2:8" ht="20.25" customHeight="1" x14ac:dyDescent="0.25">
      <c r="B45" s="198" t="s">
        <v>170</v>
      </c>
      <c r="C45" s="199"/>
      <c r="D45" s="199"/>
      <c r="E45" s="199"/>
      <c r="F45" s="199"/>
      <c r="G45" s="199"/>
      <c r="H45" s="200"/>
    </row>
    <row r="46" spans="2:8" ht="20.25" customHeight="1" x14ac:dyDescent="0.25">
      <c r="B46" s="198" t="s">
        <v>171</v>
      </c>
      <c r="C46" s="199"/>
      <c r="D46" s="199"/>
      <c r="E46" s="199"/>
      <c r="F46" s="199"/>
      <c r="G46" s="199"/>
      <c r="H46" s="200"/>
    </row>
    <row r="47" spans="2:8" x14ac:dyDescent="0.25">
      <c r="B47" s="198" t="s">
        <v>172</v>
      </c>
      <c r="C47" s="199"/>
      <c r="D47" s="199"/>
      <c r="E47" s="199"/>
      <c r="F47" s="199"/>
      <c r="G47" s="199"/>
      <c r="H47" s="200"/>
    </row>
    <row r="48" spans="2:8" ht="15.75" thickBot="1" x14ac:dyDescent="0.3">
      <c r="B48" s="114"/>
      <c r="C48" s="115"/>
      <c r="D48" s="115"/>
      <c r="E48" s="115"/>
      <c r="F48" s="115"/>
      <c r="G48" s="115"/>
      <c r="H48" s="116"/>
    </row>
  </sheetData>
  <mergeCells count="70">
    <mergeCell ref="C24:D24"/>
    <mergeCell ref="C20:D20"/>
    <mergeCell ref="E25:F25"/>
    <mergeCell ref="C25:D25"/>
    <mergeCell ref="C29:D29"/>
    <mergeCell ref="E29:F29"/>
    <mergeCell ref="C28:D28"/>
    <mergeCell ref="E28:F28"/>
    <mergeCell ref="C21:D21"/>
    <mergeCell ref="C23:D23"/>
    <mergeCell ref="E20:F20"/>
    <mergeCell ref="E21:F21"/>
    <mergeCell ref="E23:F23"/>
    <mergeCell ref="E24:F24"/>
    <mergeCell ref="E32:F32"/>
    <mergeCell ref="C32:D32"/>
    <mergeCell ref="B44:H44"/>
    <mergeCell ref="C41:D41"/>
    <mergeCell ref="E41:F41"/>
    <mergeCell ref="C40:D40"/>
    <mergeCell ref="E40:F40"/>
    <mergeCell ref="C36:D36"/>
    <mergeCell ref="B43:H43"/>
    <mergeCell ref="C33:D33"/>
    <mergeCell ref="E33:F33"/>
    <mergeCell ref="E36:F36"/>
    <mergeCell ref="C37:D37"/>
    <mergeCell ref="C38:D38"/>
    <mergeCell ref="E38:F38"/>
    <mergeCell ref="C39:D39"/>
    <mergeCell ref="E39:F39"/>
    <mergeCell ref="B45:H45"/>
    <mergeCell ref="B46:H46"/>
    <mergeCell ref="B47:H47"/>
    <mergeCell ref="E26:F26"/>
    <mergeCell ref="C26:D26"/>
    <mergeCell ref="C27:D27"/>
    <mergeCell ref="E27:F27"/>
    <mergeCell ref="C30:D30"/>
    <mergeCell ref="E30:F30"/>
    <mergeCell ref="E37:F37"/>
    <mergeCell ref="C35:D35"/>
    <mergeCell ref="C34:D34"/>
    <mergeCell ref="E34:F34"/>
    <mergeCell ref="E35:F35"/>
    <mergeCell ref="C31:D31"/>
    <mergeCell ref="E31:F31"/>
    <mergeCell ref="B2:H2"/>
    <mergeCell ref="B4:H5"/>
    <mergeCell ref="B6:H6"/>
    <mergeCell ref="B9:H10"/>
    <mergeCell ref="C12:D12"/>
    <mergeCell ref="E12:F12"/>
    <mergeCell ref="B7:H7"/>
    <mergeCell ref="C13:D13"/>
    <mergeCell ref="E13:F13"/>
    <mergeCell ref="C18:D18"/>
    <mergeCell ref="E18:F18"/>
    <mergeCell ref="C22:D22"/>
    <mergeCell ref="E22:F22"/>
    <mergeCell ref="C14:D14"/>
    <mergeCell ref="E14:F14"/>
    <mergeCell ref="C19:D19"/>
    <mergeCell ref="E19:F19"/>
    <mergeCell ref="C17:D17"/>
    <mergeCell ref="E17:F17"/>
    <mergeCell ref="C15:D15"/>
    <mergeCell ref="E15:F15"/>
    <mergeCell ref="C16:D16"/>
    <mergeCell ref="E16:F1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13</v>
      </c>
    </row>
    <row r="4" spans="1:1" x14ac:dyDescent="0.2">
      <c r="A4" s="10" t="s">
        <v>14</v>
      </c>
    </row>
    <row r="5" spans="1:1" x14ac:dyDescent="0.2">
      <c r="A5" s="10" t="s">
        <v>15</v>
      </c>
    </row>
    <row r="6" spans="1:1" x14ac:dyDescent="0.2">
      <c r="A6" s="10" t="s">
        <v>9</v>
      </c>
    </row>
    <row r="7" spans="1:1" x14ac:dyDescent="0.2">
      <c r="A7" s="10" t="s">
        <v>8</v>
      </c>
    </row>
    <row r="8" spans="1:1" x14ac:dyDescent="0.2">
      <c r="A8" s="10" t="s">
        <v>18</v>
      </c>
    </row>
    <row r="9" spans="1:1" x14ac:dyDescent="0.2">
      <c r="A9" s="10" t="s">
        <v>19</v>
      </c>
    </row>
    <row r="10" spans="1:1" x14ac:dyDescent="0.2">
      <c r="A10" s="10" t="s">
        <v>21</v>
      </c>
    </row>
    <row r="11" spans="1:1" x14ac:dyDescent="0.2">
      <c r="A11" s="10" t="s">
        <v>22</v>
      </c>
    </row>
    <row r="12" spans="1:1" x14ac:dyDescent="0.2">
      <c r="A12" s="10" t="s">
        <v>24</v>
      </c>
    </row>
    <row r="13" spans="1:1" x14ac:dyDescent="0.2">
      <c r="A13" s="10" t="s">
        <v>25</v>
      </c>
    </row>
    <row r="14" spans="1:1" x14ac:dyDescent="0.2">
      <c r="A14" s="10" t="s">
        <v>26</v>
      </c>
    </row>
    <row r="16" spans="1:1" x14ac:dyDescent="0.2">
      <c r="A16" s="10" t="s">
        <v>29</v>
      </c>
    </row>
    <row r="17" spans="1:1" x14ac:dyDescent="0.2">
      <c r="A17" s="10" t="s">
        <v>30</v>
      </c>
    </row>
    <row r="18" spans="1:1" x14ac:dyDescent="0.2">
      <c r="A18" s="10" t="s">
        <v>31</v>
      </c>
    </row>
    <row r="20" spans="1:1" x14ac:dyDescent="0.2">
      <c r="A20" s="10" t="s">
        <v>39</v>
      </c>
    </row>
    <row r="21" spans="1:1" x14ac:dyDescent="0.2">
      <c r="A21" s="10"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S53"/>
  <sheetViews>
    <sheetView tabSelected="1" topLeftCell="A7" zoomScale="66" zoomScaleNormal="66" workbookViewId="0">
      <selection activeCell="F15" sqref="F15:F20"/>
    </sheetView>
  </sheetViews>
  <sheetFormatPr baseColWidth="10" defaultColWidth="11.42578125" defaultRowHeight="16.5" x14ac:dyDescent="0.3"/>
  <cols>
    <col min="1" max="1" width="4" style="2" bestFit="1" customWidth="1"/>
    <col min="2" max="3" width="27.42578125" style="2" customWidth="1"/>
    <col min="4" max="5" width="36.140625" style="2" customWidth="1"/>
    <col min="6" max="6" width="32.42578125" style="1" customWidth="1"/>
    <col min="7" max="8" width="36.140625" style="2" customWidth="1"/>
    <col min="9" max="9" width="19" style="5" customWidth="1"/>
    <col min="10" max="10" width="17.85546875" style="1" customWidth="1"/>
    <col min="11" max="11" width="16.42578125" style="1" customWidth="1"/>
    <col min="12" max="12" width="6.42578125" style="1" bestFit="1" customWidth="1"/>
    <col min="13" max="13" width="27.42578125" style="1" bestFit="1" customWidth="1"/>
    <col min="14" max="14" width="30.42578125" style="1" hidden="1" customWidth="1"/>
    <col min="15" max="15" width="17.42578125" style="1" customWidth="1"/>
    <col min="16" max="16" width="6.42578125" style="1" bestFit="1" customWidth="1"/>
    <col min="17" max="17" width="16" style="1" customWidth="1"/>
    <col min="18" max="18" width="5.85546875" style="1" customWidth="1"/>
    <col min="19" max="19" width="31" style="1" customWidth="1"/>
    <col min="20" max="20" width="15.140625" style="1" bestFit="1" customWidth="1"/>
    <col min="21" max="21" width="6.85546875" style="1" customWidth="1"/>
    <col min="22" max="22" width="5" style="1" customWidth="1"/>
    <col min="23" max="23" width="5.42578125" style="1" customWidth="1"/>
    <col min="24" max="24" width="7.140625" style="1" customWidth="1"/>
    <col min="25" max="25" width="6.5703125" style="1" customWidth="1"/>
    <col min="26" max="26" width="7.42578125" style="1" customWidth="1"/>
    <col min="27" max="27" width="38.42578125" style="1" customWidth="1"/>
    <col min="28" max="28" width="8.5703125" style="1" customWidth="1"/>
    <col min="29" max="29" width="10.42578125" style="1" customWidth="1"/>
    <col min="30" max="30" width="9.42578125" style="1" customWidth="1"/>
    <col min="31" max="31" width="9.140625" style="1" customWidth="1"/>
    <col min="32" max="32" width="8.42578125" style="1" customWidth="1"/>
    <col min="33" max="33" width="7.42578125" style="1" customWidth="1"/>
    <col min="34" max="34" width="23" style="1" customWidth="1"/>
    <col min="35" max="35" width="18.85546875" style="1" customWidth="1"/>
    <col min="36" max="36" width="16.85546875" style="1" customWidth="1"/>
    <col min="37" max="37" width="14.85546875" style="1" customWidth="1"/>
    <col min="38" max="38" width="18.42578125" style="1" customWidth="1"/>
    <col min="39" max="39" width="21" style="1" customWidth="1"/>
    <col min="40" max="16384" width="11.42578125" style="1"/>
  </cols>
  <sheetData>
    <row r="1" spans="1:71" ht="16.5" customHeight="1" x14ac:dyDescent="0.3">
      <c r="A1" s="252" t="s">
        <v>127</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4"/>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24" customHeight="1" x14ac:dyDescent="0.3">
      <c r="A2" s="255"/>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7"/>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x14ac:dyDescent="0.3">
      <c r="A3" s="28"/>
      <c r="B3" s="29"/>
      <c r="C3" s="29"/>
      <c r="D3" s="28"/>
      <c r="E3" s="28"/>
      <c r="F3" s="8"/>
      <c r="G3" s="28"/>
      <c r="H3" s="2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ht="26.45" customHeight="1" x14ac:dyDescent="0.3">
      <c r="A4" s="226" t="s">
        <v>41</v>
      </c>
      <c r="B4" s="227"/>
      <c r="C4" s="165"/>
      <c r="D4" s="207" t="s">
        <v>266</v>
      </c>
      <c r="E4" s="208"/>
      <c r="F4" s="208"/>
      <c r="G4" s="208"/>
      <c r="H4" s="208"/>
      <c r="I4" s="208"/>
      <c r="J4" s="208"/>
      <c r="K4" s="208"/>
      <c r="L4" s="208"/>
      <c r="M4" s="208"/>
      <c r="N4" s="208"/>
      <c r="O4" s="208"/>
      <c r="P4" s="208"/>
      <c r="Q4" s="209"/>
      <c r="R4" s="249"/>
      <c r="S4" s="249"/>
      <c r="T4" s="249"/>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71" ht="26.45" customHeight="1" x14ac:dyDescent="0.3">
      <c r="A5" s="226" t="s">
        <v>174</v>
      </c>
      <c r="B5" s="227"/>
      <c r="C5" s="165"/>
      <c r="D5" s="228" t="s">
        <v>277</v>
      </c>
      <c r="E5" s="229"/>
      <c r="F5" s="229"/>
      <c r="G5" s="229"/>
      <c r="H5" s="229"/>
      <c r="I5" s="229"/>
      <c r="J5" s="229"/>
      <c r="K5" s="229"/>
      <c r="L5" s="229"/>
      <c r="M5" s="229"/>
      <c r="N5" s="229"/>
      <c r="O5" s="229"/>
      <c r="P5" s="229"/>
      <c r="Q5" s="230"/>
      <c r="R5" s="249"/>
      <c r="S5" s="249"/>
      <c r="T5" s="249"/>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30.2" customHeight="1" x14ac:dyDescent="0.3">
      <c r="A6" s="226" t="s">
        <v>115</v>
      </c>
      <c r="B6" s="227"/>
      <c r="C6" s="165"/>
      <c r="D6" s="228" t="s">
        <v>294</v>
      </c>
      <c r="E6" s="229"/>
      <c r="F6" s="229"/>
      <c r="G6" s="229"/>
      <c r="H6" s="229"/>
      <c r="I6" s="229"/>
      <c r="J6" s="229"/>
      <c r="K6" s="229"/>
      <c r="L6" s="229"/>
      <c r="M6" s="229"/>
      <c r="N6" s="229"/>
      <c r="O6" s="229"/>
      <c r="P6" s="229"/>
      <c r="Q6" s="230"/>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ht="49.7" customHeight="1" x14ac:dyDescent="0.3">
      <c r="A7" s="226" t="s">
        <v>42</v>
      </c>
      <c r="B7" s="227"/>
      <c r="C7" s="165"/>
      <c r="D7" s="265" t="s">
        <v>295</v>
      </c>
      <c r="E7" s="266"/>
      <c r="F7" s="266"/>
      <c r="G7" s="266"/>
      <c r="H7" s="266"/>
      <c r="I7" s="266"/>
      <c r="J7" s="266"/>
      <c r="K7" s="266"/>
      <c r="L7" s="266"/>
      <c r="M7" s="266"/>
      <c r="N7" s="266"/>
      <c r="O7" s="266"/>
      <c r="P7" s="266"/>
      <c r="Q7" s="267"/>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x14ac:dyDescent="0.3">
      <c r="A8" s="258" t="s">
        <v>123</v>
      </c>
      <c r="B8" s="259"/>
      <c r="C8" s="259"/>
      <c r="D8" s="259"/>
      <c r="E8" s="259"/>
      <c r="F8" s="259"/>
      <c r="G8" s="259"/>
      <c r="H8" s="259"/>
      <c r="I8" s="259"/>
      <c r="J8" s="260"/>
      <c r="K8" s="258" t="s">
        <v>124</v>
      </c>
      <c r="L8" s="259"/>
      <c r="M8" s="259"/>
      <c r="N8" s="259"/>
      <c r="O8" s="259"/>
      <c r="P8" s="259"/>
      <c r="Q8" s="260"/>
      <c r="R8" s="258" t="s">
        <v>125</v>
      </c>
      <c r="S8" s="259"/>
      <c r="T8" s="259"/>
      <c r="U8" s="259"/>
      <c r="V8" s="259"/>
      <c r="W8" s="259"/>
      <c r="X8" s="259"/>
      <c r="Y8" s="259"/>
      <c r="Z8" s="260"/>
      <c r="AA8" s="258" t="s">
        <v>126</v>
      </c>
      <c r="AB8" s="259"/>
      <c r="AC8" s="259"/>
      <c r="AD8" s="259"/>
      <c r="AE8" s="259"/>
      <c r="AF8" s="259"/>
      <c r="AG8" s="260"/>
      <c r="AH8" s="258" t="s">
        <v>33</v>
      </c>
      <c r="AI8" s="259"/>
      <c r="AJ8" s="259"/>
      <c r="AK8" s="259"/>
      <c r="AL8" s="259"/>
      <c r="AM8" s="260"/>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ht="16.5" customHeight="1" x14ac:dyDescent="0.3">
      <c r="A9" s="261" t="s">
        <v>0</v>
      </c>
      <c r="B9" s="233" t="s">
        <v>183</v>
      </c>
      <c r="C9" s="238" t="s">
        <v>286</v>
      </c>
      <c r="D9" s="251" t="s">
        <v>2</v>
      </c>
      <c r="E9" s="238" t="s">
        <v>181</v>
      </c>
      <c r="F9" s="233" t="s">
        <v>182</v>
      </c>
      <c r="G9" s="250" t="s">
        <v>192</v>
      </c>
      <c r="H9" s="250" t="s">
        <v>1</v>
      </c>
      <c r="I9" s="238" t="s">
        <v>48</v>
      </c>
      <c r="J9" s="233" t="s">
        <v>119</v>
      </c>
      <c r="K9" s="234" t="s">
        <v>32</v>
      </c>
      <c r="L9" s="235" t="s">
        <v>4</v>
      </c>
      <c r="M9" s="238" t="s">
        <v>84</v>
      </c>
      <c r="N9" s="238" t="s">
        <v>89</v>
      </c>
      <c r="O9" s="237" t="s">
        <v>43</v>
      </c>
      <c r="P9" s="235" t="s">
        <v>4</v>
      </c>
      <c r="Q9" s="233" t="s">
        <v>46</v>
      </c>
      <c r="R9" s="263" t="s">
        <v>10</v>
      </c>
      <c r="S9" s="232" t="s">
        <v>146</v>
      </c>
      <c r="T9" s="238" t="s">
        <v>11</v>
      </c>
      <c r="U9" s="232" t="s">
        <v>7</v>
      </c>
      <c r="V9" s="232"/>
      <c r="W9" s="232"/>
      <c r="X9" s="232"/>
      <c r="Y9" s="232"/>
      <c r="Z9" s="232"/>
      <c r="AA9" s="231" t="s">
        <v>122</v>
      </c>
      <c r="AB9" s="231" t="s">
        <v>44</v>
      </c>
      <c r="AC9" s="231" t="s">
        <v>4</v>
      </c>
      <c r="AD9" s="231" t="s">
        <v>45</v>
      </c>
      <c r="AE9" s="231" t="s">
        <v>4</v>
      </c>
      <c r="AF9" s="231" t="s">
        <v>47</v>
      </c>
      <c r="AG9" s="263" t="s">
        <v>28</v>
      </c>
      <c r="AH9" s="232" t="s">
        <v>33</v>
      </c>
      <c r="AI9" s="232" t="s">
        <v>34</v>
      </c>
      <c r="AJ9" s="232" t="s">
        <v>35</v>
      </c>
      <c r="AK9" s="232" t="s">
        <v>37</v>
      </c>
      <c r="AL9" s="232" t="s">
        <v>36</v>
      </c>
      <c r="AM9" s="232" t="s">
        <v>38</v>
      </c>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row>
    <row r="10" spans="1:71" s="4" customFormat="1" ht="94.7" customHeight="1" x14ac:dyDescent="0.25">
      <c r="A10" s="262"/>
      <c r="B10" s="232"/>
      <c r="C10" s="233"/>
      <c r="D10" s="251"/>
      <c r="E10" s="233"/>
      <c r="F10" s="232"/>
      <c r="G10" s="251"/>
      <c r="H10" s="251"/>
      <c r="I10" s="233"/>
      <c r="J10" s="232"/>
      <c r="K10" s="233"/>
      <c r="L10" s="236"/>
      <c r="M10" s="233"/>
      <c r="N10" s="233"/>
      <c r="O10" s="236"/>
      <c r="P10" s="236"/>
      <c r="Q10" s="232"/>
      <c r="R10" s="264"/>
      <c r="S10" s="232"/>
      <c r="T10" s="233"/>
      <c r="U10" s="7" t="s">
        <v>12</v>
      </c>
      <c r="V10" s="7" t="s">
        <v>16</v>
      </c>
      <c r="W10" s="7" t="s">
        <v>27</v>
      </c>
      <c r="X10" s="7" t="s">
        <v>17</v>
      </c>
      <c r="Y10" s="7" t="s">
        <v>20</v>
      </c>
      <c r="Z10" s="7" t="s">
        <v>23</v>
      </c>
      <c r="AA10" s="231"/>
      <c r="AB10" s="231"/>
      <c r="AC10" s="231"/>
      <c r="AD10" s="231"/>
      <c r="AE10" s="231"/>
      <c r="AF10" s="231"/>
      <c r="AG10" s="264"/>
      <c r="AH10" s="232"/>
      <c r="AI10" s="232"/>
      <c r="AJ10" s="232"/>
      <c r="AK10" s="232"/>
      <c r="AL10" s="232"/>
      <c r="AM10" s="232"/>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row>
    <row r="11" spans="1:71" s="3" customFormat="1" ht="138.75" customHeight="1" x14ac:dyDescent="0.25">
      <c r="A11" s="216">
        <v>1</v>
      </c>
      <c r="B11" s="210" t="s">
        <v>187</v>
      </c>
      <c r="C11" s="210" t="s">
        <v>296</v>
      </c>
      <c r="D11" s="210" t="s">
        <v>116</v>
      </c>
      <c r="E11" s="138" t="s">
        <v>297</v>
      </c>
      <c r="F11" s="210" t="s">
        <v>299</v>
      </c>
      <c r="G11" s="218" t="s">
        <v>195</v>
      </c>
      <c r="H11" s="218" t="s">
        <v>300</v>
      </c>
      <c r="I11" s="210" t="s">
        <v>217</v>
      </c>
      <c r="J11" s="212">
        <v>300</v>
      </c>
      <c r="K11" s="214" t="str">
        <f>IF(J11&lt;=0,"",IF(J11&lt;=5,"Muy Baja",IF(J11&lt;=24,"Baja",IF(J11&lt;=150,"Media",IF(J11&lt;=300,"Alta","Muy Alta")))))</f>
        <v>Alta</v>
      </c>
      <c r="L11" s="222">
        <f>IF(K11="","",IF(K11="Muy Baja",0.2,IF(K11="Baja",0.4,IF(K11="Media",0.6,IF(K11="Alta",0.8,IF(K11="Muy Alta",1,))))))</f>
        <v>0.8</v>
      </c>
      <c r="M11" s="224" t="s">
        <v>138</v>
      </c>
      <c r="N11" s="222" t="str">
        <f>IF(NOT(ISERROR(MATCH(M11,'Tabla Impacto'!$B$221:$B$223,0))),'Tabla Impacto'!$F$223&amp;"Por favor no seleccionar los criterios de impacto(Afectación Económica o presupuestal y Pérdida Reputacional)",M11)</f>
        <v xml:space="preserve">     El riesgo afecta la imagen de la entidad con algunos usuarios de relevancia frente al logro de los objetivos</v>
      </c>
      <c r="O11" s="214" t="str">
        <f>IF(OR(N11='Tabla Impacto'!$C$11,N11='Tabla Impacto'!$D$11),"Leve",IF(OR(N11='Tabla Impacto'!$C$12,N11='Tabla Impacto'!$D$12),"Menor",IF(OR(N11='Tabla Impacto'!$C$13,N11='Tabla Impacto'!$D$13),"Moderado",IF(OR(N11='Tabla Impacto'!$C$14,N11='Tabla Impacto'!$D$14),"Mayor",IF(OR(N11='Tabla Impacto'!$C$15,N11='Tabla Impacto'!$D$15),"Catastrófico","")))))</f>
        <v>Moderado</v>
      </c>
      <c r="P11" s="222">
        <f>IF(O11="","",IF(O11="Leve",0.2,IF(O11="Menor",0.4,IF(O11="Moderado",0.6,IF(O11="Mayor",0.8,IF(O11="Catastrófico",1,))))))</f>
        <v>0.6</v>
      </c>
      <c r="Q11" s="220"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Alto</v>
      </c>
      <c r="R11" s="123">
        <v>1</v>
      </c>
      <c r="S11" s="205" t="s">
        <v>301</v>
      </c>
      <c r="T11" s="125" t="str">
        <f>IF(OR(U11="Preventivo",U11="Detectivo"),"Probabilidad",IF(U11="Correctivo","Impacto",""))</f>
        <v>Probabilidad</v>
      </c>
      <c r="U11" s="126" t="s">
        <v>13</v>
      </c>
      <c r="V11" s="126" t="s">
        <v>8</v>
      </c>
      <c r="W11" s="127" t="str">
        <f>IF(AND(U11="Preventivo",V11="Automático"),"50%",IF(AND(U11="Preventivo",V11="Manual"),"40%",IF(AND(U11="Detectivo",V11="Automático"),"40%",IF(AND(U11="Detectivo",V11="Manual"),"30%",IF(AND(U11="Correctivo",V11="Automático"),"35%",IF(AND(U11="Correctivo",V11="Manual"),"25%",""))))))</f>
        <v>40%</v>
      </c>
      <c r="X11" s="126" t="s">
        <v>19</v>
      </c>
      <c r="Y11" s="126" t="s">
        <v>22</v>
      </c>
      <c r="Z11" s="126" t="s">
        <v>111</v>
      </c>
      <c r="AA11" s="128">
        <f>IFERROR(IF(T11="Probabilidad",(L11-(+L11*W11)),IF(T11="Impacto",L11,"")),"")</f>
        <v>0.48</v>
      </c>
      <c r="AB11" s="129" t="str">
        <f>IFERROR(IF(AA11="","",IF(AA11&lt;=0.2,"Muy Baja",IF(AA11&lt;=0.4,"Baja",IF(AA11&lt;=0.6,"Media",IF(AA11&lt;=0.8,"Alta","Muy Alta"))))),"")</f>
        <v>Media</v>
      </c>
      <c r="AC11" s="130">
        <f>+AA11</f>
        <v>0.48</v>
      </c>
      <c r="AD11" s="129" t="str">
        <f>IFERROR(IF(AE11="","",IF(AE11&lt;=0.2,"Leve",IF(AE11&lt;=0.4,"Menor",IF(AE11&lt;=0.6,"Moderado",IF(AE11&lt;=0.8,"Mayor","Catastrófico"))))),"")</f>
        <v>Moderado</v>
      </c>
      <c r="AE11" s="130">
        <f>IFERROR(IF(T11="Impacto",(P11-(+P11*W11)),IF(T11="Probabilidad",P11,"")),"")</f>
        <v>0.6</v>
      </c>
      <c r="AF11" s="131" t="str">
        <f>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132" t="s">
        <v>30</v>
      </c>
      <c r="AH11" s="133"/>
      <c r="AI11" s="134"/>
      <c r="AJ11" s="135"/>
      <c r="AK11" s="135"/>
      <c r="AL11" s="133"/>
      <c r="AM11" s="134"/>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row>
    <row r="12" spans="1:71" ht="68.45" customHeight="1" x14ac:dyDescent="0.3">
      <c r="A12" s="217"/>
      <c r="B12" s="211"/>
      <c r="C12" s="211"/>
      <c r="D12" s="211"/>
      <c r="E12" s="138" t="s">
        <v>298</v>
      </c>
      <c r="F12" s="211"/>
      <c r="G12" s="219"/>
      <c r="H12" s="219"/>
      <c r="I12" s="211"/>
      <c r="J12" s="213"/>
      <c r="K12" s="215"/>
      <c r="L12" s="223"/>
      <c r="M12" s="225"/>
      <c r="N12" s="223">
        <f>IF(NOT(ISERROR(MATCH(M12,_xlfn.ANCHORARRAY(H14),0))),#REF!&amp;"Por favor no seleccionar los criterios de impacto",M12)</f>
        <v>0</v>
      </c>
      <c r="O12" s="215"/>
      <c r="P12" s="223"/>
      <c r="Q12" s="221"/>
      <c r="R12" s="123">
        <v>2</v>
      </c>
      <c r="S12" s="206"/>
      <c r="T12" s="125" t="str">
        <f t="shared" ref="T12:T50" si="0">IF(OR(U12="Preventivo",U12="Detectivo"),"Probabilidad",IF(U12="Correctivo","Impacto",""))</f>
        <v/>
      </c>
      <c r="U12" s="126"/>
      <c r="V12" s="126"/>
      <c r="W12" s="127" t="str">
        <f t="shared" ref="W12" si="1">IF(AND(U12="Preventivo",V12="Automático"),"50%",IF(AND(U12="Preventivo",V12="Manual"),"40%",IF(AND(U12="Detectivo",V12="Automático"),"40%",IF(AND(U12="Detectivo",V12="Manual"),"30%",IF(AND(U12="Correctivo",V12="Automático"),"35%",IF(AND(U12="Correctivo",V12="Manual"),"25%",""))))))</f>
        <v/>
      </c>
      <c r="X12" s="126"/>
      <c r="Y12" s="126"/>
      <c r="Z12" s="126"/>
      <c r="AA12" s="128" t="str">
        <f>IFERROR(IF(AND(T11="Probabilidad",T12="Probabilidad"),(AC11-(+AC11*W12)),IF(T12="Probabilidad",(L11-(+L11*W12)),IF(T12="Impacto",AC11,""))),"")</f>
        <v/>
      </c>
      <c r="AB12" s="129" t="str">
        <f t="shared" ref="AB12:AB50" si="2">IFERROR(IF(AA12="","",IF(AA12&lt;=0.2,"Muy Baja",IF(AA12&lt;=0.4,"Baja",IF(AA12&lt;=0.6,"Media",IF(AA12&lt;=0.8,"Alta","Muy Alta"))))),"")</f>
        <v/>
      </c>
      <c r="AC12" s="130" t="str">
        <f t="shared" ref="AC12" si="3">+AA12</f>
        <v/>
      </c>
      <c r="AD12" s="129" t="str">
        <f t="shared" ref="AD12:AD50" si="4">IFERROR(IF(AE12="","",IF(AE12&lt;=0.2,"Leve",IF(AE12&lt;=0.4,"Menor",IF(AE12&lt;=0.6,"Moderado",IF(AE12&lt;=0.8,"Mayor","Catastrófico"))))),"")</f>
        <v/>
      </c>
      <c r="AE12" s="130" t="str">
        <f>IFERROR(IF(AND(T11="Impacto",T12="Impacto"),(AE11-(+AE11*W12)),IF(T12="Impacto",(P11-(+P11*W12)),IF(T12="Probabilidad",AE11,""))),"")</f>
        <v/>
      </c>
      <c r="AF12" s="131" t="str">
        <f t="shared" ref="AF12" si="5">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
      </c>
      <c r="AG12" s="132"/>
      <c r="AH12" s="133"/>
      <c r="AI12" s="134"/>
      <c r="AJ12" s="135"/>
      <c r="AK12" s="135"/>
      <c r="AL12" s="133"/>
      <c r="AM12" s="134"/>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68.45" customHeight="1" x14ac:dyDescent="0.3">
      <c r="A13" s="149">
        <v>2</v>
      </c>
      <c r="B13" s="137" t="s">
        <v>185</v>
      </c>
      <c r="C13" s="137" t="s">
        <v>302</v>
      </c>
      <c r="D13" s="137" t="s">
        <v>116</v>
      </c>
      <c r="E13" s="137" t="s">
        <v>303</v>
      </c>
      <c r="F13" s="137" t="s">
        <v>304</v>
      </c>
      <c r="G13" s="150" t="s">
        <v>195</v>
      </c>
      <c r="H13" s="150" t="s">
        <v>305</v>
      </c>
      <c r="I13" s="137" t="s">
        <v>215</v>
      </c>
      <c r="J13" s="147">
        <v>300</v>
      </c>
      <c r="K13" s="148" t="str">
        <f>IF(J13&lt;=0,"",IF(J13&lt;=2,"Muy Baja",IF(J13&lt;=24,"Baja",IF(J13&lt;=500,"Media",IF(J13&lt;=5000,"Alta","Muy Alta")))))</f>
        <v>Media</v>
      </c>
      <c r="L13" s="152">
        <f>IF(K13="","",IF(K13="Muy Baja",0.2,IF(K13="Baja",0.4,IF(K13="Media",0.6,IF(K13="Alta",0.8,IF(K13="Muy Alta",1,))))))</f>
        <v>0.6</v>
      </c>
      <c r="M13" s="153" t="s">
        <v>136</v>
      </c>
      <c r="N13" s="152" t="str">
        <f>IF(NOT(ISERROR(MATCH(M13,'Tabla Impacto'!$B$221:$B$223,0))),'Tabla Impacto'!$F$223&amp;"Por favor no seleccionar los criterios de impacto(Afectación Económica o presupuestal y Pérdida Reputacional)",M13)</f>
        <v xml:space="preserve">     El riesgo afecta la imagen de alguna área de la organización</v>
      </c>
      <c r="O13" s="148" t="str">
        <f>IF(OR(N13='Tabla Impacto'!$C$11,N13='Tabla Impacto'!$D$11),"Leve",IF(OR(N13='Tabla Impacto'!$C$12,N13='Tabla Impacto'!$D$12),"Menor",IF(OR(N13='Tabla Impacto'!$C$13,N13='Tabla Impacto'!$D$13),"Moderado",IF(OR(N13='Tabla Impacto'!$C$14,N13='Tabla Impacto'!$D$14),"Mayor",IF(OR(N13='Tabla Impacto'!$C$15,N13='Tabla Impacto'!$D$15),"Catastrófico","")))))</f>
        <v>Leve</v>
      </c>
      <c r="P13" s="152">
        <f>IF(O13="","",IF(O13="Leve",0.2,IF(O13="Menor",0.4,IF(O13="Moderado",0.6,IF(O13="Mayor",0.8,IF(O13="Catastrófico",1,))))))</f>
        <v>0.2</v>
      </c>
      <c r="Q13" s="151" t="str">
        <f>IF(OR(AND(K13="Muy Baja",O13="Leve"),AND(K13="Muy Baja",O13="Menor"),AND(K13="Baja",O13="Leve")),"Bajo",IF(OR(AND(K13="Muy baja",O13="Moderado"),AND(K13="Baja",O13="Menor"),AND(K13="Baja",O13="Moderado"),AND(K13="Media",O13="Leve"),AND(K13="Media",O13="Menor"),AND(K13="Media",O13="Moderado"),AND(K13="Alta",O13="Leve"),AND(K13="Alta",O13="Menor")),"Moderado",IF(OR(AND(K13="Muy Baja",O13="Mayor"),AND(K13="Baja",O13="Mayor"),AND(K13="Media",O13="Mayor"),AND(K13="Alta",O13="Moderado"),AND(K13="Alta",O13="Mayor"),AND(K13="Muy Alta",O13="Leve"),AND(K13="Muy Alta",O13="Menor"),AND(K13="Muy Alta",O13="Moderado"),AND(K13="Muy Alta",O13="Mayor")),"Alto",IF(OR(AND(K13="Muy Baja",O13="Catastrófico"),AND(K13="Baja",O13="Catastrófico"),AND(K13="Media",O13="Catastrófico"),AND(K13="Alta",O13="Catastrófico"),AND(K13="Muy Alta",O13="Catastrófico")),"Extremo",""))))</f>
        <v>Moderado</v>
      </c>
      <c r="R13" s="123">
        <v>1</v>
      </c>
      <c r="S13" s="124" t="s">
        <v>306</v>
      </c>
      <c r="T13" s="125" t="str">
        <f t="shared" si="0"/>
        <v>Impacto</v>
      </c>
      <c r="U13" s="126" t="s">
        <v>15</v>
      </c>
      <c r="V13" s="126" t="s">
        <v>8</v>
      </c>
      <c r="W13" s="127" t="str">
        <f>IF(AND(U13="Preventivo",V13="Automático"),"50%",IF(AND(U13="Preventivo",V13="Manual"),"40%",IF(AND(U13="Detectivo",V13="Automático"),"40%",IF(AND(U13="Detectivo",V13="Manual"),"30%",IF(AND(U13="Correctivo",V13="Automático"),"35%",IF(AND(U13="Correctivo",V13="Manual"),"25%",""))))))</f>
        <v>25%</v>
      </c>
      <c r="X13" s="126" t="s">
        <v>19</v>
      </c>
      <c r="Y13" s="126" t="s">
        <v>22</v>
      </c>
      <c r="Z13" s="126" t="s">
        <v>111</v>
      </c>
      <c r="AA13" s="128">
        <f>IFERROR(IF(T13="Probabilidad",(L13-(+L13*W13)),IF(T13="Impacto",L13,"")),"")</f>
        <v>0.6</v>
      </c>
      <c r="AB13" s="129" t="str">
        <f>IFERROR(IF(AA13="","",IF(AA13&lt;=0.2,"Muy Baja",IF(AA13&lt;=0.4,"Baja",IF(AA13&lt;=0.6,"Media",IF(AA13&lt;=0.8,"Alta","Muy Alta"))))),"")</f>
        <v>Media</v>
      </c>
      <c r="AC13" s="130">
        <f>+AA13</f>
        <v>0.6</v>
      </c>
      <c r="AD13" s="129" t="str">
        <f>IFERROR(IF(AE13="","",IF(AE13&lt;=0.2,"Leve",IF(AE13&lt;=0.4,"Menor",IF(AE13&lt;=0.6,"Moderado",IF(AE13&lt;=0.8,"Mayor","Catastrófico"))))),"")</f>
        <v>Leve</v>
      </c>
      <c r="AE13" s="130">
        <f>IFERROR(IF(T13="Impacto",(P13-(+P13*W13)),IF(T13="Probabilidad",P13,"")),"")</f>
        <v>0.15000000000000002</v>
      </c>
      <c r="AF13" s="131" t="str">
        <f>IFERROR(IF(OR(AND(AB13="Muy Baja",AD13="Leve"),AND(AB13="Muy Baja",AD13="Menor"),AND(AB13="Baja",AD13="Leve")),"Bajo",IF(OR(AND(AB13="Muy baja",AD13="Moderado"),AND(AB13="Baja",AD13="Menor"),AND(AB13="Baja",AD13="Moderado"),AND(AB13="Media",AD13="Leve"),AND(AB13="Media",AD13="Menor"),AND(AB13="Media",AD13="Moderado"),AND(AB13="Alta",AD13="Leve"),AND(AB13="Alta",AD13="Menor")),"Moderado",IF(OR(AND(AB13="Muy Baja",AD13="Mayor"),AND(AB13="Baja",AD13="Mayor"),AND(AB13="Media",AD13="Mayor"),AND(AB13="Alta",AD13="Moderado"),AND(AB13="Alta",AD13="Mayor"),AND(AB13="Muy Alta",AD13="Leve"),AND(AB13="Muy Alta",AD13="Menor"),AND(AB13="Muy Alta",AD13="Moderado"),AND(AB13="Muy Alta",AD13="Mayor")),"Alto",IF(OR(AND(AB13="Muy Baja",AD13="Catastrófico"),AND(AB13="Baja",AD13="Catastrófico"),AND(AB13="Media",AD13="Catastrófico"),AND(AB13="Alta",AD13="Catastrófico"),AND(AB13="Muy Alta",AD13="Catastrófico")),"Extremo","")))),"")</f>
        <v>Moderado</v>
      </c>
      <c r="AG13" s="132" t="s">
        <v>30</v>
      </c>
      <c r="AH13" s="133"/>
      <c r="AI13" s="134"/>
      <c r="AJ13" s="135"/>
      <c r="AK13" s="135"/>
      <c r="AL13" s="133"/>
      <c r="AM13" s="134"/>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68.45" customHeight="1" x14ac:dyDescent="0.3">
      <c r="A14" s="149">
        <v>3</v>
      </c>
      <c r="B14" s="137" t="s">
        <v>187</v>
      </c>
      <c r="C14" s="137" t="s">
        <v>309</v>
      </c>
      <c r="D14" s="137" t="s">
        <v>116</v>
      </c>
      <c r="E14" s="137" t="s">
        <v>307</v>
      </c>
      <c r="F14" s="137" t="s">
        <v>304</v>
      </c>
      <c r="G14" s="150" t="s">
        <v>195</v>
      </c>
      <c r="H14" s="150" t="s">
        <v>308</v>
      </c>
      <c r="I14" s="137" t="s">
        <v>215</v>
      </c>
      <c r="J14" s="147">
        <v>320</v>
      </c>
      <c r="K14" s="148" t="str">
        <f>IF(J14&lt;=0,"",IF(J14&lt;=2,"Muy Baja",IF(J14&lt;=24,"Baja",IF(J14&lt;=500,"Media",IF(J14&lt;=5000,"Alta","Muy Alta")))))</f>
        <v>Media</v>
      </c>
      <c r="L14" s="152">
        <f>IF(K14="","",IF(K14="Muy Baja",0.2,IF(K14="Baja",0.4,IF(K14="Media",0.6,IF(K14="Alta",0.8,IF(K14="Muy Alta",1,))))))</f>
        <v>0.6</v>
      </c>
      <c r="M14" s="153" t="s">
        <v>136</v>
      </c>
      <c r="N14" s="152" t="str">
        <f>IF(NOT(ISERROR(MATCH(M14,'Tabla Impacto'!$B$221:$B$223,0))),'Tabla Impacto'!$F$223&amp;"Por favor no seleccionar los criterios de impacto(Afectación Económica o presupuestal y Pérdida Reputacional)",M14)</f>
        <v xml:space="preserve">     El riesgo afecta la imagen de alguna área de la organización</v>
      </c>
      <c r="O14" s="148" t="str">
        <f>IF(OR(N14='Tabla Impacto'!$C$11,N14='Tabla Impacto'!$D$11),"Leve",IF(OR(N14='Tabla Impacto'!$C$12,N14='Tabla Impacto'!$D$12),"Menor",IF(OR(N14='Tabla Impacto'!$C$13,N14='Tabla Impacto'!$D$13),"Moderado",IF(OR(N14='Tabla Impacto'!$C$14,N14='Tabla Impacto'!$D$14),"Mayor",IF(OR(N14='Tabla Impacto'!$C$15,N14='Tabla Impacto'!$D$15),"Catastrófico","")))))</f>
        <v>Leve</v>
      </c>
      <c r="P14" s="152">
        <f>IF(O14="","",IF(O14="Leve",0.2,IF(O14="Menor",0.4,IF(O14="Moderado",0.6,IF(O14="Mayor",0.8,IF(O14="Catastrófico",1,))))))</f>
        <v>0.2</v>
      </c>
      <c r="Q14" s="151" t="str">
        <f>IF(OR(AND(K14="Muy Baja",O14="Leve"),AND(K14="Muy Baja",O14="Menor"),AND(K14="Baja",O14="Leve")),"Bajo",IF(OR(AND(K14="Muy baja",O14="Moderado"),AND(K14="Baja",O14="Menor"),AND(K14="Baja",O14="Moderado"),AND(K14="Media",O14="Leve"),AND(K14="Media",O14="Menor"),AND(K14="Media",O14="Moderado"),AND(K14="Alta",O14="Leve"),AND(K14="Alta",O14="Menor")),"Moderado",IF(OR(AND(K14="Muy Baja",O14="Mayor"),AND(K14="Baja",O14="Mayor"),AND(K14="Media",O14="Mayor"),AND(K14="Alta",O14="Moderado"),AND(K14="Alta",O14="Mayor"),AND(K14="Muy Alta",O14="Leve"),AND(K14="Muy Alta",O14="Menor"),AND(K14="Muy Alta",O14="Moderado"),AND(K14="Muy Alta",O14="Mayor")),"Alto",IF(OR(AND(K14="Muy Baja",O14="Catastrófico"),AND(K14="Baja",O14="Catastrófico"),AND(K14="Media",O14="Catastrófico"),AND(K14="Alta",O14="Catastrófico"),AND(K14="Muy Alta",O14="Catastrófico")),"Extremo",""))))</f>
        <v>Moderado</v>
      </c>
      <c r="R14" s="123">
        <v>1</v>
      </c>
      <c r="S14" s="124" t="s">
        <v>310</v>
      </c>
      <c r="T14" s="125" t="str">
        <f t="shared" si="0"/>
        <v>Impacto</v>
      </c>
      <c r="U14" s="126" t="s">
        <v>15</v>
      </c>
      <c r="V14" s="126" t="s">
        <v>8</v>
      </c>
      <c r="W14" s="127" t="str">
        <f>IF(AND(U14="Preventivo",V14="Automático"),"50%",IF(AND(U14="Preventivo",V14="Manual"),"40%",IF(AND(U14="Detectivo",V14="Automático"),"40%",IF(AND(U14="Detectivo",V14="Manual"),"30%",IF(AND(U14="Correctivo",V14="Automático"),"35%",IF(AND(U14="Correctivo",V14="Manual"),"25%",""))))))</f>
        <v>25%</v>
      </c>
      <c r="X14" s="126" t="s">
        <v>19</v>
      </c>
      <c r="Y14" s="126" t="s">
        <v>22</v>
      </c>
      <c r="Z14" s="126" t="s">
        <v>111</v>
      </c>
      <c r="AA14" s="128">
        <f>IFERROR(IF(T14="Probabilidad",(L14-(+L14*W14)),IF(T14="Impacto",L14,"")),"")</f>
        <v>0.6</v>
      </c>
      <c r="AB14" s="129" t="str">
        <f>IFERROR(IF(AA14="","",IF(AA14&lt;=0.2,"Muy Baja",IF(AA14&lt;=0.4,"Baja",IF(AA14&lt;=0.6,"Media",IF(AA14&lt;=0.8,"Alta","Muy Alta"))))),"")</f>
        <v>Media</v>
      </c>
      <c r="AC14" s="130">
        <f>+AA14</f>
        <v>0.6</v>
      </c>
      <c r="AD14" s="129" t="str">
        <f>IFERROR(IF(AE14="","",IF(AE14&lt;=0.2,"Leve",IF(AE14&lt;=0.4,"Menor",IF(AE14&lt;=0.6,"Moderado",IF(AE14&lt;=0.8,"Mayor","Catastrófico"))))),"")</f>
        <v>Leve</v>
      </c>
      <c r="AE14" s="130">
        <f>IFERROR(IF(T14="Impacto",(P14-(+P14*W14)),IF(T14="Probabilidad",P14,"")),"")</f>
        <v>0.15000000000000002</v>
      </c>
      <c r="AF14" s="131" t="str">
        <f>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Moderado</v>
      </c>
      <c r="AG14" s="132" t="s">
        <v>30</v>
      </c>
      <c r="AH14" s="133"/>
      <c r="AI14" s="134"/>
      <c r="AJ14" s="135"/>
      <c r="AK14" s="135"/>
      <c r="AL14" s="133"/>
      <c r="AM14" s="134"/>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68.45" customHeight="1" x14ac:dyDescent="0.3">
      <c r="A15" s="216">
        <v>5</v>
      </c>
      <c r="B15" s="210"/>
      <c r="C15" s="210"/>
      <c r="D15" s="210"/>
      <c r="E15" s="137"/>
      <c r="F15" s="210"/>
      <c r="G15" s="218"/>
      <c r="H15" s="218"/>
      <c r="I15" s="210"/>
      <c r="J15" s="212"/>
      <c r="K15" s="214" t="str">
        <f>IF(J15&lt;=0,"",IF(J15&lt;=2,"Muy Baja",IF(J15&lt;=24,"Baja",IF(J15&lt;=500,"Media",IF(J15&lt;=5000,"Alta","Muy Alta")))))</f>
        <v/>
      </c>
      <c r="L15" s="222" t="str">
        <f>IF(K15="","",IF(K15="Muy Baja",0.2,IF(K15="Baja",0.4,IF(K15="Media",0.6,IF(K15="Alta",0.8,IF(K15="Muy Alta",1,))))))</f>
        <v/>
      </c>
      <c r="M15" s="224"/>
      <c r="N15" s="222">
        <f>IF(NOT(ISERROR(MATCH(M15,'Tabla Impacto'!$B$221:$B$223,0))),'Tabla Impacto'!$F$223&amp;"Por favor no seleccionar los criterios de impacto(Afectación Económica o presupuestal y Pérdida Reputacional)",M15)</f>
        <v>0</v>
      </c>
      <c r="O15" s="214" t="str">
        <f>IF(OR(N15='Tabla Impacto'!$C$11,N15='Tabla Impacto'!$D$11),"Leve",IF(OR(N15='Tabla Impacto'!$C$12,N15='Tabla Impacto'!$D$12),"Menor",IF(OR(N15='Tabla Impacto'!$C$13,N15='Tabla Impacto'!$D$13),"Moderado",IF(OR(N15='Tabla Impacto'!$C$14,N15='Tabla Impacto'!$D$14),"Mayor",IF(OR(N15='Tabla Impacto'!$C$15,N15='Tabla Impacto'!$D$15),"Catastrófico","")))))</f>
        <v/>
      </c>
      <c r="P15" s="222" t="str">
        <f>IF(O15="","",IF(O15="Leve",0.2,IF(O15="Menor",0.4,IF(O15="Moderado",0.6,IF(O15="Mayor",0.8,IF(O15="Catastrófico",1,))))))</f>
        <v/>
      </c>
      <c r="Q15" s="220" t="str">
        <f>IF(OR(AND(K15="Muy Baja",O15="Leve"),AND(K15="Muy Baja",O15="Menor"),AND(K15="Baja",O15="Leve")),"Bajo",IF(OR(AND(K15="Muy baja",O15="Moderado"),AND(K15="Baja",O15="Menor"),AND(K15="Baja",O15="Moderado"),AND(K15="Media",O15="Leve"),AND(K15="Media",O15="Menor"),AND(K15="Media",O15="Moderado"),AND(K15="Alta",O15="Leve"),AND(K15="Alta",O15="Menor")),"Moderado",IF(OR(AND(K15="Muy Baja",O15="Mayor"),AND(K15="Baja",O15="Mayor"),AND(K15="Media",O15="Mayor"),AND(K15="Alta",O15="Moderado"),AND(K15="Alta",O15="Mayor"),AND(K15="Muy Alta",O15="Leve"),AND(K15="Muy Alta",O15="Menor"),AND(K15="Muy Alta",O15="Moderado"),AND(K15="Muy Alta",O15="Mayor")),"Alto",IF(OR(AND(K15="Muy Baja",O15="Catastrófico"),AND(K15="Baja",O15="Catastrófico"),AND(K15="Media",O15="Catastrófico"),AND(K15="Alta",O15="Catastrófico"),AND(K15="Muy Alta",O15="Catastrófico")),"Extremo",""))))</f>
        <v/>
      </c>
      <c r="R15" s="123">
        <v>1</v>
      </c>
      <c r="S15" s="124"/>
      <c r="T15" s="125" t="str">
        <f t="shared" si="0"/>
        <v/>
      </c>
      <c r="U15" s="126"/>
      <c r="V15" s="126"/>
      <c r="W15" s="127" t="str">
        <f>IF(AND(U15="Preventivo",V15="Automático"),"50%",IF(AND(U15="Preventivo",V15="Manual"),"40%",IF(AND(U15="Detectivo",V15="Automático"),"40%",IF(AND(U15="Detectivo",V15="Manual"),"30%",IF(AND(U15="Correctivo",V15="Automático"),"35%",IF(AND(U15="Correctivo",V15="Manual"),"25%",""))))))</f>
        <v/>
      </c>
      <c r="X15" s="126"/>
      <c r="Y15" s="126"/>
      <c r="Z15" s="126"/>
      <c r="AA15" s="128" t="str">
        <f>IFERROR(IF(T15="Probabilidad",(L15-(+L15*W15)),IF(T15="Impacto",L15,"")),"")</f>
        <v/>
      </c>
      <c r="AB15" s="129" t="str">
        <f>IFERROR(IF(AA15="","",IF(AA15&lt;=0.2,"Muy Baja",IF(AA15&lt;=0.4,"Baja",IF(AA15&lt;=0.6,"Media",IF(AA15&lt;=0.8,"Alta","Muy Alta"))))),"")</f>
        <v/>
      </c>
      <c r="AC15" s="130" t="str">
        <f>+AA15</f>
        <v/>
      </c>
      <c r="AD15" s="129" t="str">
        <f>IFERROR(IF(AE15="","",IF(AE15&lt;=0.2,"Leve",IF(AE15&lt;=0.4,"Menor",IF(AE15&lt;=0.6,"Moderado",IF(AE15&lt;=0.8,"Mayor","Catastrófico"))))),"")</f>
        <v/>
      </c>
      <c r="AE15" s="130" t="str">
        <f>IFERROR(IF(T15="Impacto",(P15-(+P15*W15)),IF(T15="Probabilidad",P15,"")),"")</f>
        <v/>
      </c>
      <c r="AF15" s="131" t="str">
        <f>IFERROR(IF(OR(AND(AB15="Muy Baja",AD15="Leve"),AND(AB15="Muy Baja",AD15="Menor"),AND(AB15="Baja",AD15="Leve")),"Bajo",IF(OR(AND(AB15="Muy baja",AD15="Moderado"),AND(AB15="Baja",AD15="Menor"),AND(AB15="Baja",AD15="Moderado"),AND(AB15="Media",AD15="Leve"),AND(AB15="Media",AD15="Menor"),AND(AB15="Media",AD15="Moderado"),AND(AB15="Alta",AD15="Leve"),AND(AB15="Alta",AD15="Menor")),"Moderado",IF(OR(AND(AB15="Muy Baja",AD15="Mayor"),AND(AB15="Baja",AD15="Mayor"),AND(AB15="Media",AD15="Mayor"),AND(AB15="Alta",AD15="Moderado"),AND(AB15="Alta",AD15="Mayor"),AND(AB15="Muy Alta",AD15="Leve"),AND(AB15="Muy Alta",AD15="Menor"),AND(AB15="Muy Alta",AD15="Moderado"),AND(AB15="Muy Alta",AD15="Mayor")),"Alto",IF(OR(AND(AB15="Muy Baja",AD15="Catastrófico"),AND(AB15="Baja",AD15="Catastrófico"),AND(AB15="Media",AD15="Catastrófico"),AND(AB15="Alta",AD15="Catastrófico"),AND(AB15="Muy Alta",AD15="Catastrófico")),"Extremo","")))),"")</f>
        <v/>
      </c>
      <c r="AG15" s="132"/>
      <c r="AH15" s="133"/>
      <c r="AI15" s="134"/>
      <c r="AJ15" s="135"/>
      <c r="AK15" s="135"/>
      <c r="AL15" s="133"/>
      <c r="AM15" s="134"/>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68.45" customHeight="1" x14ac:dyDescent="0.3">
      <c r="A16" s="217"/>
      <c r="B16" s="211"/>
      <c r="C16" s="211"/>
      <c r="D16" s="211"/>
      <c r="E16" s="138"/>
      <c r="F16" s="211"/>
      <c r="G16" s="219"/>
      <c r="H16" s="219"/>
      <c r="I16" s="211"/>
      <c r="J16" s="213"/>
      <c r="K16" s="215"/>
      <c r="L16" s="223"/>
      <c r="M16" s="225"/>
      <c r="N16" s="223">
        <f>IF(NOT(ISERROR(MATCH(M16,_xlfn.ANCHORARRAY(H27),0))),L29&amp;"Por favor no seleccionar los criterios de impacto",M16)</f>
        <v>0</v>
      </c>
      <c r="O16" s="215"/>
      <c r="P16" s="223"/>
      <c r="Q16" s="221"/>
      <c r="R16" s="123">
        <v>2</v>
      </c>
      <c r="S16" s="124"/>
      <c r="T16" s="125" t="str">
        <f t="shared" si="0"/>
        <v/>
      </c>
      <c r="U16" s="126"/>
      <c r="V16" s="126"/>
      <c r="W16" s="127" t="str">
        <f t="shared" ref="W16:W20" si="6">IF(AND(U16="Preventivo",V16="Automático"),"50%",IF(AND(U16="Preventivo",V16="Manual"),"40%",IF(AND(U16="Detectivo",V16="Automático"),"40%",IF(AND(U16="Detectivo",V16="Manual"),"30%",IF(AND(U16="Correctivo",V16="Automático"),"35%",IF(AND(U16="Correctivo",V16="Manual"),"25%",""))))))</f>
        <v/>
      </c>
      <c r="X16" s="126"/>
      <c r="Y16" s="126"/>
      <c r="Z16" s="126"/>
      <c r="AA16" s="128" t="str">
        <f>IFERROR(IF(AND(T15="Probabilidad",T16="Probabilidad"),(AC15-(+AC15*W16)),IF(T16="Probabilidad",(L15-(+L15*W16)),IF(T16="Impacto",AC15,""))),"")</f>
        <v/>
      </c>
      <c r="AB16" s="129" t="str">
        <f t="shared" si="2"/>
        <v/>
      </c>
      <c r="AC16" s="130" t="str">
        <f t="shared" ref="AC16:AC20" si="7">+AA16</f>
        <v/>
      </c>
      <c r="AD16" s="129" t="str">
        <f t="shared" si="4"/>
        <v/>
      </c>
      <c r="AE16" s="130" t="str">
        <f>IFERROR(IF(AND(T15="Impacto",T16="Impacto"),(AE15-(+AE15*W16)),IF(T16="Impacto",(P15-(+P15*W16)),IF(T16="Probabilidad",AE15,""))),"")</f>
        <v/>
      </c>
      <c r="AF16" s="131" t="str">
        <f t="shared" ref="AF16:AF17" si="8">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
      </c>
      <c r="AG16" s="132"/>
      <c r="AH16" s="133"/>
      <c r="AI16" s="134"/>
      <c r="AJ16" s="135"/>
      <c r="AK16" s="135"/>
      <c r="AL16" s="133"/>
      <c r="AM16" s="134"/>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1" ht="68.45" customHeight="1" x14ac:dyDescent="0.3">
      <c r="A17" s="217"/>
      <c r="B17" s="211"/>
      <c r="C17" s="211"/>
      <c r="D17" s="211"/>
      <c r="E17" s="138"/>
      <c r="F17" s="211"/>
      <c r="G17" s="219"/>
      <c r="H17" s="219"/>
      <c r="I17" s="211"/>
      <c r="J17" s="213"/>
      <c r="K17" s="215"/>
      <c r="L17" s="223"/>
      <c r="M17" s="225"/>
      <c r="N17" s="223">
        <f>IF(NOT(ISERROR(MATCH(M17,_xlfn.ANCHORARRAY(H28),0))),L30&amp;"Por favor no seleccionar los criterios de impacto",M17)</f>
        <v>0</v>
      </c>
      <c r="O17" s="215"/>
      <c r="P17" s="223"/>
      <c r="Q17" s="221"/>
      <c r="R17" s="123">
        <v>3</v>
      </c>
      <c r="S17" s="136"/>
      <c r="T17" s="125" t="str">
        <f t="shared" si="0"/>
        <v/>
      </c>
      <c r="U17" s="126"/>
      <c r="V17" s="126"/>
      <c r="W17" s="127" t="str">
        <f t="shared" si="6"/>
        <v/>
      </c>
      <c r="X17" s="126"/>
      <c r="Y17" s="126"/>
      <c r="Z17" s="126"/>
      <c r="AA17" s="128" t="str">
        <f>IFERROR(IF(AND(T16="Probabilidad",T17="Probabilidad"),(AC16-(+AC16*W17)),IF(AND(T16="Impacto",T17="Probabilidad"),(AC15-(+AC15*W17)),IF(T17="Impacto",AC16,""))),"")</f>
        <v/>
      </c>
      <c r="AB17" s="129" t="str">
        <f t="shared" si="2"/>
        <v/>
      </c>
      <c r="AC17" s="130" t="str">
        <f t="shared" si="7"/>
        <v/>
      </c>
      <c r="AD17" s="129" t="str">
        <f t="shared" si="4"/>
        <v/>
      </c>
      <c r="AE17" s="130" t="str">
        <f>IFERROR(IF(AND(T16="Impacto",T17="Impacto"),(AE16-(+AE16*W17)),IF(AND(T16="Probabilidad",T17="Impacto"),(AE15-(+AE15*W17)),IF(T17="Probabilidad",AE16,""))),"")</f>
        <v/>
      </c>
      <c r="AF17" s="131" t="str">
        <f t="shared" si="8"/>
        <v/>
      </c>
      <c r="AG17" s="132"/>
      <c r="AH17" s="133"/>
      <c r="AI17" s="134"/>
      <c r="AJ17" s="135"/>
      <c r="AK17" s="135"/>
      <c r="AL17" s="133"/>
      <c r="AM17" s="134"/>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1" ht="68.45" customHeight="1" x14ac:dyDescent="0.3">
      <c r="A18" s="217"/>
      <c r="B18" s="211"/>
      <c r="C18" s="211"/>
      <c r="D18" s="211"/>
      <c r="E18" s="138"/>
      <c r="F18" s="211"/>
      <c r="G18" s="219"/>
      <c r="H18" s="219"/>
      <c r="I18" s="211"/>
      <c r="J18" s="213"/>
      <c r="K18" s="215"/>
      <c r="L18" s="223"/>
      <c r="M18" s="225"/>
      <c r="N18" s="223">
        <f>IF(NOT(ISERROR(MATCH(M18,_xlfn.ANCHORARRAY(H29),0))),L31&amp;"Por favor no seleccionar los criterios de impacto",M18)</f>
        <v>0</v>
      </c>
      <c r="O18" s="215"/>
      <c r="P18" s="223"/>
      <c r="Q18" s="221"/>
      <c r="R18" s="123">
        <v>4</v>
      </c>
      <c r="S18" s="124"/>
      <c r="T18" s="125" t="str">
        <f t="shared" si="0"/>
        <v/>
      </c>
      <c r="U18" s="126"/>
      <c r="V18" s="126"/>
      <c r="W18" s="127" t="str">
        <f t="shared" si="6"/>
        <v/>
      </c>
      <c r="X18" s="126"/>
      <c r="Y18" s="126"/>
      <c r="Z18" s="126"/>
      <c r="AA18" s="128" t="str">
        <f t="shared" ref="AA18:AA20" si="9">IFERROR(IF(AND(T17="Probabilidad",T18="Probabilidad"),(AC17-(+AC17*W18)),IF(AND(T17="Impacto",T18="Probabilidad"),(AC16-(+AC16*W18)),IF(T18="Impacto",AC17,""))),"")</f>
        <v/>
      </c>
      <c r="AB18" s="129" t="str">
        <f t="shared" si="2"/>
        <v/>
      </c>
      <c r="AC18" s="130" t="str">
        <f t="shared" si="7"/>
        <v/>
      </c>
      <c r="AD18" s="129" t="str">
        <f t="shared" si="4"/>
        <v/>
      </c>
      <c r="AE18" s="130" t="str">
        <f t="shared" ref="AE18:AE20" si="10">IFERROR(IF(AND(T17="Impacto",T18="Impacto"),(AE17-(+AE17*W18)),IF(AND(T17="Probabilidad",T18="Impacto"),(AE16-(+AE16*W18)),IF(T18="Probabilidad",AE17,""))),"")</f>
        <v/>
      </c>
      <c r="AF18" s="131" t="str">
        <f>IFERROR(IF(OR(AND(AB18="Muy Baja",AD18="Leve"),AND(AB18="Muy Baja",AD18="Menor"),AND(AB18="Baja",AD18="Leve")),"Bajo",IF(OR(AND(AB18="Muy baja",AD18="Moderado"),AND(AB18="Baja",AD18="Menor"),AND(AB18="Baja",AD18="Moderado"),AND(AB18="Media",AD18="Leve"),AND(AB18="Media",AD18="Menor"),AND(AB18="Media",AD18="Moderado"),AND(AB18="Alta",AD18="Leve"),AND(AB18="Alta",AD18="Menor")),"Moderado",IF(OR(AND(AB18="Muy Baja",AD18="Mayor"),AND(AB18="Baja",AD18="Mayor"),AND(AB18="Media",AD18="Mayor"),AND(AB18="Alta",AD18="Moderado"),AND(AB18="Alta",AD18="Mayor"),AND(AB18="Muy Alta",AD18="Leve"),AND(AB18="Muy Alta",AD18="Menor"),AND(AB18="Muy Alta",AD18="Moderado"),AND(AB18="Muy Alta",AD18="Mayor")),"Alto",IF(OR(AND(AB18="Muy Baja",AD18="Catastrófico"),AND(AB18="Baja",AD18="Catastrófico"),AND(AB18="Media",AD18="Catastrófico"),AND(AB18="Alta",AD18="Catastrófico"),AND(AB18="Muy Alta",AD18="Catastrófico")),"Extremo","")))),"")</f>
        <v/>
      </c>
      <c r="AG18" s="132"/>
      <c r="AH18" s="133"/>
      <c r="AI18" s="134"/>
      <c r="AJ18" s="135"/>
      <c r="AK18" s="135"/>
      <c r="AL18" s="133"/>
      <c r="AM18" s="134"/>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1" ht="68.45" customHeight="1" x14ac:dyDescent="0.3">
      <c r="A19" s="217"/>
      <c r="B19" s="211"/>
      <c r="C19" s="211"/>
      <c r="D19" s="211"/>
      <c r="E19" s="138"/>
      <c r="F19" s="211"/>
      <c r="G19" s="219"/>
      <c r="H19" s="219"/>
      <c r="I19" s="211"/>
      <c r="J19" s="213"/>
      <c r="K19" s="215"/>
      <c r="L19" s="223"/>
      <c r="M19" s="225"/>
      <c r="N19" s="223">
        <f>IF(NOT(ISERROR(MATCH(M19,_xlfn.ANCHORARRAY(H30),0))),L32&amp;"Por favor no seleccionar los criterios de impacto",M19)</f>
        <v>0</v>
      </c>
      <c r="O19" s="215"/>
      <c r="P19" s="223"/>
      <c r="Q19" s="221"/>
      <c r="R19" s="123">
        <v>5</v>
      </c>
      <c r="S19" s="124"/>
      <c r="T19" s="125" t="str">
        <f t="shared" si="0"/>
        <v/>
      </c>
      <c r="U19" s="126"/>
      <c r="V19" s="126"/>
      <c r="W19" s="127" t="str">
        <f t="shared" si="6"/>
        <v/>
      </c>
      <c r="X19" s="126"/>
      <c r="Y19" s="126"/>
      <c r="Z19" s="126"/>
      <c r="AA19" s="128" t="str">
        <f t="shared" si="9"/>
        <v/>
      </c>
      <c r="AB19" s="129" t="str">
        <f t="shared" si="2"/>
        <v/>
      </c>
      <c r="AC19" s="130" t="str">
        <f t="shared" si="7"/>
        <v/>
      </c>
      <c r="AD19" s="129" t="str">
        <f t="shared" si="4"/>
        <v/>
      </c>
      <c r="AE19" s="130" t="str">
        <f t="shared" si="10"/>
        <v/>
      </c>
      <c r="AF19" s="131" t="str">
        <f t="shared" ref="AF19:AF20" si="11">IFERROR(IF(OR(AND(AB19="Muy Baja",AD19="Leve"),AND(AB19="Muy Baja",AD19="Menor"),AND(AB19="Baja",AD19="Leve")),"Bajo",IF(OR(AND(AB19="Muy baja",AD19="Moderado"),AND(AB19="Baja",AD19="Menor"),AND(AB19="Baja",AD19="Moderado"),AND(AB19="Media",AD19="Leve"),AND(AB19="Media",AD19="Menor"),AND(AB19="Media",AD19="Moderado"),AND(AB19="Alta",AD19="Leve"),AND(AB19="Alta",AD19="Menor")),"Moderado",IF(OR(AND(AB19="Muy Baja",AD19="Mayor"),AND(AB19="Baja",AD19="Mayor"),AND(AB19="Media",AD19="Mayor"),AND(AB19="Alta",AD19="Moderado"),AND(AB19="Alta",AD19="Mayor"),AND(AB19="Muy Alta",AD19="Leve"),AND(AB19="Muy Alta",AD19="Menor"),AND(AB19="Muy Alta",AD19="Moderado"),AND(AB19="Muy Alta",AD19="Mayor")),"Alto",IF(OR(AND(AB19="Muy Baja",AD19="Catastrófico"),AND(AB19="Baja",AD19="Catastrófico"),AND(AB19="Media",AD19="Catastrófico"),AND(AB19="Alta",AD19="Catastrófico"),AND(AB19="Muy Alta",AD19="Catastrófico")),"Extremo","")))),"")</f>
        <v/>
      </c>
      <c r="AG19" s="132"/>
      <c r="AH19" s="133"/>
      <c r="AI19" s="134"/>
      <c r="AJ19" s="135"/>
      <c r="AK19" s="135"/>
      <c r="AL19" s="133"/>
      <c r="AM19" s="134"/>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1" ht="68.45" customHeight="1" x14ac:dyDescent="0.3">
      <c r="A20" s="241"/>
      <c r="B20" s="242"/>
      <c r="C20" s="242"/>
      <c r="D20" s="242"/>
      <c r="E20" s="139"/>
      <c r="F20" s="242"/>
      <c r="G20" s="243"/>
      <c r="H20" s="243"/>
      <c r="I20" s="242"/>
      <c r="J20" s="245"/>
      <c r="K20" s="244"/>
      <c r="L20" s="239"/>
      <c r="M20" s="240"/>
      <c r="N20" s="239">
        <f>IF(NOT(ISERROR(MATCH(M20,_xlfn.ANCHORARRAY(H31),0))),L33&amp;"Por favor no seleccionar los criterios de impacto",M20)</f>
        <v>0</v>
      </c>
      <c r="O20" s="244"/>
      <c r="P20" s="239"/>
      <c r="Q20" s="248"/>
      <c r="R20" s="123">
        <v>6</v>
      </c>
      <c r="S20" s="124"/>
      <c r="T20" s="125" t="str">
        <f t="shared" si="0"/>
        <v/>
      </c>
      <c r="U20" s="126"/>
      <c r="V20" s="126"/>
      <c r="W20" s="127" t="str">
        <f t="shared" si="6"/>
        <v/>
      </c>
      <c r="X20" s="126"/>
      <c r="Y20" s="126"/>
      <c r="Z20" s="126"/>
      <c r="AA20" s="128" t="str">
        <f t="shared" si="9"/>
        <v/>
      </c>
      <c r="AB20" s="129" t="str">
        <f t="shared" si="2"/>
        <v/>
      </c>
      <c r="AC20" s="130" t="str">
        <f t="shared" si="7"/>
        <v/>
      </c>
      <c r="AD20" s="129" t="str">
        <f t="shared" si="4"/>
        <v/>
      </c>
      <c r="AE20" s="130" t="str">
        <f t="shared" si="10"/>
        <v/>
      </c>
      <c r="AF20" s="131" t="str">
        <f t="shared" si="11"/>
        <v/>
      </c>
      <c r="AG20" s="132"/>
      <c r="AH20" s="133"/>
      <c r="AI20" s="134"/>
      <c r="AJ20" s="135"/>
      <c r="AK20" s="135"/>
      <c r="AL20" s="133"/>
      <c r="AM20" s="134"/>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1" ht="68.45" customHeight="1" x14ac:dyDescent="0.3">
      <c r="A21" s="216">
        <v>6</v>
      </c>
      <c r="B21" s="210"/>
      <c r="C21" s="210"/>
      <c r="D21" s="210"/>
      <c r="E21" s="137"/>
      <c r="F21" s="210"/>
      <c r="G21" s="218"/>
      <c r="H21" s="218"/>
      <c r="I21" s="210"/>
      <c r="J21" s="212"/>
      <c r="K21" s="214" t="str">
        <f>IF(J21&lt;=0,"",IF(J21&lt;=2,"Muy Baja",IF(J21&lt;=24,"Baja",IF(J21&lt;=500,"Media",IF(J21&lt;=5000,"Alta","Muy Alta")))))</f>
        <v/>
      </c>
      <c r="L21" s="222" t="str">
        <f>IF(K21="","",IF(K21="Muy Baja",0.2,IF(K21="Baja",0.4,IF(K21="Media",0.6,IF(K21="Alta",0.8,IF(K21="Muy Alta",1,))))))</f>
        <v/>
      </c>
      <c r="M21" s="224"/>
      <c r="N21" s="222">
        <f>IF(NOT(ISERROR(MATCH(M21,'Tabla Impacto'!$B$221:$B$223,0))),'Tabla Impacto'!$F$223&amp;"Por favor no seleccionar los criterios de impacto(Afectación Económica o presupuestal y Pérdida Reputacional)",M21)</f>
        <v>0</v>
      </c>
      <c r="O21" s="214" t="str">
        <f>IF(OR(N21='Tabla Impacto'!$C$11,N21='Tabla Impacto'!$D$11),"Leve",IF(OR(N21='Tabla Impacto'!$C$12,N21='Tabla Impacto'!$D$12),"Menor",IF(OR(N21='Tabla Impacto'!$C$13,N21='Tabla Impacto'!$D$13),"Moderado",IF(OR(N21='Tabla Impacto'!$C$14,N21='Tabla Impacto'!$D$14),"Mayor",IF(OR(N21='Tabla Impacto'!$C$15,N21='Tabla Impacto'!$D$15),"Catastrófico","")))))</f>
        <v/>
      </c>
      <c r="P21" s="222" t="str">
        <f>IF(O21="","",IF(O21="Leve",0.2,IF(O21="Menor",0.4,IF(O21="Moderado",0.6,IF(O21="Mayor",0.8,IF(O21="Catastrófico",1,))))))</f>
        <v/>
      </c>
      <c r="Q21" s="220" t="str">
        <f>IF(OR(AND(K21="Muy Baja",O21="Leve"),AND(K21="Muy Baja",O21="Menor"),AND(K21="Baja",O21="Leve")),"Bajo",IF(OR(AND(K21="Muy baja",O21="Moderado"),AND(K21="Baja",O21="Menor"),AND(K21="Baja",O21="Moderado"),AND(K21="Media",O21="Leve"),AND(K21="Media",O21="Menor"),AND(K21="Media",O21="Moderado"),AND(K21="Alta",O21="Leve"),AND(K21="Alta",O21="Menor")),"Moderado",IF(OR(AND(K21="Muy Baja",O21="Mayor"),AND(K21="Baja",O21="Mayor"),AND(K21="Media",O21="Mayor"),AND(K21="Alta",O21="Moderado"),AND(K21="Alta",O21="Mayor"),AND(K21="Muy Alta",O21="Leve"),AND(K21="Muy Alta",O21="Menor"),AND(K21="Muy Alta",O21="Moderado"),AND(K21="Muy Alta",O21="Mayor")),"Alto",IF(OR(AND(K21="Muy Baja",O21="Catastrófico"),AND(K21="Baja",O21="Catastrófico"),AND(K21="Media",O21="Catastrófico"),AND(K21="Alta",O21="Catastrófico"),AND(K21="Muy Alta",O21="Catastrófico")),"Extremo",""))))</f>
        <v/>
      </c>
      <c r="R21" s="123">
        <v>1</v>
      </c>
      <c r="S21" s="124"/>
      <c r="T21" s="125" t="str">
        <f t="shared" si="0"/>
        <v/>
      </c>
      <c r="U21" s="126"/>
      <c r="V21" s="126"/>
      <c r="W21" s="127" t="str">
        <f>IF(AND(U21="Preventivo",V21="Automático"),"50%",IF(AND(U21="Preventivo",V21="Manual"),"40%",IF(AND(U21="Detectivo",V21="Automático"),"40%",IF(AND(U21="Detectivo",V21="Manual"),"30%",IF(AND(U21="Correctivo",V21="Automático"),"35%",IF(AND(U21="Correctivo",V21="Manual"),"25%",""))))))</f>
        <v/>
      </c>
      <c r="X21" s="126"/>
      <c r="Y21" s="126"/>
      <c r="Z21" s="126"/>
      <c r="AA21" s="128" t="str">
        <f>IFERROR(IF(T21="Probabilidad",(L21-(+L21*W21)),IF(T21="Impacto",L21,"")),"")</f>
        <v/>
      </c>
      <c r="AB21" s="129" t="str">
        <f>IFERROR(IF(AA21="","",IF(AA21&lt;=0.2,"Muy Baja",IF(AA21&lt;=0.4,"Baja",IF(AA21&lt;=0.6,"Media",IF(AA21&lt;=0.8,"Alta","Muy Alta"))))),"")</f>
        <v/>
      </c>
      <c r="AC21" s="130" t="str">
        <f>+AA21</f>
        <v/>
      </c>
      <c r="AD21" s="129" t="str">
        <f>IFERROR(IF(AE21="","",IF(AE21&lt;=0.2,"Leve",IF(AE21&lt;=0.4,"Menor",IF(AE21&lt;=0.6,"Moderado",IF(AE21&lt;=0.8,"Mayor","Catastrófico"))))),"")</f>
        <v/>
      </c>
      <c r="AE21" s="130" t="str">
        <f>IFERROR(IF(T21="Impacto",(P21-(+P21*W21)),IF(T21="Probabilidad",P21,"")),"")</f>
        <v/>
      </c>
      <c r="AF21" s="131" t="str">
        <f>IFERROR(IF(OR(AND(AB21="Muy Baja",AD21="Leve"),AND(AB21="Muy Baja",AD21="Menor"),AND(AB21="Baja",AD21="Leve")),"Bajo",IF(OR(AND(AB21="Muy baja",AD21="Moderado"),AND(AB21="Baja",AD21="Menor"),AND(AB21="Baja",AD21="Moderado"),AND(AB21="Media",AD21="Leve"),AND(AB21="Media",AD21="Menor"),AND(AB21="Media",AD21="Moderado"),AND(AB21="Alta",AD21="Leve"),AND(AB21="Alta",AD21="Menor")),"Moderado",IF(OR(AND(AB21="Muy Baja",AD21="Mayor"),AND(AB21="Baja",AD21="Mayor"),AND(AB21="Media",AD21="Mayor"),AND(AB21="Alta",AD21="Moderado"),AND(AB21="Alta",AD21="Mayor"),AND(AB21="Muy Alta",AD21="Leve"),AND(AB21="Muy Alta",AD21="Menor"),AND(AB21="Muy Alta",AD21="Moderado"),AND(AB21="Muy Alta",AD21="Mayor")),"Alto",IF(OR(AND(AB21="Muy Baja",AD21="Catastrófico"),AND(AB21="Baja",AD21="Catastrófico"),AND(AB21="Media",AD21="Catastrófico"),AND(AB21="Alta",AD21="Catastrófico"),AND(AB21="Muy Alta",AD21="Catastrófico")),"Extremo","")))),"")</f>
        <v/>
      </c>
      <c r="AG21" s="132"/>
      <c r="AH21" s="133"/>
      <c r="AI21" s="134"/>
      <c r="AJ21" s="135"/>
      <c r="AK21" s="135"/>
      <c r="AL21" s="133"/>
      <c r="AM21" s="134"/>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1" ht="68.45" customHeight="1" x14ac:dyDescent="0.3">
      <c r="A22" s="217"/>
      <c r="B22" s="211"/>
      <c r="C22" s="211"/>
      <c r="D22" s="211"/>
      <c r="E22" s="138"/>
      <c r="F22" s="211"/>
      <c r="G22" s="219"/>
      <c r="H22" s="219"/>
      <c r="I22" s="211"/>
      <c r="J22" s="213"/>
      <c r="K22" s="215"/>
      <c r="L22" s="223"/>
      <c r="M22" s="225"/>
      <c r="N22" s="223">
        <f>IF(NOT(ISERROR(MATCH(M22,_xlfn.ANCHORARRAY(H33),0))),L35&amp;"Por favor no seleccionar los criterios de impacto",M22)</f>
        <v>0</v>
      </c>
      <c r="O22" s="215"/>
      <c r="P22" s="223"/>
      <c r="Q22" s="221"/>
      <c r="R22" s="123">
        <v>2</v>
      </c>
      <c r="S22" s="124"/>
      <c r="T22" s="125" t="str">
        <f t="shared" si="0"/>
        <v/>
      </c>
      <c r="U22" s="126"/>
      <c r="V22" s="126"/>
      <c r="W22" s="127" t="str">
        <f t="shared" ref="W22:W26" si="12">IF(AND(U22="Preventivo",V22="Automático"),"50%",IF(AND(U22="Preventivo",V22="Manual"),"40%",IF(AND(U22="Detectivo",V22="Automático"),"40%",IF(AND(U22="Detectivo",V22="Manual"),"30%",IF(AND(U22="Correctivo",V22="Automático"),"35%",IF(AND(U22="Correctivo",V22="Manual"),"25%",""))))))</f>
        <v/>
      </c>
      <c r="X22" s="126"/>
      <c r="Y22" s="126"/>
      <c r="Z22" s="126"/>
      <c r="AA22" s="128" t="str">
        <f>IFERROR(IF(AND(T21="Probabilidad",T22="Probabilidad"),(AC21-(+AC21*W22)),IF(T22="Probabilidad",(L21-(+L21*W22)),IF(T22="Impacto",AC21,""))),"")</f>
        <v/>
      </c>
      <c r="AB22" s="129" t="str">
        <f t="shared" si="2"/>
        <v/>
      </c>
      <c r="AC22" s="130" t="str">
        <f t="shared" ref="AC22:AC26" si="13">+AA22</f>
        <v/>
      </c>
      <c r="AD22" s="129" t="str">
        <f t="shared" si="4"/>
        <v/>
      </c>
      <c r="AE22" s="130" t="str">
        <f>IFERROR(IF(AND(T21="Impacto",T22="Impacto"),(AE21-(+AE21*W22)),IF(T22="Impacto",(P21-(+P21*W22)),IF(T22="Probabilidad",AE21,""))),"")</f>
        <v/>
      </c>
      <c r="AF22" s="131" t="str">
        <f t="shared" ref="AF22:AF23" si="14">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
      </c>
      <c r="AG22" s="132"/>
      <c r="AH22" s="133"/>
      <c r="AI22" s="134"/>
      <c r="AJ22" s="135"/>
      <c r="AK22" s="135"/>
      <c r="AL22" s="133"/>
      <c r="AM22" s="134"/>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1" ht="68.45" customHeight="1" x14ac:dyDescent="0.3">
      <c r="A23" s="217"/>
      <c r="B23" s="211"/>
      <c r="C23" s="211"/>
      <c r="D23" s="211"/>
      <c r="E23" s="138"/>
      <c r="F23" s="211"/>
      <c r="G23" s="219"/>
      <c r="H23" s="219"/>
      <c r="I23" s="211"/>
      <c r="J23" s="213"/>
      <c r="K23" s="215"/>
      <c r="L23" s="223"/>
      <c r="M23" s="225"/>
      <c r="N23" s="223">
        <f>IF(NOT(ISERROR(MATCH(M23,_xlfn.ANCHORARRAY(H34),0))),L36&amp;"Por favor no seleccionar los criterios de impacto",M23)</f>
        <v>0</v>
      </c>
      <c r="O23" s="215"/>
      <c r="P23" s="223"/>
      <c r="Q23" s="221"/>
      <c r="R23" s="123">
        <v>3</v>
      </c>
      <c r="S23" s="136"/>
      <c r="T23" s="125" t="str">
        <f t="shared" si="0"/>
        <v/>
      </c>
      <c r="U23" s="126"/>
      <c r="V23" s="126"/>
      <c r="W23" s="127" t="str">
        <f t="shared" si="12"/>
        <v/>
      </c>
      <c r="X23" s="126"/>
      <c r="Y23" s="126"/>
      <c r="Z23" s="126"/>
      <c r="AA23" s="128" t="str">
        <f>IFERROR(IF(AND(T22="Probabilidad",T23="Probabilidad"),(AC22-(+AC22*W23)),IF(AND(T22="Impacto",T23="Probabilidad"),(AC21-(+AC21*W23)),IF(T23="Impacto",AC22,""))),"")</f>
        <v/>
      </c>
      <c r="AB23" s="129" t="str">
        <f t="shared" si="2"/>
        <v/>
      </c>
      <c r="AC23" s="130" t="str">
        <f t="shared" si="13"/>
        <v/>
      </c>
      <c r="AD23" s="129" t="str">
        <f t="shared" si="4"/>
        <v/>
      </c>
      <c r="AE23" s="130" t="str">
        <f>IFERROR(IF(AND(T22="Impacto",T23="Impacto"),(AE22-(+AE22*W23)),IF(AND(T22="Probabilidad",T23="Impacto"),(AE21-(+AE21*W23)),IF(T23="Probabilidad",AE22,""))),"")</f>
        <v/>
      </c>
      <c r="AF23" s="131" t="str">
        <f t="shared" si="14"/>
        <v/>
      </c>
      <c r="AG23" s="132"/>
      <c r="AH23" s="133"/>
      <c r="AI23" s="134"/>
      <c r="AJ23" s="135"/>
      <c r="AK23" s="135"/>
      <c r="AL23" s="133"/>
      <c r="AM23" s="134"/>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row>
    <row r="24" spans="1:71" ht="68.45" customHeight="1" x14ac:dyDescent="0.3">
      <c r="A24" s="217"/>
      <c r="B24" s="211"/>
      <c r="C24" s="211"/>
      <c r="D24" s="211"/>
      <c r="E24" s="138"/>
      <c r="F24" s="211"/>
      <c r="G24" s="219"/>
      <c r="H24" s="219"/>
      <c r="I24" s="211"/>
      <c r="J24" s="213"/>
      <c r="K24" s="215"/>
      <c r="L24" s="223"/>
      <c r="M24" s="225"/>
      <c r="N24" s="223">
        <f>IF(NOT(ISERROR(MATCH(M24,_xlfn.ANCHORARRAY(H35),0))),L37&amp;"Por favor no seleccionar los criterios de impacto",M24)</f>
        <v>0</v>
      </c>
      <c r="O24" s="215"/>
      <c r="P24" s="223"/>
      <c r="Q24" s="221"/>
      <c r="R24" s="123">
        <v>4</v>
      </c>
      <c r="S24" s="124"/>
      <c r="T24" s="125" t="str">
        <f t="shared" si="0"/>
        <v/>
      </c>
      <c r="U24" s="126"/>
      <c r="V24" s="126"/>
      <c r="W24" s="127" t="str">
        <f t="shared" si="12"/>
        <v/>
      </c>
      <c r="X24" s="126"/>
      <c r="Y24" s="126"/>
      <c r="Z24" s="126"/>
      <c r="AA24" s="128" t="str">
        <f t="shared" ref="AA24:AA26" si="15">IFERROR(IF(AND(T23="Probabilidad",T24="Probabilidad"),(AC23-(+AC23*W24)),IF(AND(T23="Impacto",T24="Probabilidad"),(AC22-(+AC22*W24)),IF(T24="Impacto",AC23,""))),"")</f>
        <v/>
      </c>
      <c r="AB24" s="129" t="str">
        <f t="shared" si="2"/>
        <v/>
      </c>
      <c r="AC24" s="130" t="str">
        <f t="shared" si="13"/>
        <v/>
      </c>
      <c r="AD24" s="129" t="str">
        <f t="shared" si="4"/>
        <v/>
      </c>
      <c r="AE24" s="130" t="str">
        <f t="shared" ref="AE24:AE26" si="16">IFERROR(IF(AND(T23="Impacto",T24="Impacto"),(AE23-(+AE23*W24)),IF(AND(T23="Probabilidad",T24="Impacto"),(AE22-(+AE22*W24)),IF(T24="Probabilidad",AE23,""))),"")</f>
        <v/>
      </c>
      <c r="AF24" s="131" t="str">
        <f>IFERROR(IF(OR(AND(AB24="Muy Baja",AD24="Leve"),AND(AB24="Muy Baja",AD24="Menor"),AND(AB24="Baja",AD24="Leve")),"Bajo",IF(OR(AND(AB24="Muy baja",AD24="Moderado"),AND(AB24="Baja",AD24="Menor"),AND(AB24="Baja",AD24="Moderado"),AND(AB24="Media",AD24="Leve"),AND(AB24="Media",AD24="Menor"),AND(AB24="Media",AD24="Moderado"),AND(AB24="Alta",AD24="Leve"),AND(AB24="Alta",AD24="Menor")),"Moderado",IF(OR(AND(AB24="Muy Baja",AD24="Mayor"),AND(AB24="Baja",AD24="Mayor"),AND(AB24="Media",AD24="Mayor"),AND(AB24="Alta",AD24="Moderado"),AND(AB24="Alta",AD24="Mayor"),AND(AB24="Muy Alta",AD24="Leve"),AND(AB24="Muy Alta",AD24="Menor"),AND(AB24="Muy Alta",AD24="Moderado"),AND(AB24="Muy Alta",AD24="Mayor")),"Alto",IF(OR(AND(AB24="Muy Baja",AD24="Catastrófico"),AND(AB24="Baja",AD24="Catastrófico"),AND(AB24="Media",AD24="Catastrófico"),AND(AB24="Alta",AD24="Catastrófico"),AND(AB24="Muy Alta",AD24="Catastrófico")),"Extremo","")))),"")</f>
        <v/>
      </c>
      <c r="AG24" s="132"/>
      <c r="AH24" s="133"/>
      <c r="AI24" s="134"/>
      <c r="AJ24" s="135"/>
      <c r="AK24" s="135"/>
      <c r="AL24" s="133"/>
      <c r="AM24" s="134"/>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ht="68.45" customHeight="1" x14ac:dyDescent="0.3">
      <c r="A25" s="217"/>
      <c r="B25" s="211"/>
      <c r="C25" s="211"/>
      <c r="D25" s="211"/>
      <c r="E25" s="138"/>
      <c r="F25" s="211"/>
      <c r="G25" s="219"/>
      <c r="H25" s="219"/>
      <c r="I25" s="211"/>
      <c r="J25" s="213"/>
      <c r="K25" s="215"/>
      <c r="L25" s="223"/>
      <c r="M25" s="225"/>
      <c r="N25" s="223">
        <f>IF(NOT(ISERROR(MATCH(M25,_xlfn.ANCHORARRAY(H36),0))),L38&amp;"Por favor no seleccionar los criterios de impacto",M25)</f>
        <v>0</v>
      </c>
      <c r="O25" s="215"/>
      <c r="P25" s="223"/>
      <c r="Q25" s="221"/>
      <c r="R25" s="123">
        <v>5</v>
      </c>
      <c r="S25" s="124"/>
      <c r="T25" s="125" t="str">
        <f t="shared" si="0"/>
        <v/>
      </c>
      <c r="U25" s="126"/>
      <c r="V25" s="126"/>
      <c r="W25" s="127" t="str">
        <f t="shared" si="12"/>
        <v/>
      </c>
      <c r="X25" s="126"/>
      <c r="Y25" s="126"/>
      <c r="Z25" s="126"/>
      <c r="AA25" s="128" t="str">
        <f t="shared" si="15"/>
        <v/>
      </c>
      <c r="AB25" s="129" t="str">
        <f t="shared" si="2"/>
        <v/>
      </c>
      <c r="AC25" s="130" t="str">
        <f t="shared" si="13"/>
        <v/>
      </c>
      <c r="AD25" s="129" t="str">
        <f t="shared" si="4"/>
        <v/>
      </c>
      <c r="AE25" s="130" t="str">
        <f t="shared" si="16"/>
        <v/>
      </c>
      <c r="AF25" s="131" t="str">
        <f t="shared" ref="AF25" si="17">IFERROR(IF(OR(AND(AB25="Muy Baja",AD25="Leve"),AND(AB25="Muy Baja",AD25="Menor"),AND(AB25="Baja",AD25="Leve")),"Bajo",IF(OR(AND(AB25="Muy baja",AD25="Moderado"),AND(AB25="Baja",AD25="Menor"),AND(AB25="Baja",AD25="Moderado"),AND(AB25="Media",AD25="Leve"),AND(AB25="Media",AD25="Menor"),AND(AB25="Media",AD25="Moderado"),AND(AB25="Alta",AD25="Leve"),AND(AB25="Alta",AD25="Menor")),"Moderado",IF(OR(AND(AB25="Muy Baja",AD25="Mayor"),AND(AB25="Baja",AD25="Mayor"),AND(AB25="Media",AD25="Mayor"),AND(AB25="Alta",AD25="Moderado"),AND(AB25="Alta",AD25="Mayor"),AND(AB25="Muy Alta",AD25="Leve"),AND(AB25="Muy Alta",AD25="Menor"),AND(AB25="Muy Alta",AD25="Moderado"),AND(AB25="Muy Alta",AD25="Mayor")),"Alto",IF(OR(AND(AB25="Muy Baja",AD25="Catastrófico"),AND(AB25="Baja",AD25="Catastrófico"),AND(AB25="Media",AD25="Catastrófico"),AND(AB25="Alta",AD25="Catastrófico"),AND(AB25="Muy Alta",AD25="Catastrófico")),"Extremo","")))),"")</f>
        <v/>
      </c>
      <c r="AG25" s="132"/>
      <c r="AH25" s="133"/>
      <c r="AI25" s="134"/>
      <c r="AJ25" s="135"/>
      <c r="AK25" s="135"/>
      <c r="AL25" s="133"/>
      <c r="AM25" s="134"/>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ht="68.45" customHeight="1" x14ac:dyDescent="0.3">
      <c r="A26" s="241"/>
      <c r="B26" s="242"/>
      <c r="C26" s="242"/>
      <c r="D26" s="242"/>
      <c r="E26" s="139"/>
      <c r="F26" s="242"/>
      <c r="G26" s="243"/>
      <c r="H26" s="243"/>
      <c r="I26" s="242"/>
      <c r="J26" s="245"/>
      <c r="K26" s="244"/>
      <c r="L26" s="239"/>
      <c r="M26" s="240"/>
      <c r="N26" s="239">
        <f>IF(NOT(ISERROR(MATCH(M26,_xlfn.ANCHORARRAY(H37),0))),L39&amp;"Por favor no seleccionar los criterios de impacto",M26)</f>
        <v>0</v>
      </c>
      <c r="O26" s="244"/>
      <c r="P26" s="239"/>
      <c r="Q26" s="248"/>
      <c r="R26" s="123">
        <v>6</v>
      </c>
      <c r="S26" s="124"/>
      <c r="T26" s="125" t="str">
        <f t="shared" si="0"/>
        <v/>
      </c>
      <c r="U26" s="126"/>
      <c r="V26" s="126"/>
      <c r="W26" s="127" t="str">
        <f t="shared" si="12"/>
        <v/>
      </c>
      <c r="X26" s="126"/>
      <c r="Y26" s="126"/>
      <c r="Z26" s="126"/>
      <c r="AA26" s="128" t="str">
        <f t="shared" si="15"/>
        <v/>
      </c>
      <c r="AB26" s="129" t="str">
        <f t="shared" si="2"/>
        <v/>
      </c>
      <c r="AC26" s="130" t="str">
        <f t="shared" si="13"/>
        <v/>
      </c>
      <c r="AD26" s="129" t="str">
        <f>IFERROR(IF(AE26="","",IF(AE26&lt;=0.2,"Leve",IF(AE26&lt;=0.4,"Menor",IF(AE26&lt;=0.6,"Moderado",IF(AE26&lt;=0.8,"Mayor","Catastrófico"))))),"")</f>
        <v/>
      </c>
      <c r="AE26" s="130" t="str">
        <f t="shared" si="16"/>
        <v/>
      </c>
      <c r="AF26" s="131" t="str">
        <f>IFERROR(IF(OR(AND(AB26="Muy Baja",AD26="Leve"),AND(AB26="Muy Baja",AD26="Menor"),AND(AB26="Baja",AD26="Leve")),"Bajo",IF(OR(AND(AB26="Muy baja",AD26="Moderado"),AND(AB26="Baja",AD26="Menor"),AND(AB26="Baja",AD26="Moderado"),AND(AB26="Media",AD26="Leve"),AND(AB26="Media",AD26="Menor"),AND(AB26="Media",AD26="Moderado"),AND(AB26="Alta",AD26="Leve"),AND(AB26="Alta",AD26="Menor")),"Moderado",IF(OR(AND(AB26="Muy Baja",AD26="Mayor"),AND(AB26="Baja",AD26="Mayor"),AND(AB26="Media",AD26="Mayor"),AND(AB26="Alta",AD26="Moderado"),AND(AB26="Alta",AD26="Mayor"),AND(AB26="Muy Alta",AD26="Leve"),AND(AB26="Muy Alta",AD26="Menor"),AND(AB26="Muy Alta",AD26="Moderado"),AND(AB26="Muy Alta",AD26="Mayor")),"Alto",IF(OR(AND(AB26="Muy Baja",AD26="Catastrófico"),AND(AB26="Baja",AD26="Catastrófico"),AND(AB26="Media",AD26="Catastrófico"),AND(AB26="Alta",AD26="Catastrófico"),AND(AB26="Muy Alta",AD26="Catastrófico")),"Extremo","")))),"")</f>
        <v/>
      </c>
      <c r="AG26" s="132"/>
      <c r="AH26" s="133"/>
      <c r="AI26" s="134"/>
      <c r="AJ26" s="135"/>
      <c r="AK26" s="135"/>
      <c r="AL26" s="133"/>
      <c r="AM26" s="134"/>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ht="68.45" customHeight="1" x14ac:dyDescent="0.3">
      <c r="A27" s="216">
        <v>7</v>
      </c>
      <c r="B27" s="210"/>
      <c r="C27" s="210"/>
      <c r="D27" s="210"/>
      <c r="E27" s="137"/>
      <c r="F27" s="210"/>
      <c r="G27" s="218"/>
      <c r="H27" s="218"/>
      <c r="I27" s="210"/>
      <c r="J27" s="212"/>
      <c r="K27" s="214" t="str">
        <f>IF(J27&lt;=0,"",IF(J27&lt;=2,"Muy Baja",IF(J27&lt;=24,"Baja",IF(J27&lt;=500,"Media",IF(J27&lt;=5000,"Alta","Muy Alta")))))</f>
        <v/>
      </c>
      <c r="L27" s="222" t="str">
        <f>IF(K27="","",IF(K27="Muy Baja",0.2,IF(K27="Baja",0.4,IF(K27="Media",0.6,IF(K27="Alta",0.8,IF(K27="Muy Alta",1,))))))</f>
        <v/>
      </c>
      <c r="M27" s="224"/>
      <c r="N27" s="222">
        <f>IF(NOT(ISERROR(MATCH(M27,'Tabla Impacto'!$B$221:$B$223,0))),'Tabla Impacto'!$F$223&amp;"Por favor no seleccionar los criterios de impacto(Afectación Económica o presupuestal y Pérdida Reputacional)",M27)</f>
        <v>0</v>
      </c>
      <c r="O27" s="214" t="str">
        <f>IF(OR(N27='Tabla Impacto'!$C$11,N27='Tabla Impacto'!$D$11),"Leve",IF(OR(N27='Tabla Impacto'!$C$12,N27='Tabla Impacto'!$D$12),"Menor",IF(OR(N27='Tabla Impacto'!$C$13,N27='Tabla Impacto'!$D$13),"Moderado",IF(OR(N27='Tabla Impacto'!$C$14,N27='Tabla Impacto'!$D$14),"Mayor",IF(OR(N27='Tabla Impacto'!$C$15,N27='Tabla Impacto'!$D$15),"Catastrófico","")))))</f>
        <v/>
      </c>
      <c r="P27" s="222" t="str">
        <f>IF(O27="","",IF(O27="Leve",0.2,IF(O27="Menor",0.4,IF(O27="Moderado",0.6,IF(O27="Mayor",0.8,IF(O27="Catastrófico",1,))))))</f>
        <v/>
      </c>
      <c r="Q27" s="220" t="str">
        <f>IF(OR(AND(K27="Muy Baja",O27="Leve"),AND(K27="Muy Baja",O27="Menor"),AND(K27="Baja",O27="Leve")),"Bajo",IF(OR(AND(K27="Muy baja",O27="Moderado"),AND(K27="Baja",O27="Menor"),AND(K27="Baja",O27="Moderado"),AND(K27="Media",O27="Leve"),AND(K27="Media",O27="Menor"),AND(K27="Media",O27="Moderado"),AND(K27="Alta",O27="Leve"),AND(K27="Alta",O27="Menor")),"Moderado",IF(OR(AND(K27="Muy Baja",O27="Mayor"),AND(K27="Baja",O27="Mayor"),AND(K27="Media",O27="Mayor"),AND(K27="Alta",O27="Moderado"),AND(K27="Alta",O27="Mayor"),AND(K27="Muy Alta",O27="Leve"),AND(K27="Muy Alta",O27="Menor"),AND(K27="Muy Alta",O27="Moderado"),AND(K27="Muy Alta",O27="Mayor")),"Alto",IF(OR(AND(K27="Muy Baja",O27="Catastrófico"),AND(K27="Baja",O27="Catastrófico"),AND(K27="Media",O27="Catastrófico"),AND(K27="Alta",O27="Catastrófico"),AND(K27="Muy Alta",O27="Catastrófico")),"Extremo",""))))</f>
        <v/>
      </c>
      <c r="R27" s="123">
        <v>1</v>
      </c>
      <c r="S27" s="124"/>
      <c r="T27" s="125" t="str">
        <f t="shared" si="0"/>
        <v/>
      </c>
      <c r="U27" s="126"/>
      <c r="V27" s="126"/>
      <c r="W27" s="127" t="str">
        <f>IF(AND(U27="Preventivo",V27="Automático"),"50%",IF(AND(U27="Preventivo",V27="Manual"),"40%",IF(AND(U27="Detectivo",V27="Automático"),"40%",IF(AND(U27="Detectivo",V27="Manual"),"30%",IF(AND(U27="Correctivo",V27="Automático"),"35%",IF(AND(U27="Correctivo",V27="Manual"),"25%",""))))))</f>
        <v/>
      </c>
      <c r="X27" s="126"/>
      <c r="Y27" s="126"/>
      <c r="Z27" s="126"/>
      <c r="AA27" s="128" t="str">
        <f>IFERROR(IF(T27="Probabilidad",(L27-(+L27*W27)),IF(T27="Impacto",L27,"")),"")</f>
        <v/>
      </c>
      <c r="AB27" s="129" t="str">
        <f>IFERROR(IF(AA27="","",IF(AA27&lt;=0.2,"Muy Baja",IF(AA27&lt;=0.4,"Baja",IF(AA27&lt;=0.6,"Media",IF(AA27&lt;=0.8,"Alta","Muy Alta"))))),"")</f>
        <v/>
      </c>
      <c r="AC27" s="130" t="str">
        <f>+AA27</f>
        <v/>
      </c>
      <c r="AD27" s="129" t="str">
        <f>IFERROR(IF(AE27="","",IF(AE27&lt;=0.2,"Leve",IF(AE27&lt;=0.4,"Menor",IF(AE27&lt;=0.6,"Moderado",IF(AE27&lt;=0.8,"Mayor","Catastrófico"))))),"")</f>
        <v/>
      </c>
      <c r="AE27" s="130" t="str">
        <f>IFERROR(IF(T27="Impacto",(P27-(+P27*W27)),IF(T27="Probabilidad",P27,"")),"")</f>
        <v/>
      </c>
      <c r="AF27" s="131" t="str">
        <f>IFERROR(IF(OR(AND(AB27="Muy Baja",AD27="Leve"),AND(AB27="Muy Baja",AD27="Menor"),AND(AB27="Baja",AD27="Leve")),"Bajo",IF(OR(AND(AB27="Muy baja",AD27="Moderado"),AND(AB27="Baja",AD27="Menor"),AND(AB27="Baja",AD27="Moderado"),AND(AB27="Media",AD27="Leve"),AND(AB27="Media",AD27="Menor"),AND(AB27="Media",AD27="Moderado"),AND(AB27="Alta",AD27="Leve"),AND(AB27="Alta",AD27="Menor")),"Moderado",IF(OR(AND(AB27="Muy Baja",AD27="Mayor"),AND(AB27="Baja",AD27="Mayor"),AND(AB27="Media",AD27="Mayor"),AND(AB27="Alta",AD27="Moderado"),AND(AB27="Alta",AD27="Mayor"),AND(AB27="Muy Alta",AD27="Leve"),AND(AB27="Muy Alta",AD27="Menor"),AND(AB27="Muy Alta",AD27="Moderado"),AND(AB27="Muy Alta",AD27="Mayor")),"Alto",IF(OR(AND(AB27="Muy Baja",AD27="Catastrófico"),AND(AB27="Baja",AD27="Catastrófico"),AND(AB27="Media",AD27="Catastrófico"),AND(AB27="Alta",AD27="Catastrófico"),AND(AB27="Muy Alta",AD27="Catastrófico")),"Extremo","")))),"")</f>
        <v/>
      </c>
      <c r="AG27" s="132"/>
      <c r="AH27" s="133"/>
      <c r="AI27" s="134"/>
      <c r="AJ27" s="135"/>
      <c r="AK27" s="135"/>
      <c r="AL27" s="133"/>
      <c r="AM27" s="134"/>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1" ht="68.45" customHeight="1" x14ac:dyDescent="0.3">
      <c r="A28" s="217"/>
      <c r="B28" s="211"/>
      <c r="C28" s="211"/>
      <c r="D28" s="211"/>
      <c r="E28" s="138"/>
      <c r="F28" s="211"/>
      <c r="G28" s="219"/>
      <c r="H28" s="219"/>
      <c r="I28" s="211"/>
      <c r="J28" s="213"/>
      <c r="K28" s="215"/>
      <c r="L28" s="223"/>
      <c r="M28" s="225"/>
      <c r="N28" s="223">
        <f>IF(NOT(ISERROR(MATCH(M28,_xlfn.ANCHORARRAY(H39),0))),L41&amp;"Por favor no seleccionar los criterios de impacto",M28)</f>
        <v>0</v>
      </c>
      <c r="O28" s="215"/>
      <c r="P28" s="223"/>
      <c r="Q28" s="221"/>
      <c r="R28" s="123">
        <v>2</v>
      </c>
      <c r="S28" s="124"/>
      <c r="T28" s="125" t="str">
        <f t="shared" si="0"/>
        <v/>
      </c>
      <c r="U28" s="126"/>
      <c r="V28" s="126"/>
      <c r="W28" s="127" t="str">
        <f t="shared" ref="W28:W32" si="18">IF(AND(U28="Preventivo",V28="Automático"),"50%",IF(AND(U28="Preventivo",V28="Manual"),"40%",IF(AND(U28="Detectivo",V28="Automático"),"40%",IF(AND(U28="Detectivo",V28="Manual"),"30%",IF(AND(U28="Correctivo",V28="Automático"),"35%",IF(AND(U28="Correctivo",V28="Manual"),"25%",""))))))</f>
        <v/>
      </c>
      <c r="X28" s="126"/>
      <c r="Y28" s="126"/>
      <c r="Z28" s="126"/>
      <c r="AA28" s="128" t="str">
        <f>IFERROR(IF(AND(T27="Probabilidad",T28="Probabilidad"),(AC27-(+AC27*W28)),IF(T28="Probabilidad",(L27-(+L27*W28)),IF(T28="Impacto",AC27,""))),"")</f>
        <v/>
      </c>
      <c r="AB28" s="129" t="str">
        <f t="shared" si="2"/>
        <v/>
      </c>
      <c r="AC28" s="130" t="str">
        <f t="shared" ref="AC28:AC32" si="19">+AA28</f>
        <v/>
      </c>
      <c r="AD28" s="129" t="str">
        <f t="shared" si="4"/>
        <v/>
      </c>
      <c r="AE28" s="130" t="str">
        <f>IFERROR(IF(AND(T27="Impacto",T28="Impacto"),(AE27-(+AE27*W28)),IF(T28="Impacto",(P27-(+P27*W28)),IF(T28="Probabilidad",AE27,""))),"")</f>
        <v/>
      </c>
      <c r="AF28" s="131" t="str">
        <f t="shared" ref="AF28:AF29" si="20">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
      </c>
      <c r="AG28" s="132"/>
      <c r="AH28" s="133"/>
      <c r="AI28" s="134"/>
      <c r="AJ28" s="135"/>
      <c r="AK28" s="135"/>
      <c r="AL28" s="133"/>
      <c r="AM28" s="134"/>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68.45" customHeight="1" x14ac:dyDescent="0.3">
      <c r="A29" s="217"/>
      <c r="B29" s="211"/>
      <c r="C29" s="211"/>
      <c r="D29" s="211"/>
      <c r="E29" s="138"/>
      <c r="F29" s="211"/>
      <c r="G29" s="219"/>
      <c r="H29" s="219"/>
      <c r="I29" s="211"/>
      <c r="J29" s="213"/>
      <c r="K29" s="215"/>
      <c r="L29" s="223"/>
      <c r="M29" s="225"/>
      <c r="N29" s="223">
        <f>IF(NOT(ISERROR(MATCH(M29,_xlfn.ANCHORARRAY(H40),0))),L42&amp;"Por favor no seleccionar los criterios de impacto",M29)</f>
        <v>0</v>
      </c>
      <c r="O29" s="215"/>
      <c r="P29" s="223"/>
      <c r="Q29" s="221"/>
      <c r="R29" s="123">
        <v>3</v>
      </c>
      <c r="S29" s="136"/>
      <c r="T29" s="125" t="str">
        <f t="shared" si="0"/>
        <v/>
      </c>
      <c r="U29" s="126"/>
      <c r="V29" s="126"/>
      <c r="W29" s="127" t="str">
        <f t="shared" si="18"/>
        <v/>
      </c>
      <c r="X29" s="126"/>
      <c r="Y29" s="126"/>
      <c r="Z29" s="126"/>
      <c r="AA29" s="128" t="str">
        <f>IFERROR(IF(AND(T28="Probabilidad",T29="Probabilidad"),(AC28-(+AC28*W29)),IF(AND(T28="Impacto",T29="Probabilidad"),(AC27-(+AC27*W29)),IF(T29="Impacto",AC28,""))),"")</f>
        <v/>
      </c>
      <c r="AB29" s="129" t="str">
        <f t="shared" si="2"/>
        <v/>
      </c>
      <c r="AC29" s="130" t="str">
        <f t="shared" si="19"/>
        <v/>
      </c>
      <c r="AD29" s="129" t="str">
        <f t="shared" si="4"/>
        <v/>
      </c>
      <c r="AE29" s="130" t="str">
        <f>IFERROR(IF(AND(T28="Impacto",T29="Impacto"),(AE28-(+AE28*W29)),IF(AND(T28="Probabilidad",T29="Impacto"),(AE27-(+AE27*W29)),IF(T29="Probabilidad",AE28,""))),"")</f>
        <v/>
      </c>
      <c r="AF29" s="131" t="str">
        <f t="shared" si="20"/>
        <v/>
      </c>
      <c r="AG29" s="132"/>
      <c r="AH29" s="133"/>
      <c r="AI29" s="134"/>
      <c r="AJ29" s="135"/>
      <c r="AK29" s="135"/>
      <c r="AL29" s="133"/>
      <c r="AM29" s="134"/>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1" ht="68.45" customHeight="1" x14ac:dyDescent="0.3">
      <c r="A30" s="217"/>
      <c r="B30" s="211"/>
      <c r="C30" s="211"/>
      <c r="D30" s="211"/>
      <c r="E30" s="138"/>
      <c r="F30" s="211"/>
      <c r="G30" s="219"/>
      <c r="H30" s="219"/>
      <c r="I30" s="211"/>
      <c r="J30" s="213"/>
      <c r="K30" s="215"/>
      <c r="L30" s="223"/>
      <c r="M30" s="225"/>
      <c r="N30" s="223">
        <f>IF(NOT(ISERROR(MATCH(M30,_xlfn.ANCHORARRAY(H41),0))),L43&amp;"Por favor no seleccionar los criterios de impacto",M30)</f>
        <v>0</v>
      </c>
      <c r="O30" s="215"/>
      <c r="P30" s="223"/>
      <c r="Q30" s="221"/>
      <c r="R30" s="123">
        <v>4</v>
      </c>
      <c r="S30" s="124"/>
      <c r="T30" s="125" t="str">
        <f t="shared" si="0"/>
        <v/>
      </c>
      <c r="U30" s="126"/>
      <c r="V30" s="126"/>
      <c r="W30" s="127" t="str">
        <f t="shared" si="18"/>
        <v/>
      </c>
      <c r="X30" s="126"/>
      <c r="Y30" s="126"/>
      <c r="Z30" s="126"/>
      <c r="AA30" s="128" t="str">
        <f t="shared" ref="AA30:AA32" si="21">IFERROR(IF(AND(T29="Probabilidad",T30="Probabilidad"),(AC29-(+AC29*W30)),IF(AND(T29="Impacto",T30="Probabilidad"),(AC28-(+AC28*W30)),IF(T30="Impacto",AC29,""))),"")</f>
        <v/>
      </c>
      <c r="AB30" s="129" t="str">
        <f t="shared" si="2"/>
        <v/>
      </c>
      <c r="AC30" s="130" t="str">
        <f t="shared" si="19"/>
        <v/>
      </c>
      <c r="AD30" s="129" t="str">
        <f t="shared" si="4"/>
        <v/>
      </c>
      <c r="AE30" s="130" t="str">
        <f t="shared" ref="AE30:AE32" si="22">IFERROR(IF(AND(T29="Impacto",T30="Impacto"),(AE29-(+AE29*W30)),IF(AND(T29="Probabilidad",T30="Impacto"),(AE28-(+AE28*W30)),IF(T30="Probabilidad",AE29,""))),"")</f>
        <v/>
      </c>
      <c r="AF30" s="131" t="str">
        <f>IFERROR(IF(OR(AND(AB30="Muy Baja",AD30="Leve"),AND(AB30="Muy Baja",AD30="Menor"),AND(AB30="Baja",AD30="Leve")),"Bajo",IF(OR(AND(AB30="Muy baja",AD30="Moderado"),AND(AB30="Baja",AD30="Menor"),AND(AB30="Baja",AD30="Moderado"),AND(AB30="Media",AD30="Leve"),AND(AB30="Media",AD30="Menor"),AND(AB30="Media",AD30="Moderado"),AND(AB30="Alta",AD30="Leve"),AND(AB30="Alta",AD30="Menor")),"Moderado",IF(OR(AND(AB30="Muy Baja",AD30="Mayor"),AND(AB30="Baja",AD30="Mayor"),AND(AB30="Media",AD30="Mayor"),AND(AB30="Alta",AD30="Moderado"),AND(AB30="Alta",AD30="Mayor"),AND(AB30="Muy Alta",AD30="Leve"),AND(AB30="Muy Alta",AD30="Menor"),AND(AB30="Muy Alta",AD30="Moderado"),AND(AB30="Muy Alta",AD30="Mayor")),"Alto",IF(OR(AND(AB30="Muy Baja",AD30="Catastrófico"),AND(AB30="Baja",AD30="Catastrófico"),AND(AB30="Media",AD30="Catastrófico"),AND(AB30="Alta",AD30="Catastrófico"),AND(AB30="Muy Alta",AD30="Catastrófico")),"Extremo","")))),"")</f>
        <v/>
      </c>
      <c r="AG30" s="132"/>
      <c r="AH30" s="133"/>
      <c r="AI30" s="134"/>
      <c r="AJ30" s="135"/>
      <c r="AK30" s="135"/>
      <c r="AL30" s="133"/>
      <c r="AM30" s="134"/>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1" ht="68.45" customHeight="1" x14ac:dyDescent="0.3">
      <c r="A31" s="217"/>
      <c r="B31" s="211"/>
      <c r="C31" s="211"/>
      <c r="D31" s="211"/>
      <c r="E31" s="138"/>
      <c r="F31" s="211"/>
      <c r="G31" s="219"/>
      <c r="H31" s="219"/>
      <c r="I31" s="211"/>
      <c r="J31" s="213"/>
      <c r="K31" s="215"/>
      <c r="L31" s="223"/>
      <c r="M31" s="225"/>
      <c r="N31" s="223">
        <f>IF(NOT(ISERROR(MATCH(M31,_xlfn.ANCHORARRAY(H42),0))),L44&amp;"Por favor no seleccionar los criterios de impacto",M31)</f>
        <v>0</v>
      </c>
      <c r="O31" s="215"/>
      <c r="P31" s="223"/>
      <c r="Q31" s="221"/>
      <c r="R31" s="123">
        <v>5</v>
      </c>
      <c r="S31" s="124"/>
      <c r="T31" s="125" t="str">
        <f t="shared" si="0"/>
        <v/>
      </c>
      <c r="U31" s="126"/>
      <c r="V31" s="126"/>
      <c r="W31" s="127" t="str">
        <f t="shared" si="18"/>
        <v/>
      </c>
      <c r="X31" s="126"/>
      <c r="Y31" s="126"/>
      <c r="Z31" s="126"/>
      <c r="AA31" s="128" t="str">
        <f t="shared" si="21"/>
        <v/>
      </c>
      <c r="AB31" s="129" t="str">
        <f t="shared" si="2"/>
        <v/>
      </c>
      <c r="AC31" s="130" t="str">
        <f t="shared" si="19"/>
        <v/>
      </c>
      <c r="AD31" s="129" t="str">
        <f t="shared" si="4"/>
        <v/>
      </c>
      <c r="AE31" s="130" t="str">
        <f t="shared" si="22"/>
        <v/>
      </c>
      <c r="AF31" s="131" t="str">
        <f t="shared" ref="AF31:AF32" si="23">IFERROR(IF(OR(AND(AB31="Muy Baja",AD31="Leve"),AND(AB31="Muy Baja",AD31="Menor"),AND(AB31="Baja",AD31="Leve")),"Bajo",IF(OR(AND(AB31="Muy baja",AD31="Moderado"),AND(AB31="Baja",AD31="Menor"),AND(AB31="Baja",AD31="Moderado"),AND(AB31="Media",AD31="Leve"),AND(AB31="Media",AD31="Menor"),AND(AB31="Media",AD31="Moderado"),AND(AB31="Alta",AD31="Leve"),AND(AB31="Alta",AD31="Menor")),"Moderado",IF(OR(AND(AB31="Muy Baja",AD31="Mayor"),AND(AB31="Baja",AD31="Mayor"),AND(AB31="Media",AD31="Mayor"),AND(AB31="Alta",AD31="Moderado"),AND(AB31="Alta",AD31="Mayor"),AND(AB31="Muy Alta",AD31="Leve"),AND(AB31="Muy Alta",AD31="Menor"),AND(AB31="Muy Alta",AD31="Moderado"),AND(AB31="Muy Alta",AD31="Mayor")),"Alto",IF(OR(AND(AB31="Muy Baja",AD31="Catastrófico"),AND(AB31="Baja",AD31="Catastrófico"),AND(AB31="Media",AD31="Catastrófico"),AND(AB31="Alta",AD31="Catastrófico"),AND(AB31="Muy Alta",AD31="Catastrófico")),"Extremo","")))),"")</f>
        <v/>
      </c>
      <c r="AG31" s="132"/>
      <c r="AH31" s="133"/>
      <c r="AI31" s="134"/>
      <c r="AJ31" s="135"/>
      <c r="AK31" s="135"/>
      <c r="AL31" s="133"/>
      <c r="AM31" s="134"/>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ht="68.45" customHeight="1" x14ac:dyDescent="0.3">
      <c r="A32" s="241"/>
      <c r="B32" s="242"/>
      <c r="C32" s="242"/>
      <c r="D32" s="242"/>
      <c r="E32" s="139"/>
      <c r="F32" s="242"/>
      <c r="G32" s="243"/>
      <c r="H32" s="243"/>
      <c r="I32" s="242"/>
      <c r="J32" s="245"/>
      <c r="K32" s="244"/>
      <c r="L32" s="239"/>
      <c r="M32" s="240"/>
      <c r="N32" s="239">
        <f>IF(NOT(ISERROR(MATCH(M32,_xlfn.ANCHORARRAY(H43),0))),L45&amp;"Por favor no seleccionar los criterios de impacto",M32)</f>
        <v>0</v>
      </c>
      <c r="O32" s="244"/>
      <c r="P32" s="239"/>
      <c r="Q32" s="248"/>
      <c r="R32" s="123">
        <v>6</v>
      </c>
      <c r="S32" s="124"/>
      <c r="T32" s="125" t="str">
        <f t="shared" si="0"/>
        <v/>
      </c>
      <c r="U32" s="126"/>
      <c r="V32" s="126"/>
      <c r="W32" s="127" t="str">
        <f t="shared" si="18"/>
        <v/>
      </c>
      <c r="X32" s="126"/>
      <c r="Y32" s="126"/>
      <c r="Z32" s="126"/>
      <c r="AA32" s="128" t="str">
        <f t="shared" si="21"/>
        <v/>
      </c>
      <c r="AB32" s="129" t="str">
        <f t="shared" si="2"/>
        <v/>
      </c>
      <c r="AC32" s="130" t="str">
        <f t="shared" si="19"/>
        <v/>
      </c>
      <c r="AD32" s="129" t="str">
        <f t="shared" si="4"/>
        <v/>
      </c>
      <c r="AE32" s="130" t="str">
        <f t="shared" si="22"/>
        <v/>
      </c>
      <c r="AF32" s="131" t="str">
        <f t="shared" si="23"/>
        <v/>
      </c>
      <c r="AG32" s="132"/>
      <c r="AH32" s="133"/>
      <c r="AI32" s="134"/>
      <c r="AJ32" s="135"/>
      <c r="AK32" s="135"/>
      <c r="AL32" s="133"/>
      <c r="AM32" s="134"/>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row>
    <row r="33" spans="1:71" ht="68.45" customHeight="1" x14ac:dyDescent="0.3">
      <c r="A33" s="216">
        <v>8</v>
      </c>
      <c r="B33" s="210"/>
      <c r="C33" s="210"/>
      <c r="D33" s="210"/>
      <c r="E33" s="137"/>
      <c r="F33" s="210"/>
      <c r="G33" s="218"/>
      <c r="H33" s="218"/>
      <c r="I33" s="210"/>
      <c r="J33" s="212"/>
      <c r="K33" s="214" t="str">
        <f>IF(J33&lt;=0,"",IF(J33&lt;=2,"Muy Baja",IF(J33&lt;=24,"Baja",IF(J33&lt;=500,"Media",IF(J33&lt;=5000,"Alta","Muy Alta")))))</f>
        <v/>
      </c>
      <c r="L33" s="222" t="str">
        <f>IF(K33="","",IF(K33="Muy Baja",0.2,IF(K33="Baja",0.4,IF(K33="Media",0.6,IF(K33="Alta",0.8,IF(K33="Muy Alta",1,))))))</f>
        <v/>
      </c>
      <c r="M33" s="224"/>
      <c r="N33" s="222">
        <f>IF(NOT(ISERROR(MATCH(M33,'Tabla Impacto'!$B$221:$B$223,0))),'Tabla Impacto'!$F$223&amp;"Por favor no seleccionar los criterios de impacto(Afectación Económica o presupuestal y Pérdida Reputacional)",M33)</f>
        <v>0</v>
      </c>
      <c r="O33" s="214" t="str">
        <f>IF(OR(N33='Tabla Impacto'!$C$11,N33='Tabla Impacto'!$D$11),"Leve",IF(OR(N33='Tabla Impacto'!$C$12,N33='Tabla Impacto'!$D$12),"Menor",IF(OR(N33='Tabla Impacto'!$C$13,N33='Tabla Impacto'!$D$13),"Moderado",IF(OR(N33='Tabla Impacto'!$C$14,N33='Tabla Impacto'!$D$14),"Mayor",IF(OR(N33='Tabla Impacto'!$C$15,N33='Tabla Impacto'!$D$15),"Catastrófico","")))))</f>
        <v/>
      </c>
      <c r="P33" s="222" t="str">
        <f>IF(O33="","",IF(O33="Leve",0.2,IF(O33="Menor",0.4,IF(O33="Moderado",0.6,IF(O33="Mayor",0.8,IF(O33="Catastrófico",1,))))))</f>
        <v/>
      </c>
      <c r="Q33" s="220" t="str">
        <f>IF(OR(AND(K33="Muy Baja",O33="Leve"),AND(K33="Muy Baja",O33="Menor"),AND(K33="Baja",O33="Leve")),"Bajo",IF(OR(AND(K33="Muy baja",O33="Moderado"),AND(K33="Baja",O33="Menor"),AND(K33="Baja",O33="Moderado"),AND(K33="Media",O33="Leve"),AND(K33="Media",O33="Menor"),AND(K33="Media",O33="Moderado"),AND(K33="Alta",O33="Leve"),AND(K33="Alta",O33="Menor")),"Moderado",IF(OR(AND(K33="Muy Baja",O33="Mayor"),AND(K33="Baja",O33="Mayor"),AND(K33="Media",O33="Mayor"),AND(K33="Alta",O33="Moderado"),AND(K33="Alta",O33="Mayor"),AND(K33="Muy Alta",O33="Leve"),AND(K33="Muy Alta",O33="Menor"),AND(K33="Muy Alta",O33="Moderado"),AND(K33="Muy Alta",O33="Mayor")),"Alto",IF(OR(AND(K33="Muy Baja",O33="Catastrófico"),AND(K33="Baja",O33="Catastrófico"),AND(K33="Media",O33="Catastrófico"),AND(K33="Alta",O33="Catastrófico"),AND(K33="Muy Alta",O33="Catastrófico")),"Extremo",""))))</f>
        <v/>
      </c>
      <c r="R33" s="123">
        <v>1</v>
      </c>
      <c r="S33" s="124"/>
      <c r="T33" s="125" t="str">
        <f t="shared" si="0"/>
        <v/>
      </c>
      <c r="U33" s="126"/>
      <c r="V33" s="126"/>
      <c r="W33" s="127" t="str">
        <f>IF(AND(U33="Preventivo",V33="Automático"),"50%",IF(AND(U33="Preventivo",V33="Manual"),"40%",IF(AND(U33="Detectivo",V33="Automático"),"40%",IF(AND(U33="Detectivo",V33="Manual"),"30%",IF(AND(U33="Correctivo",V33="Automático"),"35%",IF(AND(U33="Correctivo",V33="Manual"),"25%",""))))))</f>
        <v/>
      </c>
      <c r="X33" s="126"/>
      <c r="Y33" s="126"/>
      <c r="Z33" s="126"/>
      <c r="AA33" s="128" t="str">
        <f>IFERROR(IF(T33="Probabilidad",(L33-(+L33*W33)),IF(T33="Impacto",L33,"")),"")</f>
        <v/>
      </c>
      <c r="AB33" s="129" t="str">
        <f>IFERROR(IF(AA33="","",IF(AA33&lt;=0.2,"Muy Baja",IF(AA33&lt;=0.4,"Baja",IF(AA33&lt;=0.6,"Media",IF(AA33&lt;=0.8,"Alta","Muy Alta"))))),"")</f>
        <v/>
      </c>
      <c r="AC33" s="130" t="str">
        <f>+AA33</f>
        <v/>
      </c>
      <c r="AD33" s="129" t="str">
        <f>IFERROR(IF(AE33="","",IF(AE33&lt;=0.2,"Leve",IF(AE33&lt;=0.4,"Menor",IF(AE33&lt;=0.6,"Moderado",IF(AE33&lt;=0.8,"Mayor","Catastrófico"))))),"")</f>
        <v/>
      </c>
      <c r="AE33" s="130" t="str">
        <f>IFERROR(IF(T33="Impacto",(P33-(+P33*W33)),IF(T33="Probabilidad",P33,"")),"")</f>
        <v/>
      </c>
      <c r="AF33" s="131" t="str">
        <f>IFERROR(IF(OR(AND(AB33="Muy Baja",AD33="Leve"),AND(AB33="Muy Baja",AD33="Menor"),AND(AB33="Baja",AD33="Leve")),"Bajo",IF(OR(AND(AB33="Muy baja",AD33="Moderado"),AND(AB33="Baja",AD33="Menor"),AND(AB33="Baja",AD33="Moderado"),AND(AB33="Media",AD33="Leve"),AND(AB33="Media",AD33="Menor"),AND(AB33="Media",AD33="Moderado"),AND(AB33="Alta",AD33="Leve"),AND(AB33="Alta",AD33="Menor")),"Moderado",IF(OR(AND(AB33="Muy Baja",AD33="Mayor"),AND(AB33="Baja",AD33="Mayor"),AND(AB33="Media",AD33="Mayor"),AND(AB33="Alta",AD33="Moderado"),AND(AB33="Alta",AD33="Mayor"),AND(AB33="Muy Alta",AD33="Leve"),AND(AB33="Muy Alta",AD33="Menor"),AND(AB33="Muy Alta",AD33="Moderado"),AND(AB33="Muy Alta",AD33="Mayor")),"Alto",IF(OR(AND(AB33="Muy Baja",AD33="Catastrófico"),AND(AB33="Baja",AD33="Catastrófico"),AND(AB33="Media",AD33="Catastrófico"),AND(AB33="Alta",AD33="Catastrófico"),AND(AB33="Muy Alta",AD33="Catastrófico")),"Extremo","")))),"")</f>
        <v/>
      </c>
      <c r="AG33" s="132"/>
      <c r="AH33" s="133"/>
      <c r="AI33" s="134"/>
      <c r="AJ33" s="135"/>
      <c r="AK33" s="135"/>
      <c r="AL33" s="133"/>
      <c r="AM33" s="134"/>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row>
    <row r="34" spans="1:71" ht="68.45" customHeight="1" x14ac:dyDescent="0.3">
      <c r="A34" s="217"/>
      <c r="B34" s="211"/>
      <c r="C34" s="211"/>
      <c r="D34" s="211"/>
      <c r="E34" s="138"/>
      <c r="F34" s="211"/>
      <c r="G34" s="219"/>
      <c r="H34" s="219"/>
      <c r="I34" s="211"/>
      <c r="J34" s="213"/>
      <c r="K34" s="215"/>
      <c r="L34" s="223"/>
      <c r="M34" s="225"/>
      <c r="N34" s="223">
        <f>IF(NOT(ISERROR(MATCH(M34,_xlfn.ANCHORARRAY(H45),0))),L47&amp;"Por favor no seleccionar los criterios de impacto",M34)</f>
        <v>0</v>
      </c>
      <c r="O34" s="215"/>
      <c r="P34" s="223"/>
      <c r="Q34" s="221"/>
      <c r="R34" s="123">
        <v>2</v>
      </c>
      <c r="S34" s="124"/>
      <c r="T34" s="125" t="str">
        <f t="shared" si="0"/>
        <v/>
      </c>
      <c r="U34" s="126"/>
      <c r="V34" s="126"/>
      <c r="W34" s="127" t="str">
        <f t="shared" ref="W34:W38" si="24">IF(AND(U34="Preventivo",V34="Automático"),"50%",IF(AND(U34="Preventivo",V34="Manual"),"40%",IF(AND(U34="Detectivo",V34="Automático"),"40%",IF(AND(U34="Detectivo",V34="Manual"),"30%",IF(AND(U34="Correctivo",V34="Automático"),"35%",IF(AND(U34="Correctivo",V34="Manual"),"25%",""))))))</f>
        <v/>
      </c>
      <c r="X34" s="126"/>
      <c r="Y34" s="126"/>
      <c r="Z34" s="126"/>
      <c r="AA34" s="128" t="str">
        <f>IFERROR(IF(AND(T33="Probabilidad",T34="Probabilidad"),(AC33-(+AC33*W34)),IF(T34="Probabilidad",(L33-(+L33*W34)),IF(T34="Impacto",AC33,""))),"")</f>
        <v/>
      </c>
      <c r="AB34" s="129" t="str">
        <f t="shared" si="2"/>
        <v/>
      </c>
      <c r="AC34" s="130" t="str">
        <f t="shared" ref="AC34:AC38" si="25">+AA34</f>
        <v/>
      </c>
      <c r="AD34" s="129" t="str">
        <f t="shared" si="4"/>
        <v/>
      </c>
      <c r="AE34" s="130" t="str">
        <f>IFERROR(IF(AND(T33="Impacto",T34="Impacto"),(AE33-(+AE33*W34)),IF(T34="Impacto",(P33-(+P33*W34)),IF(T34="Probabilidad",AE33,""))),"")</f>
        <v/>
      </c>
      <c r="AF34" s="131" t="str">
        <f t="shared" ref="AF34:AF35" si="26">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132"/>
      <c r="AH34" s="133"/>
      <c r="AI34" s="134"/>
      <c r="AJ34" s="135"/>
      <c r="AK34" s="135"/>
      <c r="AL34" s="133"/>
      <c r="AM34" s="134"/>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1" ht="68.45" customHeight="1" x14ac:dyDescent="0.3">
      <c r="A35" s="217"/>
      <c r="B35" s="211"/>
      <c r="C35" s="211"/>
      <c r="D35" s="211"/>
      <c r="E35" s="138"/>
      <c r="F35" s="211"/>
      <c r="G35" s="219"/>
      <c r="H35" s="219"/>
      <c r="I35" s="211"/>
      <c r="J35" s="213"/>
      <c r="K35" s="215"/>
      <c r="L35" s="223"/>
      <c r="M35" s="225"/>
      <c r="N35" s="223">
        <f>IF(NOT(ISERROR(MATCH(M35,_xlfn.ANCHORARRAY(H46),0))),L48&amp;"Por favor no seleccionar los criterios de impacto",M35)</f>
        <v>0</v>
      </c>
      <c r="O35" s="215"/>
      <c r="P35" s="223"/>
      <c r="Q35" s="221"/>
      <c r="R35" s="123">
        <v>3</v>
      </c>
      <c r="S35" s="136"/>
      <c r="T35" s="125" t="str">
        <f t="shared" si="0"/>
        <v/>
      </c>
      <c r="U35" s="126"/>
      <c r="V35" s="126"/>
      <c r="W35" s="127" t="str">
        <f t="shared" si="24"/>
        <v/>
      </c>
      <c r="X35" s="126"/>
      <c r="Y35" s="126"/>
      <c r="Z35" s="126"/>
      <c r="AA35" s="128" t="str">
        <f>IFERROR(IF(AND(T34="Probabilidad",T35="Probabilidad"),(AC34-(+AC34*W35)),IF(AND(T34="Impacto",T35="Probabilidad"),(AC33-(+AC33*W35)),IF(T35="Impacto",AC34,""))),"")</f>
        <v/>
      </c>
      <c r="AB35" s="129" t="str">
        <f t="shared" si="2"/>
        <v/>
      </c>
      <c r="AC35" s="130" t="str">
        <f t="shared" si="25"/>
        <v/>
      </c>
      <c r="AD35" s="129" t="str">
        <f t="shared" si="4"/>
        <v/>
      </c>
      <c r="AE35" s="130" t="str">
        <f>IFERROR(IF(AND(T34="Impacto",T35="Impacto"),(AE34-(+AE34*W35)),IF(AND(T34="Probabilidad",T35="Impacto"),(AE33-(+AE33*W35)),IF(T35="Probabilidad",AE34,""))),"")</f>
        <v/>
      </c>
      <c r="AF35" s="131" t="str">
        <f t="shared" si="26"/>
        <v/>
      </c>
      <c r="AG35" s="132"/>
      <c r="AH35" s="133"/>
      <c r="AI35" s="134"/>
      <c r="AJ35" s="135"/>
      <c r="AK35" s="135"/>
      <c r="AL35" s="133"/>
      <c r="AM35" s="134"/>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1" ht="68.45" customHeight="1" x14ac:dyDescent="0.3">
      <c r="A36" s="217"/>
      <c r="B36" s="211"/>
      <c r="C36" s="211"/>
      <c r="D36" s="211"/>
      <c r="E36" s="138"/>
      <c r="F36" s="211"/>
      <c r="G36" s="219"/>
      <c r="H36" s="219"/>
      <c r="I36" s="211"/>
      <c r="J36" s="213"/>
      <c r="K36" s="215"/>
      <c r="L36" s="223"/>
      <c r="M36" s="225"/>
      <c r="N36" s="223">
        <f>IF(NOT(ISERROR(MATCH(M36,_xlfn.ANCHORARRAY(H47),0))),L49&amp;"Por favor no seleccionar los criterios de impacto",M36)</f>
        <v>0</v>
      </c>
      <c r="O36" s="215"/>
      <c r="P36" s="223"/>
      <c r="Q36" s="221"/>
      <c r="R36" s="123">
        <v>4</v>
      </c>
      <c r="S36" s="124"/>
      <c r="T36" s="125" t="str">
        <f t="shared" si="0"/>
        <v/>
      </c>
      <c r="U36" s="126"/>
      <c r="V36" s="126"/>
      <c r="W36" s="127" t="str">
        <f t="shared" si="24"/>
        <v/>
      </c>
      <c r="X36" s="126"/>
      <c r="Y36" s="126"/>
      <c r="Z36" s="126"/>
      <c r="AA36" s="128" t="str">
        <f t="shared" ref="AA36:AA38" si="27">IFERROR(IF(AND(T35="Probabilidad",T36="Probabilidad"),(AC35-(+AC35*W36)),IF(AND(T35="Impacto",T36="Probabilidad"),(AC34-(+AC34*W36)),IF(T36="Impacto",AC35,""))),"")</f>
        <v/>
      </c>
      <c r="AB36" s="129" t="str">
        <f t="shared" si="2"/>
        <v/>
      </c>
      <c r="AC36" s="130" t="str">
        <f t="shared" si="25"/>
        <v/>
      </c>
      <c r="AD36" s="129" t="str">
        <f t="shared" si="4"/>
        <v/>
      </c>
      <c r="AE36" s="130" t="str">
        <f t="shared" ref="AE36:AE38" si="28">IFERROR(IF(AND(T35="Impacto",T36="Impacto"),(AE35-(+AE35*W36)),IF(AND(T35="Probabilidad",T36="Impacto"),(AE34-(+AE34*W36)),IF(T36="Probabilidad",AE35,""))),"")</f>
        <v/>
      </c>
      <c r="AF36" s="131" t="str">
        <f>IFERROR(IF(OR(AND(AB36="Muy Baja",AD36="Leve"),AND(AB36="Muy Baja",AD36="Menor"),AND(AB36="Baja",AD36="Leve")),"Bajo",IF(OR(AND(AB36="Muy baja",AD36="Moderado"),AND(AB36="Baja",AD36="Menor"),AND(AB36="Baja",AD36="Moderado"),AND(AB36="Media",AD36="Leve"),AND(AB36="Media",AD36="Menor"),AND(AB36="Media",AD36="Moderado"),AND(AB36="Alta",AD36="Leve"),AND(AB36="Alta",AD36="Menor")),"Moderado",IF(OR(AND(AB36="Muy Baja",AD36="Mayor"),AND(AB36="Baja",AD36="Mayor"),AND(AB36="Media",AD36="Mayor"),AND(AB36="Alta",AD36="Moderado"),AND(AB36="Alta",AD36="Mayor"),AND(AB36="Muy Alta",AD36="Leve"),AND(AB36="Muy Alta",AD36="Menor"),AND(AB36="Muy Alta",AD36="Moderado"),AND(AB36="Muy Alta",AD36="Mayor")),"Alto",IF(OR(AND(AB36="Muy Baja",AD36="Catastrófico"),AND(AB36="Baja",AD36="Catastrófico"),AND(AB36="Media",AD36="Catastrófico"),AND(AB36="Alta",AD36="Catastrófico"),AND(AB36="Muy Alta",AD36="Catastrófico")),"Extremo","")))),"")</f>
        <v/>
      </c>
      <c r="AG36" s="132"/>
      <c r="AH36" s="133"/>
      <c r="AI36" s="134"/>
      <c r="AJ36" s="135"/>
      <c r="AK36" s="135"/>
      <c r="AL36" s="133"/>
      <c r="AM36" s="134"/>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1" ht="68.45" customHeight="1" x14ac:dyDescent="0.3">
      <c r="A37" s="217"/>
      <c r="B37" s="211"/>
      <c r="C37" s="211"/>
      <c r="D37" s="211"/>
      <c r="E37" s="138"/>
      <c r="F37" s="211"/>
      <c r="G37" s="219"/>
      <c r="H37" s="219"/>
      <c r="I37" s="211"/>
      <c r="J37" s="213"/>
      <c r="K37" s="215"/>
      <c r="L37" s="223"/>
      <c r="M37" s="225"/>
      <c r="N37" s="223">
        <f>IF(NOT(ISERROR(MATCH(M37,_xlfn.ANCHORARRAY(H48),0))),L50&amp;"Por favor no seleccionar los criterios de impacto",M37)</f>
        <v>0</v>
      </c>
      <c r="O37" s="215"/>
      <c r="P37" s="223"/>
      <c r="Q37" s="221"/>
      <c r="R37" s="123">
        <v>5</v>
      </c>
      <c r="S37" s="124"/>
      <c r="T37" s="125" t="str">
        <f t="shared" si="0"/>
        <v/>
      </c>
      <c r="U37" s="126"/>
      <c r="V37" s="126"/>
      <c r="W37" s="127" t="str">
        <f t="shared" si="24"/>
        <v/>
      </c>
      <c r="X37" s="126"/>
      <c r="Y37" s="126"/>
      <c r="Z37" s="126"/>
      <c r="AA37" s="128" t="str">
        <f t="shared" si="27"/>
        <v/>
      </c>
      <c r="AB37" s="129" t="str">
        <f t="shared" si="2"/>
        <v/>
      </c>
      <c r="AC37" s="130" t="str">
        <f t="shared" si="25"/>
        <v/>
      </c>
      <c r="AD37" s="129" t="str">
        <f t="shared" si="4"/>
        <v/>
      </c>
      <c r="AE37" s="130" t="str">
        <f t="shared" si="28"/>
        <v/>
      </c>
      <c r="AF37" s="131" t="str">
        <f t="shared" ref="AF37:AF38" si="29">IFERROR(IF(OR(AND(AB37="Muy Baja",AD37="Leve"),AND(AB37="Muy Baja",AD37="Menor"),AND(AB37="Baja",AD37="Leve")),"Bajo",IF(OR(AND(AB37="Muy baja",AD37="Moderado"),AND(AB37="Baja",AD37="Menor"),AND(AB37="Baja",AD37="Moderado"),AND(AB37="Media",AD37="Leve"),AND(AB37="Media",AD37="Menor"),AND(AB37="Media",AD37="Moderado"),AND(AB37="Alta",AD37="Leve"),AND(AB37="Alta",AD37="Menor")),"Moderado",IF(OR(AND(AB37="Muy Baja",AD37="Mayor"),AND(AB37="Baja",AD37="Mayor"),AND(AB37="Media",AD37="Mayor"),AND(AB37="Alta",AD37="Moderado"),AND(AB37="Alta",AD37="Mayor"),AND(AB37="Muy Alta",AD37="Leve"),AND(AB37="Muy Alta",AD37="Menor"),AND(AB37="Muy Alta",AD37="Moderado"),AND(AB37="Muy Alta",AD37="Mayor")),"Alto",IF(OR(AND(AB37="Muy Baja",AD37="Catastrófico"),AND(AB37="Baja",AD37="Catastrófico"),AND(AB37="Media",AD37="Catastrófico"),AND(AB37="Alta",AD37="Catastrófico"),AND(AB37="Muy Alta",AD37="Catastrófico")),"Extremo","")))),"")</f>
        <v/>
      </c>
      <c r="AG37" s="132"/>
      <c r="AH37" s="133"/>
      <c r="AI37" s="134"/>
      <c r="AJ37" s="135"/>
      <c r="AK37" s="135"/>
      <c r="AL37" s="133"/>
      <c r="AM37" s="134"/>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row>
    <row r="38" spans="1:71" ht="68.45" customHeight="1" x14ac:dyDescent="0.3">
      <c r="A38" s="241"/>
      <c r="B38" s="242"/>
      <c r="C38" s="242"/>
      <c r="D38" s="242"/>
      <c r="E38" s="139"/>
      <c r="F38" s="242"/>
      <c r="G38" s="243"/>
      <c r="H38" s="243"/>
      <c r="I38" s="242"/>
      <c r="J38" s="245"/>
      <c r="K38" s="244"/>
      <c r="L38" s="239"/>
      <c r="M38" s="240"/>
      <c r="N38" s="239">
        <f>IF(NOT(ISERROR(MATCH(M38,_xlfn.ANCHORARRAY(H49),0))),L51&amp;"Por favor no seleccionar los criterios de impacto",M38)</f>
        <v>0</v>
      </c>
      <c r="O38" s="244"/>
      <c r="P38" s="239"/>
      <c r="Q38" s="248"/>
      <c r="R38" s="123">
        <v>6</v>
      </c>
      <c r="S38" s="124"/>
      <c r="T38" s="125" t="str">
        <f t="shared" si="0"/>
        <v/>
      </c>
      <c r="U38" s="126"/>
      <c r="V38" s="126"/>
      <c r="W38" s="127" t="str">
        <f t="shared" si="24"/>
        <v/>
      </c>
      <c r="X38" s="126"/>
      <c r="Y38" s="126"/>
      <c r="Z38" s="126"/>
      <c r="AA38" s="128" t="str">
        <f t="shared" si="27"/>
        <v/>
      </c>
      <c r="AB38" s="129" t="str">
        <f t="shared" si="2"/>
        <v/>
      </c>
      <c r="AC38" s="130" t="str">
        <f t="shared" si="25"/>
        <v/>
      </c>
      <c r="AD38" s="129" t="str">
        <f t="shared" si="4"/>
        <v/>
      </c>
      <c r="AE38" s="130" t="str">
        <f t="shared" si="28"/>
        <v/>
      </c>
      <c r="AF38" s="131" t="str">
        <f t="shared" si="29"/>
        <v/>
      </c>
      <c r="AG38" s="132"/>
      <c r="AH38" s="133"/>
      <c r="AI38" s="134"/>
      <c r="AJ38" s="135"/>
      <c r="AK38" s="135"/>
      <c r="AL38" s="133"/>
      <c r="AM38" s="134"/>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row>
    <row r="39" spans="1:71" ht="68.45" customHeight="1" x14ac:dyDescent="0.3">
      <c r="A39" s="216">
        <v>9</v>
      </c>
      <c r="B39" s="210"/>
      <c r="C39" s="210"/>
      <c r="D39" s="210"/>
      <c r="E39" s="137"/>
      <c r="F39" s="210"/>
      <c r="G39" s="218"/>
      <c r="H39" s="218"/>
      <c r="I39" s="210"/>
      <c r="J39" s="212"/>
      <c r="K39" s="214" t="str">
        <f>IF(J39&lt;=0,"",IF(J39&lt;=2,"Muy Baja",IF(J39&lt;=24,"Baja",IF(J39&lt;=500,"Media",IF(J39&lt;=5000,"Alta","Muy Alta")))))</f>
        <v/>
      </c>
      <c r="L39" s="222" t="str">
        <f>IF(K39="","",IF(K39="Muy Baja",0.2,IF(K39="Baja",0.4,IF(K39="Media",0.6,IF(K39="Alta",0.8,IF(K39="Muy Alta",1,))))))</f>
        <v/>
      </c>
      <c r="M39" s="224"/>
      <c r="N39" s="222">
        <f>IF(NOT(ISERROR(MATCH(M39,'Tabla Impacto'!$B$221:$B$223,0))),'Tabla Impacto'!$F$223&amp;"Por favor no seleccionar los criterios de impacto(Afectación Económica o presupuestal y Pérdida Reputacional)",M39)</f>
        <v>0</v>
      </c>
      <c r="O39" s="214" t="str">
        <f>IF(OR(N39='Tabla Impacto'!$C$11,N39='Tabla Impacto'!$D$11),"Leve",IF(OR(N39='Tabla Impacto'!$C$12,N39='Tabla Impacto'!$D$12),"Menor",IF(OR(N39='Tabla Impacto'!$C$13,N39='Tabla Impacto'!$D$13),"Moderado",IF(OR(N39='Tabla Impacto'!$C$14,N39='Tabla Impacto'!$D$14),"Mayor",IF(OR(N39='Tabla Impacto'!$C$15,N39='Tabla Impacto'!$D$15),"Catastrófico","")))))</f>
        <v/>
      </c>
      <c r="P39" s="222" t="str">
        <f>IF(O39="","",IF(O39="Leve",0.2,IF(O39="Menor",0.4,IF(O39="Moderado",0.6,IF(O39="Mayor",0.8,IF(O39="Catastrófico",1,))))))</f>
        <v/>
      </c>
      <c r="Q39" s="220" t="str">
        <f>IF(OR(AND(K39="Muy Baja",O39="Leve"),AND(K39="Muy Baja",O39="Menor"),AND(K39="Baja",O39="Leve")),"Bajo",IF(OR(AND(K39="Muy baja",O39="Moderado"),AND(K39="Baja",O39="Menor"),AND(K39="Baja",O39="Moderado"),AND(K39="Media",O39="Leve"),AND(K39="Media",O39="Menor"),AND(K39="Media",O39="Moderado"),AND(K39="Alta",O39="Leve"),AND(K39="Alta",O39="Menor")),"Moderado",IF(OR(AND(K39="Muy Baja",O39="Mayor"),AND(K39="Baja",O39="Mayor"),AND(K39="Media",O39="Mayor"),AND(K39="Alta",O39="Moderado"),AND(K39="Alta",O39="Mayor"),AND(K39="Muy Alta",O39="Leve"),AND(K39="Muy Alta",O39="Menor"),AND(K39="Muy Alta",O39="Moderado"),AND(K39="Muy Alta",O39="Mayor")),"Alto",IF(OR(AND(K39="Muy Baja",O39="Catastrófico"),AND(K39="Baja",O39="Catastrófico"),AND(K39="Media",O39="Catastrófico"),AND(K39="Alta",O39="Catastrófico"),AND(K39="Muy Alta",O39="Catastrófico")),"Extremo",""))))</f>
        <v/>
      </c>
      <c r="R39" s="123">
        <v>1</v>
      </c>
      <c r="S39" s="124"/>
      <c r="T39" s="125" t="str">
        <f t="shared" si="0"/>
        <v/>
      </c>
      <c r="U39" s="126"/>
      <c r="V39" s="126"/>
      <c r="W39" s="127" t="str">
        <f>IF(AND(U39="Preventivo",V39="Automático"),"50%",IF(AND(U39="Preventivo",V39="Manual"),"40%",IF(AND(U39="Detectivo",V39="Automático"),"40%",IF(AND(U39="Detectivo",V39="Manual"),"30%",IF(AND(U39="Correctivo",V39="Automático"),"35%",IF(AND(U39="Correctivo",V39="Manual"),"25%",""))))))</f>
        <v/>
      </c>
      <c r="X39" s="126"/>
      <c r="Y39" s="126"/>
      <c r="Z39" s="126"/>
      <c r="AA39" s="128" t="str">
        <f>IFERROR(IF(T39="Probabilidad",(L39-(+L39*W39)),IF(T39="Impacto",L39,"")),"")</f>
        <v/>
      </c>
      <c r="AB39" s="129" t="str">
        <f>IFERROR(IF(AA39="","",IF(AA39&lt;=0.2,"Muy Baja",IF(AA39&lt;=0.4,"Baja",IF(AA39&lt;=0.6,"Media",IF(AA39&lt;=0.8,"Alta","Muy Alta"))))),"")</f>
        <v/>
      </c>
      <c r="AC39" s="130" t="str">
        <f>+AA39</f>
        <v/>
      </c>
      <c r="AD39" s="129" t="str">
        <f>IFERROR(IF(AE39="","",IF(AE39&lt;=0.2,"Leve",IF(AE39&lt;=0.4,"Menor",IF(AE39&lt;=0.6,"Moderado",IF(AE39&lt;=0.8,"Mayor","Catastrófico"))))),"")</f>
        <v/>
      </c>
      <c r="AE39" s="130" t="str">
        <f>IFERROR(IF(T39="Impacto",(P39-(+P39*W39)),IF(T39="Probabilidad",P39,"")),"")</f>
        <v/>
      </c>
      <c r="AF39" s="131" t="str">
        <f>IFERROR(IF(OR(AND(AB39="Muy Baja",AD39="Leve"),AND(AB39="Muy Baja",AD39="Menor"),AND(AB39="Baja",AD39="Leve")),"Bajo",IF(OR(AND(AB39="Muy baja",AD39="Moderado"),AND(AB39="Baja",AD39="Menor"),AND(AB39="Baja",AD39="Moderado"),AND(AB39="Media",AD39="Leve"),AND(AB39="Media",AD39="Menor"),AND(AB39="Media",AD39="Moderado"),AND(AB39="Alta",AD39="Leve"),AND(AB39="Alta",AD39="Menor")),"Moderado",IF(OR(AND(AB39="Muy Baja",AD39="Mayor"),AND(AB39="Baja",AD39="Mayor"),AND(AB39="Media",AD39="Mayor"),AND(AB39="Alta",AD39="Moderado"),AND(AB39="Alta",AD39="Mayor"),AND(AB39="Muy Alta",AD39="Leve"),AND(AB39="Muy Alta",AD39="Menor"),AND(AB39="Muy Alta",AD39="Moderado"),AND(AB39="Muy Alta",AD39="Mayor")),"Alto",IF(OR(AND(AB39="Muy Baja",AD39="Catastrófico"),AND(AB39="Baja",AD39="Catastrófico"),AND(AB39="Media",AD39="Catastrófico"),AND(AB39="Alta",AD39="Catastrófico"),AND(AB39="Muy Alta",AD39="Catastrófico")),"Extremo","")))),"")</f>
        <v/>
      </c>
      <c r="AG39" s="132"/>
      <c r="AH39" s="133"/>
      <c r="AI39" s="134"/>
      <c r="AJ39" s="135"/>
      <c r="AK39" s="135"/>
      <c r="AL39" s="133"/>
      <c r="AM39" s="134"/>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row>
    <row r="40" spans="1:71" ht="68.45" customHeight="1" x14ac:dyDescent="0.3">
      <c r="A40" s="217"/>
      <c r="B40" s="211"/>
      <c r="C40" s="211"/>
      <c r="D40" s="211"/>
      <c r="E40" s="138"/>
      <c r="F40" s="211"/>
      <c r="G40" s="219"/>
      <c r="H40" s="219"/>
      <c r="I40" s="211"/>
      <c r="J40" s="213"/>
      <c r="K40" s="215"/>
      <c r="L40" s="223"/>
      <c r="M40" s="225"/>
      <c r="N40" s="223">
        <f>IF(NOT(ISERROR(MATCH(M40,_xlfn.ANCHORARRAY(F51),0))),L53&amp;"Por favor no seleccionar los criterios de impacto",M40)</f>
        <v>0</v>
      </c>
      <c r="O40" s="215"/>
      <c r="P40" s="223"/>
      <c r="Q40" s="221"/>
      <c r="R40" s="123">
        <v>2</v>
      </c>
      <c r="S40" s="124"/>
      <c r="T40" s="125" t="str">
        <f t="shared" si="0"/>
        <v/>
      </c>
      <c r="U40" s="126"/>
      <c r="V40" s="126"/>
      <c r="W40" s="127" t="str">
        <f t="shared" ref="W40:W44" si="30">IF(AND(U40="Preventivo",V40="Automático"),"50%",IF(AND(U40="Preventivo",V40="Manual"),"40%",IF(AND(U40="Detectivo",V40="Automático"),"40%",IF(AND(U40="Detectivo",V40="Manual"),"30%",IF(AND(U40="Correctivo",V40="Automático"),"35%",IF(AND(U40="Correctivo",V40="Manual"),"25%",""))))))</f>
        <v/>
      </c>
      <c r="X40" s="126"/>
      <c r="Y40" s="126"/>
      <c r="Z40" s="126"/>
      <c r="AA40" s="128" t="str">
        <f>IFERROR(IF(AND(T39="Probabilidad",T40="Probabilidad"),(AC39-(+AC39*W40)),IF(T40="Probabilidad",(L39-(+L39*W40)),IF(T40="Impacto",AC39,""))),"")</f>
        <v/>
      </c>
      <c r="AB40" s="129" t="str">
        <f t="shared" si="2"/>
        <v/>
      </c>
      <c r="AC40" s="130" t="str">
        <f t="shared" ref="AC40:AC44" si="31">+AA40</f>
        <v/>
      </c>
      <c r="AD40" s="129" t="str">
        <f t="shared" si="4"/>
        <v/>
      </c>
      <c r="AE40" s="130" t="str">
        <f>IFERROR(IF(AND(T39="Impacto",T40="Impacto"),(AE39-(+AE39*W40)),IF(T40="Impacto",(P39-(+P39*W40)),IF(T40="Probabilidad",AE39,""))),"")</f>
        <v/>
      </c>
      <c r="AF40" s="131" t="str">
        <f t="shared" ref="AF40:AF41" si="32">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
      </c>
      <c r="AG40" s="132"/>
      <c r="AH40" s="133"/>
      <c r="AI40" s="134"/>
      <c r="AJ40" s="135"/>
      <c r="AK40" s="135"/>
      <c r="AL40" s="133"/>
      <c r="AM40" s="134"/>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row>
    <row r="41" spans="1:71" ht="68.45" customHeight="1" x14ac:dyDescent="0.3">
      <c r="A41" s="217"/>
      <c r="B41" s="211"/>
      <c r="C41" s="211"/>
      <c r="D41" s="211"/>
      <c r="E41" s="138"/>
      <c r="F41" s="211"/>
      <c r="G41" s="219"/>
      <c r="H41" s="219"/>
      <c r="I41" s="211"/>
      <c r="J41" s="213"/>
      <c r="K41" s="215"/>
      <c r="L41" s="223"/>
      <c r="M41" s="225"/>
      <c r="N41" s="223">
        <f>IF(NOT(ISERROR(MATCH(M41,_xlfn.ANCHORARRAY(F52),0))),L54&amp;"Por favor no seleccionar los criterios de impacto",M41)</f>
        <v>0</v>
      </c>
      <c r="O41" s="215"/>
      <c r="P41" s="223"/>
      <c r="Q41" s="221"/>
      <c r="R41" s="123">
        <v>3</v>
      </c>
      <c r="S41" s="136"/>
      <c r="T41" s="125" t="str">
        <f t="shared" si="0"/>
        <v/>
      </c>
      <c r="U41" s="126"/>
      <c r="V41" s="126"/>
      <c r="W41" s="127" t="str">
        <f t="shared" si="30"/>
        <v/>
      </c>
      <c r="X41" s="126"/>
      <c r="Y41" s="126"/>
      <c r="Z41" s="126"/>
      <c r="AA41" s="128" t="str">
        <f>IFERROR(IF(AND(T40="Probabilidad",T41="Probabilidad"),(AC40-(+AC40*W41)),IF(AND(T40="Impacto",T41="Probabilidad"),(AC39-(+AC39*W41)),IF(T41="Impacto",AC40,""))),"")</f>
        <v/>
      </c>
      <c r="AB41" s="129" t="str">
        <f t="shared" si="2"/>
        <v/>
      </c>
      <c r="AC41" s="130" t="str">
        <f t="shared" si="31"/>
        <v/>
      </c>
      <c r="AD41" s="129" t="str">
        <f t="shared" si="4"/>
        <v/>
      </c>
      <c r="AE41" s="130" t="str">
        <f>IFERROR(IF(AND(T40="Impacto",T41="Impacto"),(AE40-(+AE40*W41)),IF(AND(T40="Probabilidad",T41="Impacto"),(AE39-(+AE39*W41)),IF(T41="Probabilidad",AE40,""))),"")</f>
        <v/>
      </c>
      <c r="AF41" s="131" t="str">
        <f t="shared" si="32"/>
        <v/>
      </c>
      <c r="AG41" s="132"/>
      <c r="AH41" s="133"/>
      <c r="AI41" s="134"/>
      <c r="AJ41" s="135"/>
      <c r="AK41" s="135"/>
      <c r="AL41" s="133"/>
      <c r="AM41" s="134"/>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row>
    <row r="42" spans="1:71" ht="68.45" customHeight="1" x14ac:dyDescent="0.3">
      <c r="A42" s="217"/>
      <c r="B42" s="211"/>
      <c r="C42" s="211"/>
      <c r="D42" s="211"/>
      <c r="E42" s="138"/>
      <c r="F42" s="211"/>
      <c r="G42" s="219"/>
      <c r="H42" s="219"/>
      <c r="I42" s="211"/>
      <c r="J42" s="213"/>
      <c r="K42" s="215"/>
      <c r="L42" s="223"/>
      <c r="M42" s="225"/>
      <c r="N42" s="223">
        <f>IF(NOT(ISERROR(MATCH(M42,_xlfn.ANCHORARRAY(F53),0))),L55&amp;"Por favor no seleccionar los criterios de impacto",M42)</f>
        <v>0</v>
      </c>
      <c r="O42" s="215"/>
      <c r="P42" s="223"/>
      <c r="Q42" s="221"/>
      <c r="R42" s="123">
        <v>4</v>
      </c>
      <c r="S42" s="124"/>
      <c r="T42" s="125" t="str">
        <f t="shared" si="0"/>
        <v/>
      </c>
      <c r="U42" s="126"/>
      <c r="V42" s="126"/>
      <c r="W42" s="127" t="str">
        <f t="shared" si="30"/>
        <v/>
      </c>
      <c r="X42" s="126"/>
      <c r="Y42" s="126"/>
      <c r="Z42" s="126"/>
      <c r="AA42" s="128" t="str">
        <f t="shared" ref="AA42:AA44" si="33">IFERROR(IF(AND(T41="Probabilidad",T42="Probabilidad"),(AC41-(+AC41*W42)),IF(AND(T41="Impacto",T42="Probabilidad"),(AC40-(+AC40*W42)),IF(T42="Impacto",AC41,""))),"")</f>
        <v/>
      </c>
      <c r="AB42" s="129" t="str">
        <f t="shared" si="2"/>
        <v/>
      </c>
      <c r="AC42" s="130" t="str">
        <f t="shared" si="31"/>
        <v/>
      </c>
      <c r="AD42" s="129" t="str">
        <f t="shared" si="4"/>
        <v/>
      </c>
      <c r="AE42" s="130" t="str">
        <f t="shared" ref="AE42:AE44" si="34">IFERROR(IF(AND(T41="Impacto",T42="Impacto"),(AE41-(+AE41*W42)),IF(AND(T41="Probabilidad",T42="Impacto"),(AE40-(+AE40*W42)),IF(T42="Probabilidad",AE41,""))),"")</f>
        <v/>
      </c>
      <c r="AF42" s="131" t="str">
        <f>IFERROR(IF(OR(AND(AB42="Muy Baja",AD42="Leve"),AND(AB42="Muy Baja",AD42="Menor"),AND(AB42="Baja",AD42="Leve")),"Bajo",IF(OR(AND(AB42="Muy baja",AD42="Moderado"),AND(AB42="Baja",AD42="Menor"),AND(AB42="Baja",AD42="Moderado"),AND(AB42="Media",AD42="Leve"),AND(AB42="Media",AD42="Menor"),AND(AB42="Media",AD42="Moderado"),AND(AB42="Alta",AD42="Leve"),AND(AB42="Alta",AD42="Menor")),"Moderado",IF(OR(AND(AB42="Muy Baja",AD42="Mayor"),AND(AB42="Baja",AD42="Mayor"),AND(AB42="Media",AD42="Mayor"),AND(AB42="Alta",AD42="Moderado"),AND(AB42="Alta",AD42="Mayor"),AND(AB42="Muy Alta",AD42="Leve"),AND(AB42="Muy Alta",AD42="Menor"),AND(AB42="Muy Alta",AD42="Moderado"),AND(AB42="Muy Alta",AD42="Mayor")),"Alto",IF(OR(AND(AB42="Muy Baja",AD42="Catastrófico"),AND(AB42="Baja",AD42="Catastrófico"),AND(AB42="Media",AD42="Catastrófico"),AND(AB42="Alta",AD42="Catastrófico"),AND(AB42="Muy Alta",AD42="Catastrófico")),"Extremo","")))),"")</f>
        <v/>
      </c>
      <c r="AG42" s="132"/>
      <c r="AH42" s="133"/>
      <c r="AI42" s="134"/>
      <c r="AJ42" s="135"/>
      <c r="AK42" s="135"/>
      <c r="AL42" s="133"/>
      <c r="AM42" s="134"/>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1" ht="68.45" customHeight="1" x14ac:dyDescent="0.3">
      <c r="A43" s="217"/>
      <c r="B43" s="211"/>
      <c r="C43" s="211"/>
      <c r="D43" s="211"/>
      <c r="E43" s="138"/>
      <c r="F43" s="211"/>
      <c r="G43" s="219"/>
      <c r="H43" s="219"/>
      <c r="I43" s="211"/>
      <c r="J43" s="213"/>
      <c r="K43" s="215"/>
      <c r="L43" s="223"/>
      <c r="M43" s="225"/>
      <c r="N43" s="223">
        <f>IF(NOT(ISERROR(MATCH(M43,_xlfn.ANCHORARRAY(F54),0))),L56&amp;"Por favor no seleccionar los criterios de impacto",M43)</f>
        <v>0</v>
      </c>
      <c r="O43" s="215"/>
      <c r="P43" s="223"/>
      <c r="Q43" s="221"/>
      <c r="R43" s="123">
        <v>5</v>
      </c>
      <c r="S43" s="124"/>
      <c r="T43" s="125" t="str">
        <f t="shared" si="0"/>
        <v/>
      </c>
      <c r="U43" s="126"/>
      <c r="V43" s="126"/>
      <c r="W43" s="127" t="str">
        <f t="shared" si="30"/>
        <v/>
      </c>
      <c r="X43" s="126"/>
      <c r="Y43" s="126"/>
      <c r="Z43" s="126"/>
      <c r="AA43" s="128" t="str">
        <f t="shared" si="33"/>
        <v/>
      </c>
      <c r="AB43" s="129" t="str">
        <f t="shared" si="2"/>
        <v/>
      </c>
      <c r="AC43" s="130" t="str">
        <f t="shared" si="31"/>
        <v/>
      </c>
      <c r="AD43" s="129" t="str">
        <f t="shared" si="4"/>
        <v/>
      </c>
      <c r="AE43" s="130" t="str">
        <f t="shared" si="34"/>
        <v/>
      </c>
      <c r="AF43" s="131" t="str">
        <f t="shared" ref="AF43:AF44" si="35">IFERROR(IF(OR(AND(AB43="Muy Baja",AD43="Leve"),AND(AB43="Muy Baja",AD43="Menor"),AND(AB43="Baja",AD43="Leve")),"Bajo",IF(OR(AND(AB43="Muy baja",AD43="Moderado"),AND(AB43="Baja",AD43="Menor"),AND(AB43="Baja",AD43="Moderado"),AND(AB43="Media",AD43="Leve"),AND(AB43="Media",AD43="Menor"),AND(AB43="Media",AD43="Moderado"),AND(AB43="Alta",AD43="Leve"),AND(AB43="Alta",AD43="Menor")),"Moderado",IF(OR(AND(AB43="Muy Baja",AD43="Mayor"),AND(AB43="Baja",AD43="Mayor"),AND(AB43="Media",AD43="Mayor"),AND(AB43="Alta",AD43="Moderado"),AND(AB43="Alta",AD43="Mayor"),AND(AB43="Muy Alta",AD43="Leve"),AND(AB43="Muy Alta",AD43="Menor"),AND(AB43="Muy Alta",AD43="Moderado"),AND(AB43="Muy Alta",AD43="Mayor")),"Alto",IF(OR(AND(AB43="Muy Baja",AD43="Catastrófico"),AND(AB43="Baja",AD43="Catastrófico"),AND(AB43="Media",AD43="Catastrófico"),AND(AB43="Alta",AD43="Catastrófico"),AND(AB43="Muy Alta",AD43="Catastrófico")),"Extremo","")))),"")</f>
        <v/>
      </c>
      <c r="AG43" s="132"/>
      <c r="AH43" s="133"/>
      <c r="AI43" s="134"/>
      <c r="AJ43" s="135"/>
      <c r="AK43" s="135"/>
      <c r="AL43" s="133"/>
      <c r="AM43" s="134"/>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1" ht="68.45" customHeight="1" x14ac:dyDescent="0.3">
      <c r="A44" s="241"/>
      <c r="B44" s="242"/>
      <c r="C44" s="242"/>
      <c r="D44" s="242"/>
      <c r="E44" s="139"/>
      <c r="F44" s="242"/>
      <c r="G44" s="243"/>
      <c r="H44" s="243"/>
      <c r="I44" s="242"/>
      <c r="J44" s="245"/>
      <c r="K44" s="244"/>
      <c r="L44" s="239"/>
      <c r="M44" s="240"/>
      <c r="N44" s="239">
        <f>IF(NOT(ISERROR(MATCH(M44,_xlfn.ANCHORARRAY(F55),0))),L57&amp;"Por favor no seleccionar los criterios de impacto",M44)</f>
        <v>0</v>
      </c>
      <c r="O44" s="244"/>
      <c r="P44" s="239"/>
      <c r="Q44" s="248"/>
      <c r="R44" s="123">
        <v>6</v>
      </c>
      <c r="S44" s="124"/>
      <c r="T44" s="125" t="str">
        <f t="shared" si="0"/>
        <v/>
      </c>
      <c r="U44" s="126"/>
      <c r="V44" s="126"/>
      <c r="W44" s="127" t="str">
        <f t="shared" si="30"/>
        <v/>
      </c>
      <c r="X44" s="126"/>
      <c r="Y44" s="126"/>
      <c r="Z44" s="126"/>
      <c r="AA44" s="128" t="str">
        <f t="shared" si="33"/>
        <v/>
      </c>
      <c r="AB44" s="129" t="str">
        <f t="shared" si="2"/>
        <v/>
      </c>
      <c r="AC44" s="130" t="str">
        <f t="shared" si="31"/>
        <v/>
      </c>
      <c r="AD44" s="129" t="str">
        <f t="shared" si="4"/>
        <v/>
      </c>
      <c r="AE44" s="130" t="str">
        <f t="shared" si="34"/>
        <v/>
      </c>
      <c r="AF44" s="131" t="str">
        <f t="shared" si="35"/>
        <v/>
      </c>
      <c r="AG44" s="132"/>
      <c r="AH44" s="133"/>
      <c r="AI44" s="134"/>
      <c r="AJ44" s="135"/>
      <c r="AK44" s="135"/>
      <c r="AL44" s="133"/>
      <c r="AM44" s="134"/>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row>
    <row r="45" spans="1:71" ht="68.45" customHeight="1" x14ac:dyDescent="0.3">
      <c r="A45" s="216">
        <v>10</v>
      </c>
      <c r="B45" s="210"/>
      <c r="C45" s="210"/>
      <c r="D45" s="210"/>
      <c r="E45" s="137"/>
      <c r="F45" s="210"/>
      <c r="G45" s="218"/>
      <c r="H45" s="218"/>
      <c r="I45" s="210"/>
      <c r="J45" s="212"/>
      <c r="K45" s="214" t="str">
        <f>IF(J45&lt;=0,"",IF(J45&lt;=2,"Muy Baja",IF(J45&lt;=24,"Baja",IF(J45&lt;=500,"Media",IF(J45&lt;=5000,"Alta","Muy Alta")))))</f>
        <v/>
      </c>
      <c r="L45" s="222" t="str">
        <f>IF(K45="","",IF(K45="Muy Baja",0.2,IF(K45="Baja",0.4,IF(K45="Media",0.6,IF(K45="Alta",0.8,IF(K45="Muy Alta",1,))))))</f>
        <v/>
      </c>
      <c r="M45" s="224"/>
      <c r="N45" s="222">
        <f>IF(NOT(ISERROR(MATCH(M45,'Tabla Impacto'!$B$221:$B$223,0))),'Tabla Impacto'!$F$223&amp;"Por favor no seleccionar los criterios de impacto(Afectación Económica o presupuestal y Pérdida Reputacional)",M45)</f>
        <v>0</v>
      </c>
      <c r="O45" s="214" t="str">
        <f>IF(OR(N45='Tabla Impacto'!$C$11,N45='Tabla Impacto'!$D$11),"Leve",IF(OR(N45='Tabla Impacto'!$C$12,N45='Tabla Impacto'!$D$12),"Menor",IF(OR(N45='Tabla Impacto'!$C$13,N45='Tabla Impacto'!$D$13),"Moderado",IF(OR(N45='Tabla Impacto'!$C$14,N45='Tabla Impacto'!$D$14),"Mayor",IF(OR(N45='Tabla Impacto'!$C$15,N45='Tabla Impacto'!$D$15),"Catastrófico","")))))</f>
        <v/>
      </c>
      <c r="P45" s="222" t="str">
        <f>IF(O45="","",IF(O45="Leve",0.2,IF(O45="Menor",0.4,IF(O45="Moderado",0.6,IF(O45="Mayor",0.8,IF(O45="Catastrófico",1,))))))</f>
        <v/>
      </c>
      <c r="Q45" s="220" t="str">
        <f>IF(OR(AND(K45="Muy Baja",O45="Leve"),AND(K45="Muy Baja",O45="Menor"),AND(K45="Baja",O45="Leve")),"Bajo",IF(OR(AND(K45="Muy baja",O45="Moderado"),AND(K45="Baja",O45="Menor"),AND(K45="Baja",O45="Moderado"),AND(K45="Media",O45="Leve"),AND(K45="Media",O45="Menor"),AND(K45="Media",O45="Moderado"),AND(K45="Alta",O45="Leve"),AND(K45="Alta",O45="Menor")),"Moderado",IF(OR(AND(K45="Muy Baja",O45="Mayor"),AND(K45="Baja",O45="Mayor"),AND(K45="Media",O45="Mayor"),AND(K45="Alta",O45="Moderado"),AND(K45="Alta",O45="Mayor"),AND(K45="Muy Alta",O45="Leve"),AND(K45="Muy Alta",O45="Menor"),AND(K45="Muy Alta",O45="Moderado"),AND(K45="Muy Alta",O45="Mayor")),"Alto",IF(OR(AND(K45="Muy Baja",O45="Catastrófico"),AND(K45="Baja",O45="Catastrófico"),AND(K45="Media",O45="Catastrófico"),AND(K45="Alta",O45="Catastrófico"),AND(K45="Muy Alta",O45="Catastrófico")),"Extremo",""))))</f>
        <v/>
      </c>
      <c r="R45" s="123">
        <v>1</v>
      </c>
      <c r="S45" s="124"/>
      <c r="T45" s="125" t="str">
        <f t="shared" si="0"/>
        <v/>
      </c>
      <c r="U45" s="126"/>
      <c r="V45" s="126"/>
      <c r="W45" s="127" t="str">
        <f>IF(AND(U45="Preventivo",V45="Automático"),"50%",IF(AND(U45="Preventivo",V45="Manual"),"40%",IF(AND(U45="Detectivo",V45="Automático"),"40%",IF(AND(U45="Detectivo",V45="Manual"),"30%",IF(AND(U45="Correctivo",V45="Automático"),"35%",IF(AND(U45="Correctivo",V45="Manual"),"25%",""))))))</f>
        <v/>
      </c>
      <c r="X45" s="126"/>
      <c r="Y45" s="126"/>
      <c r="Z45" s="126"/>
      <c r="AA45" s="128" t="str">
        <f>IFERROR(IF(T45="Probabilidad",(L45-(+L45*W45)),IF(T45="Impacto",L45,"")),"")</f>
        <v/>
      </c>
      <c r="AB45" s="129" t="str">
        <f>IFERROR(IF(AA45="","",IF(AA45&lt;=0.2,"Muy Baja",IF(AA45&lt;=0.4,"Baja",IF(AA45&lt;=0.6,"Media",IF(AA45&lt;=0.8,"Alta","Muy Alta"))))),"")</f>
        <v/>
      </c>
      <c r="AC45" s="130" t="str">
        <f>+AA45</f>
        <v/>
      </c>
      <c r="AD45" s="129" t="str">
        <f>IFERROR(IF(AE45="","",IF(AE45&lt;=0.2,"Leve",IF(AE45&lt;=0.4,"Menor",IF(AE45&lt;=0.6,"Moderado",IF(AE45&lt;=0.8,"Mayor","Catastrófico"))))),"")</f>
        <v/>
      </c>
      <c r="AE45" s="130" t="str">
        <f>IFERROR(IF(T45="Impacto",(P45-(+P45*W45)),IF(T45="Probabilidad",P45,"")),"")</f>
        <v/>
      </c>
      <c r="AF45" s="131" t="str">
        <f>IFERROR(IF(OR(AND(AB45="Muy Baja",AD45="Leve"),AND(AB45="Muy Baja",AD45="Menor"),AND(AB45="Baja",AD45="Leve")),"Bajo",IF(OR(AND(AB45="Muy baja",AD45="Moderado"),AND(AB45="Baja",AD45="Menor"),AND(AB45="Baja",AD45="Moderado"),AND(AB45="Media",AD45="Leve"),AND(AB45="Media",AD45="Menor"),AND(AB45="Media",AD45="Moderado"),AND(AB45="Alta",AD45="Leve"),AND(AB45="Alta",AD45="Menor")),"Moderado",IF(OR(AND(AB45="Muy Baja",AD45="Mayor"),AND(AB45="Baja",AD45="Mayor"),AND(AB45="Media",AD45="Mayor"),AND(AB45="Alta",AD45="Moderado"),AND(AB45="Alta",AD45="Mayor"),AND(AB45="Muy Alta",AD45="Leve"),AND(AB45="Muy Alta",AD45="Menor"),AND(AB45="Muy Alta",AD45="Moderado"),AND(AB45="Muy Alta",AD45="Mayor")),"Alto",IF(OR(AND(AB45="Muy Baja",AD45="Catastrófico"),AND(AB45="Baja",AD45="Catastrófico"),AND(AB45="Media",AD45="Catastrófico"),AND(AB45="Alta",AD45="Catastrófico"),AND(AB45="Muy Alta",AD45="Catastrófico")),"Extremo","")))),"")</f>
        <v/>
      </c>
      <c r="AG45" s="132"/>
      <c r="AH45" s="133"/>
      <c r="AI45" s="134"/>
      <c r="AJ45" s="135"/>
      <c r="AK45" s="135"/>
      <c r="AL45" s="133"/>
      <c r="AM45" s="134"/>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row>
    <row r="46" spans="1:71" ht="68.45" customHeight="1" x14ac:dyDescent="0.3">
      <c r="A46" s="217"/>
      <c r="B46" s="211"/>
      <c r="C46" s="211"/>
      <c r="D46" s="211"/>
      <c r="E46" s="138"/>
      <c r="F46" s="211"/>
      <c r="G46" s="219"/>
      <c r="H46" s="219"/>
      <c r="I46" s="211"/>
      <c r="J46" s="213"/>
      <c r="K46" s="215"/>
      <c r="L46" s="223"/>
      <c r="M46" s="225"/>
      <c r="N46" s="223">
        <f>IF(NOT(ISERROR(MATCH(M46,_xlfn.ANCHORARRAY(F57),0))),L59&amp;"Por favor no seleccionar los criterios de impacto",M46)</f>
        <v>0</v>
      </c>
      <c r="O46" s="215"/>
      <c r="P46" s="223"/>
      <c r="Q46" s="221"/>
      <c r="R46" s="123">
        <v>2</v>
      </c>
      <c r="S46" s="124"/>
      <c r="T46" s="125" t="str">
        <f t="shared" si="0"/>
        <v/>
      </c>
      <c r="U46" s="126"/>
      <c r="V46" s="126"/>
      <c r="W46" s="127" t="str">
        <f t="shared" ref="W46:W50" si="36">IF(AND(U46="Preventivo",V46="Automático"),"50%",IF(AND(U46="Preventivo",V46="Manual"),"40%",IF(AND(U46="Detectivo",V46="Automático"),"40%",IF(AND(U46="Detectivo",V46="Manual"),"30%",IF(AND(U46="Correctivo",V46="Automático"),"35%",IF(AND(U46="Correctivo",V46="Manual"),"25%",""))))))</f>
        <v/>
      </c>
      <c r="X46" s="126"/>
      <c r="Y46" s="126"/>
      <c r="Z46" s="126"/>
      <c r="AA46" s="128" t="str">
        <f>IFERROR(IF(AND(T45="Probabilidad",T46="Probabilidad"),(AC45-(+AC45*W46)),IF(T46="Probabilidad",(L45-(+L45*W46)),IF(T46="Impacto",AC45,""))),"")</f>
        <v/>
      </c>
      <c r="AB46" s="129" t="str">
        <f t="shared" si="2"/>
        <v/>
      </c>
      <c r="AC46" s="130" t="str">
        <f t="shared" ref="AC46:AC50" si="37">+AA46</f>
        <v/>
      </c>
      <c r="AD46" s="129" t="str">
        <f t="shared" si="4"/>
        <v/>
      </c>
      <c r="AE46" s="130" t="str">
        <f>IFERROR(IF(AND(T45="Impacto",T46="Impacto"),(AE45-(+AE45*W46)),IF(T46="Impacto",(P45-(+P45*W46)),IF(T46="Probabilidad",AE45,""))),"")</f>
        <v/>
      </c>
      <c r="AF46" s="131" t="str">
        <f t="shared" ref="AF46:AF47" si="38">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132"/>
      <c r="AH46" s="133"/>
      <c r="AI46" s="134"/>
      <c r="AJ46" s="135"/>
      <c r="AK46" s="135"/>
      <c r="AL46" s="133"/>
      <c r="AM46" s="134"/>
    </row>
    <row r="47" spans="1:71" ht="68.45" customHeight="1" x14ac:dyDescent="0.3">
      <c r="A47" s="217"/>
      <c r="B47" s="211"/>
      <c r="C47" s="211"/>
      <c r="D47" s="211"/>
      <c r="E47" s="138"/>
      <c r="F47" s="211"/>
      <c r="G47" s="219"/>
      <c r="H47" s="219"/>
      <c r="I47" s="211"/>
      <c r="J47" s="213"/>
      <c r="K47" s="215"/>
      <c r="L47" s="223"/>
      <c r="M47" s="225"/>
      <c r="N47" s="223">
        <f>IF(NOT(ISERROR(MATCH(M47,_xlfn.ANCHORARRAY(F58),0))),L60&amp;"Por favor no seleccionar los criterios de impacto",M47)</f>
        <v>0</v>
      </c>
      <c r="O47" s="215"/>
      <c r="P47" s="223"/>
      <c r="Q47" s="221"/>
      <c r="R47" s="123">
        <v>3</v>
      </c>
      <c r="S47" s="136"/>
      <c r="T47" s="125" t="str">
        <f t="shared" si="0"/>
        <v/>
      </c>
      <c r="U47" s="126"/>
      <c r="V47" s="126"/>
      <c r="W47" s="127" t="str">
        <f t="shared" si="36"/>
        <v/>
      </c>
      <c r="X47" s="126"/>
      <c r="Y47" s="126"/>
      <c r="Z47" s="126"/>
      <c r="AA47" s="128" t="str">
        <f>IFERROR(IF(AND(T46="Probabilidad",T47="Probabilidad"),(AC46-(+AC46*W47)),IF(AND(T46="Impacto",T47="Probabilidad"),(AC45-(+AC45*W47)),IF(T47="Impacto",AC46,""))),"")</f>
        <v/>
      </c>
      <c r="AB47" s="129" t="str">
        <f t="shared" si="2"/>
        <v/>
      </c>
      <c r="AC47" s="130" t="str">
        <f t="shared" si="37"/>
        <v/>
      </c>
      <c r="AD47" s="129" t="str">
        <f t="shared" si="4"/>
        <v/>
      </c>
      <c r="AE47" s="130" t="str">
        <f>IFERROR(IF(AND(T46="Impacto",T47="Impacto"),(AE46-(+AE46*W47)),IF(AND(T46="Probabilidad",T47="Impacto"),(AE45-(+AE45*W47)),IF(T47="Probabilidad",AE46,""))),"")</f>
        <v/>
      </c>
      <c r="AF47" s="131" t="str">
        <f t="shared" si="38"/>
        <v/>
      </c>
      <c r="AG47" s="132"/>
      <c r="AH47" s="133"/>
      <c r="AI47" s="134"/>
      <c r="AJ47" s="135"/>
      <c r="AK47" s="135"/>
      <c r="AL47" s="133"/>
      <c r="AM47" s="134"/>
    </row>
    <row r="48" spans="1:71" ht="68.45" customHeight="1" x14ac:dyDescent="0.3">
      <c r="A48" s="217"/>
      <c r="B48" s="211"/>
      <c r="C48" s="211"/>
      <c r="D48" s="211"/>
      <c r="E48" s="138"/>
      <c r="F48" s="211"/>
      <c r="G48" s="219"/>
      <c r="H48" s="219"/>
      <c r="I48" s="211"/>
      <c r="J48" s="213"/>
      <c r="K48" s="215"/>
      <c r="L48" s="223"/>
      <c r="M48" s="225"/>
      <c r="N48" s="223">
        <f>IF(NOT(ISERROR(MATCH(M48,_xlfn.ANCHORARRAY(F59),0))),L61&amp;"Por favor no seleccionar los criterios de impacto",M48)</f>
        <v>0</v>
      </c>
      <c r="O48" s="215"/>
      <c r="P48" s="223"/>
      <c r="Q48" s="221"/>
      <c r="R48" s="123">
        <v>4</v>
      </c>
      <c r="S48" s="124"/>
      <c r="T48" s="125" t="str">
        <f t="shared" si="0"/>
        <v/>
      </c>
      <c r="U48" s="126"/>
      <c r="V48" s="126"/>
      <c r="W48" s="127" t="str">
        <f t="shared" si="36"/>
        <v/>
      </c>
      <c r="X48" s="126"/>
      <c r="Y48" s="126"/>
      <c r="Z48" s="126"/>
      <c r="AA48" s="128" t="str">
        <f t="shared" ref="AA48:AA50" si="39">IFERROR(IF(AND(T47="Probabilidad",T48="Probabilidad"),(AC47-(+AC47*W48)),IF(AND(T47="Impacto",T48="Probabilidad"),(AC46-(+AC46*W48)),IF(T48="Impacto",AC47,""))),"")</f>
        <v/>
      </c>
      <c r="AB48" s="129" t="str">
        <f t="shared" si="2"/>
        <v/>
      </c>
      <c r="AC48" s="130" t="str">
        <f t="shared" si="37"/>
        <v/>
      </c>
      <c r="AD48" s="129" t="str">
        <f t="shared" si="4"/>
        <v/>
      </c>
      <c r="AE48" s="130" t="str">
        <f t="shared" ref="AE48:AE50" si="40">IFERROR(IF(AND(T47="Impacto",T48="Impacto"),(AE47-(+AE47*W48)),IF(AND(T47="Probabilidad",T48="Impacto"),(AE46-(+AE46*W48)),IF(T48="Probabilidad",AE47,""))),"")</f>
        <v/>
      </c>
      <c r="AF48" s="131" t="str">
        <f>IFERROR(IF(OR(AND(AB48="Muy Baja",AD48="Leve"),AND(AB48="Muy Baja",AD48="Menor"),AND(AB48="Baja",AD48="Leve")),"Bajo",IF(OR(AND(AB48="Muy baja",AD48="Moderado"),AND(AB48="Baja",AD48="Menor"),AND(AB48="Baja",AD48="Moderado"),AND(AB48="Media",AD48="Leve"),AND(AB48="Media",AD48="Menor"),AND(AB48="Media",AD48="Moderado"),AND(AB48="Alta",AD48="Leve"),AND(AB48="Alta",AD48="Menor")),"Moderado",IF(OR(AND(AB48="Muy Baja",AD48="Mayor"),AND(AB48="Baja",AD48="Mayor"),AND(AB48="Media",AD48="Mayor"),AND(AB48="Alta",AD48="Moderado"),AND(AB48="Alta",AD48="Mayor"),AND(AB48="Muy Alta",AD48="Leve"),AND(AB48="Muy Alta",AD48="Menor"),AND(AB48="Muy Alta",AD48="Moderado"),AND(AB48="Muy Alta",AD48="Mayor")),"Alto",IF(OR(AND(AB48="Muy Baja",AD48="Catastrófico"),AND(AB48="Baja",AD48="Catastrófico"),AND(AB48="Media",AD48="Catastrófico"),AND(AB48="Alta",AD48="Catastrófico"),AND(AB48="Muy Alta",AD48="Catastrófico")),"Extremo","")))),"")</f>
        <v/>
      </c>
      <c r="AG48" s="132"/>
      <c r="AH48" s="133"/>
      <c r="AI48" s="134"/>
      <c r="AJ48" s="135"/>
      <c r="AK48" s="135"/>
      <c r="AL48" s="133"/>
      <c r="AM48" s="134"/>
    </row>
    <row r="49" spans="1:39" ht="68.45" customHeight="1" x14ac:dyDescent="0.3">
      <c r="A49" s="217"/>
      <c r="B49" s="211"/>
      <c r="C49" s="211"/>
      <c r="D49" s="211"/>
      <c r="E49" s="138"/>
      <c r="F49" s="211"/>
      <c r="G49" s="219"/>
      <c r="H49" s="219"/>
      <c r="I49" s="211"/>
      <c r="J49" s="213"/>
      <c r="K49" s="215"/>
      <c r="L49" s="223"/>
      <c r="M49" s="225"/>
      <c r="N49" s="223">
        <f>IF(NOT(ISERROR(MATCH(M49,_xlfn.ANCHORARRAY(F60),0))),L62&amp;"Por favor no seleccionar los criterios de impacto",M49)</f>
        <v>0</v>
      </c>
      <c r="O49" s="215"/>
      <c r="P49" s="223"/>
      <c r="Q49" s="221"/>
      <c r="R49" s="123">
        <v>5</v>
      </c>
      <c r="S49" s="124"/>
      <c r="T49" s="125" t="str">
        <f t="shared" si="0"/>
        <v/>
      </c>
      <c r="U49" s="126"/>
      <c r="V49" s="126"/>
      <c r="W49" s="127" t="str">
        <f t="shared" si="36"/>
        <v/>
      </c>
      <c r="X49" s="126"/>
      <c r="Y49" s="126"/>
      <c r="Z49" s="126"/>
      <c r="AA49" s="128" t="str">
        <f t="shared" si="39"/>
        <v/>
      </c>
      <c r="AB49" s="129" t="str">
        <f t="shared" si="2"/>
        <v/>
      </c>
      <c r="AC49" s="130" t="str">
        <f t="shared" si="37"/>
        <v/>
      </c>
      <c r="AD49" s="129" t="str">
        <f t="shared" si="4"/>
        <v/>
      </c>
      <c r="AE49" s="130" t="str">
        <f t="shared" si="40"/>
        <v/>
      </c>
      <c r="AF49" s="131" t="str">
        <f t="shared" ref="AF49:AF50" si="41">IFERROR(IF(OR(AND(AB49="Muy Baja",AD49="Leve"),AND(AB49="Muy Baja",AD49="Menor"),AND(AB49="Baja",AD49="Leve")),"Bajo",IF(OR(AND(AB49="Muy baja",AD49="Moderado"),AND(AB49="Baja",AD49="Menor"),AND(AB49="Baja",AD49="Moderado"),AND(AB49="Media",AD49="Leve"),AND(AB49="Media",AD49="Menor"),AND(AB49="Media",AD49="Moderado"),AND(AB49="Alta",AD49="Leve"),AND(AB49="Alta",AD49="Menor")),"Moderado",IF(OR(AND(AB49="Muy Baja",AD49="Mayor"),AND(AB49="Baja",AD49="Mayor"),AND(AB49="Media",AD49="Mayor"),AND(AB49="Alta",AD49="Moderado"),AND(AB49="Alta",AD49="Mayor"),AND(AB49="Muy Alta",AD49="Leve"),AND(AB49="Muy Alta",AD49="Menor"),AND(AB49="Muy Alta",AD49="Moderado"),AND(AB49="Muy Alta",AD49="Mayor")),"Alto",IF(OR(AND(AB49="Muy Baja",AD49="Catastrófico"),AND(AB49="Baja",AD49="Catastrófico"),AND(AB49="Media",AD49="Catastrófico"),AND(AB49="Alta",AD49="Catastrófico"),AND(AB49="Muy Alta",AD49="Catastrófico")),"Extremo","")))),"")</f>
        <v/>
      </c>
      <c r="AG49" s="132"/>
      <c r="AH49" s="133"/>
      <c r="AI49" s="134"/>
      <c r="AJ49" s="135"/>
      <c r="AK49" s="135"/>
      <c r="AL49" s="133"/>
      <c r="AM49" s="134"/>
    </row>
    <row r="50" spans="1:39" ht="68.45" customHeight="1" x14ac:dyDescent="0.3">
      <c r="A50" s="241"/>
      <c r="B50" s="242"/>
      <c r="C50" s="242"/>
      <c r="D50" s="242"/>
      <c r="E50" s="139"/>
      <c r="F50" s="242"/>
      <c r="G50" s="243"/>
      <c r="H50" s="243"/>
      <c r="I50" s="242"/>
      <c r="J50" s="245"/>
      <c r="K50" s="244"/>
      <c r="L50" s="239"/>
      <c r="M50" s="240"/>
      <c r="N50" s="239">
        <f>IF(NOT(ISERROR(MATCH(M50,_xlfn.ANCHORARRAY(F61),0))),L63&amp;"Por favor no seleccionar los criterios de impacto",M50)</f>
        <v>0</v>
      </c>
      <c r="O50" s="244"/>
      <c r="P50" s="239"/>
      <c r="Q50" s="248"/>
      <c r="R50" s="123">
        <v>6</v>
      </c>
      <c r="S50" s="124"/>
      <c r="T50" s="125" t="str">
        <f t="shared" si="0"/>
        <v/>
      </c>
      <c r="U50" s="126"/>
      <c r="V50" s="126"/>
      <c r="W50" s="127" t="str">
        <f t="shared" si="36"/>
        <v/>
      </c>
      <c r="X50" s="126"/>
      <c r="Y50" s="126"/>
      <c r="Z50" s="126"/>
      <c r="AA50" s="128" t="str">
        <f t="shared" si="39"/>
        <v/>
      </c>
      <c r="AB50" s="129" t="str">
        <f t="shared" si="2"/>
        <v/>
      </c>
      <c r="AC50" s="130" t="str">
        <f t="shared" si="37"/>
        <v/>
      </c>
      <c r="AD50" s="129" t="str">
        <f t="shared" si="4"/>
        <v/>
      </c>
      <c r="AE50" s="130" t="str">
        <f t="shared" si="40"/>
        <v/>
      </c>
      <c r="AF50" s="131" t="str">
        <f t="shared" si="41"/>
        <v/>
      </c>
      <c r="AG50" s="132"/>
      <c r="AH50" s="133"/>
      <c r="AI50" s="134"/>
      <c r="AJ50" s="135"/>
      <c r="AK50" s="135"/>
      <c r="AL50" s="133"/>
      <c r="AM50" s="134"/>
    </row>
    <row r="51" spans="1:39" ht="49.7" customHeight="1" x14ac:dyDescent="0.3">
      <c r="A51" s="6"/>
      <c r="B51" s="246"/>
      <c r="C51" s="246"/>
      <c r="D51" s="246"/>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7"/>
    </row>
    <row r="53" spans="1:39" x14ac:dyDescent="0.3">
      <c r="A53" s="1"/>
      <c r="B53" s="24"/>
      <c r="C53" s="24"/>
      <c r="D53" s="1"/>
      <c r="E53" s="1"/>
      <c r="G53" s="1"/>
      <c r="H53" s="1"/>
      <c r="I53" s="1"/>
    </row>
  </sheetData>
  <dataConsolidate/>
  <mergeCells count="164">
    <mergeCell ref="N33:N38"/>
    <mergeCell ref="O33:O38"/>
    <mergeCell ref="P33:P38"/>
    <mergeCell ref="Q33:Q38"/>
    <mergeCell ref="C15:C20"/>
    <mergeCell ref="C21:C26"/>
    <mergeCell ref="C27:C32"/>
    <mergeCell ref="C33:C38"/>
    <mergeCell ref="O15:O20"/>
    <mergeCell ref="Q15:Q20"/>
    <mergeCell ref="Q21:Q26"/>
    <mergeCell ref="O21:O26"/>
    <mergeCell ref="D33:D38"/>
    <mergeCell ref="P27:P32"/>
    <mergeCell ref="L33:L38"/>
    <mergeCell ref="M33:M38"/>
    <mergeCell ref="I27:I32"/>
    <mergeCell ref="J27:J32"/>
    <mergeCell ref="A1:AM2"/>
    <mergeCell ref="A8:J8"/>
    <mergeCell ref="K8:Q8"/>
    <mergeCell ref="R8:Z8"/>
    <mergeCell ref="AA8:AG8"/>
    <mergeCell ref="AH8:AM8"/>
    <mergeCell ref="AH9:AH10"/>
    <mergeCell ref="AM9:AM10"/>
    <mergeCell ref="AL9:AL10"/>
    <mergeCell ref="AK9:AK10"/>
    <mergeCell ref="AJ9:AJ10"/>
    <mergeCell ref="AI9:AI10"/>
    <mergeCell ref="A6:B6"/>
    <mergeCell ref="A7:B7"/>
    <mergeCell ref="A9:A10"/>
    <mergeCell ref="I9:I10"/>
    <mergeCell ref="H9:H10"/>
    <mergeCell ref="F9:F10"/>
    <mergeCell ref="C9:C10"/>
    <mergeCell ref="AG9:AG10"/>
    <mergeCell ref="D6:Q6"/>
    <mergeCell ref="D7:Q7"/>
    <mergeCell ref="R9:R10"/>
    <mergeCell ref="A39:A44"/>
    <mergeCell ref="B39:B44"/>
    <mergeCell ref="F39:F44"/>
    <mergeCell ref="H39:H44"/>
    <mergeCell ref="I39:I44"/>
    <mergeCell ref="R5:T5"/>
    <mergeCell ref="B9:B10"/>
    <mergeCell ref="E9:E10"/>
    <mergeCell ref="G9:G10"/>
    <mergeCell ref="D9:D10"/>
    <mergeCell ref="G15:G20"/>
    <mergeCell ref="G21:G26"/>
    <mergeCell ref="G27:G32"/>
    <mergeCell ref="G33:G38"/>
    <mergeCell ref="G39:G44"/>
    <mergeCell ref="D15:D20"/>
    <mergeCell ref="D21:D26"/>
    <mergeCell ref="D27:D32"/>
    <mergeCell ref="Q27:Q32"/>
    <mergeCell ref="I33:I38"/>
    <mergeCell ref="J33:J38"/>
    <mergeCell ref="K33:K38"/>
    <mergeCell ref="C39:C44"/>
    <mergeCell ref="K27:K32"/>
    <mergeCell ref="A45:A50"/>
    <mergeCell ref="B45:B50"/>
    <mergeCell ref="F45:F50"/>
    <mergeCell ref="H45:H50"/>
    <mergeCell ref="I45:I50"/>
    <mergeCell ref="J45:J50"/>
    <mergeCell ref="K45:K50"/>
    <mergeCell ref="L45:L50"/>
    <mergeCell ref="M45:M50"/>
    <mergeCell ref="D45:D50"/>
    <mergeCell ref="G45:G50"/>
    <mergeCell ref="C45:C50"/>
    <mergeCell ref="B51:AM51"/>
    <mergeCell ref="P39:P44"/>
    <mergeCell ref="Q39:Q44"/>
    <mergeCell ref="N45:N50"/>
    <mergeCell ref="O45:O50"/>
    <mergeCell ref="P45:P50"/>
    <mergeCell ref="Q45:Q50"/>
    <mergeCell ref="M39:M44"/>
    <mergeCell ref="N39:N44"/>
    <mergeCell ref="O39:O44"/>
    <mergeCell ref="D39:D44"/>
    <mergeCell ref="J39:J44"/>
    <mergeCell ref="K39:K44"/>
    <mergeCell ref="L39:L44"/>
    <mergeCell ref="P15:P20"/>
    <mergeCell ref="P21:P26"/>
    <mergeCell ref="M27:M32"/>
    <mergeCell ref="N27:N32"/>
    <mergeCell ref="O27:O32"/>
    <mergeCell ref="A15:A20"/>
    <mergeCell ref="B15:B20"/>
    <mergeCell ref="A21:A26"/>
    <mergeCell ref="I15:I20"/>
    <mergeCell ref="B21:B26"/>
    <mergeCell ref="F21:F26"/>
    <mergeCell ref="H21:H26"/>
    <mergeCell ref="I21:I26"/>
    <mergeCell ref="F15:F20"/>
    <mergeCell ref="H15:H20"/>
    <mergeCell ref="M21:M26"/>
    <mergeCell ref="N21:N26"/>
    <mergeCell ref="J21:J26"/>
    <mergeCell ref="K21:K26"/>
    <mergeCell ref="L21:L26"/>
    <mergeCell ref="N15:N20"/>
    <mergeCell ref="J15:J20"/>
    <mergeCell ref="K15:K20"/>
    <mergeCell ref="L27:L32"/>
    <mergeCell ref="L15:L20"/>
    <mergeCell ref="M15:M20"/>
    <mergeCell ref="A33:A38"/>
    <mergeCell ref="B33:B38"/>
    <mergeCell ref="F33:F38"/>
    <mergeCell ref="H33:H38"/>
    <mergeCell ref="A27:A32"/>
    <mergeCell ref="B27:B32"/>
    <mergeCell ref="F27:F32"/>
    <mergeCell ref="H27:H32"/>
    <mergeCell ref="AF9:AF10"/>
    <mergeCell ref="AE9:AE10"/>
    <mergeCell ref="AA9:AA10"/>
    <mergeCell ref="S9:S10"/>
    <mergeCell ref="AD9:AD10"/>
    <mergeCell ref="AB9:AB10"/>
    <mergeCell ref="AC9:AC10"/>
    <mergeCell ref="J9:J10"/>
    <mergeCell ref="K9:K10"/>
    <mergeCell ref="L9:L10"/>
    <mergeCell ref="O9:O10"/>
    <mergeCell ref="P9:P10"/>
    <mergeCell ref="Q9:Q10"/>
    <mergeCell ref="M9:M10"/>
    <mergeCell ref="N9:N10"/>
    <mergeCell ref="T9:T10"/>
    <mergeCell ref="U9:Z9"/>
    <mergeCell ref="S11:S12"/>
    <mergeCell ref="D4:Q4"/>
    <mergeCell ref="I11:I12"/>
    <mergeCell ref="J11:J12"/>
    <mergeCell ref="K11:K12"/>
    <mergeCell ref="A11:A12"/>
    <mergeCell ref="B11:B12"/>
    <mergeCell ref="F11:F12"/>
    <mergeCell ref="H11:H12"/>
    <mergeCell ref="Q11:Q12"/>
    <mergeCell ref="L11:L12"/>
    <mergeCell ref="M11:M12"/>
    <mergeCell ref="N11:N12"/>
    <mergeCell ref="O11:O12"/>
    <mergeCell ref="P11:P12"/>
    <mergeCell ref="G11:G12"/>
    <mergeCell ref="D11:D12"/>
    <mergeCell ref="A4:B4"/>
    <mergeCell ref="A5:B5"/>
    <mergeCell ref="D5:Q5"/>
    <mergeCell ref="C11:C12"/>
    <mergeCell ref="R4:T4"/>
  </mergeCells>
  <conditionalFormatting sqref="K11 AB11:AB50">
    <cfRule type="cellIs" dxfId="68" priority="322" operator="equal">
      <formula>"Baja"</formula>
    </cfRule>
    <cfRule type="cellIs" dxfId="67" priority="321" operator="equal">
      <formula>"Media"</formula>
    </cfRule>
    <cfRule type="cellIs" dxfId="66" priority="320" operator="equal">
      <formula>"Alta"</formula>
    </cfRule>
    <cfRule type="cellIs" dxfId="65" priority="319" operator="equal">
      <formula>"Muy Alta"</formula>
    </cfRule>
    <cfRule type="cellIs" dxfId="64" priority="323" operator="equal">
      <formula>"Muy Baja"</formula>
    </cfRule>
  </conditionalFormatting>
  <conditionalFormatting sqref="K13:K15">
    <cfRule type="cellIs" dxfId="63" priority="166" operator="equal">
      <formula>"Alta"</formula>
    </cfRule>
    <cfRule type="cellIs" dxfId="62" priority="167" operator="equal">
      <formula>"Media"</formula>
    </cfRule>
    <cfRule type="cellIs" dxfId="61" priority="168" operator="equal">
      <formula>"Baja"</formula>
    </cfRule>
    <cfRule type="cellIs" dxfId="60" priority="169" operator="equal">
      <formula>"Muy Baja"</formula>
    </cfRule>
    <cfRule type="cellIs" dxfId="59" priority="165" operator="equal">
      <formula>"Muy Alta"</formula>
    </cfRule>
  </conditionalFormatting>
  <conditionalFormatting sqref="K21">
    <cfRule type="cellIs" dxfId="58" priority="138" operator="equal">
      <formula>"Alta"</formula>
    </cfRule>
    <cfRule type="cellIs" dxfId="57" priority="137" operator="equal">
      <formula>"Muy Alta"</formula>
    </cfRule>
    <cfRule type="cellIs" dxfId="56" priority="141" operator="equal">
      <formula>"Muy Baja"</formula>
    </cfRule>
    <cfRule type="cellIs" dxfId="55" priority="140" operator="equal">
      <formula>"Baja"</formula>
    </cfRule>
    <cfRule type="cellIs" dxfId="54" priority="139" operator="equal">
      <formula>"Media"</formula>
    </cfRule>
  </conditionalFormatting>
  <conditionalFormatting sqref="K27">
    <cfRule type="cellIs" dxfId="53" priority="112" operator="equal">
      <formula>"Baja"</formula>
    </cfRule>
    <cfRule type="cellIs" dxfId="52" priority="113" operator="equal">
      <formula>"Muy Baja"</formula>
    </cfRule>
    <cfRule type="cellIs" dxfId="51" priority="109" operator="equal">
      <formula>"Muy Alta"</formula>
    </cfRule>
    <cfRule type="cellIs" dxfId="50" priority="110" operator="equal">
      <formula>"Alta"</formula>
    </cfRule>
    <cfRule type="cellIs" dxfId="49" priority="111" operator="equal">
      <formula>"Media"</formula>
    </cfRule>
  </conditionalFormatting>
  <conditionalFormatting sqref="K33">
    <cfRule type="cellIs" dxfId="48" priority="81" operator="equal">
      <formula>"Muy Alta"</formula>
    </cfRule>
    <cfRule type="cellIs" dxfId="47" priority="82" operator="equal">
      <formula>"Alta"</formula>
    </cfRule>
    <cfRule type="cellIs" dxfId="46" priority="83" operator="equal">
      <formula>"Media"</formula>
    </cfRule>
    <cfRule type="cellIs" dxfId="45" priority="84" operator="equal">
      <formula>"Baja"</formula>
    </cfRule>
    <cfRule type="cellIs" dxfId="44" priority="85" operator="equal">
      <formula>"Muy Baja"</formula>
    </cfRule>
  </conditionalFormatting>
  <conditionalFormatting sqref="K39">
    <cfRule type="cellIs" dxfId="43" priority="54" operator="equal">
      <formula>"Alta"</formula>
    </cfRule>
    <cfRule type="cellIs" dxfId="42" priority="55" operator="equal">
      <formula>"Media"</formula>
    </cfRule>
    <cfRule type="cellIs" dxfId="41" priority="56" operator="equal">
      <formula>"Baja"</formula>
    </cfRule>
    <cfRule type="cellIs" dxfId="40" priority="57" operator="equal">
      <formula>"Muy Baja"</formula>
    </cfRule>
    <cfRule type="cellIs" dxfId="39" priority="53" operator="equal">
      <formula>"Muy Alta"</formula>
    </cfRule>
  </conditionalFormatting>
  <conditionalFormatting sqref="K45">
    <cfRule type="cellIs" dxfId="38" priority="28" operator="equal">
      <formula>"Baja"</formula>
    </cfRule>
    <cfRule type="cellIs" dxfId="37" priority="27" operator="equal">
      <formula>"Media"</formula>
    </cfRule>
    <cfRule type="cellIs" dxfId="36" priority="26" operator="equal">
      <formula>"Alta"</formula>
    </cfRule>
    <cfRule type="cellIs" dxfId="35" priority="25" operator="equal">
      <formula>"Muy Alta"</formula>
    </cfRule>
    <cfRule type="cellIs" dxfId="34" priority="29" operator="equal">
      <formula>"Muy Baja"</formula>
    </cfRule>
  </conditionalFormatting>
  <conditionalFormatting sqref="N11:N50">
    <cfRule type="containsText" dxfId="33" priority="1" operator="containsText" text="❌">
      <formula>NOT(ISERROR(SEARCH("❌",N11)))</formula>
    </cfRule>
  </conditionalFormatting>
  <conditionalFormatting sqref="O11 AD11:AD50 O13:O15 O21 O27 O33 O39 O45">
    <cfRule type="cellIs" dxfId="32" priority="316" operator="equal">
      <formula>"Moderado"</formula>
    </cfRule>
    <cfRule type="cellIs" dxfId="31" priority="317" operator="equal">
      <formula>"Menor"</formula>
    </cfRule>
    <cfRule type="cellIs" dxfId="30" priority="318" operator="equal">
      <formula>"Leve"</formula>
    </cfRule>
    <cfRule type="cellIs" dxfId="29" priority="314" operator="equal">
      <formula>"Catastrófico"</formula>
    </cfRule>
    <cfRule type="cellIs" dxfId="28" priority="315" operator="equal">
      <formula>"Mayor"</formula>
    </cfRule>
  </conditionalFormatting>
  <conditionalFormatting sqref="Q11 AF11:AF50">
    <cfRule type="cellIs" dxfId="27" priority="311" operator="equal">
      <formula>"Alto"</formula>
    </cfRule>
    <cfRule type="cellIs" dxfId="26" priority="310" operator="equal">
      <formula>"Extremo"</formula>
    </cfRule>
    <cfRule type="cellIs" dxfId="25" priority="313" operator="equal">
      <formula>"Bajo"</formula>
    </cfRule>
    <cfRule type="cellIs" dxfId="24" priority="312" operator="equal">
      <formula>"Moderado"</formula>
    </cfRule>
  </conditionalFormatting>
  <conditionalFormatting sqref="Q13:Q15">
    <cfRule type="cellIs" dxfId="23" priority="158" operator="equal">
      <formula>"Moderado"</formula>
    </cfRule>
    <cfRule type="cellIs" dxfId="22" priority="156" operator="equal">
      <formula>"Extremo"</formula>
    </cfRule>
    <cfRule type="cellIs" dxfId="21" priority="157" operator="equal">
      <formula>"Alto"</formula>
    </cfRule>
    <cfRule type="cellIs" dxfId="20" priority="159" operator="equal">
      <formula>"Bajo"</formula>
    </cfRule>
  </conditionalFormatting>
  <conditionalFormatting sqref="Q21">
    <cfRule type="cellIs" dxfId="19" priority="130" operator="equal">
      <formula>"Moderado"</formula>
    </cfRule>
    <cfRule type="cellIs" dxfId="18" priority="131" operator="equal">
      <formula>"Bajo"</formula>
    </cfRule>
    <cfRule type="cellIs" dxfId="17" priority="129" operator="equal">
      <formula>"Alto"</formula>
    </cfRule>
    <cfRule type="cellIs" dxfId="16" priority="128" operator="equal">
      <formula>"Extremo"</formula>
    </cfRule>
  </conditionalFormatting>
  <conditionalFormatting sqref="Q27">
    <cfRule type="cellIs" dxfId="15" priority="101" operator="equal">
      <formula>"Alto"</formula>
    </cfRule>
    <cfRule type="cellIs" dxfId="14" priority="102" operator="equal">
      <formula>"Moderado"</formula>
    </cfRule>
    <cfRule type="cellIs" dxfId="13" priority="100" operator="equal">
      <formula>"Extremo"</formula>
    </cfRule>
    <cfRule type="cellIs" dxfId="12" priority="103" operator="equal">
      <formula>"Bajo"</formula>
    </cfRule>
  </conditionalFormatting>
  <conditionalFormatting sqref="Q33">
    <cfRule type="cellIs" dxfId="11" priority="75" operator="equal">
      <formula>"Bajo"</formula>
    </cfRule>
    <cfRule type="cellIs" dxfId="10" priority="74" operator="equal">
      <formula>"Moderado"</formula>
    </cfRule>
    <cfRule type="cellIs" dxfId="9" priority="73" operator="equal">
      <formula>"Alto"</formula>
    </cfRule>
    <cfRule type="cellIs" dxfId="8" priority="72" operator="equal">
      <formula>"Extremo"</formula>
    </cfRule>
  </conditionalFormatting>
  <conditionalFormatting sqref="Q39">
    <cfRule type="cellIs" dxfId="7" priority="47" operator="equal">
      <formula>"Bajo"</formula>
    </cfRule>
    <cfRule type="cellIs" dxfId="6" priority="46" operator="equal">
      <formula>"Moderado"</formula>
    </cfRule>
    <cfRule type="cellIs" dxfId="5" priority="45" operator="equal">
      <formula>"Alto"</formula>
    </cfRule>
    <cfRule type="cellIs" dxfId="4" priority="44" operator="equal">
      <formula>"Extremo"</formula>
    </cfRule>
  </conditionalFormatting>
  <conditionalFormatting sqref="Q45">
    <cfRule type="cellIs" dxfId="3" priority="16" operator="equal">
      <formula>"Extremo"</formula>
    </cfRule>
    <cfRule type="cellIs" dxfId="2" priority="17" operator="equal">
      <formula>"Alto"</formula>
    </cfRule>
    <cfRule type="cellIs" dxfId="1" priority="18" operator="equal">
      <formula>"Moderado"</formula>
    </cfRule>
    <cfRule type="cellIs" dxfId="0" priority="19" operator="equal">
      <formula>"Bajo"</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100-00000D000000}">
          <x14:formula1>
            <xm:f>Procesos!$D$16:$D$22</xm:f>
          </x14:formula1>
          <xm:sqref>D11 D15 D21 D27 D33 D39 D13:D14 B11 B39 B33 B27 B21 B15 B13:B14 B45 D45</xm:sqref>
        </x14:dataValidation>
        <x14:dataValidation type="list" allowBlank="1" showInputMessage="1" showErrorMessage="1" xr:uid="{00000000-0002-0000-0100-00000E000000}">
          <x14:formula1>
            <xm:f>Procesos!$E$2:$E$27</xm:f>
          </x14:formula1>
          <xm:sqref>D5:Q5</xm:sqref>
        </x14:dataValidation>
        <x14:dataValidation type="list" allowBlank="1" showInputMessage="1" showErrorMessage="1" xr:uid="{00000000-0002-0000-0100-000012000000}">
          <x14:formula1>
            <xm:f>Procesos!$A$2:$A$22</xm:f>
          </x14:formula1>
          <xm:sqref>D4:Q4</xm:sqref>
        </x14:dataValidation>
        <x14:dataValidation type="list" allowBlank="1" showInputMessage="1" showErrorMessage="1" xr:uid="{00000000-0002-0000-0100-00000F000000}">
          <x14:formula1>
            <xm:f>'Tabla Impacto'!$D$229:$D$237</xm:f>
          </x14:formula1>
          <xm:sqref>G11:G12</xm:sqref>
        </x14:dataValidation>
        <x14:dataValidation type="list" allowBlank="1" showInputMessage="1" showErrorMessage="1" xr:uid="{00000000-0002-0000-0100-000000000000}">
          <x14:formula1>
            <xm:f>'Tabla Valoración controles'!$D$4:$D$6</xm:f>
          </x14:formula1>
          <xm:sqref>U11:U50</xm:sqref>
        </x14:dataValidation>
        <x14:dataValidation type="list" allowBlank="1" showInputMessage="1" showErrorMessage="1" xr:uid="{00000000-0002-0000-0100-000001000000}">
          <x14:formula1>
            <xm:f>'Tabla Valoración controles'!$D$7:$D$8</xm:f>
          </x14:formula1>
          <xm:sqref>V11:V50</xm:sqref>
        </x14:dataValidation>
        <x14:dataValidation type="list" allowBlank="1" showInputMessage="1" showErrorMessage="1" xr:uid="{00000000-0002-0000-0100-000002000000}">
          <x14:formula1>
            <xm:f>'Tabla Valoración controles'!$D$9:$D$10</xm:f>
          </x14:formula1>
          <xm:sqref>X11:X50</xm:sqref>
        </x14:dataValidation>
        <x14:dataValidation type="list" allowBlank="1" showInputMessage="1" showErrorMessage="1" xr:uid="{00000000-0002-0000-0100-000003000000}">
          <x14:formula1>
            <xm:f>'Tabla Valoración controles'!$D$11:$D$12</xm:f>
          </x14:formula1>
          <xm:sqref>Y11:Y50</xm:sqref>
        </x14:dataValidation>
        <x14:dataValidation type="list" allowBlank="1" showInputMessage="1" showErrorMessage="1" xr:uid="{00000000-0002-0000-0100-000004000000}">
          <x14:formula1>
            <xm:f>'Tabla Valoración controles'!$D$13:$D$14</xm:f>
          </x14:formula1>
          <xm:sqref>Z11:Z50</xm:sqref>
        </x14:dataValidation>
        <x14:dataValidation type="list" allowBlank="1" showInputMessage="1" showErrorMessage="1" xr:uid="{00000000-0002-0000-0100-000005000000}">
          <x14:formula1>
            <xm:f>'Opciones Tratamiento'!$E$2:$E$4</xm:f>
          </x14:formula1>
          <xm:sqref>D11:D50</xm:sqref>
        </x14:dataValidation>
        <x14:dataValidation type="list" allowBlank="1" showInputMessage="1" showErrorMessage="1" xr:uid="{00000000-0002-0000-0100-000006000000}">
          <x14:formula1>
            <xm:f>'Opciones Tratamiento'!$B$2:$B$5</xm:f>
          </x14:formula1>
          <xm:sqref>AG11:AG50</xm:sqref>
        </x14:dataValidation>
        <x14:dataValidation type="list" allowBlank="1" showInputMessage="1" showErrorMessage="1" xr:uid="{00000000-0002-0000-0100-000007000000}">
          <x14:formula1>
            <xm:f>'Tabla Impacto'!$F$210:$F$221</xm:f>
          </x14:formula1>
          <xm:sqref>M11:M50</xm:sqref>
        </x14:dataValidation>
        <x14:dataValidation type="custom" allowBlank="1" showInputMessage="1" showErrorMessage="1" error="Recuerde que las acciones se generan bajo la medida de mitigar el riesgo" xr:uid="{00000000-0002-0000-0100-000008000000}">
          <x14:formula1>
            <xm:f>IF(OR(AG11='Opciones Tratamiento'!$B$2,AG11='Opciones Tratamiento'!$B$3,AG11='Opciones Tratamiento'!$B$4),ISBLANK(AG11),ISTEXT(AG11))</xm:f>
          </x14:formula1>
          <xm:sqref>AH11:AH50</xm:sqref>
        </x14:dataValidation>
        <x14:dataValidation type="custom" allowBlank="1" showInputMessage="1" showErrorMessage="1" error="Recuerde que las acciones se generan bajo la medida de mitigar el riesgo" xr:uid="{00000000-0002-0000-0100-000009000000}">
          <x14:formula1>
            <xm:f>IF(OR(AG11='Opciones Tratamiento'!$B$2,AG11='Opciones Tratamiento'!$B$3,AG11='Opciones Tratamiento'!$B$4),ISBLANK(AG11),ISTEXT(AG11))</xm:f>
          </x14:formula1>
          <xm:sqref>AI11:AI50</xm:sqref>
        </x14:dataValidation>
        <x14:dataValidation type="custom" allowBlank="1" showInputMessage="1" showErrorMessage="1" error="Recuerde que las acciones se generan bajo la medida de mitigar el riesgo" xr:uid="{00000000-0002-0000-0100-00000A000000}">
          <x14:formula1>
            <xm:f>IF(OR(AG11='Opciones Tratamiento'!$B$2,AG11='Opciones Tratamiento'!$B$3,AG11='Opciones Tratamiento'!$B$4),ISBLANK(AG11),ISTEXT(AG11))</xm:f>
          </x14:formula1>
          <xm:sqref>AJ11:AJ50</xm:sqref>
        </x14:dataValidation>
        <x14:dataValidation type="custom" allowBlank="1" showInputMessage="1" showErrorMessage="1" error="Recuerde que las acciones se generan bajo la medida de mitigar el riesgo" xr:uid="{00000000-0002-0000-0100-00000B000000}">
          <x14:formula1>
            <xm:f>IF(OR(AG11='Opciones Tratamiento'!$B$2,AG11='Opciones Tratamiento'!$B$3,AG11='Opciones Tratamiento'!$B$4),ISBLANK(AG11),ISTEXT(AG11))</xm:f>
          </x14:formula1>
          <xm:sqref>AK11:AK50</xm:sqref>
        </x14:dataValidation>
        <x14:dataValidation type="custom" allowBlank="1" showInputMessage="1" showErrorMessage="1" error="Recuerde que las acciones se generan bajo la medida de mitigar el riesgo" xr:uid="{00000000-0002-0000-0100-00000C000000}">
          <x14:formula1>
            <xm:f>IF(OR(AG11='Opciones Tratamiento'!$B$2,AG11='Opciones Tratamiento'!$B$3,AG11='Opciones Tratamiento'!$B$4),ISBLANK(AG11),ISTEXT(AG11))</xm:f>
          </x14:formula1>
          <xm:sqref>AL11:AL50</xm:sqref>
        </x14:dataValidation>
        <x14:dataValidation type="list" allowBlank="1" showInputMessage="1" showErrorMessage="1" xr:uid="{00000000-0002-0000-0100-000010000000}">
          <x14:formula1>
            <xm:f>'Opciones Tratamiento'!$B$9:$B$11</xm:f>
          </x14:formula1>
          <xm:sqref>AM11:AM50</xm:sqref>
        </x14:dataValidation>
        <x14:dataValidation type="list" allowBlank="1" showInputMessage="1" showErrorMessage="1" xr:uid="{00000000-0002-0000-0100-000011000000}">
          <x14:formula1>
            <xm:f>'Opciones Tratamiento'!$B$13:$B$19</xm:f>
          </x14:formula1>
          <xm:sqref>I11:I50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J12" sqref="J12:K13"/>
    </sheetView>
  </sheetViews>
  <sheetFormatPr baseColWidth="10" defaultRowHeight="15" x14ac:dyDescent="0.25"/>
  <cols>
    <col min="2" max="39" width="5.5703125" customWidth="1"/>
    <col min="41" max="46" width="5.570312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68" t="s">
        <v>144</v>
      </c>
      <c r="C2" s="268"/>
      <c r="D2" s="268"/>
      <c r="E2" s="268"/>
      <c r="F2" s="268"/>
      <c r="G2" s="268"/>
      <c r="H2" s="268"/>
      <c r="I2" s="268"/>
      <c r="J2" s="305" t="s">
        <v>2</v>
      </c>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68"/>
      <c r="C3" s="268"/>
      <c r="D3" s="268"/>
      <c r="E3" s="268"/>
      <c r="F3" s="268"/>
      <c r="G3" s="268"/>
      <c r="H3" s="268"/>
      <c r="I3" s="268"/>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68"/>
      <c r="C4" s="268"/>
      <c r="D4" s="268"/>
      <c r="E4" s="268"/>
      <c r="F4" s="268"/>
      <c r="G4" s="268"/>
      <c r="H4" s="268"/>
      <c r="I4" s="268"/>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316" t="s">
        <v>3</v>
      </c>
      <c r="C6" s="316"/>
      <c r="D6" s="317"/>
      <c r="E6" s="306" t="s">
        <v>108</v>
      </c>
      <c r="F6" s="307"/>
      <c r="G6" s="307"/>
      <c r="H6" s="307"/>
      <c r="I6" s="308"/>
      <c r="J6" s="302" t="str">
        <f>IF(AND('Mapa final'!$K$11="Muy Alta",'Mapa final'!$O$11="Leve"),CONCATENATE("R",'Mapa final'!$A$11),"")</f>
        <v/>
      </c>
      <c r="K6" s="303"/>
      <c r="L6" s="303" t="str">
        <f>IF(AND('Mapa final'!$K$13="Muy Alta",'Mapa final'!$O$13="Leve"),CONCATENATE("R",'Mapa final'!$A$13),"")</f>
        <v/>
      </c>
      <c r="M6" s="303"/>
      <c r="N6" s="303" t="str">
        <f>IF(AND('Mapa final'!$K$14="Muy Alta",'Mapa final'!$O$14="Leve"),CONCATENATE("R",'Mapa final'!$A$14),"")</f>
        <v/>
      </c>
      <c r="O6" s="304"/>
      <c r="P6" s="302" t="str">
        <f>IF(AND('Mapa final'!$K$11="Muy Alta",'Mapa final'!$O$11="Menor"),CONCATENATE("R",'Mapa final'!$A$11),"")</f>
        <v/>
      </c>
      <c r="Q6" s="303"/>
      <c r="R6" s="303" t="str">
        <f>IF(AND('Mapa final'!$K$13="Muy Alta",'Mapa final'!$O$13="Menor"),CONCATENATE("R",'Mapa final'!$A$13),"")</f>
        <v/>
      </c>
      <c r="S6" s="303"/>
      <c r="T6" s="303" t="str">
        <f>IF(AND('Mapa final'!$K$14="Muy Alta",'Mapa final'!$O$14="Menor"),CONCATENATE("R",'Mapa final'!$A$14),"")</f>
        <v/>
      </c>
      <c r="U6" s="304"/>
      <c r="V6" s="302" t="str">
        <f>IF(AND('Mapa final'!$K$11="Muy Alta",'Mapa final'!$O$11="Moderado"),CONCATENATE("R",'Mapa final'!$A$11),"")</f>
        <v/>
      </c>
      <c r="W6" s="303"/>
      <c r="X6" s="303" t="str">
        <f>IF(AND('Mapa final'!$K$13="Muy Alta",'Mapa final'!$O$13="Moderado"),CONCATENATE("R",'Mapa final'!$A$13),"")</f>
        <v/>
      </c>
      <c r="Y6" s="303"/>
      <c r="Z6" s="303" t="str">
        <f>IF(AND('Mapa final'!$K$14="Muy Alta",'Mapa final'!$O$14="Moderado"),CONCATENATE("R",'Mapa final'!$A$14),"")</f>
        <v/>
      </c>
      <c r="AA6" s="304"/>
      <c r="AB6" s="302" t="str">
        <f>IF(AND('Mapa final'!$K$11="Muy Alta",'Mapa final'!$O$11="Mayor"),CONCATENATE("R",'Mapa final'!$A$11),"")</f>
        <v/>
      </c>
      <c r="AC6" s="303"/>
      <c r="AD6" s="303" t="str">
        <f>IF(AND('Mapa final'!$K$13="Muy Alta",'Mapa final'!$O$13="Mayor"),CONCATENATE("R",'Mapa final'!$A$13),"")</f>
        <v/>
      </c>
      <c r="AE6" s="303"/>
      <c r="AF6" s="303" t="str">
        <f>IF(AND('Mapa final'!$K$14="Muy Alta",'Mapa final'!$O$14="Mayor"),CONCATENATE("R",'Mapa final'!$A$14),"")</f>
        <v/>
      </c>
      <c r="AG6" s="304"/>
      <c r="AH6" s="293" t="str">
        <f>IF(AND('Mapa final'!$K$11="Muy Alta",'Mapa final'!$O$11="Catastrófico"),CONCATENATE("R",'Mapa final'!$A$11),"")</f>
        <v/>
      </c>
      <c r="AI6" s="294"/>
      <c r="AJ6" s="294" t="str">
        <f>IF(AND('Mapa final'!$K$13="Muy Alta",'Mapa final'!$O$13="Catastrófico"),CONCATENATE("R",'Mapa final'!$A$13),"")</f>
        <v/>
      </c>
      <c r="AK6" s="294"/>
      <c r="AL6" s="294" t="str">
        <f>IF(AND('Mapa final'!$K$14="Muy Alta",'Mapa final'!$O$14="Catastrófico"),CONCATENATE("R",'Mapa final'!$A$14),"")</f>
        <v/>
      </c>
      <c r="AM6" s="295"/>
      <c r="AO6" s="318" t="s">
        <v>76</v>
      </c>
      <c r="AP6" s="319"/>
      <c r="AQ6" s="319"/>
      <c r="AR6" s="319"/>
      <c r="AS6" s="319"/>
      <c r="AT6" s="32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316"/>
      <c r="C7" s="316"/>
      <c r="D7" s="317"/>
      <c r="E7" s="309"/>
      <c r="F7" s="310"/>
      <c r="G7" s="310"/>
      <c r="H7" s="310"/>
      <c r="I7" s="311"/>
      <c r="J7" s="296"/>
      <c r="K7" s="297"/>
      <c r="L7" s="297"/>
      <c r="M7" s="297"/>
      <c r="N7" s="297"/>
      <c r="O7" s="298"/>
      <c r="P7" s="296"/>
      <c r="Q7" s="297"/>
      <c r="R7" s="297"/>
      <c r="S7" s="297"/>
      <c r="T7" s="297"/>
      <c r="U7" s="298"/>
      <c r="V7" s="296"/>
      <c r="W7" s="297"/>
      <c r="X7" s="297"/>
      <c r="Y7" s="297"/>
      <c r="Z7" s="297"/>
      <c r="AA7" s="298"/>
      <c r="AB7" s="296"/>
      <c r="AC7" s="297"/>
      <c r="AD7" s="297"/>
      <c r="AE7" s="297"/>
      <c r="AF7" s="297"/>
      <c r="AG7" s="298"/>
      <c r="AH7" s="287"/>
      <c r="AI7" s="288"/>
      <c r="AJ7" s="288"/>
      <c r="AK7" s="288"/>
      <c r="AL7" s="288"/>
      <c r="AM7" s="289"/>
      <c r="AN7" s="83"/>
      <c r="AO7" s="321"/>
      <c r="AP7" s="322"/>
      <c r="AQ7" s="322"/>
      <c r="AR7" s="322"/>
      <c r="AS7" s="322"/>
      <c r="AT7" s="32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316"/>
      <c r="C8" s="316"/>
      <c r="D8" s="317"/>
      <c r="E8" s="309"/>
      <c r="F8" s="310"/>
      <c r="G8" s="310"/>
      <c r="H8" s="310"/>
      <c r="I8" s="311"/>
      <c r="J8" s="296" t="e">
        <f>IF(AND('Mapa final'!#REF!="Muy Alta",'Mapa final'!#REF!="Leve"),CONCATENATE("R",'Mapa final'!#REF!),"")</f>
        <v>#REF!</v>
      </c>
      <c r="K8" s="297"/>
      <c r="L8" s="297" t="str">
        <f>IF(AND('Mapa final'!$K$15="Muy Alta",'Mapa final'!$O$15="Leve"),CONCATENATE("R",'Mapa final'!$A$15),"")</f>
        <v/>
      </c>
      <c r="M8" s="297"/>
      <c r="N8" s="297" t="str">
        <f>IF(AND('Mapa final'!$K$21="Muy Alta",'Mapa final'!$O$21="Leve"),CONCATENATE("R",'Mapa final'!$A$21),"")</f>
        <v/>
      </c>
      <c r="O8" s="298"/>
      <c r="P8" s="296" t="e">
        <f>IF(AND('Mapa final'!#REF!="Muy Alta",'Mapa final'!#REF!="Menor"),CONCATENATE("R",'Mapa final'!#REF!),"")</f>
        <v>#REF!</v>
      </c>
      <c r="Q8" s="297"/>
      <c r="R8" s="297" t="str">
        <f>IF(AND('Mapa final'!$K$15="Muy Alta",'Mapa final'!$O$15="Menor"),CONCATENATE("R",'Mapa final'!$A$15),"")</f>
        <v/>
      </c>
      <c r="S8" s="297"/>
      <c r="T8" s="297" t="str">
        <f>IF(AND('Mapa final'!$K$21="Muy Alta",'Mapa final'!$O$21="Menor"),CONCATENATE("R",'Mapa final'!$A$21),"")</f>
        <v/>
      </c>
      <c r="U8" s="298"/>
      <c r="V8" s="296" t="e">
        <f>IF(AND('Mapa final'!#REF!="Muy Alta",'Mapa final'!#REF!="Moderado"),CONCATENATE("R",'Mapa final'!#REF!),"")</f>
        <v>#REF!</v>
      </c>
      <c r="W8" s="297"/>
      <c r="X8" s="297" t="str">
        <f>IF(AND('Mapa final'!$K$15="Muy Alta",'Mapa final'!$O$15="Moderado"),CONCATENATE("R",'Mapa final'!$A$15),"")</f>
        <v/>
      </c>
      <c r="Y8" s="297"/>
      <c r="Z8" s="297" t="str">
        <f>IF(AND('Mapa final'!$K$21="Muy Alta",'Mapa final'!$O$21="Moderado"),CONCATENATE("R",'Mapa final'!$A$21),"")</f>
        <v/>
      </c>
      <c r="AA8" s="298"/>
      <c r="AB8" s="296" t="e">
        <f>IF(AND('Mapa final'!#REF!="Muy Alta",'Mapa final'!#REF!="Mayor"),CONCATENATE("R",'Mapa final'!#REF!),"")</f>
        <v>#REF!</v>
      </c>
      <c r="AC8" s="297"/>
      <c r="AD8" s="297" t="str">
        <f>IF(AND('Mapa final'!$K$15="Muy Alta",'Mapa final'!$O$15="Mayor"),CONCATENATE("R",'Mapa final'!$A$15),"")</f>
        <v/>
      </c>
      <c r="AE8" s="297"/>
      <c r="AF8" s="297" t="str">
        <f>IF(AND('Mapa final'!$K$21="Muy Alta",'Mapa final'!$O$21="Mayor"),CONCATENATE("R",'Mapa final'!$A$21),"")</f>
        <v/>
      </c>
      <c r="AG8" s="298"/>
      <c r="AH8" s="287" t="e">
        <f>IF(AND('Mapa final'!#REF!="Muy Alta",'Mapa final'!#REF!="Catastrófico"),CONCATENATE("R",'Mapa final'!#REF!),"")</f>
        <v>#REF!</v>
      </c>
      <c r="AI8" s="288"/>
      <c r="AJ8" s="288" t="str">
        <f>IF(AND('Mapa final'!$K$15="Muy Alta",'Mapa final'!$O$15="Catastrófico"),CONCATENATE("R",'Mapa final'!$A$15),"")</f>
        <v/>
      </c>
      <c r="AK8" s="288"/>
      <c r="AL8" s="288" t="str">
        <f>IF(AND('Mapa final'!$K$21="Muy Alta",'Mapa final'!$O$21="Catastrófico"),CONCATENATE("R",'Mapa final'!$A$21),"")</f>
        <v/>
      </c>
      <c r="AM8" s="289"/>
      <c r="AN8" s="83"/>
      <c r="AO8" s="321"/>
      <c r="AP8" s="322"/>
      <c r="AQ8" s="322"/>
      <c r="AR8" s="322"/>
      <c r="AS8" s="322"/>
      <c r="AT8" s="32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316"/>
      <c r="C9" s="316"/>
      <c r="D9" s="317"/>
      <c r="E9" s="309"/>
      <c r="F9" s="310"/>
      <c r="G9" s="310"/>
      <c r="H9" s="310"/>
      <c r="I9" s="311"/>
      <c r="J9" s="296"/>
      <c r="K9" s="297"/>
      <c r="L9" s="297"/>
      <c r="M9" s="297"/>
      <c r="N9" s="297"/>
      <c r="O9" s="298"/>
      <c r="P9" s="296"/>
      <c r="Q9" s="297"/>
      <c r="R9" s="297"/>
      <c r="S9" s="297"/>
      <c r="T9" s="297"/>
      <c r="U9" s="298"/>
      <c r="V9" s="296"/>
      <c r="W9" s="297"/>
      <c r="X9" s="297"/>
      <c r="Y9" s="297"/>
      <c r="Z9" s="297"/>
      <c r="AA9" s="298"/>
      <c r="AB9" s="296"/>
      <c r="AC9" s="297"/>
      <c r="AD9" s="297"/>
      <c r="AE9" s="297"/>
      <c r="AF9" s="297"/>
      <c r="AG9" s="298"/>
      <c r="AH9" s="287"/>
      <c r="AI9" s="288"/>
      <c r="AJ9" s="288"/>
      <c r="AK9" s="288"/>
      <c r="AL9" s="288"/>
      <c r="AM9" s="289"/>
      <c r="AN9" s="83"/>
      <c r="AO9" s="321"/>
      <c r="AP9" s="322"/>
      <c r="AQ9" s="322"/>
      <c r="AR9" s="322"/>
      <c r="AS9" s="322"/>
      <c r="AT9" s="32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316"/>
      <c r="C10" s="316"/>
      <c r="D10" s="317"/>
      <c r="E10" s="309"/>
      <c r="F10" s="310"/>
      <c r="G10" s="310"/>
      <c r="H10" s="310"/>
      <c r="I10" s="311"/>
      <c r="J10" s="296" t="str">
        <f>IF(AND('Mapa final'!$K$27="Muy Alta",'Mapa final'!$O$27="Leve"),CONCATENATE("R",'Mapa final'!$A$27),"")</f>
        <v/>
      </c>
      <c r="K10" s="297"/>
      <c r="L10" s="297" t="str">
        <f>IF(AND('Mapa final'!$K$33="Muy Alta",'Mapa final'!$O$33="Leve"),CONCATENATE("R",'Mapa final'!$A$33),"")</f>
        <v/>
      </c>
      <c r="M10" s="297"/>
      <c r="N10" s="297" t="str">
        <f>IF(AND('Mapa final'!$K$39="Muy Alta",'Mapa final'!$O$39="Leve"),CONCATENATE("R",'Mapa final'!$A$39),"")</f>
        <v/>
      </c>
      <c r="O10" s="298"/>
      <c r="P10" s="296" t="str">
        <f>IF(AND('Mapa final'!$K$27="Muy Alta",'Mapa final'!$O$27="Menor"),CONCATENATE("R",'Mapa final'!$A$27),"")</f>
        <v/>
      </c>
      <c r="Q10" s="297"/>
      <c r="R10" s="297" t="str">
        <f>IF(AND('Mapa final'!$K$33="Muy Alta",'Mapa final'!$O$33="Menor"),CONCATENATE("R",'Mapa final'!$A$33),"")</f>
        <v/>
      </c>
      <c r="S10" s="297"/>
      <c r="T10" s="297" t="str">
        <f>IF(AND('Mapa final'!$K$39="Muy Alta",'Mapa final'!$O$39="Menor"),CONCATENATE("R",'Mapa final'!$A$39),"")</f>
        <v/>
      </c>
      <c r="U10" s="298"/>
      <c r="V10" s="296" t="str">
        <f>IF(AND('Mapa final'!$K$27="Muy Alta",'Mapa final'!$O$27="Moderado"),CONCATENATE("R",'Mapa final'!$A$27),"")</f>
        <v/>
      </c>
      <c r="W10" s="297"/>
      <c r="X10" s="297" t="str">
        <f>IF(AND('Mapa final'!$K$33="Muy Alta",'Mapa final'!$O$33="Moderado"),CONCATENATE("R",'Mapa final'!$A$33),"")</f>
        <v/>
      </c>
      <c r="Y10" s="297"/>
      <c r="Z10" s="297" t="str">
        <f>IF(AND('Mapa final'!$K$39="Muy Alta",'Mapa final'!$O$39="Moderado"),CONCATENATE("R",'Mapa final'!$A$39),"")</f>
        <v/>
      </c>
      <c r="AA10" s="298"/>
      <c r="AB10" s="296" t="str">
        <f>IF(AND('Mapa final'!$K$27="Muy Alta",'Mapa final'!$O$27="Mayor"),CONCATENATE("R",'Mapa final'!$A$27),"")</f>
        <v/>
      </c>
      <c r="AC10" s="297"/>
      <c r="AD10" s="297" t="str">
        <f>IF(AND('Mapa final'!$K$33="Muy Alta",'Mapa final'!$O$33="Mayor"),CONCATENATE("R",'Mapa final'!$A$33),"")</f>
        <v/>
      </c>
      <c r="AE10" s="297"/>
      <c r="AF10" s="297" t="str">
        <f>IF(AND('Mapa final'!$K$39="Muy Alta",'Mapa final'!$O$39="Mayor"),CONCATENATE("R",'Mapa final'!$A$39),"")</f>
        <v/>
      </c>
      <c r="AG10" s="298"/>
      <c r="AH10" s="287" t="str">
        <f>IF(AND('Mapa final'!$K$27="Muy Alta",'Mapa final'!$O$27="Catastrófico"),CONCATENATE("R",'Mapa final'!$A$27),"")</f>
        <v/>
      </c>
      <c r="AI10" s="288"/>
      <c r="AJ10" s="288" t="str">
        <f>IF(AND('Mapa final'!$K$33="Muy Alta",'Mapa final'!$O$33="Catastrófico"),CONCATENATE("R",'Mapa final'!$A$33),"")</f>
        <v/>
      </c>
      <c r="AK10" s="288"/>
      <c r="AL10" s="288" t="str">
        <f>IF(AND('Mapa final'!$K$39="Muy Alta",'Mapa final'!$O$39="Catastrófico"),CONCATENATE("R",'Mapa final'!$A$39),"")</f>
        <v/>
      </c>
      <c r="AM10" s="289"/>
      <c r="AN10" s="83"/>
      <c r="AO10" s="321"/>
      <c r="AP10" s="322"/>
      <c r="AQ10" s="322"/>
      <c r="AR10" s="322"/>
      <c r="AS10" s="322"/>
      <c r="AT10" s="32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316"/>
      <c r="C11" s="316"/>
      <c r="D11" s="317"/>
      <c r="E11" s="309"/>
      <c r="F11" s="310"/>
      <c r="G11" s="310"/>
      <c r="H11" s="310"/>
      <c r="I11" s="311"/>
      <c r="J11" s="296"/>
      <c r="K11" s="297"/>
      <c r="L11" s="297"/>
      <c r="M11" s="297"/>
      <c r="N11" s="297"/>
      <c r="O11" s="298"/>
      <c r="P11" s="296"/>
      <c r="Q11" s="297"/>
      <c r="R11" s="297"/>
      <c r="S11" s="297"/>
      <c r="T11" s="297"/>
      <c r="U11" s="298"/>
      <c r="V11" s="296"/>
      <c r="W11" s="297"/>
      <c r="X11" s="297"/>
      <c r="Y11" s="297"/>
      <c r="Z11" s="297"/>
      <c r="AA11" s="298"/>
      <c r="AB11" s="296"/>
      <c r="AC11" s="297"/>
      <c r="AD11" s="297"/>
      <c r="AE11" s="297"/>
      <c r="AF11" s="297"/>
      <c r="AG11" s="298"/>
      <c r="AH11" s="287"/>
      <c r="AI11" s="288"/>
      <c r="AJ11" s="288"/>
      <c r="AK11" s="288"/>
      <c r="AL11" s="288"/>
      <c r="AM11" s="289"/>
      <c r="AN11" s="83"/>
      <c r="AO11" s="321"/>
      <c r="AP11" s="322"/>
      <c r="AQ11" s="322"/>
      <c r="AR11" s="322"/>
      <c r="AS11" s="322"/>
      <c r="AT11" s="32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316"/>
      <c r="C12" s="316"/>
      <c r="D12" s="317"/>
      <c r="E12" s="309"/>
      <c r="F12" s="310"/>
      <c r="G12" s="310"/>
      <c r="H12" s="310"/>
      <c r="I12" s="311"/>
      <c r="J12" s="296" t="str">
        <f>IF(AND('Mapa final'!$K$45="Muy Alta",'Mapa final'!$O$45="Leve"),CONCATENATE("R",'Mapa final'!$A$45),"")</f>
        <v/>
      </c>
      <c r="K12" s="297"/>
      <c r="L12" s="297" t="str">
        <f>IF(AND('Mapa final'!$K$51="Muy Alta",'Mapa final'!$O$51="Leve"),CONCATENATE("R",'Mapa final'!$A$51),"")</f>
        <v/>
      </c>
      <c r="M12" s="297"/>
      <c r="N12" s="297" t="str">
        <f>IF(AND('Mapa final'!$K$57="Muy Alta",'Mapa final'!$O$57="Leve"),CONCATENATE("R",'Mapa final'!$A$57),"")</f>
        <v/>
      </c>
      <c r="O12" s="298"/>
      <c r="P12" s="296" t="str">
        <f>IF(AND('Mapa final'!$K$45="Muy Alta",'Mapa final'!$O$45="Menor"),CONCATENATE("R",'Mapa final'!$A$45),"")</f>
        <v/>
      </c>
      <c r="Q12" s="297"/>
      <c r="R12" s="297" t="str">
        <f>IF(AND('Mapa final'!$K$51="Muy Alta",'Mapa final'!$O$51="Menor"),CONCATENATE("R",'Mapa final'!$A$51),"")</f>
        <v/>
      </c>
      <c r="S12" s="297"/>
      <c r="T12" s="297" t="str">
        <f>IF(AND('Mapa final'!$K$57="Muy Alta",'Mapa final'!$O$57="Menor"),CONCATENATE("R",'Mapa final'!$A$57),"")</f>
        <v/>
      </c>
      <c r="U12" s="298"/>
      <c r="V12" s="296" t="str">
        <f>IF(AND('Mapa final'!$K$45="Muy Alta",'Mapa final'!$O$45="Moderado"),CONCATENATE("R",'Mapa final'!$A$45),"")</f>
        <v/>
      </c>
      <c r="W12" s="297"/>
      <c r="X12" s="297" t="str">
        <f>IF(AND('Mapa final'!$K$51="Muy Alta",'Mapa final'!$O$51="Moderado"),CONCATENATE("R",'Mapa final'!$A$51),"")</f>
        <v/>
      </c>
      <c r="Y12" s="297"/>
      <c r="Z12" s="297" t="str">
        <f>IF(AND('Mapa final'!$K$57="Muy Alta",'Mapa final'!$O$57="Moderado"),CONCATENATE("R",'Mapa final'!$A$57),"")</f>
        <v/>
      </c>
      <c r="AA12" s="298"/>
      <c r="AB12" s="296" t="str">
        <f>IF(AND('Mapa final'!$K$45="Muy Alta",'Mapa final'!$O$45="Mayor"),CONCATENATE("R",'Mapa final'!$A$45),"")</f>
        <v/>
      </c>
      <c r="AC12" s="297"/>
      <c r="AD12" s="297" t="str">
        <f>IF(AND('Mapa final'!$K$51="Muy Alta",'Mapa final'!$O$51="Mayor"),CONCATENATE("R",'Mapa final'!$A$51),"")</f>
        <v/>
      </c>
      <c r="AE12" s="297"/>
      <c r="AF12" s="297" t="str">
        <f>IF(AND('Mapa final'!$K$57="Muy Alta",'Mapa final'!$O$57="Mayor"),CONCATENATE("R",'Mapa final'!$A$57),"")</f>
        <v/>
      </c>
      <c r="AG12" s="298"/>
      <c r="AH12" s="287" t="str">
        <f>IF(AND('Mapa final'!$K$45="Muy Alta",'Mapa final'!$O$45="Catastrófico"),CONCATENATE("R",'Mapa final'!$A$45),"")</f>
        <v/>
      </c>
      <c r="AI12" s="288"/>
      <c r="AJ12" s="288" t="str">
        <f>IF(AND('Mapa final'!$K$51="Muy Alta",'Mapa final'!$O$51="Catastrófico"),CONCATENATE("R",'Mapa final'!$A$51),"")</f>
        <v/>
      </c>
      <c r="AK12" s="288"/>
      <c r="AL12" s="288" t="str">
        <f>IF(AND('Mapa final'!$K$57="Muy Alta",'Mapa final'!$O$57="Catastrófico"),CONCATENATE("R",'Mapa final'!$A$57),"")</f>
        <v/>
      </c>
      <c r="AM12" s="289"/>
      <c r="AN12" s="83"/>
      <c r="AO12" s="321"/>
      <c r="AP12" s="322"/>
      <c r="AQ12" s="322"/>
      <c r="AR12" s="322"/>
      <c r="AS12" s="322"/>
      <c r="AT12" s="32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316"/>
      <c r="C13" s="316"/>
      <c r="D13" s="317"/>
      <c r="E13" s="312"/>
      <c r="F13" s="313"/>
      <c r="G13" s="313"/>
      <c r="H13" s="313"/>
      <c r="I13" s="314"/>
      <c r="J13" s="296"/>
      <c r="K13" s="297"/>
      <c r="L13" s="297"/>
      <c r="M13" s="297"/>
      <c r="N13" s="297"/>
      <c r="O13" s="298"/>
      <c r="P13" s="296"/>
      <c r="Q13" s="297"/>
      <c r="R13" s="297"/>
      <c r="S13" s="297"/>
      <c r="T13" s="297"/>
      <c r="U13" s="298"/>
      <c r="V13" s="296"/>
      <c r="W13" s="297"/>
      <c r="X13" s="297"/>
      <c r="Y13" s="297"/>
      <c r="Z13" s="297"/>
      <c r="AA13" s="298"/>
      <c r="AB13" s="296"/>
      <c r="AC13" s="297"/>
      <c r="AD13" s="297"/>
      <c r="AE13" s="297"/>
      <c r="AF13" s="297"/>
      <c r="AG13" s="298"/>
      <c r="AH13" s="290"/>
      <c r="AI13" s="291"/>
      <c r="AJ13" s="291"/>
      <c r="AK13" s="291"/>
      <c r="AL13" s="291"/>
      <c r="AM13" s="292"/>
      <c r="AN13" s="83"/>
      <c r="AO13" s="324"/>
      <c r="AP13" s="325"/>
      <c r="AQ13" s="325"/>
      <c r="AR13" s="325"/>
      <c r="AS13" s="325"/>
      <c r="AT13" s="32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316"/>
      <c r="C14" s="316"/>
      <c r="D14" s="317"/>
      <c r="E14" s="306" t="s">
        <v>107</v>
      </c>
      <c r="F14" s="307"/>
      <c r="G14" s="307"/>
      <c r="H14" s="307"/>
      <c r="I14" s="307"/>
      <c r="J14" s="284" t="str">
        <f>IF(AND('Mapa final'!$K$11="Alta",'Mapa final'!$O$11="Leve"),CONCATENATE("R",'Mapa final'!$A$11),"")</f>
        <v/>
      </c>
      <c r="K14" s="285"/>
      <c r="L14" s="285" t="str">
        <f>IF(AND('Mapa final'!$K$13="Alta",'Mapa final'!$O$13="Leve"),CONCATENATE("R",'Mapa final'!$A$13),"")</f>
        <v/>
      </c>
      <c r="M14" s="285"/>
      <c r="N14" s="285" t="str">
        <f>IF(AND('Mapa final'!$K$14="Alta",'Mapa final'!$O$14="Leve"),CONCATENATE("R",'Mapa final'!$A$14),"")</f>
        <v/>
      </c>
      <c r="O14" s="286"/>
      <c r="P14" s="284" t="str">
        <f>IF(AND('Mapa final'!$K$11="Alta",'Mapa final'!$O$11="Menor"),CONCATENATE("R",'Mapa final'!$A$11),"")</f>
        <v/>
      </c>
      <c r="Q14" s="285"/>
      <c r="R14" s="285" t="str">
        <f>IF(AND('Mapa final'!$K$13="Alta",'Mapa final'!$O$13="Menor"),CONCATENATE("R",'Mapa final'!$A$13),"")</f>
        <v/>
      </c>
      <c r="S14" s="285"/>
      <c r="T14" s="285" t="str">
        <f>IF(AND('Mapa final'!$K$14="Alta",'Mapa final'!$O$14="Menor"),CONCATENATE("R",'Mapa final'!$A$14),"")</f>
        <v/>
      </c>
      <c r="U14" s="286"/>
      <c r="V14" s="302" t="str">
        <f>IF(AND('Mapa final'!$K$11="Alta",'Mapa final'!$O$11="Moderado"),CONCATENATE("R",'Mapa final'!$A$11),"")</f>
        <v>R1</v>
      </c>
      <c r="W14" s="303"/>
      <c r="X14" s="303" t="str">
        <f>IF(AND('Mapa final'!$K$13="Alta",'Mapa final'!$O$13="Moderado"),CONCATENATE("R",'Mapa final'!$A$13),"")</f>
        <v/>
      </c>
      <c r="Y14" s="303"/>
      <c r="Z14" s="303" t="str">
        <f>IF(AND('Mapa final'!$K$14="Alta",'Mapa final'!$O$14="Moderado"),CONCATENATE("R",'Mapa final'!$A$14),"")</f>
        <v/>
      </c>
      <c r="AA14" s="304"/>
      <c r="AB14" s="302" t="str">
        <f>IF(AND('Mapa final'!$K$11="Alta",'Mapa final'!$O$11="Mayor"),CONCATENATE("R",'Mapa final'!$A$11),"")</f>
        <v/>
      </c>
      <c r="AC14" s="303"/>
      <c r="AD14" s="303" t="str">
        <f>IF(AND('Mapa final'!$K$13="Alta",'Mapa final'!$O$13="Mayor"),CONCATENATE("R",'Mapa final'!$A$13),"")</f>
        <v/>
      </c>
      <c r="AE14" s="303"/>
      <c r="AF14" s="303" t="str">
        <f>IF(AND('Mapa final'!$K$14="Alta",'Mapa final'!$O$14="Mayor"),CONCATENATE("R",'Mapa final'!$A$14),"")</f>
        <v/>
      </c>
      <c r="AG14" s="304"/>
      <c r="AH14" s="293" t="str">
        <f>IF(AND('Mapa final'!$K$11="Alta",'Mapa final'!$O$11="Catastrófico"),CONCATENATE("R",'Mapa final'!$A$11),"")</f>
        <v/>
      </c>
      <c r="AI14" s="294"/>
      <c r="AJ14" s="294" t="str">
        <f>IF(AND('Mapa final'!$K$13="Alta",'Mapa final'!$O$13="Catastrófico"),CONCATENATE("R",'Mapa final'!$A$13),"")</f>
        <v/>
      </c>
      <c r="AK14" s="294"/>
      <c r="AL14" s="294" t="str">
        <f>IF(AND('Mapa final'!$K$14="Alta",'Mapa final'!$O$14="Catastrófico"),CONCATENATE("R",'Mapa final'!$A$14),"")</f>
        <v/>
      </c>
      <c r="AM14" s="295"/>
      <c r="AN14" s="83"/>
      <c r="AO14" s="327" t="s">
        <v>77</v>
      </c>
      <c r="AP14" s="328"/>
      <c r="AQ14" s="328"/>
      <c r="AR14" s="328"/>
      <c r="AS14" s="328"/>
      <c r="AT14" s="32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316"/>
      <c r="C15" s="316"/>
      <c r="D15" s="317"/>
      <c r="E15" s="309"/>
      <c r="F15" s="310"/>
      <c r="G15" s="310"/>
      <c r="H15" s="310"/>
      <c r="I15" s="310"/>
      <c r="J15" s="278"/>
      <c r="K15" s="279"/>
      <c r="L15" s="279"/>
      <c r="M15" s="279"/>
      <c r="N15" s="279"/>
      <c r="O15" s="280"/>
      <c r="P15" s="278"/>
      <c r="Q15" s="279"/>
      <c r="R15" s="279"/>
      <c r="S15" s="279"/>
      <c r="T15" s="279"/>
      <c r="U15" s="280"/>
      <c r="V15" s="296"/>
      <c r="W15" s="297"/>
      <c r="X15" s="297"/>
      <c r="Y15" s="297"/>
      <c r="Z15" s="297"/>
      <c r="AA15" s="298"/>
      <c r="AB15" s="296"/>
      <c r="AC15" s="297"/>
      <c r="AD15" s="297"/>
      <c r="AE15" s="297"/>
      <c r="AF15" s="297"/>
      <c r="AG15" s="298"/>
      <c r="AH15" s="287"/>
      <c r="AI15" s="288"/>
      <c r="AJ15" s="288"/>
      <c r="AK15" s="288"/>
      <c r="AL15" s="288"/>
      <c r="AM15" s="289"/>
      <c r="AN15" s="83"/>
      <c r="AO15" s="330"/>
      <c r="AP15" s="331"/>
      <c r="AQ15" s="331"/>
      <c r="AR15" s="331"/>
      <c r="AS15" s="331"/>
      <c r="AT15" s="33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316"/>
      <c r="C16" s="316"/>
      <c r="D16" s="317"/>
      <c r="E16" s="309"/>
      <c r="F16" s="310"/>
      <c r="G16" s="310"/>
      <c r="H16" s="310"/>
      <c r="I16" s="310"/>
      <c r="J16" s="278" t="e">
        <f>IF(AND('Mapa final'!#REF!="Alta",'Mapa final'!#REF!="Leve"),CONCATENATE("R",'Mapa final'!#REF!),"")</f>
        <v>#REF!</v>
      </c>
      <c r="K16" s="279"/>
      <c r="L16" s="279" t="str">
        <f>IF(AND('Mapa final'!$K$15="Alta",'Mapa final'!$O$15="Leve"),CONCATENATE("R",'Mapa final'!$A$15),"")</f>
        <v/>
      </c>
      <c r="M16" s="279"/>
      <c r="N16" s="279" t="str">
        <f>IF(AND('Mapa final'!$K$21="Alta",'Mapa final'!$O$21="Leve"),CONCATENATE("R",'Mapa final'!$A$21),"")</f>
        <v/>
      </c>
      <c r="O16" s="280"/>
      <c r="P16" s="278" t="e">
        <f>IF(AND('Mapa final'!#REF!="Alta",'Mapa final'!#REF!="Menor"),CONCATENATE("R",'Mapa final'!#REF!),"")</f>
        <v>#REF!</v>
      </c>
      <c r="Q16" s="279"/>
      <c r="R16" s="279" t="str">
        <f>IF(AND('Mapa final'!$K$15="Alta",'Mapa final'!$O$15="Menor"),CONCATENATE("R",'Mapa final'!$A$15),"")</f>
        <v/>
      </c>
      <c r="S16" s="279"/>
      <c r="T16" s="279" t="str">
        <f>IF(AND('Mapa final'!$K$21="Alta",'Mapa final'!$O$21="Menor"),CONCATENATE("R",'Mapa final'!$A$21),"")</f>
        <v/>
      </c>
      <c r="U16" s="280"/>
      <c r="V16" s="296" t="e">
        <f>IF(AND('Mapa final'!#REF!="Alta",'Mapa final'!#REF!="Moderado"),CONCATENATE("R",'Mapa final'!#REF!),"")</f>
        <v>#REF!</v>
      </c>
      <c r="W16" s="297"/>
      <c r="X16" s="297" t="str">
        <f>IF(AND('Mapa final'!$K$15="Alta",'Mapa final'!$O$15="Moderado"),CONCATENATE("R",'Mapa final'!$A$15),"")</f>
        <v/>
      </c>
      <c r="Y16" s="297"/>
      <c r="Z16" s="297" t="str">
        <f>IF(AND('Mapa final'!$K$21="Alta",'Mapa final'!$O$21="Moderado"),CONCATENATE("R",'Mapa final'!$A$21),"")</f>
        <v/>
      </c>
      <c r="AA16" s="298"/>
      <c r="AB16" s="296" t="e">
        <f>IF(AND('Mapa final'!#REF!="Alta",'Mapa final'!#REF!="Mayor"),CONCATENATE("R",'Mapa final'!#REF!),"")</f>
        <v>#REF!</v>
      </c>
      <c r="AC16" s="297"/>
      <c r="AD16" s="297" t="str">
        <f>IF(AND('Mapa final'!$K$15="Alta",'Mapa final'!$O$15="Mayor"),CONCATENATE("R",'Mapa final'!$A$15),"")</f>
        <v/>
      </c>
      <c r="AE16" s="297"/>
      <c r="AF16" s="297" t="str">
        <f>IF(AND('Mapa final'!$K$21="Alta",'Mapa final'!$O$21="Mayor"),CONCATENATE("R",'Mapa final'!$A$21),"")</f>
        <v/>
      </c>
      <c r="AG16" s="298"/>
      <c r="AH16" s="287" t="e">
        <f>IF(AND('Mapa final'!#REF!="Alta",'Mapa final'!#REF!="Catastrófico"),CONCATENATE("R",'Mapa final'!#REF!),"")</f>
        <v>#REF!</v>
      </c>
      <c r="AI16" s="288"/>
      <c r="AJ16" s="288" t="str">
        <f>IF(AND('Mapa final'!$K$15="Alta",'Mapa final'!$O$15="Catastrófico"),CONCATENATE("R",'Mapa final'!$A$15),"")</f>
        <v/>
      </c>
      <c r="AK16" s="288"/>
      <c r="AL16" s="288" t="str">
        <f>IF(AND('Mapa final'!$K$21="Alta",'Mapa final'!$O$21="Catastrófico"),CONCATENATE("R",'Mapa final'!$A$21),"")</f>
        <v/>
      </c>
      <c r="AM16" s="289"/>
      <c r="AN16" s="83"/>
      <c r="AO16" s="330"/>
      <c r="AP16" s="331"/>
      <c r="AQ16" s="331"/>
      <c r="AR16" s="331"/>
      <c r="AS16" s="331"/>
      <c r="AT16" s="33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316"/>
      <c r="C17" s="316"/>
      <c r="D17" s="317"/>
      <c r="E17" s="309"/>
      <c r="F17" s="310"/>
      <c r="G17" s="310"/>
      <c r="H17" s="310"/>
      <c r="I17" s="310"/>
      <c r="J17" s="278"/>
      <c r="K17" s="279"/>
      <c r="L17" s="279"/>
      <c r="M17" s="279"/>
      <c r="N17" s="279"/>
      <c r="O17" s="280"/>
      <c r="P17" s="278"/>
      <c r="Q17" s="279"/>
      <c r="R17" s="279"/>
      <c r="S17" s="279"/>
      <c r="T17" s="279"/>
      <c r="U17" s="280"/>
      <c r="V17" s="296"/>
      <c r="W17" s="297"/>
      <c r="X17" s="297"/>
      <c r="Y17" s="297"/>
      <c r="Z17" s="297"/>
      <c r="AA17" s="298"/>
      <c r="AB17" s="296"/>
      <c r="AC17" s="297"/>
      <c r="AD17" s="297"/>
      <c r="AE17" s="297"/>
      <c r="AF17" s="297"/>
      <c r="AG17" s="298"/>
      <c r="AH17" s="287"/>
      <c r="AI17" s="288"/>
      <c r="AJ17" s="288"/>
      <c r="AK17" s="288"/>
      <c r="AL17" s="288"/>
      <c r="AM17" s="289"/>
      <c r="AN17" s="83"/>
      <c r="AO17" s="330"/>
      <c r="AP17" s="331"/>
      <c r="AQ17" s="331"/>
      <c r="AR17" s="331"/>
      <c r="AS17" s="331"/>
      <c r="AT17" s="33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316"/>
      <c r="C18" s="316"/>
      <c r="D18" s="317"/>
      <c r="E18" s="309"/>
      <c r="F18" s="310"/>
      <c r="G18" s="310"/>
      <c r="H18" s="310"/>
      <c r="I18" s="310"/>
      <c r="J18" s="278" t="str">
        <f>IF(AND('Mapa final'!$K$27="Alta",'Mapa final'!$O$27="Leve"),CONCATENATE("R",'Mapa final'!$A$27),"")</f>
        <v/>
      </c>
      <c r="K18" s="279"/>
      <c r="L18" s="279" t="str">
        <f>IF(AND('Mapa final'!$K$33="Alta",'Mapa final'!$O$33="Leve"),CONCATENATE("R",'Mapa final'!$A$33),"")</f>
        <v/>
      </c>
      <c r="M18" s="279"/>
      <c r="N18" s="279" t="str">
        <f>IF(AND('Mapa final'!$K$39="Alta",'Mapa final'!$O$39="Leve"),CONCATENATE("R",'Mapa final'!$A$39),"")</f>
        <v/>
      </c>
      <c r="O18" s="280"/>
      <c r="P18" s="278" t="str">
        <f>IF(AND('Mapa final'!$K$27="Alta",'Mapa final'!$O$27="Menor"),CONCATENATE("R",'Mapa final'!$A$27),"")</f>
        <v/>
      </c>
      <c r="Q18" s="279"/>
      <c r="R18" s="279" t="str">
        <f>IF(AND('Mapa final'!$K$33="Alta",'Mapa final'!$O$33="Menor"),CONCATENATE("R",'Mapa final'!$A$33),"")</f>
        <v/>
      </c>
      <c r="S18" s="279"/>
      <c r="T18" s="279" t="str">
        <f>IF(AND('Mapa final'!$K$39="Alta",'Mapa final'!$O$39="Menor"),CONCATENATE("R",'Mapa final'!$A$39),"")</f>
        <v/>
      </c>
      <c r="U18" s="280"/>
      <c r="V18" s="296" t="str">
        <f>IF(AND('Mapa final'!$K$27="Alta",'Mapa final'!$O$27="Moderado"),CONCATENATE("R",'Mapa final'!$A$27),"")</f>
        <v/>
      </c>
      <c r="W18" s="297"/>
      <c r="X18" s="297" t="str">
        <f>IF(AND('Mapa final'!$K$33="Alta",'Mapa final'!$O$33="Moderado"),CONCATENATE("R",'Mapa final'!$A$33),"")</f>
        <v/>
      </c>
      <c r="Y18" s="297"/>
      <c r="Z18" s="297" t="str">
        <f>IF(AND('Mapa final'!$K$39="Alta",'Mapa final'!$O$39="Moderado"),CONCATENATE("R",'Mapa final'!$A$39),"")</f>
        <v/>
      </c>
      <c r="AA18" s="298"/>
      <c r="AB18" s="296" t="str">
        <f>IF(AND('Mapa final'!$K$27="Alta",'Mapa final'!$O$27="Mayor"),CONCATENATE("R",'Mapa final'!$A$27),"")</f>
        <v/>
      </c>
      <c r="AC18" s="297"/>
      <c r="AD18" s="297" t="str">
        <f>IF(AND('Mapa final'!$K$33="Alta",'Mapa final'!$O$33="Mayor"),CONCATENATE("R",'Mapa final'!$A$33),"")</f>
        <v/>
      </c>
      <c r="AE18" s="297"/>
      <c r="AF18" s="297" t="str">
        <f>IF(AND('Mapa final'!$K$39="Alta",'Mapa final'!$O$39="Mayor"),CONCATENATE("R",'Mapa final'!$A$39),"")</f>
        <v/>
      </c>
      <c r="AG18" s="298"/>
      <c r="AH18" s="287" t="str">
        <f>IF(AND('Mapa final'!$K$27="Alta",'Mapa final'!$O$27="Catastrófico"),CONCATENATE("R",'Mapa final'!$A$27),"")</f>
        <v/>
      </c>
      <c r="AI18" s="288"/>
      <c r="AJ18" s="288" t="str">
        <f>IF(AND('Mapa final'!$K$33="Alta",'Mapa final'!$O$33="Catastrófico"),CONCATENATE("R",'Mapa final'!$A$33),"")</f>
        <v/>
      </c>
      <c r="AK18" s="288"/>
      <c r="AL18" s="288" t="str">
        <f>IF(AND('Mapa final'!$K$39="Alta",'Mapa final'!$O$39="Catastrófico"),CONCATENATE("R",'Mapa final'!$A$39),"")</f>
        <v/>
      </c>
      <c r="AM18" s="289"/>
      <c r="AN18" s="83"/>
      <c r="AO18" s="330"/>
      <c r="AP18" s="331"/>
      <c r="AQ18" s="331"/>
      <c r="AR18" s="331"/>
      <c r="AS18" s="331"/>
      <c r="AT18" s="33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316"/>
      <c r="C19" s="316"/>
      <c r="D19" s="317"/>
      <c r="E19" s="309"/>
      <c r="F19" s="310"/>
      <c r="G19" s="310"/>
      <c r="H19" s="310"/>
      <c r="I19" s="310"/>
      <c r="J19" s="278"/>
      <c r="K19" s="279"/>
      <c r="L19" s="279"/>
      <c r="M19" s="279"/>
      <c r="N19" s="279"/>
      <c r="O19" s="280"/>
      <c r="P19" s="278"/>
      <c r="Q19" s="279"/>
      <c r="R19" s="279"/>
      <c r="S19" s="279"/>
      <c r="T19" s="279"/>
      <c r="U19" s="280"/>
      <c r="V19" s="296"/>
      <c r="W19" s="297"/>
      <c r="X19" s="297"/>
      <c r="Y19" s="297"/>
      <c r="Z19" s="297"/>
      <c r="AA19" s="298"/>
      <c r="AB19" s="296"/>
      <c r="AC19" s="297"/>
      <c r="AD19" s="297"/>
      <c r="AE19" s="297"/>
      <c r="AF19" s="297"/>
      <c r="AG19" s="298"/>
      <c r="AH19" s="287"/>
      <c r="AI19" s="288"/>
      <c r="AJ19" s="288"/>
      <c r="AK19" s="288"/>
      <c r="AL19" s="288"/>
      <c r="AM19" s="289"/>
      <c r="AN19" s="83"/>
      <c r="AO19" s="330"/>
      <c r="AP19" s="331"/>
      <c r="AQ19" s="331"/>
      <c r="AR19" s="331"/>
      <c r="AS19" s="331"/>
      <c r="AT19" s="33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316"/>
      <c r="C20" s="316"/>
      <c r="D20" s="317"/>
      <c r="E20" s="309"/>
      <c r="F20" s="310"/>
      <c r="G20" s="310"/>
      <c r="H20" s="310"/>
      <c r="I20" s="310"/>
      <c r="J20" s="278" t="str">
        <f>IF(AND('Mapa final'!$K$45="Alta",'Mapa final'!$O$45="Leve"),CONCATENATE("R",'Mapa final'!$A$45),"")</f>
        <v/>
      </c>
      <c r="K20" s="279"/>
      <c r="L20" s="279" t="str">
        <f>IF(AND('Mapa final'!$K$51="Alta",'Mapa final'!$O$51="Leve"),CONCATENATE("R",'Mapa final'!$A$51),"")</f>
        <v/>
      </c>
      <c r="M20" s="279"/>
      <c r="N20" s="279" t="str">
        <f>IF(AND('Mapa final'!$K$57="Alta",'Mapa final'!$O$57="Leve"),CONCATENATE("R",'Mapa final'!$A$57),"")</f>
        <v/>
      </c>
      <c r="O20" s="280"/>
      <c r="P20" s="278" t="str">
        <f>IF(AND('Mapa final'!$K$45="Alta",'Mapa final'!$O$45="Menor"),CONCATENATE("R",'Mapa final'!$A$45),"")</f>
        <v/>
      </c>
      <c r="Q20" s="279"/>
      <c r="R20" s="279" t="str">
        <f>IF(AND('Mapa final'!$K$51="Alta",'Mapa final'!$O$51="Menor"),CONCATENATE("R",'Mapa final'!$A$51),"")</f>
        <v/>
      </c>
      <c r="S20" s="279"/>
      <c r="T20" s="279" t="str">
        <f>IF(AND('Mapa final'!$K$57="Alta",'Mapa final'!$O$57="Menor"),CONCATENATE("R",'Mapa final'!$A$57),"")</f>
        <v/>
      </c>
      <c r="U20" s="280"/>
      <c r="V20" s="296" t="str">
        <f>IF(AND('Mapa final'!$K$45="Alta",'Mapa final'!$O$45="Moderado"),CONCATENATE("R",'Mapa final'!$A$45),"")</f>
        <v/>
      </c>
      <c r="W20" s="297"/>
      <c r="X20" s="297" t="str">
        <f>IF(AND('Mapa final'!$K$51="Alta",'Mapa final'!$O$51="Moderado"),CONCATENATE("R",'Mapa final'!$A$51),"")</f>
        <v/>
      </c>
      <c r="Y20" s="297"/>
      <c r="Z20" s="297" t="str">
        <f>IF(AND('Mapa final'!$K$57="Alta",'Mapa final'!$O$57="Moderado"),CONCATENATE("R",'Mapa final'!$A$57),"")</f>
        <v/>
      </c>
      <c r="AA20" s="298"/>
      <c r="AB20" s="296" t="str">
        <f>IF(AND('Mapa final'!$K$45="Alta",'Mapa final'!$O$45="Mayor"),CONCATENATE("R",'Mapa final'!$A$45),"")</f>
        <v/>
      </c>
      <c r="AC20" s="297"/>
      <c r="AD20" s="297" t="str">
        <f>IF(AND('Mapa final'!$K$51="Alta",'Mapa final'!$O$51="Mayor"),CONCATENATE("R",'Mapa final'!$A$51),"")</f>
        <v/>
      </c>
      <c r="AE20" s="297"/>
      <c r="AF20" s="297" t="str">
        <f>IF(AND('Mapa final'!$K$57="Alta",'Mapa final'!$O$57="Mayor"),CONCATENATE("R",'Mapa final'!$A$57),"")</f>
        <v/>
      </c>
      <c r="AG20" s="298"/>
      <c r="AH20" s="287" t="str">
        <f>IF(AND('Mapa final'!$K$45="Alta",'Mapa final'!$O$45="Catastrófico"),CONCATENATE("R",'Mapa final'!$A$45),"")</f>
        <v/>
      </c>
      <c r="AI20" s="288"/>
      <c r="AJ20" s="288" t="str">
        <f>IF(AND('Mapa final'!$K$51="Alta",'Mapa final'!$O$51="Catastrófico"),CONCATENATE("R",'Mapa final'!$A$51),"")</f>
        <v/>
      </c>
      <c r="AK20" s="288"/>
      <c r="AL20" s="288" t="str">
        <f>IF(AND('Mapa final'!$K$57="Alta",'Mapa final'!$O$57="Catastrófico"),CONCATENATE("R",'Mapa final'!$A$57),"")</f>
        <v/>
      </c>
      <c r="AM20" s="289"/>
      <c r="AN20" s="83"/>
      <c r="AO20" s="330"/>
      <c r="AP20" s="331"/>
      <c r="AQ20" s="331"/>
      <c r="AR20" s="331"/>
      <c r="AS20" s="331"/>
      <c r="AT20" s="33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316"/>
      <c r="C21" s="316"/>
      <c r="D21" s="317"/>
      <c r="E21" s="312"/>
      <c r="F21" s="313"/>
      <c r="G21" s="313"/>
      <c r="H21" s="313"/>
      <c r="I21" s="313"/>
      <c r="J21" s="281"/>
      <c r="K21" s="282"/>
      <c r="L21" s="282"/>
      <c r="M21" s="282"/>
      <c r="N21" s="282"/>
      <c r="O21" s="283"/>
      <c r="P21" s="281"/>
      <c r="Q21" s="282"/>
      <c r="R21" s="282"/>
      <c r="S21" s="282"/>
      <c r="T21" s="282"/>
      <c r="U21" s="283"/>
      <c r="V21" s="299"/>
      <c r="W21" s="300"/>
      <c r="X21" s="300"/>
      <c r="Y21" s="300"/>
      <c r="Z21" s="300"/>
      <c r="AA21" s="301"/>
      <c r="AB21" s="299"/>
      <c r="AC21" s="300"/>
      <c r="AD21" s="300"/>
      <c r="AE21" s="300"/>
      <c r="AF21" s="300"/>
      <c r="AG21" s="301"/>
      <c r="AH21" s="290"/>
      <c r="AI21" s="291"/>
      <c r="AJ21" s="291"/>
      <c r="AK21" s="291"/>
      <c r="AL21" s="291"/>
      <c r="AM21" s="292"/>
      <c r="AN21" s="83"/>
      <c r="AO21" s="333"/>
      <c r="AP21" s="334"/>
      <c r="AQ21" s="334"/>
      <c r="AR21" s="334"/>
      <c r="AS21" s="334"/>
      <c r="AT21" s="33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316"/>
      <c r="C22" s="316"/>
      <c r="D22" s="317"/>
      <c r="E22" s="306" t="s">
        <v>109</v>
      </c>
      <c r="F22" s="307"/>
      <c r="G22" s="307"/>
      <c r="H22" s="307"/>
      <c r="I22" s="308"/>
      <c r="J22" s="284" t="str">
        <f>IF(AND('Mapa final'!$K$11="Media",'Mapa final'!$O$11="Leve"),CONCATENATE("R",'Mapa final'!$A$11),"")</f>
        <v/>
      </c>
      <c r="K22" s="285"/>
      <c r="L22" s="285" t="str">
        <f>IF(AND('Mapa final'!$K$13="Media",'Mapa final'!$O$13="Leve"),CONCATENATE("R",'Mapa final'!$A$13),"")</f>
        <v>R2</v>
      </c>
      <c r="M22" s="285"/>
      <c r="N22" s="285" t="str">
        <f>IF(AND('Mapa final'!$K$14="Media",'Mapa final'!$O$14="Leve"),CONCATENATE("R",'Mapa final'!$A$14),"")</f>
        <v>R3</v>
      </c>
      <c r="O22" s="286"/>
      <c r="P22" s="284" t="str">
        <f>IF(AND('Mapa final'!$K$11="Media",'Mapa final'!$O$11="Menor"),CONCATENATE("R",'Mapa final'!$A$11),"")</f>
        <v/>
      </c>
      <c r="Q22" s="285"/>
      <c r="R22" s="285" t="str">
        <f>IF(AND('Mapa final'!$K$13="Media",'Mapa final'!$O$13="Menor"),CONCATENATE("R",'Mapa final'!$A$13),"")</f>
        <v/>
      </c>
      <c r="S22" s="285"/>
      <c r="T22" s="285" t="str">
        <f>IF(AND('Mapa final'!$K$14="Media",'Mapa final'!$O$14="Menor"),CONCATENATE("R",'Mapa final'!$A$14),"")</f>
        <v/>
      </c>
      <c r="U22" s="286"/>
      <c r="V22" s="284" t="str">
        <f>IF(AND('Mapa final'!$K$11="Media",'Mapa final'!$O$11="Moderado"),CONCATENATE("R",'Mapa final'!$A$11),"")</f>
        <v/>
      </c>
      <c r="W22" s="285"/>
      <c r="X22" s="285" t="str">
        <f>IF(AND('Mapa final'!$K$13="Media",'Mapa final'!$O$13="Moderado"),CONCATENATE("R",'Mapa final'!$A$13),"")</f>
        <v/>
      </c>
      <c r="Y22" s="285"/>
      <c r="Z22" s="285" t="str">
        <f>IF(AND('Mapa final'!$K$14="Media",'Mapa final'!$O$14="Moderado"),CONCATENATE("R",'Mapa final'!$A$14),"")</f>
        <v/>
      </c>
      <c r="AA22" s="286"/>
      <c r="AB22" s="302" t="str">
        <f>IF(AND('Mapa final'!$K$11="Media",'Mapa final'!$O$11="Mayor"),CONCATENATE("R",'Mapa final'!$A$11),"")</f>
        <v/>
      </c>
      <c r="AC22" s="303"/>
      <c r="AD22" s="303" t="str">
        <f>IF(AND('Mapa final'!$K$13="Media",'Mapa final'!$O$13="Mayor"),CONCATENATE("R",'Mapa final'!$A$13),"")</f>
        <v/>
      </c>
      <c r="AE22" s="303"/>
      <c r="AF22" s="303" t="str">
        <f>IF(AND('Mapa final'!$K$14="Media",'Mapa final'!$O$14="Mayor"),CONCATENATE("R",'Mapa final'!$A$14),"")</f>
        <v/>
      </c>
      <c r="AG22" s="304"/>
      <c r="AH22" s="293" t="str">
        <f>IF(AND('Mapa final'!$K$11="Media",'Mapa final'!$O$11="Catastrófico"),CONCATENATE("R",'Mapa final'!$A$11),"")</f>
        <v/>
      </c>
      <c r="AI22" s="294"/>
      <c r="AJ22" s="294" t="str">
        <f>IF(AND('Mapa final'!$K$13="Media",'Mapa final'!$O$13="Catastrófico"),CONCATENATE("R",'Mapa final'!$A$13),"")</f>
        <v/>
      </c>
      <c r="AK22" s="294"/>
      <c r="AL22" s="294" t="str">
        <f>IF(AND('Mapa final'!$K$14="Media",'Mapa final'!$O$14="Catastrófico"),CONCATENATE("R",'Mapa final'!$A$14),"")</f>
        <v/>
      </c>
      <c r="AM22" s="295"/>
      <c r="AN22" s="83"/>
      <c r="AO22" s="336" t="s">
        <v>78</v>
      </c>
      <c r="AP22" s="337"/>
      <c r="AQ22" s="337"/>
      <c r="AR22" s="337"/>
      <c r="AS22" s="337"/>
      <c r="AT22" s="33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316"/>
      <c r="C23" s="316"/>
      <c r="D23" s="317"/>
      <c r="E23" s="309"/>
      <c r="F23" s="310"/>
      <c r="G23" s="310"/>
      <c r="H23" s="310"/>
      <c r="I23" s="311"/>
      <c r="J23" s="278"/>
      <c r="K23" s="279"/>
      <c r="L23" s="279"/>
      <c r="M23" s="279"/>
      <c r="N23" s="279"/>
      <c r="O23" s="280"/>
      <c r="P23" s="278"/>
      <c r="Q23" s="279"/>
      <c r="R23" s="279"/>
      <c r="S23" s="279"/>
      <c r="T23" s="279"/>
      <c r="U23" s="280"/>
      <c r="V23" s="278"/>
      <c r="W23" s="279"/>
      <c r="X23" s="279"/>
      <c r="Y23" s="279"/>
      <c r="Z23" s="279"/>
      <c r="AA23" s="280"/>
      <c r="AB23" s="296"/>
      <c r="AC23" s="297"/>
      <c r="AD23" s="297"/>
      <c r="AE23" s="297"/>
      <c r="AF23" s="297"/>
      <c r="AG23" s="298"/>
      <c r="AH23" s="287"/>
      <c r="AI23" s="288"/>
      <c r="AJ23" s="288"/>
      <c r="AK23" s="288"/>
      <c r="AL23" s="288"/>
      <c r="AM23" s="289"/>
      <c r="AN23" s="83"/>
      <c r="AO23" s="339"/>
      <c r="AP23" s="340"/>
      <c r="AQ23" s="340"/>
      <c r="AR23" s="340"/>
      <c r="AS23" s="340"/>
      <c r="AT23" s="34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316"/>
      <c r="C24" s="316"/>
      <c r="D24" s="317"/>
      <c r="E24" s="309"/>
      <c r="F24" s="310"/>
      <c r="G24" s="310"/>
      <c r="H24" s="310"/>
      <c r="I24" s="311"/>
      <c r="J24" s="278" t="e">
        <f>IF(AND('Mapa final'!#REF!="Media",'Mapa final'!#REF!="Leve"),CONCATENATE("R",'Mapa final'!#REF!),"")</f>
        <v>#REF!</v>
      </c>
      <c r="K24" s="279"/>
      <c r="L24" s="279" t="str">
        <f>IF(AND('Mapa final'!$K$15="Media",'Mapa final'!$O$15="Leve"),CONCATENATE("R",'Mapa final'!$A$15),"")</f>
        <v/>
      </c>
      <c r="M24" s="279"/>
      <c r="N24" s="279" t="str">
        <f>IF(AND('Mapa final'!$K$21="Media",'Mapa final'!$O$21="Leve"),CONCATENATE("R",'Mapa final'!$A$21),"")</f>
        <v/>
      </c>
      <c r="O24" s="280"/>
      <c r="P24" s="278" t="e">
        <f>IF(AND('Mapa final'!#REF!="Media",'Mapa final'!#REF!="Menor"),CONCATENATE("R",'Mapa final'!#REF!),"")</f>
        <v>#REF!</v>
      </c>
      <c r="Q24" s="279"/>
      <c r="R24" s="279" t="str">
        <f>IF(AND('Mapa final'!$K$15="Media",'Mapa final'!$O$15="Menor"),CONCATENATE("R",'Mapa final'!$A$15),"")</f>
        <v/>
      </c>
      <c r="S24" s="279"/>
      <c r="T24" s="279" t="str">
        <f>IF(AND('Mapa final'!$K$21="Media",'Mapa final'!$O$21="Menor"),CONCATENATE("R",'Mapa final'!$A$21),"")</f>
        <v/>
      </c>
      <c r="U24" s="280"/>
      <c r="V24" s="278" t="e">
        <f>IF(AND('Mapa final'!#REF!="Media",'Mapa final'!#REF!="Moderado"),CONCATENATE("R",'Mapa final'!#REF!),"")</f>
        <v>#REF!</v>
      </c>
      <c r="W24" s="279"/>
      <c r="X24" s="279" t="str">
        <f>IF(AND('Mapa final'!$K$15="Media",'Mapa final'!$O$15="Moderado"),CONCATENATE("R",'Mapa final'!$A$15),"")</f>
        <v/>
      </c>
      <c r="Y24" s="279"/>
      <c r="Z24" s="279" t="str">
        <f>IF(AND('Mapa final'!$K$21="Media",'Mapa final'!$O$21="Moderado"),CONCATENATE("R",'Mapa final'!$A$21),"")</f>
        <v/>
      </c>
      <c r="AA24" s="280"/>
      <c r="AB24" s="296" t="e">
        <f>IF(AND('Mapa final'!#REF!="Media",'Mapa final'!#REF!="Mayor"),CONCATENATE("R",'Mapa final'!#REF!),"")</f>
        <v>#REF!</v>
      </c>
      <c r="AC24" s="297"/>
      <c r="AD24" s="297" t="str">
        <f>IF(AND('Mapa final'!$K$15="Media",'Mapa final'!$O$15="Mayor"),CONCATENATE("R",'Mapa final'!$A$15),"")</f>
        <v/>
      </c>
      <c r="AE24" s="297"/>
      <c r="AF24" s="297" t="str">
        <f>IF(AND('Mapa final'!$K$21="Media",'Mapa final'!$O$21="Mayor"),CONCATENATE("R",'Mapa final'!$A$21),"")</f>
        <v/>
      </c>
      <c r="AG24" s="298"/>
      <c r="AH24" s="287" t="e">
        <f>IF(AND('Mapa final'!#REF!="Media",'Mapa final'!#REF!="Catastrófico"),CONCATENATE("R",'Mapa final'!#REF!),"")</f>
        <v>#REF!</v>
      </c>
      <c r="AI24" s="288"/>
      <c r="AJ24" s="288" t="str">
        <f>IF(AND('Mapa final'!$K$15="Media",'Mapa final'!$O$15="Catastrófico"),CONCATENATE("R",'Mapa final'!$A$15),"")</f>
        <v/>
      </c>
      <c r="AK24" s="288"/>
      <c r="AL24" s="288" t="str">
        <f>IF(AND('Mapa final'!$K$21="Media",'Mapa final'!$O$21="Catastrófico"),CONCATENATE("R",'Mapa final'!$A$21),"")</f>
        <v/>
      </c>
      <c r="AM24" s="289"/>
      <c r="AN24" s="83"/>
      <c r="AO24" s="339"/>
      <c r="AP24" s="340"/>
      <c r="AQ24" s="340"/>
      <c r="AR24" s="340"/>
      <c r="AS24" s="340"/>
      <c r="AT24" s="34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316"/>
      <c r="C25" s="316"/>
      <c r="D25" s="317"/>
      <c r="E25" s="309"/>
      <c r="F25" s="310"/>
      <c r="G25" s="310"/>
      <c r="H25" s="310"/>
      <c r="I25" s="311"/>
      <c r="J25" s="278"/>
      <c r="K25" s="279"/>
      <c r="L25" s="279"/>
      <c r="M25" s="279"/>
      <c r="N25" s="279"/>
      <c r="O25" s="280"/>
      <c r="P25" s="278"/>
      <c r="Q25" s="279"/>
      <c r="R25" s="279"/>
      <c r="S25" s="279"/>
      <c r="T25" s="279"/>
      <c r="U25" s="280"/>
      <c r="V25" s="278"/>
      <c r="W25" s="279"/>
      <c r="X25" s="279"/>
      <c r="Y25" s="279"/>
      <c r="Z25" s="279"/>
      <c r="AA25" s="280"/>
      <c r="AB25" s="296"/>
      <c r="AC25" s="297"/>
      <c r="AD25" s="297"/>
      <c r="AE25" s="297"/>
      <c r="AF25" s="297"/>
      <c r="AG25" s="298"/>
      <c r="AH25" s="287"/>
      <c r="AI25" s="288"/>
      <c r="AJ25" s="288"/>
      <c r="AK25" s="288"/>
      <c r="AL25" s="288"/>
      <c r="AM25" s="289"/>
      <c r="AN25" s="83"/>
      <c r="AO25" s="339"/>
      <c r="AP25" s="340"/>
      <c r="AQ25" s="340"/>
      <c r="AR25" s="340"/>
      <c r="AS25" s="340"/>
      <c r="AT25" s="34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316"/>
      <c r="C26" s="316"/>
      <c r="D26" s="317"/>
      <c r="E26" s="309"/>
      <c r="F26" s="310"/>
      <c r="G26" s="310"/>
      <c r="H26" s="310"/>
      <c r="I26" s="311"/>
      <c r="J26" s="278" t="str">
        <f>IF(AND('Mapa final'!$K$27="Media",'Mapa final'!$O$27="Leve"),CONCATENATE("R",'Mapa final'!$A$27),"")</f>
        <v/>
      </c>
      <c r="K26" s="279"/>
      <c r="L26" s="279" t="str">
        <f>IF(AND('Mapa final'!$K$33="Media",'Mapa final'!$O$33="Leve"),CONCATENATE("R",'Mapa final'!$A$33),"")</f>
        <v/>
      </c>
      <c r="M26" s="279"/>
      <c r="N26" s="279" t="str">
        <f>IF(AND('Mapa final'!$K$39="Media",'Mapa final'!$O$39="Leve"),CONCATENATE("R",'Mapa final'!$A$39),"")</f>
        <v/>
      </c>
      <c r="O26" s="280"/>
      <c r="P26" s="278" t="str">
        <f>IF(AND('Mapa final'!$K$27="Media",'Mapa final'!$O$27="Menor"),CONCATENATE("R",'Mapa final'!$A$27),"")</f>
        <v/>
      </c>
      <c r="Q26" s="279"/>
      <c r="R26" s="279" t="str">
        <f>IF(AND('Mapa final'!$K$33="Media",'Mapa final'!$O$33="Menor"),CONCATENATE("R",'Mapa final'!$A$33),"")</f>
        <v/>
      </c>
      <c r="S26" s="279"/>
      <c r="T26" s="279" t="str">
        <f>IF(AND('Mapa final'!$K$39="Media",'Mapa final'!$O$39="Menor"),CONCATENATE("R",'Mapa final'!$A$39),"")</f>
        <v/>
      </c>
      <c r="U26" s="280"/>
      <c r="V26" s="278" t="str">
        <f>IF(AND('Mapa final'!$K$27="Media",'Mapa final'!$O$27="Moderado"),CONCATENATE("R",'Mapa final'!$A$27),"")</f>
        <v/>
      </c>
      <c r="W26" s="279"/>
      <c r="X26" s="279" t="str">
        <f>IF(AND('Mapa final'!$K$33="Media",'Mapa final'!$O$33="Moderado"),CONCATENATE("R",'Mapa final'!$A$33),"")</f>
        <v/>
      </c>
      <c r="Y26" s="279"/>
      <c r="Z26" s="279" t="str">
        <f>IF(AND('Mapa final'!$K$39="Media",'Mapa final'!$O$39="Moderado"),CONCATENATE("R",'Mapa final'!$A$39),"")</f>
        <v/>
      </c>
      <c r="AA26" s="280"/>
      <c r="AB26" s="296" t="str">
        <f>IF(AND('Mapa final'!$K$27="Media",'Mapa final'!$O$27="Mayor"),CONCATENATE("R",'Mapa final'!$A$27),"")</f>
        <v/>
      </c>
      <c r="AC26" s="297"/>
      <c r="AD26" s="297" t="str">
        <f>IF(AND('Mapa final'!$K$33="Media",'Mapa final'!$O$33="Mayor"),CONCATENATE("R",'Mapa final'!$A$33),"")</f>
        <v/>
      </c>
      <c r="AE26" s="297"/>
      <c r="AF26" s="297" t="str">
        <f>IF(AND('Mapa final'!$K$39="Media",'Mapa final'!$O$39="Mayor"),CONCATENATE("R",'Mapa final'!$A$39),"")</f>
        <v/>
      </c>
      <c r="AG26" s="298"/>
      <c r="AH26" s="287" t="str">
        <f>IF(AND('Mapa final'!$K$27="Media",'Mapa final'!$O$27="Catastrófico"),CONCATENATE("R",'Mapa final'!$A$27),"")</f>
        <v/>
      </c>
      <c r="AI26" s="288"/>
      <c r="AJ26" s="288" t="str">
        <f>IF(AND('Mapa final'!$K$33="Media",'Mapa final'!$O$33="Catastrófico"),CONCATENATE("R",'Mapa final'!$A$33),"")</f>
        <v/>
      </c>
      <c r="AK26" s="288"/>
      <c r="AL26" s="288" t="str">
        <f>IF(AND('Mapa final'!$K$39="Media",'Mapa final'!$O$39="Catastrófico"),CONCATENATE("R",'Mapa final'!$A$39),"")</f>
        <v/>
      </c>
      <c r="AM26" s="289"/>
      <c r="AN26" s="83"/>
      <c r="AO26" s="339"/>
      <c r="AP26" s="340"/>
      <c r="AQ26" s="340"/>
      <c r="AR26" s="340"/>
      <c r="AS26" s="340"/>
      <c r="AT26" s="34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316"/>
      <c r="C27" s="316"/>
      <c r="D27" s="317"/>
      <c r="E27" s="309"/>
      <c r="F27" s="310"/>
      <c r="G27" s="310"/>
      <c r="H27" s="310"/>
      <c r="I27" s="311"/>
      <c r="J27" s="278"/>
      <c r="K27" s="279"/>
      <c r="L27" s="279"/>
      <c r="M27" s="279"/>
      <c r="N27" s="279"/>
      <c r="O27" s="280"/>
      <c r="P27" s="278"/>
      <c r="Q27" s="279"/>
      <c r="R27" s="279"/>
      <c r="S27" s="279"/>
      <c r="T27" s="279"/>
      <c r="U27" s="280"/>
      <c r="V27" s="278"/>
      <c r="W27" s="279"/>
      <c r="X27" s="279"/>
      <c r="Y27" s="279"/>
      <c r="Z27" s="279"/>
      <c r="AA27" s="280"/>
      <c r="AB27" s="296"/>
      <c r="AC27" s="297"/>
      <c r="AD27" s="297"/>
      <c r="AE27" s="297"/>
      <c r="AF27" s="297"/>
      <c r="AG27" s="298"/>
      <c r="AH27" s="287"/>
      <c r="AI27" s="288"/>
      <c r="AJ27" s="288"/>
      <c r="AK27" s="288"/>
      <c r="AL27" s="288"/>
      <c r="AM27" s="289"/>
      <c r="AN27" s="83"/>
      <c r="AO27" s="339"/>
      <c r="AP27" s="340"/>
      <c r="AQ27" s="340"/>
      <c r="AR27" s="340"/>
      <c r="AS27" s="340"/>
      <c r="AT27" s="34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316"/>
      <c r="C28" s="316"/>
      <c r="D28" s="317"/>
      <c r="E28" s="309"/>
      <c r="F28" s="310"/>
      <c r="G28" s="310"/>
      <c r="H28" s="310"/>
      <c r="I28" s="311"/>
      <c r="J28" s="278" t="str">
        <f>IF(AND('Mapa final'!$K$45="Media",'Mapa final'!$O$45="Leve"),CONCATENATE("R",'Mapa final'!$A$45),"")</f>
        <v/>
      </c>
      <c r="K28" s="279"/>
      <c r="L28" s="279" t="str">
        <f>IF(AND('Mapa final'!$K$51="Media",'Mapa final'!$O$51="Leve"),CONCATENATE("R",'Mapa final'!$A$51),"")</f>
        <v/>
      </c>
      <c r="M28" s="279"/>
      <c r="N28" s="279" t="str">
        <f>IF(AND('Mapa final'!$K$57="Media",'Mapa final'!$O$57="Leve"),CONCATENATE("R",'Mapa final'!$A$57),"")</f>
        <v/>
      </c>
      <c r="O28" s="280"/>
      <c r="P28" s="278" t="str">
        <f>IF(AND('Mapa final'!$K$45="Media",'Mapa final'!$O$45="Menor"),CONCATENATE("R",'Mapa final'!$A$45),"")</f>
        <v/>
      </c>
      <c r="Q28" s="279"/>
      <c r="R28" s="279" t="str">
        <f>IF(AND('Mapa final'!$K$51="Media",'Mapa final'!$O$51="Menor"),CONCATENATE("R",'Mapa final'!$A$51),"")</f>
        <v/>
      </c>
      <c r="S28" s="279"/>
      <c r="T28" s="279" t="str">
        <f>IF(AND('Mapa final'!$K$57="Media",'Mapa final'!$O$57="Menor"),CONCATENATE("R",'Mapa final'!$A$57),"")</f>
        <v/>
      </c>
      <c r="U28" s="280"/>
      <c r="V28" s="278" t="str">
        <f>IF(AND('Mapa final'!$K$45="Media",'Mapa final'!$O$45="Moderado"),CONCATENATE("R",'Mapa final'!$A$45),"")</f>
        <v/>
      </c>
      <c r="W28" s="279"/>
      <c r="X28" s="279" t="str">
        <f>IF(AND('Mapa final'!$K$51="Media",'Mapa final'!$O$51="Moderado"),CONCATENATE("R",'Mapa final'!$A$51),"")</f>
        <v/>
      </c>
      <c r="Y28" s="279"/>
      <c r="Z28" s="279" t="str">
        <f>IF(AND('Mapa final'!$K$57="Media",'Mapa final'!$O$57="Moderado"),CONCATENATE("R",'Mapa final'!$A$57),"")</f>
        <v/>
      </c>
      <c r="AA28" s="280"/>
      <c r="AB28" s="296" t="str">
        <f>IF(AND('Mapa final'!$K$45="Media",'Mapa final'!$O$45="Mayor"),CONCATENATE("R",'Mapa final'!$A$45),"")</f>
        <v/>
      </c>
      <c r="AC28" s="297"/>
      <c r="AD28" s="297" t="str">
        <f>IF(AND('Mapa final'!$K$51="Media",'Mapa final'!$O$51="Mayor"),CONCATENATE("R",'Mapa final'!$A$51),"")</f>
        <v/>
      </c>
      <c r="AE28" s="297"/>
      <c r="AF28" s="297" t="str">
        <f>IF(AND('Mapa final'!$K$57="Media",'Mapa final'!$O$57="Mayor"),CONCATENATE("R",'Mapa final'!$A$57),"")</f>
        <v/>
      </c>
      <c r="AG28" s="298"/>
      <c r="AH28" s="287" t="str">
        <f>IF(AND('Mapa final'!$K$45="Media",'Mapa final'!$O$45="Catastrófico"),CONCATENATE("R",'Mapa final'!$A$45),"")</f>
        <v/>
      </c>
      <c r="AI28" s="288"/>
      <c r="AJ28" s="288" t="str">
        <f>IF(AND('Mapa final'!$K$51="Media",'Mapa final'!$O$51="Catastrófico"),CONCATENATE("R",'Mapa final'!$A$51),"")</f>
        <v/>
      </c>
      <c r="AK28" s="288"/>
      <c r="AL28" s="288" t="str">
        <f>IF(AND('Mapa final'!$K$57="Media",'Mapa final'!$O$57="Catastrófico"),CONCATENATE("R",'Mapa final'!$A$57),"")</f>
        <v/>
      </c>
      <c r="AM28" s="289"/>
      <c r="AN28" s="83"/>
      <c r="AO28" s="339"/>
      <c r="AP28" s="340"/>
      <c r="AQ28" s="340"/>
      <c r="AR28" s="340"/>
      <c r="AS28" s="340"/>
      <c r="AT28" s="34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316"/>
      <c r="C29" s="316"/>
      <c r="D29" s="317"/>
      <c r="E29" s="312"/>
      <c r="F29" s="313"/>
      <c r="G29" s="313"/>
      <c r="H29" s="313"/>
      <c r="I29" s="314"/>
      <c r="J29" s="278"/>
      <c r="K29" s="279"/>
      <c r="L29" s="279"/>
      <c r="M29" s="279"/>
      <c r="N29" s="279"/>
      <c r="O29" s="280"/>
      <c r="P29" s="281"/>
      <c r="Q29" s="282"/>
      <c r="R29" s="282"/>
      <c r="S29" s="282"/>
      <c r="T29" s="282"/>
      <c r="U29" s="283"/>
      <c r="V29" s="281"/>
      <c r="W29" s="282"/>
      <c r="X29" s="282"/>
      <c r="Y29" s="282"/>
      <c r="Z29" s="282"/>
      <c r="AA29" s="283"/>
      <c r="AB29" s="299"/>
      <c r="AC29" s="300"/>
      <c r="AD29" s="300"/>
      <c r="AE29" s="300"/>
      <c r="AF29" s="300"/>
      <c r="AG29" s="301"/>
      <c r="AH29" s="290"/>
      <c r="AI29" s="291"/>
      <c r="AJ29" s="291"/>
      <c r="AK29" s="291"/>
      <c r="AL29" s="291"/>
      <c r="AM29" s="292"/>
      <c r="AN29" s="83"/>
      <c r="AO29" s="342"/>
      <c r="AP29" s="343"/>
      <c r="AQ29" s="343"/>
      <c r="AR29" s="343"/>
      <c r="AS29" s="343"/>
      <c r="AT29" s="34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316"/>
      <c r="C30" s="316"/>
      <c r="D30" s="317"/>
      <c r="E30" s="306" t="s">
        <v>106</v>
      </c>
      <c r="F30" s="307"/>
      <c r="G30" s="307"/>
      <c r="H30" s="307"/>
      <c r="I30" s="307"/>
      <c r="J30" s="275" t="str">
        <f>IF(AND('Mapa final'!$K$11="Baja",'Mapa final'!$O$11="Leve"),CONCATENATE("R",'Mapa final'!$A$11),"")</f>
        <v/>
      </c>
      <c r="K30" s="276"/>
      <c r="L30" s="276" t="str">
        <f>IF(AND('Mapa final'!$K$13="Baja",'Mapa final'!$O$13="Leve"),CONCATENATE("R",'Mapa final'!$A$13),"")</f>
        <v/>
      </c>
      <c r="M30" s="276"/>
      <c r="N30" s="276" t="str">
        <f>IF(AND('Mapa final'!$K$14="Baja",'Mapa final'!$O$14="Leve"),CONCATENATE("R",'Mapa final'!$A$14),"")</f>
        <v/>
      </c>
      <c r="O30" s="277"/>
      <c r="P30" s="285" t="str">
        <f>IF(AND('Mapa final'!$K$11="Baja",'Mapa final'!$O$11="Menor"),CONCATENATE("R",'Mapa final'!$A$11),"")</f>
        <v/>
      </c>
      <c r="Q30" s="285"/>
      <c r="R30" s="285" t="str">
        <f>IF(AND('Mapa final'!$K$13="Baja",'Mapa final'!$O$13="Menor"),CONCATENATE("R",'Mapa final'!$A$13),"")</f>
        <v/>
      </c>
      <c r="S30" s="285"/>
      <c r="T30" s="285" t="str">
        <f>IF(AND('Mapa final'!$K$14="Baja",'Mapa final'!$O$14="Menor"),CONCATENATE("R",'Mapa final'!$A$14),"")</f>
        <v/>
      </c>
      <c r="U30" s="286"/>
      <c r="V30" s="284" t="str">
        <f>IF(AND('Mapa final'!$K$11="Baja",'Mapa final'!$O$11="Moderado"),CONCATENATE("R",'Mapa final'!$A$11),"")</f>
        <v/>
      </c>
      <c r="W30" s="285"/>
      <c r="X30" s="285" t="str">
        <f>IF(AND('Mapa final'!$K$13="Baja",'Mapa final'!$O$13="Moderado"),CONCATENATE("R",'Mapa final'!$A$13),"")</f>
        <v/>
      </c>
      <c r="Y30" s="285"/>
      <c r="Z30" s="285" t="str">
        <f>IF(AND('Mapa final'!$K$14="Baja",'Mapa final'!$O$14="Moderado"),CONCATENATE("R",'Mapa final'!$A$14),"")</f>
        <v/>
      </c>
      <c r="AA30" s="286"/>
      <c r="AB30" s="302" t="str">
        <f>IF(AND('Mapa final'!$K$11="Baja",'Mapa final'!$O$11="Mayor"),CONCATENATE("R",'Mapa final'!$A$11),"")</f>
        <v/>
      </c>
      <c r="AC30" s="303"/>
      <c r="AD30" s="303" t="str">
        <f>IF(AND('Mapa final'!$K$13="Baja",'Mapa final'!$O$13="Mayor"),CONCATENATE("R",'Mapa final'!$A$13),"")</f>
        <v/>
      </c>
      <c r="AE30" s="303"/>
      <c r="AF30" s="303" t="str">
        <f>IF(AND('Mapa final'!$K$14="Baja",'Mapa final'!$O$14="Mayor"),CONCATENATE("R",'Mapa final'!$A$14),"")</f>
        <v/>
      </c>
      <c r="AG30" s="304"/>
      <c r="AH30" s="293" t="str">
        <f>IF(AND('Mapa final'!$K$11="Baja",'Mapa final'!$O$11="Catastrófico"),CONCATENATE("R",'Mapa final'!$A$11),"")</f>
        <v/>
      </c>
      <c r="AI30" s="294"/>
      <c r="AJ30" s="294" t="str">
        <f>IF(AND('Mapa final'!$K$13="Baja",'Mapa final'!$O$13="Catastrófico"),CONCATENATE("R",'Mapa final'!$A$13),"")</f>
        <v/>
      </c>
      <c r="AK30" s="294"/>
      <c r="AL30" s="294" t="str">
        <f>IF(AND('Mapa final'!$K$14="Baja",'Mapa final'!$O$14="Catastrófico"),CONCATENATE("R",'Mapa final'!$A$14),"")</f>
        <v/>
      </c>
      <c r="AM30" s="295"/>
      <c r="AN30" s="83"/>
      <c r="AO30" s="345" t="s">
        <v>79</v>
      </c>
      <c r="AP30" s="346"/>
      <c r="AQ30" s="346"/>
      <c r="AR30" s="346"/>
      <c r="AS30" s="346"/>
      <c r="AT30" s="34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316"/>
      <c r="C31" s="316"/>
      <c r="D31" s="317"/>
      <c r="E31" s="309"/>
      <c r="F31" s="310"/>
      <c r="G31" s="310"/>
      <c r="H31" s="310"/>
      <c r="I31" s="310"/>
      <c r="J31" s="269"/>
      <c r="K31" s="270"/>
      <c r="L31" s="270"/>
      <c r="M31" s="270"/>
      <c r="N31" s="270"/>
      <c r="O31" s="271"/>
      <c r="P31" s="279"/>
      <c r="Q31" s="279"/>
      <c r="R31" s="279"/>
      <c r="S31" s="279"/>
      <c r="T31" s="279"/>
      <c r="U31" s="280"/>
      <c r="V31" s="278"/>
      <c r="W31" s="279"/>
      <c r="X31" s="279"/>
      <c r="Y31" s="279"/>
      <c r="Z31" s="279"/>
      <c r="AA31" s="280"/>
      <c r="AB31" s="296"/>
      <c r="AC31" s="297"/>
      <c r="AD31" s="297"/>
      <c r="AE31" s="297"/>
      <c r="AF31" s="297"/>
      <c r="AG31" s="298"/>
      <c r="AH31" s="287"/>
      <c r="AI31" s="288"/>
      <c r="AJ31" s="288"/>
      <c r="AK31" s="288"/>
      <c r="AL31" s="288"/>
      <c r="AM31" s="289"/>
      <c r="AN31" s="83"/>
      <c r="AO31" s="348"/>
      <c r="AP31" s="349"/>
      <c r="AQ31" s="349"/>
      <c r="AR31" s="349"/>
      <c r="AS31" s="349"/>
      <c r="AT31" s="35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316"/>
      <c r="C32" s="316"/>
      <c r="D32" s="317"/>
      <c r="E32" s="309"/>
      <c r="F32" s="310"/>
      <c r="G32" s="310"/>
      <c r="H32" s="310"/>
      <c r="I32" s="310"/>
      <c r="J32" s="269" t="e">
        <f>IF(AND('Mapa final'!#REF!="Baja",'Mapa final'!#REF!="Leve"),CONCATENATE("R",'Mapa final'!#REF!),"")</f>
        <v>#REF!</v>
      </c>
      <c r="K32" s="270"/>
      <c r="L32" s="270" t="str">
        <f>IF(AND('Mapa final'!$K$15="Baja",'Mapa final'!$O$15="Leve"),CONCATENATE("R",'Mapa final'!$A$15),"")</f>
        <v/>
      </c>
      <c r="M32" s="270"/>
      <c r="N32" s="270" t="str">
        <f>IF(AND('Mapa final'!$K$21="Baja",'Mapa final'!$O$21="Leve"),CONCATENATE("R",'Mapa final'!$A$21),"")</f>
        <v/>
      </c>
      <c r="O32" s="271"/>
      <c r="P32" s="279" t="e">
        <f>IF(AND('Mapa final'!#REF!="Baja",'Mapa final'!#REF!="Menor"),CONCATENATE("R",'Mapa final'!#REF!),"")</f>
        <v>#REF!</v>
      </c>
      <c r="Q32" s="279"/>
      <c r="R32" s="279" t="str">
        <f>IF(AND('Mapa final'!$K$15="Baja",'Mapa final'!$O$15="Menor"),CONCATENATE("R",'Mapa final'!$A$15),"")</f>
        <v/>
      </c>
      <c r="S32" s="279"/>
      <c r="T32" s="279" t="str">
        <f>IF(AND('Mapa final'!$K$21="Baja",'Mapa final'!$O$21="Menor"),CONCATENATE("R",'Mapa final'!$A$21),"")</f>
        <v/>
      </c>
      <c r="U32" s="280"/>
      <c r="V32" s="278" t="e">
        <f>IF(AND('Mapa final'!#REF!="Baja",'Mapa final'!#REF!="Moderado"),CONCATENATE("R",'Mapa final'!#REF!),"")</f>
        <v>#REF!</v>
      </c>
      <c r="W32" s="279"/>
      <c r="X32" s="279" t="str">
        <f>IF(AND('Mapa final'!$K$15="Baja",'Mapa final'!$O$15="Moderado"),CONCATENATE("R",'Mapa final'!$A$15),"")</f>
        <v/>
      </c>
      <c r="Y32" s="279"/>
      <c r="Z32" s="279" t="str">
        <f>IF(AND('Mapa final'!$K$21="Baja",'Mapa final'!$O$21="Moderado"),CONCATENATE("R",'Mapa final'!$A$21),"")</f>
        <v/>
      </c>
      <c r="AA32" s="280"/>
      <c r="AB32" s="296" t="e">
        <f>IF(AND('Mapa final'!#REF!="Baja",'Mapa final'!#REF!="Mayor"),CONCATENATE("R",'Mapa final'!#REF!),"")</f>
        <v>#REF!</v>
      </c>
      <c r="AC32" s="297"/>
      <c r="AD32" s="297" t="str">
        <f>IF(AND('Mapa final'!$K$15="Baja",'Mapa final'!$O$15="Mayor"),CONCATENATE("R",'Mapa final'!$A$15),"")</f>
        <v/>
      </c>
      <c r="AE32" s="297"/>
      <c r="AF32" s="297" t="str">
        <f>IF(AND('Mapa final'!$K$21="Baja",'Mapa final'!$O$21="Mayor"),CONCATENATE("R",'Mapa final'!$A$21),"")</f>
        <v/>
      </c>
      <c r="AG32" s="298"/>
      <c r="AH32" s="287" t="e">
        <f>IF(AND('Mapa final'!#REF!="Baja",'Mapa final'!#REF!="Catastrófico"),CONCATENATE("R",'Mapa final'!#REF!),"")</f>
        <v>#REF!</v>
      </c>
      <c r="AI32" s="288"/>
      <c r="AJ32" s="288" t="str">
        <f>IF(AND('Mapa final'!$K$15="Baja",'Mapa final'!$O$15="Catastrófico"),CONCATENATE("R",'Mapa final'!$A$15),"")</f>
        <v/>
      </c>
      <c r="AK32" s="288"/>
      <c r="AL32" s="288" t="str">
        <f>IF(AND('Mapa final'!$K$21="Baja",'Mapa final'!$O$21="Catastrófico"),CONCATENATE("R",'Mapa final'!$A$21),"")</f>
        <v/>
      </c>
      <c r="AM32" s="289"/>
      <c r="AN32" s="83"/>
      <c r="AO32" s="348"/>
      <c r="AP32" s="349"/>
      <c r="AQ32" s="349"/>
      <c r="AR32" s="349"/>
      <c r="AS32" s="349"/>
      <c r="AT32" s="35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316"/>
      <c r="C33" s="316"/>
      <c r="D33" s="317"/>
      <c r="E33" s="309"/>
      <c r="F33" s="310"/>
      <c r="G33" s="310"/>
      <c r="H33" s="310"/>
      <c r="I33" s="310"/>
      <c r="J33" s="269"/>
      <c r="K33" s="270"/>
      <c r="L33" s="270"/>
      <c r="M33" s="270"/>
      <c r="N33" s="270"/>
      <c r="O33" s="271"/>
      <c r="P33" s="279"/>
      <c r="Q33" s="279"/>
      <c r="R33" s="279"/>
      <c r="S33" s="279"/>
      <c r="T33" s="279"/>
      <c r="U33" s="280"/>
      <c r="V33" s="278"/>
      <c r="W33" s="279"/>
      <c r="X33" s="279"/>
      <c r="Y33" s="279"/>
      <c r="Z33" s="279"/>
      <c r="AA33" s="280"/>
      <c r="AB33" s="296"/>
      <c r="AC33" s="297"/>
      <c r="AD33" s="297"/>
      <c r="AE33" s="297"/>
      <c r="AF33" s="297"/>
      <c r="AG33" s="298"/>
      <c r="AH33" s="287"/>
      <c r="AI33" s="288"/>
      <c r="AJ33" s="288"/>
      <c r="AK33" s="288"/>
      <c r="AL33" s="288"/>
      <c r="AM33" s="289"/>
      <c r="AN33" s="83"/>
      <c r="AO33" s="348"/>
      <c r="AP33" s="349"/>
      <c r="AQ33" s="349"/>
      <c r="AR33" s="349"/>
      <c r="AS33" s="349"/>
      <c r="AT33" s="35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316"/>
      <c r="C34" s="316"/>
      <c r="D34" s="317"/>
      <c r="E34" s="309"/>
      <c r="F34" s="310"/>
      <c r="G34" s="310"/>
      <c r="H34" s="310"/>
      <c r="I34" s="310"/>
      <c r="J34" s="269" t="str">
        <f>IF(AND('Mapa final'!$K$27="Baja",'Mapa final'!$O$27="Leve"),CONCATENATE("R",'Mapa final'!$A$27),"")</f>
        <v/>
      </c>
      <c r="K34" s="270"/>
      <c r="L34" s="270" t="str">
        <f>IF(AND('Mapa final'!$K$33="Baja",'Mapa final'!$O$33="Leve"),CONCATENATE("R",'Mapa final'!$A$33),"")</f>
        <v/>
      </c>
      <c r="M34" s="270"/>
      <c r="N34" s="270" t="str">
        <f>IF(AND('Mapa final'!$K$39="Baja",'Mapa final'!$O$39="Leve"),CONCATENATE("R",'Mapa final'!$A$39),"")</f>
        <v/>
      </c>
      <c r="O34" s="271"/>
      <c r="P34" s="279" t="str">
        <f>IF(AND('Mapa final'!$K$27="Baja",'Mapa final'!$O$27="Menor"),CONCATENATE("R",'Mapa final'!$A$27),"")</f>
        <v/>
      </c>
      <c r="Q34" s="279"/>
      <c r="R34" s="279" t="str">
        <f>IF(AND('Mapa final'!$K$33="Baja",'Mapa final'!$O$33="Menor"),CONCATENATE("R",'Mapa final'!$A$33),"")</f>
        <v/>
      </c>
      <c r="S34" s="279"/>
      <c r="T34" s="279" t="str">
        <f>IF(AND('Mapa final'!$K$39="Baja",'Mapa final'!$O$39="Menor"),CONCATENATE("R",'Mapa final'!$A$39),"")</f>
        <v/>
      </c>
      <c r="U34" s="280"/>
      <c r="V34" s="278" t="str">
        <f>IF(AND('Mapa final'!$K$27="Baja",'Mapa final'!$O$27="Moderado"),CONCATENATE("R",'Mapa final'!$A$27),"")</f>
        <v/>
      </c>
      <c r="W34" s="279"/>
      <c r="X34" s="279" t="str">
        <f>IF(AND('Mapa final'!$K$33="Baja",'Mapa final'!$O$33="Moderado"),CONCATENATE("R",'Mapa final'!$A$33),"")</f>
        <v/>
      </c>
      <c r="Y34" s="279"/>
      <c r="Z34" s="279" t="str">
        <f>IF(AND('Mapa final'!$K$39="Baja",'Mapa final'!$O$39="Moderado"),CONCATENATE("R",'Mapa final'!$A$39),"")</f>
        <v/>
      </c>
      <c r="AA34" s="280"/>
      <c r="AB34" s="296" t="str">
        <f>IF(AND('Mapa final'!$K$27="Baja",'Mapa final'!$O$27="Mayor"),CONCATENATE("R",'Mapa final'!$A$27),"")</f>
        <v/>
      </c>
      <c r="AC34" s="297"/>
      <c r="AD34" s="297" t="str">
        <f>IF(AND('Mapa final'!$K$33="Baja",'Mapa final'!$O$33="Mayor"),CONCATENATE("R",'Mapa final'!$A$33),"")</f>
        <v/>
      </c>
      <c r="AE34" s="297"/>
      <c r="AF34" s="297" t="str">
        <f>IF(AND('Mapa final'!$K$39="Baja",'Mapa final'!$O$39="Mayor"),CONCATENATE("R",'Mapa final'!$A$39),"")</f>
        <v/>
      </c>
      <c r="AG34" s="298"/>
      <c r="AH34" s="287" t="str">
        <f>IF(AND('Mapa final'!$K$27="Baja",'Mapa final'!$O$27="Catastrófico"),CONCATENATE("R",'Mapa final'!$A$27),"")</f>
        <v/>
      </c>
      <c r="AI34" s="288"/>
      <c r="AJ34" s="288" t="str">
        <f>IF(AND('Mapa final'!$K$33="Baja",'Mapa final'!$O$33="Catastrófico"),CONCATENATE("R",'Mapa final'!$A$33),"")</f>
        <v/>
      </c>
      <c r="AK34" s="288"/>
      <c r="AL34" s="288" t="str">
        <f>IF(AND('Mapa final'!$K$39="Baja",'Mapa final'!$O$39="Catastrófico"),CONCATENATE("R",'Mapa final'!$A$39),"")</f>
        <v/>
      </c>
      <c r="AM34" s="289"/>
      <c r="AN34" s="83"/>
      <c r="AO34" s="348"/>
      <c r="AP34" s="349"/>
      <c r="AQ34" s="349"/>
      <c r="AR34" s="349"/>
      <c r="AS34" s="349"/>
      <c r="AT34" s="35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316"/>
      <c r="C35" s="316"/>
      <c r="D35" s="317"/>
      <c r="E35" s="309"/>
      <c r="F35" s="310"/>
      <c r="G35" s="310"/>
      <c r="H35" s="310"/>
      <c r="I35" s="310"/>
      <c r="J35" s="269"/>
      <c r="K35" s="270"/>
      <c r="L35" s="270"/>
      <c r="M35" s="270"/>
      <c r="N35" s="270"/>
      <c r="O35" s="271"/>
      <c r="P35" s="279"/>
      <c r="Q35" s="279"/>
      <c r="R35" s="279"/>
      <c r="S35" s="279"/>
      <c r="T35" s="279"/>
      <c r="U35" s="280"/>
      <c r="V35" s="278"/>
      <c r="W35" s="279"/>
      <c r="X35" s="279"/>
      <c r="Y35" s="279"/>
      <c r="Z35" s="279"/>
      <c r="AA35" s="280"/>
      <c r="AB35" s="296"/>
      <c r="AC35" s="297"/>
      <c r="AD35" s="297"/>
      <c r="AE35" s="297"/>
      <c r="AF35" s="297"/>
      <c r="AG35" s="298"/>
      <c r="AH35" s="287"/>
      <c r="AI35" s="288"/>
      <c r="AJ35" s="288"/>
      <c r="AK35" s="288"/>
      <c r="AL35" s="288"/>
      <c r="AM35" s="289"/>
      <c r="AN35" s="83"/>
      <c r="AO35" s="348"/>
      <c r="AP35" s="349"/>
      <c r="AQ35" s="349"/>
      <c r="AR35" s="349"/>
      <c r="AS35" s="349"/>
      <c r="AT35" s="35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316"/>
      <c r="C36" s="316"/>
      <c r="D36" s="317"/>
      <c r="E36" s="309"/>
      <c r="F36" s="310"/>
      <c r="G36" s="310"/>
      <c r="H36" s="310"/>
      <c r="I36" s="310"/>
      <c r="J36" s="269" t="str">
        <f>IF(AND('Mapa final'!$K$45="Baja",'Mapa final'!$O$45="Leve"),CONCATENATE("R",'Mapa final'!$A$45),"")</f>
        <v/>
      </c>
      <c r="K36" s="270"/>
      <c r="L36" s="270" t="str">
        <f>IF(AND('Mapa final'!$K$51="Baja",'Mapa final'!$O$51="Leve"),CONCATENATE("R",'Mapa final'!$A$51),"")</f>
        <v/>
      </c>
      <c r="M36" s="270"/>
      <c r="N36" s="270" t="str">
        <f>IF(AND('Mapa final'!$K$57="Baja",'Mapa final'!$O$57="Leve"),CONCATENATE("R",'Mapa final'!$A$57),"")</f>
        <v/>
      </c>
      <c r="O36" s="271"/>
      <c r="P36" s="279" t="str">
        <f>IF(AND('Mapa final'!$K$45="Baja",'Mapa final'!$O$45="Menor"),CONCATENATE("R",'Mapa final'!$A$45),"")</f>
        <v/>
      </c>
      <c r="Q36" s="279"/>
      <c r="R36" s="279" t="str">
        <f>IF(AND('Mapa final'!$K$51="Baja",'Mapa final'!$O$51="Menor"),CONCATENATE("R",'Mapa final'!$A$51),"")</f>
        <v/>
      </c>
      <c r="S36" s="279"/>
      <c r="T36" s="279" t="str">
        <f>IF(AND('Mapa final'!$K$57="Baja",'Mapa final'!$O$57="Menor"),CONCATENATE("R",'Mapa final'!$A$57),"")</f>
        <v/>
      </c>
      <c r="U36" s="280"/>
      <c r="V36" s="278" t="str">
        <f>IF(AND('Mapa final'!$K$45="Baja",'Mapa final'!$O$45="Moderado"),CONCATENATE("R",'Mapa final'!$A$45),"")</f>
        <v/>
      </c>
      <c r="W36" s="279"/>
      <c r="X36" s="279" t="str">
        <f>IF(AND('Mapa final'!$K$51="Baja",'Mapa final'!$O$51="Moderado"),CONCATENATE("R",'Mapa final'!$A$51),"")</f>
        <v/>
      </c>
      <c r="Y36" s="279"/>
      <c r="Z36" s="279" t="str">
        <f>IF(AND('Mapa final'!$K$57="Baja",'Mapa final'!$O$57="Moderado"),CONCATENATE("R",'Mapa final'!$A$57),"")</f>
        <v/>
      </c>
      <c r="AA36" s="280"/>
      <c r="AB36" s="296" t="str">
        <f>IF(AND('Mapa final'!$K$45="Baja",'Mapa final'!$O$45="Mayor"),CONCATENATE("R",'Mapa final'!$A$45),"")</f>
        <v/>
      </c>
      <c r="AC36" s="297"/>
      <c r="AD36" s="297" t="str">
        <f>IF(AND('Mapa final'!$K$51="Baja",'Mapa final'!$O$51="Mayor"),CONCATENATE("R",'Mapa final'!$A$51),"")</f>
        <v/>
      </c>
      <c r="AE36" s="297"/>
      <c r="AF36" s="297" t="str">
        <f>IF(AND('Mapa final'!$K$57="Baja",'Mapa final'!$O$57="Mayor"),CONCATENATE("R",'Mapa final'!$A$57),"")</f>
        <v/>
      </c>
      <c r="AG36" s="298"/>
      <c r="AH36" s="287" t="str">
        <f>IF(AND('Mapa final'!$K$45="Baja",'Mapa final'!$O$45="Catastrófico"),CONCATENATE("R",'Mapa final'!$A$45),"")</f>
        <v/>
      </c>
      <c r="AI36" s="288"/>
      <c r="AJ36" s="288" t="str">
        <f>IF(AND('Mapa final'!$K$51="Baja",'Mapa final'!$O$51="Catastrófico"),CONCATENATE("R",'Mapa final'!$A$51),"")</f>
        <v/>
      </c>
      <c r="AK36" s="288"/>
      <c r="AL36" s="288" t="str">
        <f>IF(AND('Mapa final'!$K$57="Baja",'Mapa final'!$O$57="Catastrófico"),CONCATENATE("R",'Mapa final'!$A$57),"")</f>
        <v/>
      </c>
      <c r="AM36" s="289"/>
      <c r="AN36" s="83"/>
      <c r="AO36" s="348"/>
      <c r="AP36" s="349"/>
      <c r="AQ36" s="349"/>
      <c r="AR36" s="349"/>
      <c r="AS36" s="349"/>
      <c r="AT36" s="35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316"/>
      <c r="C37" s="316"/>
      <c r="D37" s="317"/>
      <c r="E37" s="312"/>
      <c r="F37" s="313"/>
      <c r="G37" s="313"/>
      <c r="H37" s="313"/>
      <c r="I37" s="313"/>
      <c r="J37" s="272"/>
      <c r="K37" s="273"/>
      <c r="L37" s="273"/>
      <c r="M37" s="273"/>
      <c r="N37" s="273"/>
      <c r="O37" s="274"/>
      <c r="P37" s="282"/>
      <c r="Q37" s="282"/>
      <c r="R37" s="282"/>
      <c r="S37" s="282"/>
      <c r="T37" s="282"/>
      <c r="U37" s="283"/>
      <c r="V37" s="281"/>
      <c r="W37" s="282"/>
      <c r="X37" s="282"/>
      <c r="Y37" s="282"/>
      <c r="Z37" s="282"/>
      <c r="AA37" s="283"/>
      <c r="AB37" s="299"/>
      <c r="AC37" s="300"/>
      <c r="AD37" s="300"/>
      <c r="AE37" s="300"/>
      <c r="AF37" s="300"/>
      <c r="AG37" s="301"/>
      <c r="AH37" s="290"/>
      <c r="AI37" s="291"/>
      <c r="AJ37" s="291"/>
      <c r="AK37" s="291"/>
      <c r="AL37" s="291"/>
      <c r="AM37" s="292"/>
      <c r="AN37" s="83"/>
      <c r="AO37" s="351"/>
      <c r="AP37" s="352"/>
      <c r="AQ37" s="352"/>
      <c r="AR37" s="352"/>
      <c r="AS37" s="352"/>
      <c r="AT37" s="35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316"/>
      <c r="C38" s="316"/>
      <c r="D38" s="317"/>
      <c r="E38" s="306" t="s">
        <v>105</v>
      </c>
      <c r="F38" s="307"/>
      <c r="G38" s="307"/>
      <c r="H38" s="307"/>
      <c r="I38" s="308"/>
      <c r="J38" s="275" t="str">
        <f>IF(AND('Mapa final'!$K$11="Muy Baja",'Mapa final'!$O$11="Leve"),CONCATENATE("R",'Mapa final'!$A$11),"")</f>
        <v/>
      </c>
      <c r="K38" s="276"/>
      <c r="L38" s="276" t="str">
        <f>IF(AND('Mapa final'!$K$13="Muy Baja",'Mapa final'!$O$13="Leve"),CONCATENATE("R",'Mapa final'!$A$13),"")</f>
        <v/>
      </c>
      <c r="M38" s="276"/>
      <c r="N38" s="276" t="str">
        <f>IF(AND('Mapa final'!$K$14="Muy Baja",'Mapa final'!$O$14="Leve"),CONCATENATE("R",'Mapa final'!$A$14),"")</f>
        <v/>
      </c>
      <c r="O38" s="277"/>
      <c r="P38" s="275" t="str">
        <f>IF(AND('Mapa final'!$K$11="Muy Baja",'Mapa final'!$O$11="Menor"),CONCATENATE("R",'Mapa final'!$A$11),"")</f>
        <v/>
      </c>
      <c r="Q38" s="276"/>
      <c r="R38" s="276" t="str">
        <f>IF(AND('Mapa final'!$K$13="Muy Baja",'Mapa final'!$O$13="Menor"),CONCATENATE("R",'Mapa final'!$A$13),"")</f>
        <v/>
      </c>
      <c r="S38" s="276"/>
      <c r="T38" s="276" t="str">
        <f>IF(AND('Mapa final'!$K$14="Muy Baja",'Mapa final'!$O$14="Menor"),CONCATENATE("R",'Mapa final'!$A$14),"")</f>
        <v/>
      </c>
      <c r="U38" s="277"/>
      <c r="V38" s="284" t="str">
        <f>IF(AND('Mapa final'!$K$11="Muy Baja",'Mapa final'!$O$11="Moderado"),CONCATENATE("R",'Mapa final'!$A$11),"")</f>
        <v/>
      </c>
      <c r="W38" s="285"/>
      <c r="X38" s="285" t="str">
        <f>IF(AND('Mapa final'!$K$13="Muy Baja",'Mapa final'!$O$13="Moderado"),CONCATENATE("R",'Mapa final'!$A$13),"")</f>
        <v/>
      </c>
      <c r="Y38" s="285"/>
      <c r="Z38" s="285" t="str">
        <f>IF(AND('Mapa final'!$K$14="Muy Baja",'Mapa final'!$O$14="Moderado"),CONCATENATE("R",'Mapa final'!$A$14),"")</f>
        <v/>
      </c>
      <c r="AA38" s="286"/>
      <c r="AB38" s="302" t="str">
        <f>IF(AND('Mapa final'!$K$11="Muy Baja",'Mapa final'!$O$11="Mayor"),CONCATENATE("R",'Mapa final'!$A$11),"")</f>
        <v/>
      </c>
      <c r="AC38" s="303"/>
      <c r="AD38" s="303" t="str">
        <f>IF(AND('Mapa final'!$K$13="Muy Baja",'Mapa final'!$O$13="Mayor"),CONCATENATE("R",'Mapa final'!$A$13),"")</f>
        <v/>
      </c>
      <c r="AE38" s="303"/>
      <c r="AF38" s="303" t="str">
        <f>IF(AND('Mapa final'!$K$14="Muy Baja",'Mapa final'!$O$14="Mayor"),CONCATENATE("R",'Mapa final'!$A$14),"")</f>
        <v/>
      </c>
      <c r="AG38" s="304"/>
      <c r="AH38" s="293" t="str">
        <f>IF(AND('Mapa final'!$K$11="Muy Baja",'Mapa final'!$O$11="Catastrófico"),CONCATENATE("R",'Mapa final'!$A$11),"")</f>
        <v/>
      </c>
      <c r="AI38" s="294"/>
      <c r="AJ38" s="294" t="str">
        <f>IF(AND('Mapa final'!$K$13="Muy Baja",'Mapa final'!$O$13="Catastrófico"),CONCATENATE("R",'Mapa final'!$A$13),"")</f>
        <v/>
      </c>
      <c r="AK38" s="294"/>
      <c r="AL38" s="294" t="str">
        <f>IF(AND('Mapa final'!$K$14="Muy Baja",'Mapa final'!$O$14="Catastrófico"),CONCATENATE("R",'Mapa final'!$A$14),"")</f>
        <v/>
      </c>
      <c r="AM38" s="295"/>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316"/>
      <c r="C39" s="316"/>
      <c r="D39" s="317"/>
      <c r="E39" s="309"/>
      <c r="F39" s="310"/>
      <c r="G39" s="310"/>
      <c r="H39" s="310"/>
      <c r="I39" s="311"/>
      <c r="J39" s="269"/>
      <c r="K39" s="270"/>
      <c r="L39" s="270"/>
      <c r="M39" s="270"/>
      <c r="N39" s="270"/>
      <c r="O39" s="271"/>
      <c r="P39" s="269"/>
      <c r="Q39" s="270"/>
      <c r="R39" s="270"/>
      <c r="S39" s="270"/>
      <c r="T39" s="270"/>
      <c r="U39" s="271"/>
      <c r="V39" s="278"/>
      <c r="W39" s="279"/>
      <c r="X39" s="279"/>
      <c r="Y39" s="279"/>
      <c r="Z39" s="279"/>
      <c r="AA39" s="280"/>
      <c r="AB39" s="296"/>
      <c r="AC39" s="297"/>
      <c r="AD39" s="297"/>
      <c r="AE39" s="297"/>
      <c r="AF39" s="297"/>
      <c r="AG39" s="298"/>
      <c r="AH39" s="287"/>
      <c r="AI39" s="288"/>
      <c r="AJ39" s="288"/>
      <c r="AK39" s="288"/>
      <c r="AL39" s="288"/>
      <c r="AM39" s="289"/>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316"/>
      <c r="C40" s="316"/>
      <c r="D40" s="317"/>
      <c r="E40" s="309"/>
      <c r="F40" s="310"/>
      <c r="G40" s="310"/>
      <c r="H40" s="310"/>
      <c r="I40" s="311"/>
      <c r="J40" s="269" t="e">
        <f>IF(AND('Mapa final'!#REF!="Muy Baja",'Mapa final'!#REF!="Leve"),CONCATENATE("R",'Mapa final'!#REF!),"")</f>
        <v>#REF!</v>
      </c>
      <c r="K40" s="270"/>
      <c r="L40" s="270" t="str">
        <f>IF(AND('Mapa final'!$K$15="Muy Baja",'Mapa final'!$O$15="Leve"),CONCATENATE("R",'Mapa final'!$A$15),"")</f>
        <v/>
      </c>
      <c r="M40" s="270"/>
      <c r="N40" s="270" t="str">
        <f>IF(AND('Mapa final'!$K$21="Muy Baja",'Mapa final'!$O$21="Leve"),CONCATENATE("R",'Mapa final'!$A$21),"")</f>
        <v/>
      </c>
      <c r="O40" s="271"/>
      <c r="P40" s="269" t="e">
        <f>IF(AND('Mapa final'!#REF!="Muy Baja",'Mapa final'!#REF!="Menor"),CONCATENATE("R",'Mapa final'!#REF!),"")</f>
        <v>#REF!</v>
      </c>
      <c r="Q40" s="270"/>
      <c r="R40" s="270" t="str">
        <f>IF(AND('Mapa final'!$K$15="Muy Baja",'Mapa final'!$O$15="Menor"),CONCATENATE("R",'Mapa final'!$A$15),"")</f>
        <v/>
      </c>
      <c r="S40" s="270"/>
      <c r="T40" s="270" t="str">
        <f>IF(AND('Mapa final'!$K$21="Muy Baja",'Mapa final'!$O$21="Menor"),CONCATENATE("R",'Mapa final'!$A$21),"")</f>
        <v/>
      </c>
      <c r="U40" s="271"/>
      <c r="V40" s="278" t="e">
        <f>IF(AND('Mapa final'!#REF!="Muy Baja",'Mapa final'!#REF!="Moderado"),CONCATENATE("R",'Mapa final'!#REF!),"")</f>
        <v>#REF!</v>
      </c>
      <c r="W40" s="279"/>
      <c r="X40" s="279" t="str">
        <f>IF(AND('Mapa final'!$K$15="Muy Baja",'Mapa final'!$O$15="Moderado"),CONCATENATE("R",'Mapa final'!$A$15),"")</f>
        <v/>
      </c>
      <c r="Y40" s="279"/>
      <c r="Z40" s="279" t="str">
        <f>IF(AND('Mapa final'!$K$21="Muy Baja",'Mapa final'!$O$21="Moderado"),CONCATENATE("R",'Mapa final'!$A$21),"")</f>
        <v/>
      </c>
      <c r="AA40" s="280"/>
      <c r="AB40" s="296" t="e">
        <f>IF(AND('Mapa final'!#REF!="Muy Baja",'Mapa final'!#REF!="Mayor"),CONCATENATE("R",'Mapa final'!#REF!),"")</f>
        <v>#REF!</v>
      </c>
      <c r="AC40" s="297"/>
      <c r="AD40" s="297" t="str">
        <f>IF(AND('Mapa final'!$K$15="Muy Baja",'Mapa final'!$O$15="Mayor"),CONCATENATE("R",'Mapa final'!$A$15),"")</f>
        <v/>
      </c>
      <c r="AE40" s="297"/>
      <c r="AF40" s="297" t="str">
        <f>IF(AND('Mapa final'!$K$21="Muy Baja",'Mapa final'!$O$21="Mayor"),CONCATENATE("R",'Mapa final'!$A$21),"")</f>
        <v/>
      </c>
      <c r="AG40" s="298"/>
      <c r="AH40" s="287" t="e">
        <f>IF(AND('Mapa final'!#REF!="Muy Baja",'Mapa final'!#REF!="Catastrófico"),CONCATENATE("R",'Mapa final'!#REF!),"")</f>
        <v>#REF!</v>
      </c>
      <c r="AI40" s="288"/>
      <c r="AJ40" s="288" t="str">
        <f>IF(AND('Mapa final'!$K$15="Muy Baja",'Mapa final'!$O$15="Catastrófico"),CONCATENATE("R",'Mapa final'!$A$15),"")</f>
        <v/>
      </c>
      <c r="AK40" s="288"/>
      <c r="AL40" s="288" t="str">
        <f>IF(AND('Mapa final'!$K$21="Muy Baja",'Mapa final'!$O$21="Catastrófico"),CONCATENATE("R",'Mapa final'!$A$21),"")</f>
        <v/>
      </c>
      <c r="AM40" s="289"/>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316"/>
      <c r="C41" s="316"/>
      <c r="D41" s="317"/>
      <c r="E41" s="309"/>
      <c r="F41" s="310"/>
      <c r="G41" s="310"/>
      <c r="H41" s="310"/>
      <c r="I41" s="311"/>
      <c r="J41" s="269"/>
      <c r="K41" s="270"/>
      <c r="L41" s="270"/>
      <c r="M41" s="270"/>
      <c r="N41" s="270"/>
      <c r="O41" s="271"/>
      <c r="P41" s="269"/>
      <c r="Q41" s="270"/>
      <c r="R41" s="270"/>
      <c r="S41" s="270"/>
      <c r="T41" s="270"/>
      <c r="U41" s="271"/>
      <c r="V41" s="278"/>
      <c r="W41" s="279"/>
      <c r="X41" s="279"/>
      <c r="Y41" s="279"/>
      <c r="Z41" s="279"/>
      <c r="AA41" s="280"/>
      <c r="AB41" s="296"/>
      <c r="AC41" s="297"/>
      <c r="AD41" s="297"/>
      <c r="AE41" s="297"/>
      <c r="AF41" s="297"/>
      <c r="AG41" s="298"/>
      <c r="AH41" s="287"/>
      <c r="AI41" s="288"/>
      <c r="AJ41" s="288"/>
      <c r="AK41" s="288"/>
      <c r="AL41" s="288"/>
      <c r="AM41" s="289"/>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316"/>
      <c r="C42" s="316"/>
      <c r="D42" s="317"/>
      <c r="E42" s="309"/>
      <c r="F42" s="310"/>
      <c r="G42" s="310"/>
      <c r="H42" s="310"/>
      <c r="I42" s="311"/>
      <c r="J42" s="269" t="str">
        <f>IF(AND('Mapa final'!$K$27="Muy Baja",'Mapa final'!$O$27="Leve"),CONCATENATE("R",'Mapa final'!$A$27),"")</f>
        <v/>
      </c>
      <c r="K42" s="270"/>
      <c r="L42" s="270" t="str">
        <f>IF(AND('Mapa final'!$K$33="Muy Baja",'Mapa final'!$O$33="Leve"),CONCATENATE("R",'Mapa final'!$A$33),"")</f>
        <v/>
      </c>
      <c r="M42" s="270"/>
      <c r="N42" s="270" t="str">
        <f>IF(AND('Mapa final'!$K$39="Muy Baja",'Mapa final'!$O$39="Leve"),CONCATENATE("R",'Mapa final'!$A$39),"")</f>
        <v/>
      </c>
      <c r="O42" s="271"/>
      <c r="P42" s="269" t="str">
        <f>IF(AND('Mapa final'!$K$27="Muy Baja",'Mapa final'!$O$27="Menor"),CONCATENATE("R",'Mapa final'!$A$27),"")</f>
        <v/>
      </c>
      <c r="Q42" s="270"/>
      <c r="R42" s="270" t="str">
        <f>IF(AND('Mapa final'!$K$33="Muy Baja",'Mapa final'!$O$33="Menor"),CONCATENATE("R",'Mapa final'!$A$33),"")</f>
        <v/>
      </c>
      <c r="S42" s="270"/>
      <c r="T42" s="270" t="str">
        <f>IF(AND('Mapa final'!$K$39="Muy Baja",'Mapa final'!$O$39="Menor"),CONCATENATE("R",'Mapa final'!$A$39),"")</f>
        <v/>
      </c>
      <c r="U42" s="271"/>
      <c r="V42" s="278" t="str">
        <f>IF(AND('Mapa final'!$K$27="Muy Baja",'Mapa final'!$O$27="Moderado"),CONCATENATE("R",'Mapa final'!$A$27),"")</f>
        <v/>
      </c>
      <c r="W42" s="279"/>
      <c r="X42" s="279" t="str">
        <f>IF(AND('Mapa final'!$K$33="Muy Baja",'Mapa final'!$O$33="Moderado"),CONCATENATE("R",'Mapa final'!$A$33),"")</f>
        <v/>
      </c>
      <c r="Y42" s="279"/>
      <c r="Z42" s="279" t="str">
        <f>IF(AND('Mapa final'!$K$39="Muy Baja",'Mapa final'!$O$39="Moderado"),CONCATENATE("R",'Mapa final'!$A$39),"")</f>
        <v/>
      </c>
      <c r="AA42" s="280"/>
      <c r="AB42" s="296" t="str">
        <f>IF(AND('Mapa final'!$K$27="Muy Baja",'Mapa final'!$O$27="Mayor"),CONCATENATE("R",'Mapa final'!$A$27),"")</f>
        <v/>
      </c>
      <c r="AC42" s="297"/>
      <c r="AD42" s="297" t="str">
        <f>IF(AND('Mapa final'!$K$33="Muy Baja",'Mapa final'!$O$33="Mayor"),CONCATENATE("R",'Mapa final'!$A$33),"")</f>
        <v/>
      </c>
      <c r="AE42" s="297"/>
      <c r="AF42" s="297" t="str">
        <f>IF(AND('Mapa final'!$K$39="Muy Baja",'Mapa final'!$O$39="Mayor"),CONCATENATE("R",'Mapa final'!$A$39),"")</f>
        <v/>
      </c>
      <c r="AG42" s="298"/>
      <c r="AH42" s="287" t="str">
        <f>IF(AND('Mapa final'!$K$27="Muy Baja",'Mapa final'!$O$27="Catastrófico"),CONCATENATE("R",'Mapa final'!$A$27),"")</f>
        <v/>
      </c>
      <c r="AI42" s="288"/>
      <c r="AJ42" s="288" t="str">
        <f>IF(AND('Mapa final'!$K$33="Muy Baja",'Mapa final'!$O$33="Catastrófico"),CONCATENATE("R",'Mapa final'!$A$33),"")</f>
        <v/>
      </c>
      <c r="AK42" s="288"/>
      <c r="AL42" s="288" t="str">
        <f>IF(AND('Mapa final'!$K$39="Muy Baja",'Mapa final'!$O$39="Catastrófico"),CONCATENATE("R",'Mapa final'!$A$39),"")</f>
        <v/>
      </c>
      <c r="AM42" s="289"/>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316"/>
      <c r="C43" s="316"/>
      <c r="D43" s="317"/>
      <c r="E43" s="309"/>
      <c r="F43" s="310"/>
      <c r="G43" s="310"/>
      <c r="H43" s="310"/>
      <c r="I43" s="311"/>
      <c r="J43" s="269"/>
      <c r="K43" s="270"/>
      <c r="L43" s="270"/>
      <c r="M43" s="270"/>
      <c r="N43" s="270"/>
      <c r="O43" s="271"/>
      <c r="P43" s="269"/>
      <c r="Q43" s="270"/>
      <c r="R43" s="270"/>
      <c r="S43" s="270"/>
      <c r="T43" s="270"/>
      <c r="U43" s="271"/>
      <c r="V43" s="278"/>
      <c r="W43" s="279"/>
      <c r="X43" s="279"/>
      <c r="Y43" s="279"/>
      <c r="Z43" s="279"/>
      <c r="AA43" s="280"/>
      <c r="AB43" s="296"/>
      <c r="AC43" s="297"/>
      <c r="AD43" s="297"/>
      <c r="AE43" s="297"/>
      <c r="AF43" s="297"/>
      <c r="AG43" s="298"/>
      <c r="AH43" s="287"/>
      <c r="AI43" s="288"/>
      <c r="AJ43" s="288"/>
      <c r="AK43" s="288"/>
      <c r="AL43" s="288"/>
      <c r="AM43" s="289"/>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316"/>
      <c r="C44" s="316"/>
      <c r="D44" s="317"/>
      <c r="E44" s="309"/>
      <c r="F44" s="310"/>
      <c r="G44" s="310"/>
      <c r="H44" s="310"/>
      <c r="I44" s="311"/>
      <c r="J44" s="269" t="str">
        <f>IF(AND('Mapa final'!$K$45="Muy Baja",'Mapa final'!$O$45="Leve"),CONCATENATE("R",'Mapa final'!$A$45),"")</f>
        <v/>
      </c>
      <c r="K44" s="270"/>
      <c r="L44" s="270" t="str">
        <f>IF(AND('Mapa final'!$K$51="Muy Baja",'Mapa final'!$O$51="Leve"),CONCATENATE("R",'Mapa final'!$A$51),"")</f>
        <v/>
      </c>
      <c r="M44" s="270"/>
      <c r="N44" s="270" t="str">
        <f>IF(AND('Mapa final'!$K$57="Muy Baja",'Mapa final'!$O$57="Leve"),CONCATENATE("R",'Mapa final'!$A$57),"")</f>
        <v/>
      </c>
      <c r="O44" s="271"/>
      <c r="P44" s="269" t="str">
        <f>IF(AND('Mapa final'!$K$45="Muy Baja",'Mapa final'!$O$45="Menor"),CONCATENATE("R",'Mapa final'!$A$45),"")</f>
        <v/>
      </c>
      <c r="Q44" s="270"/>
      <c r="R44" s="270" t="str">
        <f>IF(AND('Mapa final'!$K$51="Muy Baja",'Mapa final'!$O$51="Menor"),CONCATENATE("R",'Mapa final'!$A$51),"")</f>
        <v/>
      </c>
      <c r="S44" s="270"/>
      <c r="T44" s="270" t="str">
        <f>IF(AND('Mapa final'!$K$57="Muy Baja",'Mapa final'!$O$57="Menor"),CONCATENATE("R",'Mapa final'!$A$57),"")</f>
        <v/>
      </c>
      <c r="U44" s="271"/>
      <c r="V44" s="278" t="str">
        <f>IF(AND('Mapa final'!$K$45="Muy Baja",'Mapa final'!$O$45="Moderado"),CONCATENATE("R",'Mapa final'!$A$45),"")</f>
        <v/>
      </c>
      <c r="W44" s="279"/>
      <c r="X44" s="279" t="str">
        <f>IF(AND('Mapa final'!$K$51="Muy Baja",'Mapa final'!$O$51="Moderado"),CONCATENATE("R",'Mapa final'!$A$51),"")</f>
        <v/>
      </c>
      <c r="Y44" s="279"/>
      <c r="Z44" s="279" t="str">
        <f>IF(AND('Mapa final'!$K$57="Muy Baja",'Mapa final'!$O$57="Moderado"),CONCATENATE("R",'Mapa final'!$A$57),"")</f>
        <v/>
      </c>
      <c r="AA44" s="280"/>
      <c r="AB44" s="296" t="str">
        <f>IF(AND('Mapa final'!$K$45="Muy Baja",'Mapa final'!$O$45="Mayor"),CONCATENATE("R",'Mapa final'!$A$45),"")</f>
        <v/>
      </c>
      <c r="AC44" s="297"/>
      <c r="AD44" s="297" t="str">
        <f>IF(AND('Mapa final'!$K$51="Muy Baja",'Mapa final'!$O$51="Mayor"),CONCATENATE("R",'Mapa final'!$A$51),"")</f>
        <v/>
      </c>
      <c r="AE44" s="297"/>
      <c r="AF44" s="297" t="str">
        <f>IF(AND('Mapa final'!$K$57="Muy Baja",'Mapa final'!$O$57="Mayor"),CONCATENATE("R",'Mapa final'!$A$57),"")</f>
        <v/>
      </c>
      <c r="AG44" s="298"/>
      <c r="AH44" s="287" t="str">
        <f>IF(AND('Mapa final'!$K$45="Muy Baja",'Mapa final'!$O$45="Catastrófico"),CONCATENATE("R",'Mapa final'!$A$45),"")</f>
        <v/>
      </c>
      <c r="AI44" s="288"/>
      <c r="AJ44" s="288" t="str">
        <f>IF(AND('Mapa final'!$K$51="Muy Baja",'Mapa final'!$O$51="Catastrófico"),CONCATENATE("R",'Mapa final'!$A$51),"")</f>
        <v/>
      </c>
      <c r="AK44" s="288"/>
      <c r="AL44" s="288" t="str">
        <f>IF(AND('Mapa final'!$K$57="Muy Baja",'Mapa final'!$O$57="Catastrófico"),CONCATENATE("R",'Mapa final'!$A$57),"")</f>
        <v/>
      </c>
      <c r="AM44" s="289"/>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316"/>
      <c r="C45" s="316"/>
      <c r="D45" s="317"/>
      <c r="E45" s="312"/>
      <c r="F45" s="313"/>
      <c r="G45" s="313"/>
      <c r="H45" s="313"/>
      <c r="I45" s="314"/>
      <c r="J45" s="272"/>
      <c r="K45" s="273"/>
      <c r="L45" s="273"/>
      <c r="M45" s="273"/>
      <c r="N45" s="273"/>
      <c r="O45" s="274"/>
      <c r="P45" s="272"/>
      <c r="Q45" s="273"/>
      <c r="R45" s="273"/>
      <c r="S45" s="273"/>
      <c r="T45" s="273"/>
      <c r="U45" s="274"/>
      <c r="V45" s="281"/>
      <c r="W45" s="282"/>
      <c r="X45" s="282"/>
      <c r="Y45" s="282"/>
      <c r="Z45" s="282"/>
      <c r="AA45" s="283"/>
      <c r="AB45" s="299"/>
      <c r="AC45" s="300"/>
      <c r="AD45" s="300"/>
      <c r="AE45" s="300"/>
      <c r="AF45" s="300"/>
      <c r="AG45" s="301"/>
      <c r="AH45" s="290"/>
      <c r="AI45" s="291"/>
      <c r="AJ45" s="291"/>
      <c r="AK45" s="291"/>
      <c r="AL45" s="291"/>
      <c r="AM45" s="292"/>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306" t="s">
        <v>104</v>
      </c>
      <c r="K46" s="307"/>
      <c r="L46" s="307"/>
      <c r="M46" s="307"/>
      <c r="N46" s="307"/>
      <c r="O46" s="308"/>
      <c r="P46" s="306" t="s">
        <v>103</v>
      </c>
      <c r="Q46" s="307"/>
      <c r="R46" s="307"/>
      <c r="S46" s="307"/>
      <c r="T46" s="307"/>
      <c r="U46" s="308"/>
      <c r="V46" s="306" t="s">
        <v>102</v>
      </c>
      <c r="W46" s="307"/>
      <c r="X46" s="307"/>
      <c r="Y46" s="307"/>
      <c r="Z46" s="307"/>
      <c r="AA46" s="308"/>
      <c r="AB46" s="306" t="s">
        <v>101</v>
      </c>
      <c r="AC46" s="315"/>
      <c r="AD46" s="307"/>
      <c r="AE46" s="307"/>
      <c r="AF46" s="307"/>
      <c r="AG46" s="308"/>
      <c r="AH46" s="306" t="s">
        <v>100</v>
      </c>
      <c r="AI46" s="307"/>
      <c r="AJ46" s="307"/>
      <c r="AK46" s="307"/>
      <c r="AL46" s="307"/>
      <c r="AM46" s="308"/>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309"/>
      <c r="K47" s="310"/>
      <c r="L47" s="310"/>
      <c r="M47" s="310"/>
      <c r="N47" s="310"/>
      <c r="O47" s="311"/>
      <c r="P47" s="309"/>
      <c r="Q47" s="310"/>
      <c r="R47" s="310"/>
      <c r="S47" s="310"/>
      <c r="T47" s="310"/>
      <c r="U47" s="311"/>
      <c r="V47" s="309"/>
      <c r="W47" s="310"/>
      <c r="X47" s="310"/>
      <c r="Y47" s="310"/>
      <c r="Z47" s="310"/>
      <c r="AA47" s="311"/>
      <c r="AB47" s="309"/>
      <c r="AC47" s="310"/>
      <c r="AD47" s="310"/>
      <c r="AE47" s="310"/>
      <c r="AF47" s="310"/>
      <c r="AG47" s="311"/>
      <c r="AH47" s="309"/>
      <c r="AI47" s="310"/>
      <c r="AJ47" s="310"/>
      <c r="AK47" s="310"/>
      <c r="AL47" s="310"/>
      <c r="AM47" s="311"/>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309"/>
      <c r="K48" s="310"/>
      <c r="L48" s="310"/>
      <c r="M48" s="310"/>
      <c r="N48" s="310"/>
      <c r="O48" s="311"/>
      <c r="P48" s="309"/>
      <c r="Q48" s="310"/>
      <c r="R48" s="310"/>
      <c r="S48" s="310"/>
      <c r="T48" s="310"/>
      <c r="U48" s="311"/>
      <c r="V48" s="309"/>
      <c r="W48" s="310"/>
      <c r="X48" s="310"/>
      <c r="Y48" s="310"/>
      <c r="Z48" s="310"/>
      <c r="AA48" s="311"/>
      <c r="AB48" s="309"/>
      <c r="AC48" s="310"/>
      <c r="AD48" s="310"/>
      <c r="AE48" s="310"/>
      <c r="AF48" s="310"/>
      <c r="AG48" s="311"/>
      <c r="AH48" s="309"/>
      <c r="AI48" s="310"/>
      <c r="AJ48" s="310"/>
      <c r="AK48" s="310"/>
      <c r="AL48" s="310"/>
      <c r="AM48" s="311"/>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309"/>
      <c r="K49" s="310"/>
      <c r="L49" s="310"/>
      <c r="M49" s="310"/>
      <c r="N49" s="310"/>
      <c r="O49" s="311"/>
      <c r="P49" s="309"/>
      <c r="Q49" s="310"/>
      <c r="R49" s="310"/>
      <c r="S49" s="310"/>
      <c r="T49" s="310"/>
      <c r="U49" s="311"/>
      <c r="V49" s="309"/>
      <c r="W49" s="310"/>
      <c r="X49" s="310"/>
      <c r="Y49" s="310"/>
      <c r="Z49" s="310"/>
      <c r="AA49" s="311"/>
      <c r="AB49" s="309"/>
      <c r="AC49" s="310"/>
      <c r="AD49" s="310"/>
      <c r="AE49" s="310"/>
      <c r="AF49" s="310"/>
      <c r="AG49" s="311"/>
      <c r="AH49" s="309"/>
      <c r="AI49" s="310"/>
      <c r="AJ49" s="310"/>
      <c r="AK49" s="310"/>
      <c r="AL49" s="310"/>
      <c r="AM49" s="311"/>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309"/>
      <c r="K50" s="310"/>
      <c r="L50" s="310"/>
      <c r="M50" s="310"/>
      <c r="N50" s="310"/>
      <c r="O50" s="311"/>
      <c r="P50" s="309"/>
      <c r="Q50" s="310"/>
      <c r="R50" s="310"/>
      <c r="S50" s="310"/>
      <c r="T50" s="310"/>
      <c r="U50" s="311"/>
      <c r="V50" s="309"/>
      <c r="W50" s="310"/>
      <c r="X50" s="310"/>
      <c r="Y50" s="310"/>
      <c r="Z50" s="310"/>
      <c r="AA50" s="311"/>
      <c r="AB50" s="309"/>
      <c r="AC50" s="310"/>
      <c r="AD50" s="310"/>
      <c r="AE50" s="310"/>
      <c r="AF50" s="310"/>
      <c r="AG50" s="311"/>
      <c r="AH50" s="309"/>
      <c r="AI50" s="310"/>
      <c r="AJ50" s="310"/>
      <c r="AK50" s="310"/>
      <c r="AL50" s="310"/>
      <c r="AM50" s="31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312"/>
      <c r="K51" s="313"/>
      <c r="L51" s="313"/>
      <c r="M51" s="313"/>
      <c r="N51" s="313"/>
      <c r="O51" s="314"/>
      <c r="P51" s="312"/>
      <c r="Q51" s="313"/>
      <c r="R51" s="313"/>
      <c r="S51" s="313"/>
      <c r="T51" s="313"/>
      <c r="U51" s="314"/>
      <c r="V51" s="312"/>
      <c r="W51" s="313"/>
      <c r="X51" s="313"/>
      <c r="Y51" s="313"/>
      <c r="Z51" s="313"/>
      <c r="AA51" s="314"/>
      <c r="AB51" s="312"/>
      <c r="AC51" s="313"/>
      <c r="AD51" s="313"/>
      <c r="AE51" s="313"/>
      <c r="AF51" s="313"/>
      <c r="AG51" s="314"/>
      <c r="AH51" s="312"/>
      <c r="AI51" s="313"/>
      <c r="AJ51" s="313"/>
      <c r="AK51" s="313"/>
      <c r="AL51" s="313"/>
      <c r="AM51" s="314"/>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B2" sqref="B2:I4"/>
    </sheetView>
  </sheetViews>
  <sheetFormatPr baseColWidth="10" defaultRowHeight="15" x14ac:dyDescent="0.25"/>
  <cols>
    <col min="2" max="18" width="5.5703125" customWidth="1"/>
    <col min="19" max="19" width="8.42578125" customWidth="1"/>
    <col min="20" max="23" width="5.5703125" customWidth="1"/>
    <col min="24" max="24" width="8.42578125" customWidth="1"/>
    <col min="25" max="26" width="5.5703125" customWidth="1"/>
    <col min="27" max="27" width="10.5703125" customWidth="1"/>
    <col min="28" max="28" width="5.5703125" customWidth="1"/>
    <col min="29" max="29" width="7.42578125" customWidth="1"/>
    <col min="30" max="33" width="5.5703125" customWidth="1"/>
    <col min="34" max="34" width="8.42578125" customWidth="1"/>
    <col min="35" max="39" width="5.5703125" customWidth="1"/>
    <col min="41" max="46" width="5.570312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83" t="s">
        <v>143</v>
      </c>
      <c r="C2" s="384"/>
      <c r="D2" s="384"/>
      <c r="E2" s="384"/>
      <c r="F2" s="384"/>
      <c r="G2" s="384"/>
      <c r="H2" s="384"/>
      <c r="I2" s="384"/>
      <c r="J2" s="305" t="s">
        <v>2</v>
      </c>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84"/>
      <c r="C3" s="384"/>
      <c r="D3" s="384"/>
      <c r="E3" s="384"/>
      <c r="F3" s="384"/>
      <c r="G3" s="384"/>
      <c r="H3" s="384"/>
      <c r="I3" s="384"/>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84"/>
      <c r="C4" s="384"/>
      <c r="D4" s="384"/>
      <c r="E4" s="384"/>
      <c r="F4" s="384"/>
      <c r="G4" s="384"/>
      <c r="H4" s="384"/>
      <c r="I4" s="384"/>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316" t="s">
        <v>3</v>
      </c>
      <c r="C6" s="316"/>
      <c r="D6" s="317"/>
      <c r="E6" s="354" t="s">
        <v>108</v>
      </c>
      <c r="F6" s="355"/>
      <c r="G6" s="355"/>
      <c r="H6" s="355"/>
      <c r="I6" s="356"/>
      <c r="J6" s="46" t="str">
        <f>IF(AND('Mapa final'!$AB$11="Muy Alta",'Mapa final'!$AD$11="Leve"),CONCATENATE("R1C",'Mapa final'!$R$11),"")</f>
        <v/>
      </c>
      <c r="K6" s="47" t="str">
        <f>IF(AND('Mapa final'!$AB$12="Muy Alta",'Mapa final'!$AD$12="Leve"),CONCATENATE("R1C",'Mapa final'!$R$12),"")</f>
        <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IF(AND('Mapa final'!$AB$11="Muy Alta",'Mapa final'!$AD$11="Menor"),CONCATENATE("R1C",'Mapa final'!$R$11),"")</f>
        <v/>
      </c>
      <c r="Q6" s="47" t="str">
        <f>IF(AND('Mapa final'!$AB$12="Muy Alta",'Mapa final'!$AD$12="Menor"),CONCATENATE("R1C",'Mapa final'!$R$12),"")</f>
        <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IF(AND('Mapa final'!$AB$11="Muy Alta",'Mapa final'!$AD$11="Moderado"),CONCATENATE("R1C",'Mapa final'!$R$11),"")</f>
        <v/>
      </c>
      <c r="W6" s="47" t="str">
        <f>IF(AND('Mapa final'!$AB$12="Muy Alta",'Mapa final'!$AD$12="Moderado"),CONCATENATE("R1C",'Mapa final'!$R$12),"")</f>
        <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IF(AND('Mapa final'!$AB$11="Muy Alta",'Mapa final'!$AD$11="Mayor"),CONCATENATE("R1C",'Mapa final'!$R$11),"")</f>
        <v/>
      </c>
      <c r="AC6" s="47" t="str">
        <f>IF(AND('Mapa final'!$AB$12="Muy Alta",'Mapa final'!$AD$12="Mayor"),CONCATENATE("R1C",'Mapa final'!$R$12),"")</f>
        <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IF(AND('Mapa final'!$AB$11="Muy Alta",'Mapa final'!$AD$11="Catastrófico"),CONCATENATE("R1C",'Mapa final'!$R$11),"")</f>
        <v/>
      </c>
      <c r="AI6" s="50" t="str">
        <f>IF(AND('Mapa final'!$AB$12="Muy Alta",'Mapa final'!$AD$12="Catastrófico"),CONCATENATE("R1C",'Mapa final'!$R$12),"")</f>
        <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3"/>
      <c r="AO6" s="374" t="s">
        <v>76</v>
      </c>
      <c r="AP6" s="375"/>
      <c r="AQ6" s="375"/>
      <c r="AR6" s="375"/>
      <c r="AS6" s="375"/>
      <c r="AT6" s="376"/>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316"/>
      <c r="C7" s="316"/>
      <c r="D7" s="317"/>
      <c r="E7" s="357"/>
      <c r="F7" s="358"/>
      <c r="G7" s="358"/>
      <c r="H7" s="358"/>
      <c r="I7" s="359"/>
      <c r="J7" s="52" t="str">
        <f>IF(AND('Mapa final'!$AB$13="Muy Alta",'Mapa final'!$AD$13="Leve"),CONCATENATE("R2C",'Mapa final'!$R$13),"")</f>
        <v/>
      </c>
      <c r="K7" s="53" t="e">
        <f>IF(AND('Mapa final'!#REF!="Muy Alta",'Mapa final'!#REF!="Leve"),CONCATENATE("R2C",'Mapa final'!#REF!),"")</f>
        <v>#REF!</v>
      </c>
      <c r="L7" s="53" t="e">
        <f>IF(AND('Mapa final'!#REF!="Muy Alta",'Mapa final'!#REF!="Leve"),CONCATENATE("R2C",'Mapa final'!#REF!),"")</f>
        <v>#REF!</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str">
        <f>IF(AND('Mapa final'!$AB$13="Muy Alta",'Mapa final'!$AD$13="Menor"),CONCATENATE("R2C",'Mapa final'!$R$13),"")</f>
        <v/>
      </c>
      <c r="Q7" s="53" t="e">
        <f>IF(AND('Mapa final'!#REF!="Muy Alta",'Mapa final'!#REF!="Menor"),CONCATENATE("R2C",'Mapa final'!#REF!),"")</f>
        <v>#REF!</v>
      </c>
      <c r="R7" s="53" t="e">
        <f>IF(AND('Mapa final'!#REF!="Muy Alta",'Mapa final'!#REF!="Menor"),CONCATENATE("R2C",'Mapa final'!#REF!),"")</f>
        <v>#REF!</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str">
        <f>IF(AND('Mapa final'!$AB$13="Muy Alta",'Mapa final'!$AD$13="Moderado"),CONCATENATE("R2C",'Mapa final'!$R$13),"")</f>
        <v/>
      </c>
      <c r="W7" s="53" t="e">
        <f>IF(AND('Mapa final'!#REF!="Muy Alta",'Mapa final'!#REF!="Moderado"),CONCATENATE("R2C",'Mapa final'!#REF!),"")</f>
        <v>#REF!</v>
      </c>
      <c r="X7" s="53" t="e">
        <f>IF(AND('Mapa final'!#REF!="Muy Alta",'Mapa final'!#REF!="Moderado"),CONCATENATE("R2C",'Mapa final'!#REF!),"")</f>
        <v>#REF!</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str">
        <f>IF(AND('Mapa final'!$AB$13="Muy Alta",'Mapa final'!$AD$13="Mayor"),CONCATENATE("R2C",'Mapa final'!$R$13),"")</f>
        <v/>
      </c>
      <c r="AC7" s="53" t="e">
        <f>IF(AND('Mapa final'!#REF!="Muy Alta",'Mapa final'!#REF!="Mayor"),CONCATENATE("R2C",'Mapa final'!#REF!),"")</f>
        <v>#REF!</v>
      </c>
      <c r="AD7" s="53" t="e">
        <f>IF(AND('Mapa final'!#REF!="Muy Alta",'Mapa final'!#REF!="Mayor"),CONCATENATE("R2C",'Mapa final'!#REF!),"")</f>
        <v>#REF!</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str">
        <f>IF(AND('Mapa final'!$AB$13="Muy Alta",'Mapa final'!$AD$13="Catastrófico"),CONCATENATE("R2C",'Mapa final'!$R$13),"")</f>
        <v/>
      </c>
      <c r="AI7" s="56" t="e">
        <f>IF(AND('Mapa final'!#REF!="Muy Alta",'Mapa final'!#REF!="Catastrófico"),CONCATENATE("R2C",'Mapa final'!#REF!),"")</f>
        <v>#REF!</v>
      </c>
      <c r="AJ7" s="56" t="e">
        <f>IF(AND('Mapa final'!#REF!="Muy Alta",'Mapa final'!#REF!="Catastrófico"),CONCATENATE("R2C",'Mapa final'!#REF!),"")</f>
        <v>#REF!</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3"/>
      <c r="AO7" s="377"/>
      <c r="AP7" s="378"/>
      <c r="AQ7" s="378"/>
      <c r="AR7" s="378"/>
      <c r="AS7" s="378"/>
      <c r="AT7" s="379"/>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316"/>
      <c r="C8" s="316"/>
      <c r="D8" s="317"/>
      <c r="E8" s="357"/>
      <c r="F8" s="358"/>
      <c r="G8" s="358"/>
      <c r="H8" s="358"/>
      <c r="I8" s="359"/>
      <c r="J8" s="52" t="str">
        <f>IF(AND('Mapa final'!$AB$14="Muy Alta",'Mapa final'!$AD$14="Leve"),CONCATENATE("R3C",'Mapa final'!$R$14),"")</f>
        <v/>
      </c>
      <c r="K8" s="53" t="e">
        <f>IF(AND('Mapa final'!#REF!="Muy Alta",'Mapa final'!#REF!="Leve"),CONCATENATE("R3C",'Mapa final'!#REF!),"")</f>
        <v>#REF!</v>
      </c>
      <c r="L8" s="53" t="e">
        <f>IF(AND('Mapa final'!#REF!="Muy Alta",'Mapa final'!#REF!="Leve"),CONCATENATE("R3C",'Mapa final'!#REF!),"")</f>
        <v>#REF!</v>
      </c>
      <c r="M8" s="53" t="e">
        <f>IF(AND('Mapa final'!#REF!="Muy Alta",'Mapa final'!#REF!="Leve"),CONCATENATE("R3C",'Mapa final'!#REF!),"")</f>
        <v>#REF!</v>
      </c>
      <c r="N8" s="53" t="e">
        <f>IF(AND('Mapa final'!#REF!="Muy Alta",'Mapa final'!#REF!="Leve"),CONCATENATE("R3C",'Mapa final'!#REF!),"")</f>
        <v>#REF!</v>
      </c>
      <c r="O8" s="54" t="e">
        <f>IF(AND('Mapa final'!#REF!="Muy Alta",'Mapa final'!#REF!="Leve"),CONCATENATE("R3C",'Mapa final'!#REF!),"")</f>
        <v>#REF!</v>
      </c>
      <c r="P8" s="52" t="str">
        <f>IF(AND('Mapa final'!$AB$14="Muy Alta",'Mapa final'!$AD$14="Menor"),CONCATENATE("R3C",'Mapa final'!$R$14),"")</f>
        <v/>
      </c>
      <c r="Q8" s="53" t="e">
        <f>IF(AND('Mapa final'!#REF!="Muy Alta",'Mapa final'!#REF!="Menor"),CONCATENATE("R3C",'Mapa final'!#REF!),"")</f>
        <v>#REF!</v>
      </c>
      <c r="R8" s="53" t="e">
        <f>IF(AND('Mapa final'!#REF!="Muy Alta",'Mapa final'!#REF!="Menor"),CONCATENATE("R3C",'Mapa final'!#REF!),"")</f>
        <v>#REF!</v>
      </c>
      <c r="S8" s="53" t="e">
        <f>IF(AND('Mapa final'!#REF!="Muy Alta",'Mapa final'!#REF!="Menor"),CONCATENATE("R3C",'Mapa final'!#REF!),"")</f>
        <v>#REF!</v>
      </c>
      <c r="T8" s="53" t="e">
        <f>IF(AND('Mapa final'!#REF!="Muy Alta",'Mapa final'!#REF!="Menor"),CONCATENATE("R3C",'Mapa final'!#REF!),"")</f>
        <v>#REF!</v>
      </c>
      <c r="U8" s="54" t="e">
        <f>IF(AND('Mapa final'!#REF!="Muy Alta",'Mapa final'!#REF!="Menor"),CONCATENATE("R3C",'Mapa final'!#REF!),"")</f>
        <v>#REF!</v>
      </c>
      <c r="V8" s="52" t="str">
        <f>IF(AND('Mapa final'!$AB$14="Muy Alta",'Mapa final'!$AD$14="Moderado"),CONCATENATE("R3C",'Mapa final'!$R$14),"")</f>
        <v/>
      </c>
      <c r="W8" s="53" t="e">
        <f>IF(AND('Mapa final'!#REF!="Muy Alta",'Mapa final'!#REF!="Moderado"),CONCATENATE("R3C",'Mapa final'!#REF!),"")</f>
        <v>#REF!</v>
      </c>
      <c r="X8" s="53" t="e">
        <f>IF(AND('Mapa final'!#REF!="Muy Alta",'Mapa final'!#REF!="Moderado"),CONCATENATE("R3C",'Mapa final'!#REF!),"")</f>
        <v>#REF!</v>
      </c>
      <c r="Y8" s="53" t="e">
        <f>IF(AND('Mapa final'!#REF!="Muy Alta",'Mapa final'!#REF!="Moderado"),CONCATENATE("R3C",'Mapa final'!#REF!),"")</f>
        <v>#REF!</v>
      </c>
      <c r="Z8" s="53" t="e">
        <f>IF(AND('Mapa final'!#REF!="Muy Alta",'Mapa final'!#REF!="Moderado"),CONCATENATE("R3C",'Mapa final'!#REF!),"")</f>
        <v>#REF!</v>
      </c>
      <c r="AA8" s="54" t="e">
        <f>IF(AND('Mapa final'!#REF!="Muy Alta",'Mapa final'!#REF!="Moderado"),CONCATENATE("R3C",'Mapa final'!#REF!),"")</f>
        <v>#REF!</v>
      </c>
      <c r="AB8" s="52" t="str">
        <f>IF(AND('Mapa final'!$AB$14="Muy Alta",'Mapa final'!$AD$14="Mayor"),CONCATENATE("R3C",'Mapa final'!$R$14),"")</f>
        <v/>
      </c>
      <c r="AC8" s="53" t="e">
        <f>IF(AND('Mapa final'!#REF!="Muy Alta",'Mapa final'!#REF!="Mayor"),CONCATENATE("R3C",'Mapa final'!#REF!),"")</f>
        <v>#REF!</v>
      </c>
      <c r="AD8" s="53" t="e">
        <f>IF(AND('Mapa final'!#REF!="Muy Alta",'Mapa final'!#REF!="Mayor"),CONCATENATE("R3C",'Mapa final'!#REF!),"")</f>
        <v>#REF!</v>
      </c>
      <c r="AE8" s="53" t="e">
        <f>IF(AND('Mapa final'!#REF!="Muy Alta",'Mapa final'!#REF!="Mayor"),CONCATENATE("R3C",'Mapa final'!#REF!),"")</f>
        <v>#REF!</v>
      </c>
      <c r="AF8" s="53" t="e">
        <f>IF(AND('Mapa final'!#REF!="Muy Alta",'Mapa final'!#REF!="Mayor"),CONCATENATE("R3C",'Mapa final'!#REF!),"")</f>
        <v>#REF!</v>
      </c>
      <c r="AG8" s="54" t="e">
        <f>IF(AND('Mapa final'!#REF!="Muy Alta",'Mapa final'!#REF!="Mayor"),CONCATENATE("R3C",'Mapa final'!#REF!),"")</f>
        <v>#REF!</v>
      </c>
      <c r="AH8" s="55" t="str">
        <f>IF(AND('Mapa final'!$AB$14="Muy Alta",'Mapa final'!$AD$14="Catastrófico"),CONCATENATE("R3C",'Mapa final'!$R$14),"")</f>
        <v/>
      </c>
      <c r="AI8" s="56" t="e">
        <f>IF(AND('Mapa final'!#REF!="Muy Alta",'Mapa final'!#REF!="Catastrófico"),CONCATENATE("R3C",'Mapa final'!#REF!),"")</f>
        <v>#REF!</v>
      </c>
      <c r="AJ8" s="56" t="e">
        <f>IF(AND('Mapa final'!#REF!="Muy Alta",'Mapa final'!#REF!="Catastrófico"),CONCATENATE("R3C",'Mapa final'!#REF!),"")</f>
        <v>#REF!</v>
      </c>
      <c r="AK8" s="56" t="e">
        <f>IF(AND('Mapa final'!#REF!="Muy Alta",'Mapa final'!#REF!="Catastrófico"),CONCATENATE("R3C",'Mapa final'!#REF!),"")</f>
        <v>#REF!</v>
      </c>
      <c r="AL8" s="56" t="e">
        <f>IF(AND('Mapa final'!#REF!="Muy Alta",'Mapa final'!#REF!="Catastrófico"),CONCATENATE("R3C",'Mapa final'!#REF!),"")</f>
        <v>#REF!</v>
      </c>
      <c r="AM8" s="57" t="e">
        <f>IF(AND('Mapa final'!#REF!="Muy Alta",'Mapa final'!#REF!="Catastrófico"),CONCATENATE("R3C",'Mapa final'!#REF!),"")</f>
        <v>#REF!</v>
      </c>
      <c r="AN8" s="83"/>
      <c r="AO8" s="377"/>
      <c r="AP8" s="378"/>
      <c r="AQ8" s="378"/>
      <c r="AR8" s="378"/>
      <c r="AS8" s="378"/>
      <c r="AT8" s="379"/>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316"/>
      <c r="C9" s="316"/>
      <c r="D9" s="317"/>
      <c r="E9" s="357"/>
      <c r="F9" s="358"/>
      <c r="G9" s="358"/>
      <c r="H9" s="358"/>
      <c r="I9" s="359"/>
      <c r="J9" s="52" t="e">
        <f>IF(AND('Mapa final'!#REF!="Muy Alta",'Mapa final'!#REF!="Leve"),CONCATENATE("R4C",'Mapa final'!#REF!),"")</f>
        <v>#REF!</v>
      </c>
      <c r="K9" s="53" t="e">
        <f>IF(AND('Mapa final'!#REF!="Muy Alta",'Mapa final'!#REF!="Leve"),CONCATENATE("R4C",'Mapa final'!#REF!),"")</f>
        <v>#REF!</v>
      </c>
      <c r="L9" s="53" t="e">
        <f>IF(AND('Mapa final'!#REF!="Muy Alta",'Mapa final'!#REF!="Leve"),CONCATENATE("R4C",'Mapa final'!#REF!),"")</f>
        <v>#REF!</v>
      </c>
      <c r="M9" s="53" t="e">
        <f>IF(AND('Mapa final'!#REF!="Muy Alta",'Mapa final'!#REF!="Leve"),CONCATENATE("R4C",'Mapa final'!#REF!),"")</f>
        <v>#REF!</v>
      </c>
      <c r="N9" s="53" t="e">
        <f>IF(AND('Mapa final'!#REF!="Muy Alta",'Mapa final'!#REF!="Leve"),CONCATENATE("R4C",'Mapa final'!#REF!),"")</f>
        <v>#REF!</v>
      </c>
      <c r="O9" s="54" t="e">
        <f>IF(AND('Mapa final'!#REF!="Muy Alta",'Mapa final'!#REF!="Leve"),CONCATENATE("R4C",'Mapa final'!#REF!),"")</f>
        <v>#REF!</v>
      </c>
      <c r="P9" s="52" t="e">
        <f>IF(AND('Mapa final'!#REF!="Muy Alta",'Mapa final'!#REF!="Menor"),CONCATENATE("R4C",'Mapa final'!#REF!),"")</f>
        <v>#REF!</v>
      </c>
      <c r="Q9" s="53" t="e">
        <f>IF(AND('Mapa final'!#REF!="Muy Alta",'Mapa final'!#REF!="Menor"),CONCATENATE("R4C",'Mapa final'!#REF!),"")</f>
        <v>#REF!</v>
      </c>
      <c r="R9" s="53" t="e">
        <f>IF(AND('Mapa final'!#REF!="Muy Alta",'Mapa final'!#REF!="Menor"),CONCATENATE("R4C",'Mapa final'!#REF!),"")</f>
        <v>#REF!</v>
      </c>
      <c r="S9" s="53" t="e">
        <f>IF(AND('Mapa final'!#REF!="Muy Alta",'Mapa final'!#REF!="Menor"),CONCATENATE("R4C",'Mapa final'!#REF!),"")</f>
        <v>#REF!</v>
      </c>
      <c r="T9" s="53" t="e">
        <f>IF(AND('Mapa final'!#REF!="Muy Alta",'Mapa final'!#REF!="Menor"),CONCATENATE("R4C",'Mapa final'!#REF!),"")</f>
        <v>#REF!</v>
      </c>
      <c r="U9" s="54" t="e">
        <f>IF(AND('Mapa final'!#REF!="Muy Alta",'Mapa final'!#REF!="Menor"),CONCATENATE("R4C",'Mapa final'!#REF!),"")</f>
        <v>#REF!</v>
      </c>
      <c r="V9" s="52" t="e">
        <f>IF(AND('Mapa final'!#REF!="Muy Alta",'Mapa final'!#REF!="Moderado"),CONCATENATE("R4C",'Mapa final'!#REF!),"")</f>
        <v>#REF!</v>
      </c>
      <c r="W9" s="53" t="e">
        <f>IF(AND('Mapa final'!#REF!="Muy Alta",'Mapa final'!#REF!="Moderado"),CONCATENATE("R4C",'Mapa final'!#REF!),"")</f>
        <v>#REF!</v>
      </c>
      <c r="X9" s="53" t="e">
        <f>IF(AND('Mapa final'!#REF!="Muy Alta",'Mapa final'!#REF!="Moderado"),CONCATENATE("R4C",'Mapa final'!#REF!),"")</f>
        <v>#REF!</v>
      </c>
      <c r="Y9" s="53" t="e">
        <f>IF(AND('Mapa final'!#REF!="Muy Alta",'Mapa final'!#REF!="Moderado"),CONCATENATE("R4C",'Mapa final'!#REF!),"")</f>
        <v>#REF!</v>
      </c>
      <c r="Z9" s="53" t="e">
        <f>IF(AND('Mapa final'!#REF!="Muy Alta",'Mapa final'!#REF!="Moderado"),CONCATENATE("R4C",'Mapa final'!#REF!),"")</f>
        <v>#REF!</v>
      </c>
      <c r="AA9" s="54" t="e">
        <f>IF(AND('Mapa final'!#REF!="Muy Alta",'Mapa final'!#REF!="Moderado"),CONCATENATE("R4C",'Mapa final'!#REF!),"")</f>
        <v>#REF!</v>
      </c>
      <c r="AB9" s="52" t="e">
        <f>IF(AND('Mapa final'!#REF!="Muy Alta",'Mapa final'!#REF!="Mayor"),CONCATENATE("R4C",'Mapa final'!#REF!),"")</f>
        <v>#REF!</v>
      </c>
      <c r="AC9" s="53" t="e">
        <f>IF(AND('Mapa final'!#REF!="Muy Alta",'Mapa final'!#REF!="Mayor"),CONCATENATE("R4C",'Mapa final'!#REF!),"")</f>
        <v>#REF!</v>
      </c>
      <c r="AD9" s="53" t="e">
        <f>IF(AND('Mapa final'!#REF!="Muy Alta",'Mapa final'!#REF!="Mayor"),CONCATENATE("R4C",'Mapa final'!#REF!),"")</f>
        <v>#REF!</v>
      </c>
      <c r="AE9" s="53" t="e">
        <f>IF(AND('Mapa final'!#REF!="Muy Alta",'Mapa final'!#REF!="Mayor"),CONCATENATE("R4C",'Mapa final'!#REF!),"")</f>
        <v>#REF!</v>
      </c>
      <c r="AF9" s="53" t="e">
        <f>IF(AND('Mapa final'!#REF!="Muy Alta",'Mapa final'!#REF!="Mayor"),CONCATENATE("R4C",'Mapa final'!#REF!),"")</f>
        <v>#REF!</v>
      </c>
      <c r="AG9" s="54" t="e">
        <f>IF(AND('Mapa final'!#REF!="Muy Alta",'Mapa final'!#REF!="Mayor"),CONCATENATE("R4C",'Mapa final'!#REF!),"")</f>
        <v>#REF!</v>
      </c>
      <c r="AH9" s="55" t="e">
        <f>IF(AND('Mapa final'!#REF!="Muy Alta",'Mapa final'!#REF!="Catastrófico"),CONCATENATE("R4C",'Mapa final'!#REF!),"")</f>
        <v>#REF!</v>
      </c>
      <c r="AI9" s="56" t="e">
        <f>IF(AND('Mapa final'!#REF!="Muy Alta",'Mapa final'!#REF!="Catastrófico"),CONCATENATE("R4C",'Mapa final'!#REF!),"")</f>
        <v>#REF!</v>
      </c>
      <c r="AJ9" s="56" t="e">
        <f>IF(AND('Mapa final'!#REF!="Muy Alta",'Mapa final'!#REF!="Catastrófico"),CONCATENATE("R4C",'Mapa final'!#REF!),"")</f>
        <v>#REF!</v>
      </c>
      <c r="AK9" s="56" t="e">
        <f>IF(AND('Mapa final'!#REF!="Muy Alta",'Mapa final'!#REF!="Catastrófico"),CONCATENATE("R4C",'Mapa final'!#REF!),"")</f>
        <v>#REF!</v>
      </c>
      <c r="AL9" s="56" t="e">
        <f>IF(AND('Mapa final'!#REF!="Muy Alta",'Mapa final'!#REF!="Catastrófico"),CONCATENATE("R4C",'Mapa final'!#REF!),"")</f>
        <v>#REF!</v>
      </c>
      <c r="AM9" s="57" t="e">
        <f>IF(AND('Mapa final'!#REF!="Muy Alta",'Mapa final'!#REF!="Catastrófico"),CONCATENATE("R4C",'Mapa final'!#REF!),"")</f>
        <v>#REF!</v>
      </c>
      <c r="AN9" s="83"/>
      <c r="AO9" s="377"/>
      <c r="AP9" s="378"/>
      <c r="AQ9" s="378"/>
      <c r="AR9" s="378"/>
      <c r="AS9" s="378"/>
      <c r="AT9" s="379"/>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316"/>
      <c r="C10" s="316"/>
      <c r="D10" s="317"/>
      <c r="E10" s="357"/>
      <c r="F10" s="358"/>
      <c r="G10" s="358"/>
      <c r="H10" s="358"/>
      <c r="I10" s="359"/>
      <c r="J10" s="52" t="str">
        <f>IF(AND('Mapa final'!$AB$15="Muy Alta",'Mapa final'!$AD$15="Leve"),CONCATENATE("R5C",'Mapa final'!$R$15),"")</f>
        <v/>
      </c>
      <c r="K10" s="53" t="str">
        <f>IF(AND('Mapa final'!$AB$16="Muy Alta",'Mapa final'!$AD$16="Leve"),CONCATENATE("R5C",'Mapa final'!$R$16),"")</f>
        <v/>
      </c>
      <c r="L10" s="53" t="str">
        <f>IF(AND('Mapa final'!$AB$17="Muy Alta",'Mapa final'!$AD$17="Leve"),CONCATENATE("R5C",'Mapa final'!$R$17),"")</f>
        <v/>
      </c>
      <c r="M10" s="53" t="str">
        <f>IF(AND('Mapa final'!$AB$18="Muy Alta",'Mapa final'!$AD$18="Leve"),CONCATENATE("R5C",'Mapa final'!$R$18),"")</f>
        <v/>
      </c>
      <c r="N10" s="53" t="str">
        <f>IF(AND('Mapa final'!$AB$19="Muy Alta",'Mapa final'!$AD$19="Leve"),CONCATENATE("R5C",'Mapa final'!$R$19),"")</f>
        <v/>
      </c>
      <c r="O10" s="54" t="str">
        <f>IF(AND('Mapa final'!$AB$20="Muy Alta",'Mapa final'!$AD$20="Leve"),CONCATENATE("R5C",'Mapa final'!$R$20),"")</f>
        <v/>
      </c>
      <c r="P10" s="52" t="str">
        <f>IF(AND('Mapa final'!$AB$15="Muy Alta",'Mapa final'!$AD$15="Menor"),CONCATENATE("R5C",'Mapa final'!$R$15),"")</f>
        <v/>
      </c>
      <c r="Q10" s="53" t="str">
        <f>IF(AND('Mapa final'!$AB$16="Muy Alta",'Mapa final'!$AD$16="Menor"),CONCATENATE("R5C",'Mapa final'!$R$16),"")</f>
        <v/>
      </c>
      <c r="R10" s="53" t="str">
        <f>IF(AND('Mapa final'!$AB$17="Muy Alta",'Mapa final'!$AD$17="Menor"),CONCATENATE("R5C",'Mapa final'!$R$17),"")</f>
        <v/>
      </c>
      <c r="S10" s="53" t="str">
        <f>IF(AND('Mapa final'!$AB$18="Muy Alta",'Mapa final'!$AD$18="Menor"),CONCATENATE("R5C",'Mapa final'!$R$18),"")</f>
        <v/>
      </c>
      <c r="T10" s="53" t="str">
        <f>IF(AND('Mapa final'!$AB$19="Muy Alta",'Mapa final'!$AD$19="Menor"),CONCATENATE("R5C",'Mapa final'!$R$19),"")</f>
        <v/>
      </c>
      <c r="U10" s="54" t="str">
        <f>IF(AND('Mapa final'!$AB$20="Muy Alta",'Mapa final'!$AD$20="Menor"),CONCATENATE("R5C",'Mapa final'!$R$20),"")</f>
        <v/>
      </c>
      <c r="V10" s="52" t="str">
        <f>IF(AND('Mapa final'!$AB$15="Muy Alta",'Mapa final'!$AD$15="Moderado"),CONCATENATE("R5C",'Mapa final'!$R$15),"")</f>
        <v/>
      </c>
      <c r="W10" s="53" t="str">
        <f>IF(AND('Mapa final'!$AB$16="Muy Alta",'Mapa final'!$AD$16="Moderado"),CONCATENATE("R5C",'Mapa final'!$R$16),"")</f>
        <v/>
      </c>
      <c r="X10" s="53" t="str">
        <f>IF(AND('Mapa final'!$AB$17="Muy Alta",'Mapa final'!$AD$17="Moderado"),CONCATENATE("R5C",'Mapa final'!$R$17),"")</f>
        <v/>
      </c>
      <c r="Y10" s="53" t="str">
        <f>IF(AND('Mapa final'!$AB$18="Muy Alta",'Mapa final'!$AD$18="Moderado"),CONCATENATE("R5C",'Mapa final'!$R$18),"")</f>
        <v/>
      </c>
      <c r="Z10" s="53" t="str">
        <f>IF(AND('Mapa final'!$AB$19="Muy Alta",'Mapa final'!$AD$19="Moderado"),CONCATENATE("R5C",'Mapa final'!$R$19),"")</f>
        <v/>
      </c>
      <c r="AA10" s="54" t="str">
        <f>IF(AND('Mapa final'!$AB$20="Muy Alta",'Mapa final'!$AD$20="Moderado"),CONCATENATE("R5C",'Mapa final'!$R$20),"")</f>
        <v/>
      </c>
      <c r="AB10" s="52" t="str">
        <f>IF(AND('Mapa final'!$AB$15="Muy Alta",'Mapa final'!$AD$15="Mayor"),CONCATENATE("R5C",'Mapa final'!$R$15),"")</f>
        <v/>
      </c>
      <c r="AC10" s="53" t="str">
        <f>IF(AND('Mapa final'!$AB$16="Muy Alta",'Mapa final'!$AD$16="Mayor"),CONCATENATE("R5C",'Mapa final'!$R$16),"")</f>
        <v/>
      </c>
      <c r="AD10" s="53" t="str">
        <f>IF(AND('Mapa final'!$AB$17="Muy Alta",'Mapa final'!$AD$17="Mayor"),CONCATENATE("R5C",'Mapa final'!$R$17),"")</f>
        <v/>
      </c>
      <c r="AE10" s="53" t="str">
        <f>IF(AND('Mapa final'!$AB$18="Muy Alta",'Mapa final'!$AD$18="Mayor"),CONCATENATE("R5C",'Mapa final'!$R$18),"")</f>
        <v/>
      </c>
      <c r="AF10" s="53" t="str">
        <f>IF(AND('Mapa final'!$AB$19="Muy Alta",'Mapa final'!$AD$19="Mayor"),CONCATENATE("R5C",'Mapa final'!$R$19),"")</f>
        <v/>
      </c>
      <c r="AG10" s="54" t="str">
        <f>IF(AND('Mapa final'!$AB$20="Muy Alta",'Mapa final'!$AD$20="Mayor"),CONCATENATE("R5C",'Mapa final'!$R$20),"")</f>
        <v/>
      </c>
      <c r="AH10" s="55" t="str">
        <f>IF(AND('Mapa final'!$AB$15="Muy Alta",'Mapa final'!$AD$15="Catastrófico"),CONCATENATE("R5C",'Mapa final'!$R$15),"")</f>
        <v/>
      </c>
      <c r="AI10" s="56" t="str">
        <f>IF(AND('Mapa final'!$AB$16="Muy Alta",'Mapa final'!$AD$16="Catastrófico"),CONCATENATE("R5C",'Mapa final'!$R$16),"")</f>
        <v/>
      </c>
      <c r="AJ10" s="56" t="str">
        <f>IF(AND('Mapa final'!$AB$17="Muy Alta",'Mapa final'!$AD$17="Catastrófico"),CONCATENATE("R5C",'Mapa final'!$R$17),"")</f>
        <v/>
      </c>
      <c r="AK10" s="56" t="str">
        <f>IF(AND('Mapa final'!$AB$18="Muy Alta",'Mapa final'!$AD$18="Catastrófico"),CONCATENATE("R5C",'Mapa final'!$R$18),"")</f>
        <v/>
      </c>
      <c r="AL10" s="56" t="str">
        <f>IF(AND('Mapa final'!$AB$19="Muy Alta",'Mapa final'!$AD$19="Catastrófico"),CONCATENATE("R5C",'Mapa final'!$R$19),"")</f>
        <v/>
      </c>
      <c r="AM10" s="57" t="str">
        <f>IF(AND('Mapa final'!$AB$20="Muy Alta",'Mapa final'!$AD$20="Catastrófico"),CONCATENATE("R5C",'Mapa final'!$R$20),"")</f>
        <v/>
      </c>
      <c r="AN10" s="83"/>
      <c r="AO10" s="377"/>
      <c r="AP10" s="378"/>
      <c r="AQ10" s="378"/>
      <c r="AR10" s="378"/>
      <c r="AS10" s="378"/>
      <c r="AT10" s="379"/>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316"/>
      <c r="C11" s="316"/>
      <c r="D11" s="317"/>
      <c r="E11" s="357"/>
      <c r="F11" s="358"/>
      <c r="G11" s="358"/>
      <c r="H11" s="358"/>
      <c r="I11" s="359"/>
      <c r="J11" s="52" t="str">
        <f>IF(AND('Mapa final'!$AB$21="Muy Alta",'Mapa final'!$AD$21="Leve"),CONCATENATE("R6C",'Mapa final'!$R$21),"")</f>
        <v/>
      </c>
      <c r="K11" s="53" t="str">
        <f>IF(AND('Mapa final'!$AB$22="Muy Alta",'Mapa final'!$AD$22="Leve"),CONCATENATE("R6C",'Mapa final'!$R$22),"")</f>
        <v/>
      </c>
      <c r="L11" s="53" t="str">
        <f>IF(AND('Mapa final'!$AB$23="Muy Alta",'Mapa final'!$AD$23="Leve"),CONCATENATE("R6C",'Mapa final'!$R$23),"")</f>
        <v/>
      </c>
      <c r="M11" s="53" t="str">
        <f>IF(AND('Mapa final'!$AB$24="Muy Alta",'Mapa final'!$AD$24="Leve"),CONCATENATE("R6C",'Mapa final'!$R$24),"")</f>
        <v/>
      </c>
      <c r="N11" s="53" t="str">
        <f>IF(AND('Mapa final'!$AB$25="Muy Alta",'Mapa final'!$AD$25="Leve"),CONCATENATE("R6C",'Mapa final'!$R$25),"")</f>
        <v/>
      </c>
      <c r="O11" s="54" t="str">
        <f>IF(AND('Mapa final'!$AB$26="Muy Alta",'Mapa final'!$AD$26="Leve"),CONCATENATE("R6C",'Mapa final'!$R$26),"")</f>
        <v/>
      </c>
      <c r="P11" s="52" t="str">
        <f>IF(AND('Mapa final'!$AB$21="Muy Alta",'Mapa final'!$AD$21="Menor"),CONCATENATE("R6C",'Mapa final'!$R$21),"")</f>
        <v/>
      </c>
      <c r="Q11" s="53" t="str">
        <f>IF(AND('Mapa final'!$AB$22="Muy Alta",'Mapa final'!$AD$22="Menor"),CONCATENATE("R6C",'Mapa final'!$R$22),"")</f>
        <v/>
      </c>
      <c r="R11" s="53" t="str">
        <f>IF(AND('Mapa final'!$AB$23="Muy Alta",'Mapa final'!$AD$23="Menor"),CONCATENATE("R6C",'Mapa final'!$R$23),"")</f>
        <v/>
      </c>
      <c r="S11" s="53" t="str">
        <f>IF(AND('Mapa final'!$AB$24="Muy Alta",'Mapa final'!$AD$24="Menor"),CONCATENATE("R6C",'Mapa final'!$R$24),"")</f>
        <v/>
      </c>
      <c r="T11" s="53" t="str">
        <f>IF(AND('Mapa final'!$AB$25="Muy Alta",'Mapa final'!$AD$25="Menor"),CONCATENATE("R6C",'Mapa final'!$R$25),"")</f>
        <v/>
      </c>
      <c r="U11" s="54" t="str">
        <f>IF(AND('Mapa final'!$AB$26="Muy Alta",'Mapa final'!$AD$26="Menor"),CONCATENATE("R6C",'Mapa final'!$R$26),"")</f>
        <v/>
      </c>
      <c r="V11" s="52" t="str">
        <f>IF(AND('Mapa final'!$AB$21="Muy Alta",'Mapa final'!$AD$21="Moderado"),CONCATENATE("R6C",'Mapa final'!$R$21),"")</f>
        <v/>
      </c>
      <c r="W11" s="53" t="str">
        <f>IF(AND('Mapa final'!$AB$22="Muy Alta",'Mapa final'!$AD$22="Moderado"),CONCATENATE("R6C",'Mapa final'!$R$22),"")</f>
        <v/>
      </c>
      <c r="X11" s="53" t="str">
        <f>IF(AND('Mapa final'!$AB$23="Muy Alta",'Mapa final'!$AD$23="Moderado"),CONCATENATE("R6C",'Mapa final'!$R$23),"")</f>
        <v/>
      </c>
      <c r="Y11" s="53" t="str">
        <f>IF(AND('Mapa final'!$AB$24="Muy Alta",'Mapa final'!$AD$24="Moderado"),CONCATENATE("R6C",'Mapa final'!$R$24),"")</f>
        <v/>
      </c>
      <c r="Z11" s="53" t="str">
        <f>IF(AND('Mapa final'!$AB$25="Muy Alta",'Mapa final'!$AD$25="Moderado"),CONCATENATE("R6C",'Mapa final'!$R$25),"")</f>
        <v/>
      </c>
      <c r="AA11" s="54" t="str">
        <f>IF(AND('Mapa final'!$AB$26="Muy Alta",'Mapa final'!$AD$26="Moderado"),CONCATENATE("R6C",'Mapa final'!$R$26),"")</f>
        <v/>
      </c>
      <c r="AB11" s="52" t="str">
        <f>IF(AND('Mapa final'!$AB$21="Muy Alta",'Mapa final'!$AD$21="Mayor"),CONCATENATE("R6C",'Mapa final'!$R$21),"")</f>
        <v/>
      </c>
      <c r="AC11" s="53" t="str">
        <f>IF(AND('Mapa final'!$AB$22="Muy Alta",'Mapa final'!$AD$22="Mayor"),CONCATENATE("R6C",'Mapa final'!$R$22),"")</f>
        <v/>
      </c>
      <c r="AD11" s="53" t="str">
        <f>IF(AND('Mapa final'!$AB$23="Muy Alta",'Mapa final'!$AD$23="Mayor"),CONCATENATE("R6C",'Mapa final'!$R$23),"")</f>
        <v/>
      </c>
      <c r="AE11" s="53" t="str">
        <f>IF(AND('Mapa final'!$AB$24="Muy Alta",'Mapa final'!$AD$24="Mayor"),CONCATENATE("R6C",'Mapa final'!$R$24),"")</f>
        <v/>
      </c>
      <c r="AF11" s="53" t="str">
        <f>IF(AND('Mapa final'!$AB$25="Muy Alta",'Mapa final'!$AD$25="Mayor"),CONCATENATE("R6C",'Mapa final'!$R$25),"")</f>
        <v/>
      </c>
      <c r="AG11" s="54" t="str">
        <f>IF(AND('Mapa final'!$AB$26="Muy Alta",'Mapa final'!$AD$26="Mayor"),CONCATENATE("R6C",'Mapa final'!$R$26),"")</f>
        <v/>
      </c>
      <c r="AH11" s="55" t="str">
        <f>IF(AND('Mapa final'!$AB$21="Muy Alta",'Mapa final'!$AD$21="Catastrófico"),CONCATENATE("R6C",'Mapa final'!$R$21),"")</f>
        <v/>
      </c>
      <c r="AI11" s="56" t="str">
        <f>IF(AND('Mapa final'!$AB$22="Muy Alta",'Mapa final'!$AD$22="Catastrófico"),CONCATENATE("R6C",'Mapa final'!$R$22),"")</f>
        <v/>
      </c>
      <c r="AJ11" s="56" t="str">
        <f>IF(AND('Mapa final'!$AB$23="Muy Alta",'Mapa final'!$AD$23="Catastrófico"),CONCATENATE("R6C",'Mapa final'!$R$23),"")</f>
        <v/>
      </c>
      <c r="AK11" s="56" t="str">
        <f>IF(AND('Mapa final'!$AB$24="Muy Alta",'Mapa final'!$AD$24="Catastrófico"),CONCATENATE("R6C",'Mapa final'!$R$24),"")</f>
        <v/>
      </c>
      <c r="AL11" s="56" t="str">
        <f>IF(AND('Mapa final'!$AB$25="Muy Alta",'Mapa final'!$AD$25="Catastrófico"),CONCATENATE("R6C",'Mapa final'!$R$25),"")</f>
        <v/>
      </c>
      <c r="AM11" s="57" t="str">
        <f>IF(AND('Mapa final'!$AB$26="Muy Alta",'Mapa final'!$AD$26="Catastrófico"),CONCATENATE("R6C",'Mapa final'!$R$26),"")</f>
        <v/>
      </c>
      <c r="AN11" s="83"/>
      <c r="AO11" s="377"/>
      <c r="AP11" s="378"/>
      <c r="AQ11" s="378"/>
      <c r="AR11" s="378"/>
      <c r="AS11" s="378"/>
      <c r="AT11" s="379"/>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316"/>
      <c r="C12" s="316"/>
      <c r="D12" s="317"/>
      <c r="E12" s="357"/>
      <c r="F12" s="358"/>
      <c r="G12" s="358"/>
      <c r="H12" s="358"/>
      <c r="I12" s="359"/>
      <c r="J12" s="52" t="str">
        <f>IF(AND('Mapa final'!$AB$27="Muy Alta",'Mapa final'!$AD$27="Leve"),CONCATENATE("R7C",'Mapa final'!$R$27),"")</f>
        <v/>
      </c>
      <c r="K12" s="53" t="str">
        <f>IF(AND('Mapa final'!$AB$28="Muy Alta",'Mapa final'!$AD$28="Leve"),CONCATENATE("R7C",'Mapa final'!$R$28),"")</f>
        <v/>
      </c>
      <c r="L12" s="53" t="str">
        <f>IF(AND('Mapa final'!$AB$29="Muy Alta",'Mapa final'!$AD$29="Leve"),CONCATENATE("R7C",'Mapa final'!$R$29),"")</f>
        <v/>
      </c>
      <c r="M12" s="53" t="str">
        <f>IF(AND('Mapa final'!$AB$30="Muy Alta",'Mapa final'!$AD$30="Leve"),CONCATENATE("R7C",'Mapa final'!$R$30),"")</f>
        <v/>
      </c>
      <c r="N12" s="53" t="str">
        <f>IF(AND('Mapa final'!$AB$31="Muy Alta",'Mapa final'!$AD$31="Leve"),CONCATENATE("R7C",'Mapa final'!$R$31),"")</f>
        <v/>
      </c>
      <c r="O12" s="54" t="str">
        <f>IF(AND('Mapa final'!$AB$32="Muy Alta",'Mapa final'!$AD$32="Leve"),CONCATENATE("R7C",'Mapa final'!$R$32),"")</f>
        <v/>
      </c>
      <c r="P12" s="52" t="str">
        <f>IF(AND('Mapa final'!$AB$27="Muy Alta",'Mapa final'!$AD$27="Menor"),CONCATENATE("R7C",'Mapa final'!$R$27),"")</f>
        <v/>
      </c>
      <c r="Q12" s="53" t="str">
        <f>IF(AND('Mapa final'!$AB$28="Muy Alta",'Mapa final'!$AD$28="Menor"),CONCATENATE("R7C",'Mapa final'!$R$28),"")</f>
        <v/>
      </c>
      <c r="R12" s="53" t="str">
        <f>IF(AND('Mapa final'!$AB$29="Muy Alta",'Mapa final'!$AD$29="Menor"),CONCATENATE("R7C",'Mapa final'!$R$29),"")</f>
        <v/>
      </c>
      <c r="S12" s="53" t="str">
        <f>IF(AND('Mapa final'!$AB$30="Muy Alta",'Mapa final'!$AD$30="Menor"),CONCATENATE("R7C",'Mapa final'!$R$30),"")</f>
        <v/>
      </c>
      <c r="T12" s="53" t="str">
        <f>IF(AND('Mapa final'!$AB$31="Muy Alta",'Mapa final'!$AD$31="Menor"),CONCATENATE("R7C",'Mapa final'!$R$31),"")</f>
        <v/>
      </c>
      <c r="U12" s="54" t="str">
        <f>IF(AND('Mapa final'!$AB$32="Muy Alta",'Mapa final'!$AD$32="Menor"),CONCATENATE("R7C",'Mapa final'!$R$32),"")</f>
        <v/>
      </c>
      <c r="V12" s="52" t="str">
        <f>IF(AND('Mapa final'!$AB$27="Muy Alta",'Mapa final'!$AD$27="Moderado"),CONCATENATE("R7C",'Mapa final'!$R$27),"")</f>
        <v/>
      </c>
      <c r="W12" s="53" t="str">
        <f>IF(AND('Mapa final'!$AB$28="Muy Alta",'Mapa final'!$AD$28="Moderado"),CONCATENATE("R7C",'Mapa final'!$R$28),"")</f>
        <v/>
      </c>
      <c r="X12" s="53" t="str">
        <f>IF(AND('Mapa final'!$AB$29="Muy Alta",'Mapa final'!$AD$29="Moderado"),CONCATENATE("R7C",'Mapa final'!$R$29),"")</f>
        <v/>
      </c>
      <c r="Y12" s="53" t="str">
        <f>IF(AND('Mapa final'!$AB$30="Muy Alta",'Mapa final'!$AD$30="Moderado"),CONCATENATE("R7C",'Mapa final'!$R$30),"")</f>
        <v/>
      </c>
      <c r="Z12" s="53" t="str">
        <f>IF(AND('Mapa final'!$AB$31="Muy Alta",'Mapa final'!$AD$31="Moderado"),CONCATENATE("R7C",'Mapa final'!$R$31),"")</f>
        <v/>
      </c>
      <c r="AA12" s="54" t="str">
        <f>IF(AND('Mapa final'!$AB$32="Muy Alta",'Mapa final'!$AD$32="Moderado"),CONCATENATE("R7C",'Mapa final'!$R$32),"")</f>
        <v/>
      </c>
      <c r="AB12" s="52" t="str">
        <f>IF(AND('Mapa final'!$AB$27="Muy Alta",'Mapa final'!$AD$27="Mayor"),CONCATENATE("R7C",'Mapa final'!$R$27),"")</f>
        <v/>
      </c>
      <c r="AC12" s="53" t="str">
        <f>IF(AND('Mapa final'!$AB$28="Muy Alta",'Mapa final'!$AD$28="Mayor"),CONCATENATE("R7C",'Mapa final'!$R$28),"")</f>
        <v/>
      </c>
      <c r="AD12" s="53" t="str">
        <f>IF(AND('Mapa final'!$AB$29="Muy Alta",'Mapa final'!$AD$29="Mayor"),CONCATENATE("R7C",'Mapa final'!$R$29),"")</f>
        <v/>
      </c>
      <c r="AE12" s="53" t="str">
        <f>IF(AND('Mapa final'!$AB$30="Muy Alta",'Mapa final'!$AD$30="Mayor"),CONCATENATE("R7C",'Mapa final'!$R$30),"")</f>
        <v/>
      </c>
      <c r="AF12" s="53" t="str">
        <f>IF(AND('Mapa final'!$AB$31="Muy Alta",'Mapa final'!$AD$31="Mayor"),CONCATENATE("R7C",'Mapa final'!$R$31),"")</f>
        <v/>
      </c>
      <c r="AG12" s="54" t="str">
        <f>IF(AND('Mapa final'!$AB$32="Muy Alta",'Mapa final'!$AD$32="Mayor"),CONCATENATE("R7C",'Mapa final'!$R$32),"")</f>
        <v/>
      </c>
      <c r="AH12" s="55" t="str">
        <f>IF(AND('Mapa final'!$AB$27="Muy Alta",'Mapa final'!$AD$27="Catastrófico"),CONCATENATE("R7C",'Mapa final'!$R$27),"")</f>
        <v/>
      </c>
      <c r="AI12" s="56" t="str">
        <f>IF(AND('Mapa final'!$AB$28="Muy Alta",'Mapa final'!$AD$28="Catastrófico"),CONCATENATE("R7C",'Mapa final'!$R$28),"")</f>
        <v/>
      </c>
      <c r="AJ12" s="56" t="str">
        <f>IF(AND('Mapa final'!$AB$29="Muy Alta",'Mapa final'!$AD$29="Catastrófico"),CONCATENATE("R7C",'Mapa final'!$R$29),"")</f>
        <v/>
      </c>
      <c r="AK12" s="56" t="str">
        <f>IF(AND('Mapa final'!$AB$30="Muy Alta",'Mapa final'!$AD$30="Catastrófico"),CONCATENATE("R7C",'Mapa final'!$R$30),"")</f>
        <v/>
      </c>
      <c r="AL12" s="56" t="str">
        <f>IF(AND('Mapa final'!$AB$31="Muy Alta",'Mapa final'!$AD$31="Catastrófico"),CONCATENATE("R7C",'Mapa final'!$R$31),"")</f>
        <v/>
      </c>
      <c r="AM12" s="57" t="str">
        <f>IF(AND('Mapa final'!$AB$32="Muy Alta",'Mapa final'!$AD$32="Catastrófico"),CONCATENATE("R7C",'Mapa final'!$R$32),"")</f>
        <v/>
      </c>
      <c r="AN12" s="83"/>
      <c r="AO12" s="377"/>
      <c r="AP12" s="378"/>
      <c r="AQ12" s="378"/>
      <c r="AR12" s="378"/>
      <c r="AS12" s="378"/>
      <c r="AT12" s="379"/>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316"/>
      <c r="C13" s="316"/>
      <c r="D13" s="317"/>
      <c r="E13" s="357"/>
      <c r="F13" s="358"/>
      <c r="G13" s="358"/>
      <c r="H13" s="358"/>
      <c r="I13" s="359"/>
      <c r="J13" s="52" t="str">
        <f>IF(AND('Mapa final'!$AB$33="Muy Alta",'Mapa final'!$AD$33="Leve"),CONCATENATE("R8C",'Mapa final'!$R$33),"")</f>
        <v/>
      </c>
      <c r="K13" s="53" t="str">
        <f>IF(AND('Mapa final'!$AB$34="Muy Alta",'Mapa final'!$AD$34="Leve"),CONCATENATE("R8C",'Mapa final'!$R$34),"")</f>
        <v/>
      </c>
      <c r="L13" s="53" t="str">
        <f>IF(AND('Mapa final'!$AB$35="Muy Alta",'Mapa final'!$AD$35="Leve"),CONCATENATE("R8C",'Mapa final'!$R$35),"")</f>
        <v/>
      </c>
      <c r="M13" s="53" t="str">
        <f>IF(AND('Mapa final'!$AB$36="Muy Alta",'Mapa final'!$AD$36="Leve"),CONCATENATE("R8C",'Mapa final'!$R$36),"")</f>
        <v/>
      </c>
      <c r="N13" s="53" t="str">
        <f>IF(AND('Mapa final'!$AB$37="Muy Alta",'Mapa final'!$AD$37="Leve"),CONCATENATE("R8C",'Mapa final'!$R$37),"")</f>
        <v/>
      </c>
      <c r="O13" s="54" t="str">
        <f>IF(AND('Mapa final'!$AB$38="Muy Alta",'Mapa final'!$AD$38="Leve"),CONCATENATE("R8C",'Mapa final'!$R$38),"")</f>
        <v/>
      </c>
      <c r="P13" s="52" t="str">
        <f>IF(AND('Mapa final'!$AB$33="Muy Alta",'Mapa final'!$AD$33="Menor"),CONCATENATE("R8C",'Mapa final'!$R$33),"")</f>
        <v/>
      </c>
      <c r="Q13" s="53" t="str">
        <f>IF(AND('Mapa final'!$AB$34="Muy Alta",'Mapa final'!$AD$34="Menor"),CONCATENATE("R8C",'Mapa final'!$R$34),"")</f>
        <v/>
      </c>
      <c r="R13" s="53" t="str">
        <f>IF(AND('Mapa final'!$AB$35="Muy Alta",'Mapa final'!$AD$35="Menor"),CONCATENATE("R8C",'Mapa final'!$R$35),"")</f>
        <v/>
      </c>
      <c r="S13" s="53" t="str">
        <f>IF(AND('Mapa final'!$AB$36="Muy Alta",'Mapa final'!$AD$36="Menor"),CONCATENATE("R8C",'Mapa final'!$R$36),"")</f>
        <v/>
      </c>
      <c r="T13" s="53" t="str">
        <f>IF(AND('Mapa final'!$AB$37="Muy Alta",'Mapa final'!$AD$37="Menor"),CONCATENATE("R8C",'Mapa final'!$R$37),"")</f>
        <v/>
      </c>
      <c r="U13" s="54" t="str">
        <f>IF(AND('Mapa final'!$AB$38="Muy Alta",'Mapa final'!$AD$38="Menor"),CONCATENATE("R8C",'Mapa final'!$R$38),"")</f>
        <v/>
      </c>
      <c r="V13" s="52" t="str">
        <f>IF(AND('Mapa final'!$AB$33="Muy Alta",'Mapa final'!$AD$33="Moderado"),CONCATENATE("R8C",'Mapa final'!$R$33),"")</f>
        <v/>
      </c>
      <c r="W13" s="53" t="str">
        <f>IF(AND('Mapa final'!$AB$34="Muy Alta",'Mapa final'!$AD$34="Moderado"),CONCATENATE("R8C",'Mapa final'!$R$34),"")</f>
        <v/>
      </c>
      <c r="X13" s="53" t="str">
        <f>IF(AND('Mapa final'!$AB$35="Muy Alta",'Mapa final'!$AD$35="Moderado"),CONCATENATE("R8C",'Mapa final'!$R$35),"")</f>
        <v/>
      </c>
      <c r="Y13" s="53" t="str">
        <f>IF(AND('Mapa final'!$AB$36="Muy Alta",'Mapa final'!$AD$36="Moderado"),CONCATENATE("R8C",'Mapa final'!$R$36),"")</f>
        <v/>
      </c>
      <c r="Z13" s="53" t="str">
        <f>IF(AND('Mapa final'!$AB$37="Muy Alta",'Mapa final'!$AD$37="Moderado"),CONCATENATE("R8C",'Mapa final'!$R$37),"")</f>
        <v/>
      </c>
      <c r="AA13" s="54" t="str">
        <f>IF(AND('Mapa final'!$AB$38="Muy Alta",'Mapa final'!$AD$38="Moderado"),CONCATENATE("R8C",'Mapa final'!$R$38),"")</f>
        <v/>
      </c>
      <c r="AB13" s="52" t="str">
        <f>IF(AND('Mapa final'!$AB$33="Muy Alta",'Mapa final'!$AD$33="Mayor"),CONCATENATE("R8C",'Mapa final'!$R$33),"")</f>
        <v/>
      </c>
      <c r="AC13" s="53" t="str">
        <f>IF(AND('Mapa final'!$AB$34="Muy Alta",'Mapa final'!$AD$34="Mayor"),CONCATENATE("R8C",'Mapa final'!$R$34),"")</f>
        <v/>
      </c>
      <c r="AD13" s="53" t="str">
        <f>IF(AND('Mapa final'!$AB$35="Muy Alta",'Mapa final'!$AD$35="Mayor"),CONCATENATE("R8C",'Mapa final'!$R$35),"")</f>
        <v/>
      </c>
      <c r="AE13" s="53" t="str">
        <f>IF(AND('Mapa final'!$AB$36="Muy Alta",'Mapa final'!$AD$36="Mayor"),CONCATENATE("R8C",'Mapa final'!$R$36),"")</f>
        <v/>
      </c>
      <c r="AF13" s="53" t="str">
        <f>IF(AND('Mapa final'!$AB$37="Muy Alta",'Mapa final'!$AD$37="Mayor"),CONCATENATE("R8C",'Mapa final'!$R$37),"")</f>
        <v/>
      </c>
      <c r="AG13" s="54" t="str">
        <f>IF(AND('Mapa final'!$AB$38="Muy Alta",'Mapa final'!$AD$38="Mayor"),CONCATENATE("R8C",'Mapa final'!$R$38),"")</f>
        <v/>
      </c>
      <c r="AH13" s="55" t="str">
        <f>IF(AND('Mapa final'!$AB$33="Muy Alta",'Mapa final'!$AD$33="Catastrófico"),CONCATENATE("R8C",'Mapa final'!$R$33),"")</f>
        <v/>
      </c>
      <c r="AI13" s="56" t="str">
        <f>IF(AND('Mapa final'!$AB$34="Muy Alta",'Mapa final'!$AD$34="Catastrófico"),CONCATENATE("R8C",'Mapa final'!$R$34),"")</f>
        <v/>
      </c>
      <c r="AJ13" s="56" t="str">
        <f>IF(AND('Mapa final'!$AB$35="Muy Alta",'Mapa final'!$AD$35="Catastrófico"),CONCATENATE("R8C",'Mapa final'!$R$35),"")</f>
        <v/>
      </c>
      <c r="AK13" s="56" t="str">
        <f>IF(AND('Mapa final'!$AB$36="Muy Alta",'Mapa final'!$AD$36="Catastrófico"),CONCATENATE("R8C",'Mapa final'!$R$36),"")</f>
        <v/>
      </c>
      <c r="AL13" s="56" t="str">
        <f>IF(AND('Mapa final'!$AB$37="Muy Alta",'Mapa final'!$AD$37="Catastrófico"),CONCATENATE("R8C",'Mapa final'!$R$37),"")</f>
        <v/>
      </c>
      <c r="AM13" s="57" t="str">
        <f>IF(AND('Mapa final'!$AB$38="Muy Alta",'Mapa final'!$AD$38="Catastrófico"),CONCATENATE("R8C",'Mapa final'!$R$38),"")</f>
        <v/>
      </c>
      <c r="AN13" s="83"/>
      <c r="AO13" s="377"/>
      <c r="AP13" s="378"/>
      <c r="AQ13" s="378"/>
      <c r="AR13" s="378"/>
      <c r="AS13" s="378"/>
      <c r="AT13" s="37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316"/>
      <c r="C14" s="316"/>
      <c r="D14" s="317"/>
      <c r="E14" s="357"/>
      <c r="F14" s="358"/>
      <c r="G14" s="358"/>
      <c r="H14" s="358"/>
      <c r="I14" s="359"/>
      <c r="J14" s="52" t="str">
        <f>IF(AND('Mapa final'!$AB$39="Muy Alta",'Mapa final'!$AD$39="Leve"),CONCATENATE("R9C",'Mapa final'!$R$39),"")</f>
        <v/>
      </c>
      <c r="K14" s="53" t="str">
        <f>IF(AND('Mapa final'!$AB$40="Muy Alta",'Mapa final'!$AD$40="Leve"),CONCATENATE("R9C",'Mapa final'!$R$40),"")</f>
        <v/>
      </c>
      <c r="L14" s="53" t="str">
        <f>IF(AND('Mapa final'!$AB$41="Muy Alta",'Mapa final'!$AD$41="Leve"),CONCATENATE("R9C",'Mapa final'!$R$41),"")</f>
        <v/>
      </c>
      <c r="M14" s="53" t="str">
        <f>IF(AND('Mapa final'!$AB$42="Muy Alta",'Mapa final'!$AD$42="Leve"),CONCATENATE("R9C",'Mapa final'!$R$42),"")</f>
        <v/>
      </c>
      <c r="N14" s="53" t="str">
        <f>IF(AND('Mapa final'!$AB$43="Muy Alta",'Mapa final'!$AD$43="Leve"),CONCATENATE("R9C",'Mapa final'!$R$43),"")</f>
        <v/>
      </c>
      <c r="O14" s="54" t="str">
        <f>IF(AND('Mapa final'!$AB$44="Muy Alta",'Mapa final'!$AD$44="Leve"),CONCATENATE("R9C",'Mapa final'!$R$44),"")</f>
        <v/>
      </c>
      <c r="P14" s="52" t="str">
        <f>IF(AND('Mapa final'!$AB$39="Muy Alta",'Mapa final'!$AD$39="Menor"),CONCATENATE("R9C",'Mapa final'!$R$39),"")</f>
        <v/>
      </c>
      <c r="Q14" s="53" t="str">
        <f>IF(AND('Mapa final'!$AB$40="Muy Alta",'Mapa final'!$AD$40="Menor"),CONCATENATE("R9C",'Mapa final'!$R$40),"")</f>
        <v/>
      </c>
      <c r="R14" s="53" t="str">
        <f>IF(AND('Mapa final'!$AB$41="Muy Alta",'Mapa final'!$AD$41="Menor"),CONCATENATE("R9C",'Mapa final'!$R$41),"")</f>
        <v/>
      </c>
      <c r="S14" s="53" t="str">
        <f>IF(AND('Mapa final'!$AB$42="Muy Alta",'Mapa final'!$AD$42="Menor"),CONCATENATE("R9C",'Mapa final'!$R$42),"")</f>
        <v/>
      </c>
      <c r="T14" s="53" t="str">
        <f>IF(AND('Mapa final'!$AB$43="Muy Alta",'Mapa final'!$AD$43="Menor"),CONCATENATE("R9C",'Mapa final'!$R$43),"")</f>
        <v/>
      </c>
      <c r="U14" s="54" t="str">
        <f>IF(AND('Mapa final'!$AB$44="Muy Alta",'Mapa final'!$AD$44="Menor"),CONCATENATE("R9C",'Mapa final'!$R$44),"")</f>
        <v/>
      </c>
      <c r="V14" s="52" t="str">
        <f>IF(AND('Mapa final'!$AB$39="Muy Alta",'Mapa final'!$AD$39="Moderado"),CONCATENATE("R9C",'Mapa final'!$R$39),"")</f>
        <v/>
      </c>
      <c r="W14" s="53" t="str">
        <f>IF(AND('Mapa final'!$AB$40="Muy Alta",'Mapa final'!$AD$40="Moderado"),CONCATENATE("R9C",'Mapa final'!$R$40),"")</f>
        <v/>
      </c>
      <c r="X14" s="53" t="str">
        <f>IF(AND('Mapa final'!$AB$41="Muy Alta",'Mapa final'!$AD$41="Moderado"),CONCATENATE("R9C",'Mapa final'!$R$41),"")</f>
        <v/>
      </c>
      <c r="Y14" s="53" t="str">
        <f>IF(AND('Mapa final'!$AB$42="Muy Alta",'Mapa final'!$AD$42="Moderado"),CONCATENATE("R9C",'Mapa final'!$R$42),"")</f>
        <v/>
      </c>
      <c r="Z14" s="53" t="str">
        <f>IF(AND('Mapa final'!$AB$43="Muy Alta",'Mapa final'!$AD$43="Moderado"),CONCATENATE("R9C",'Mapa final'!$R$43),"")</f>
        <v/>
      </c>
      <c r="AA14" s="54" t="str">
        <f>IF(AND('Mapa final'!$AB$44="Muy Alta",'Mapa final'!$AD$44="Moderado"),CONCATENATE("R9C",'Mapa final'!$R$44),"")</f>
        <v/>
      </c>
      <c r="AB14" s="52" t="str">
        <f>IF(AND('Mapa final'!$AB$39="Muy Alta",'Mapa final'!$AD$39="Mayor"),CONCATENATE("R9C",'Mapa final'!$R$39),"")</f>
        <v/>
      </c>
      <c r="AC14" s="53" t="str">
        <f>IF(AND('Mapa final'!$AB$40="Muy Alta",'Mapa final'!$AD$40="Mayor"),CONCATENATE("R9C",'Mapa final'!$R$40),"")</f>
        <v/>
      </c>
      <c r="AD14" s="53" t="str">
        <f>IF(AND('Mapa final'!$AB$41="Muy Alta",'Mapa final'!$AD$41="Mayor"),CONCATENATE("R9C",'Mapa final'!$R$41),"")</f>
        <v/>
      </c>
      <c r="AE14" s="53" t="str">
        <f>IF(AND('Mapa final'!$AB$42="Muy Alta",'Mapa final'!$AD$42="Mayor"),CONCATENATE("R9C",'Mapa final'!$R$42),"")</f>
        <v/>
      </c>
      <c r="AF14" s="53" t="str">
        <f>IF(AND('Mapa final'!$AB$43="Muy Alta",'Mapa final'!$AD$43="Mayor"),CONCATENATE("R9C",'Mapa final'!$R$43),"")</f>
        <v/>
      </c>
      <c r="AG14" s="54" t="str">
        <f>IF(AND('Mapa final'!$AB$44="Muy Alta",'Mapa final'!$AD$44="Mayor"),CONCATENATE("R9C",'Mapa final'!$R$44),"")</f>
        <v/>
      </c>
      <c r="AH14" s="55" t="str">
        <f>IF(AND('Mapa final'!$AB$39="Muy Alta",'Mapa final'!$AD$39="Catastrófico"),CONCATENATE("R9C",'Mapa final'!$R$39),"")</f>
        <v/>
      </c>
      <c r="AI14" s="56" t="str">
        <f>IF(AND('Mapa final'!$AB$40="Muy Alta",'Mapa final'!$AD$40="Catastrófico"),CONCATENATE("R9C",'Mapa final'!$R$40),"")</f>
        <v/>
      </c>
      <c r="AJ14" s="56" t="str">
        <f>IF(AND('Mapa final'!$AB$41="Muy Alta",'Mapa final'!$AD$41="Catastrófico"),CONCATENATE("R9C",'Mapa final'!$R$41),"")</f>
        <v/>
      </c>
      <c r="AK14" s="56" t="str">
        <f>IF(AND('Mapa final'!$AB$42="Muy Alta",'Mapa final'!$AD$42="Catastrófico"),CONCATENATE("R9C",'Mapa final'!$R$42),"")</f>
        <v/>
      </c>
      <c r="AL14" s="56" t="str">
        <f>IF(AND('Mapa final'!$AB$43="Muy Alta",'Mapa final'!$AD$43="Catastrófico"),CONCATENATE("R9C",'Mapa final'!$R$43),"")</f>
        <v/>
      </c>
      <c r="AM14" s="57" t="str">
        <f>IF(AND('Mapa final'!$AB$44="Muy Alta",'Mapa final'!$AD$44="Catastrófico"),CONCATENATE("R9C",'Mapa final'!$R$44),"")</f>
        <v/>
      </c>
      <c r="AN14" s="83"/>
      <c r="AO14" s="377"/>
      <c r="AP14" s="378"/>
      <c r="AQ14" s="378"/>
      <c r="AR14" s="378"/>
      <c r="AS14" s="378"/>
      <c r="AT14" s="37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316"/>
      <c r="C15" s="316"/>
      <c r="D15" s="317"/>
      <c r="E15" s="360"/>
      <c r="F15" s="361"/>
      <c r="G15" s="361"/>
      <c r="H15" s="361"/>
      <c r="I15" s="362"/>
      <c r="J15" s="58" t="str">
        <f>IF(AND('Mapa final'!$AB$45="Muy Alta",'Mapa final'!$AD$45="Leve"),CONCATENATE("R10C",'Mapa final'!$R$45),"")</f>
        <v/>
      </c>
      <c r="K15" s="59" t="str">
        <f>IF(AND('Mapa final'!$AB$46="Muy Alta",'Mapa final'!$AD$46="Leve"),CONCATENATE("R10C",'Mapa final'!$R$46),"")</f>
        <v/>
      </c>
      <c r="L15" s="59" t="str">
        <f>IF(AND('Mapa final'!$AB$47="Muy Alta",'Mapa final'!$AD$47="Leve"),CONCATENATE("R10C",'Mapa final'!$R$47),"")</f>
        <v/>
      </c>
      <c r="M15" s="59" t="str">
        <f>IF(AND('Mapa final'!$AB$48="Muy Alta",'Mapa final'!$AD$48="Leve"),CONCATENATE("R10C",'Mapa final'!$R$48),"")</f>
        <v/>
      </c>
      <c r="N15" s="59" t="str">
        <f>IF(AND('Mapa final'!$AB$49="Muy Alta",'Mapa final'!$AD$49="Leve"),CONCATENATE("R10C",'Mapa final'!$R$49),"")</f>
        <v/>
      </c>
      <c r="O15" s="60" t="str">
        <f>IF(AND('Mapa final'!$AB$50="Muy Alta",'Mapa final'!$AD$50="Leve"),CONCATENATE("R10C",'Mapa final'!$R$50),"")</f>
        <v/>
      </c>
      <c r="P15" s="52" t="str">
        <f>IF(AND('Mapa final'!$AB$45="Muy Alta",'Mapa final'!$AD$45="Menor"),CONCATENATE("R10C",'Mapa final'!$R$45),"")</f>
        <v/>
      </c>
      <c r="Q15" s="53" t="str">
        <f>IF(AND('Mapa final'!$AB$46="Muy Alta",'Mapa final'!$AD$46="Menor"),CONCATENATE("R10C",'Mapa final'!$R$46),"")</f>
        <v/>
      </c>
      <c r="R15" s="53" t="str">
        <f>IF(AND('Mapa final'!$AB$47="Muy Alta",'Mapa final'!$AD$47="Menor"),CONCATENATE("R10C",'Mapa final'!$R$47),"")</f>
        <v/>
      </c>
      <c r="S15" s="53" t="str">
        <f>IF(AND('Mapa final'!$AB$48="Muy Alta",'Mapa final'!$AD$48="Menor"),CONCATENATE("R10C",'Mapa final'!$R$48),"")</f>
        <v/>
      </c>
      <c r="T15" s="53" t="str">
        <f>IF(AND('Mapa final'!$AB$49="Muy Alta",'Mapa final'!$AD$49="Menor"),CONCATENATE("R10C",'Mapa final'!$R$49),"")</f>
        <v/>
      </c>
      <c r="U15" s="54" t="str">
        <f>IF(AND('Mapa final'!$AB$50="Muy Alta",'Mapa final'!$AD$50="Menor"),CONCATENATE("R10C",'Mapa final'!$R$50),"")</f>
        <v/>
      </c>
      <c r="V15" s="58" t="str">
        <f>IF(AND('Mapa final'!$AB$45="Muy Alta",'Mapa final'!$AD$45="Moderado"),CONCATENATE("R10C",'Mapa final'!$R$45),"")</f>
        <v/>
      </c>
      <c r="W15" s="59" t="str">
        <f>IF(AND('Mapa final'!$AB$46="Muy Alta",'Mapa final'!$AD$46="Moderado"),CONCATENATE("R10C",'Mapa final'!$R$46),"")</f>
        <v/>
      </c>
      <c r="X15" s="59" t="str">
        <f>IF(AND('Mapa final'!$AB$47="Muy Alta",'Mapa final'!$AD$47="Moderado"),CONCATENATE("R10C",'Mapa final'!$R$47),"")</f>
        <v/>
      </c>
      <c r="Y15" s="59" t="str">
        <f>IF(AND('Mapa final'!$AB$48="Muy Alta",'Mapa final'!$AD$48="Moderado"),CONCATENATE("R10C",'Mapa final'!$R$48),"")</f>
        <v/>
      </c>
      <c r="Z15" s="59" t="str">
        <f>IF(AND('Mapa final'!$AB$49="Muy Alta",'Mapa final'!$AD$49="Moderado"),CONCATENATE("R10C",'Mapa final'!$R$49),"")</f>
        <v/>
      </c>
      <c r="AA15" s="60" t="str">
        <f>IF(AND('Mapa final'!$AB$50="Muy Alta",'Mapa final'!$AD$50="Moderado"),CONCATENATE("R10C",'Mapa final'!$R$50),"")</f>
        <v/>
      </c>
      <c r="AB15" s="52" t="str">
        <f>IF(AND('Mapa final'!$AB$45="Muy Alta",'Mapa final'!$AD$45="Mayor"),CONCATENATE("R10C",'Mapa final'!$R$45),"")</f>
        <v/>
      </c>
      <c r="AC15" s="53" t="str">
        <f>IF(AND('Mapa final'!$AB$46="Muy Alta",'Mapa final'!$AD$46="Mayor"),CONCATENATE("R10C",'Mapa final'!$R$46),"")</f>
        <v/>
      </c>
      <c r="AD15" s="53" t="str">
        <f>IF(AND('Mapa final'!$AB$47="Muy Alta",'Mapa final'!$AD$47="Mayor"),CONCATENATE("R10C",'Mapa final'!$R$47),"")</f>
        <v/>
      </c>
      <c r="AE15" s="53" t="str">
        <f>IF(AND('Mapa final'!$AB$48="Muy Alta",'Mapa final'!$AD$48="Mayor"),CONCATENATE("R10C",'Mapa final'!$R$48),"")</f>
        <v/>
      </c>
      <c r="AF15" s="53" t="str">
        <f>IF(AND('Mapa final'!$AB$49="Muy Alta",'Mapa final'!$AD$49="Mayor"),CONCATENATE("R10C",'Mapa final'!$R$49),"")</f>
        <v/>
      </c>
      <c r="AG15" s="54" t="str">
        <f>IF(AND('Mapa final'!$AB$50="Muy Alta",'Mapa final'!$AD$50="Mayor"),CONCATENATE("R10C",'Mapa final'!$R$50),"")</f>
        <v/>
      </c>
      <c r="AH15" s="61" t="str">
        <f>IF(AND('Mapa final'!$AB$45="Muy Alta",'Mapa final'!$AD$45="Catastrófico"),CONCATENATE("R10C",'Mapa final'!$R$45),"")</f>
        <v/>
      </c>
      <c r="AI15" s="62" t="str">
        <f>IF(AND('Mapa final'!$AB$46="Muy Alta",'Mapa final'!$AD$46="Catastrófico"),CONCATENATE("R10C",'Mapa final'!$R$46),"")</f>
        <v/>
      </c>
      <c r="AJ15" s="62" t="str">
        <f>IF(AND('Mapa final'!$AB$47="Muy Alta",'Mapa final'!$AD$47="Catastrófico"),CONCATENATE("R10C",'Mapa final'!$R$47),"")</f>
        <v/>
      </c>
      <c r="AK15" s="62" t="str">
        <f>IF(AND('Mapa final'!$AB$48="Muy Alta",'Mapa final'!$AD$48="Catastrófico"),CONCATENATE("R10C",'Mapa final'!$R$48),"")</f>
        <v/>
      </c>
      <c r="AL15" s="62" t="str">
        <f>IF(AND('Mapa final'!$AB$49="Muy Alta",'Mapa final'!$AD$49="Catastrófico"),CONCATENATE("R10C",'Mapa final'!$R$49),"")</f>
        <v/>
      </c>
      <c r="AM15" s="63" t="str">
        <f>IF(AND('Mapa final'!$AB$50="Muy Alta",'Mapa final'!$AD$50="Catastrófico"),CONCATENATE("R10C",'Mapa final'!$R$50),"")</f>
        <v/>
      </c>
      <c r="AN15" s="83"/>
      <c r="AO15" s="380"/>
      <c r="AP15" s="381"/>
      <c r="AQ15" s="381"/>
      <c r="AR15" s="381"/>
      <c r="AS15" s="381"/>
      <c r="AT15" s="38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316"/>
      <c r="C16" s="316"/>
      <c r="D16" s="317"/>
      <c r="E16" s="354" t="s">
        <v>107</v>
      </c>
      <c r="F16" s="355"/>
      <c r="G16" s="355"/>
      <c r="H16" s="355"/>
      <c r="I16" s="355"/>
      <c r="J16" s="64" t="str">
        <f>IF(AND('Mapa final'!$AB$11="Alta",'Mapa final'!$AD$11="Leve"),CONCATENATE("R1C",'Mapa final'!$R$11),"")</f>
        <v/>
      </c>
      <c r="K16" s="65" t="str">
        <f>IF(AND('Mapa final'!$AB$12="Alta",'Mapa final'!$AD$12="Leve"),CONCATENATE("R1C",'Mapa final'!$R$12),"")</f>
        <v/>
      </c>
      <c r="L16" s="65" t="e">
        <f>IF(AND('Mapa final'!#REF!="Alta",'Mapa final'!#REF!="Leve"),CONCATENATE("R1C",'Mapa final'!#REF!),"")</f>
        <v>#REF!</v>
      </c>
      <c r="M16" s="65" t="e">
        <f>IF(AND('Mapa final'!#REF!="Alta",'Mapa final'!#REF!="Leve"),CONCATENATE("R1C",'Mapa final'!#REF!),"")</f>
        <v>#REF!</v>
      </c>
      <c r="N16" s="65" t="e">
        <f>IF(AND('Mapa final'!#REF!="Alta",'Mapa final'!#REF!="Leve"),CONCATENATE("R1C",'Mapa final'!#REF!),"")</f>
        <v>#REF!</v>
      </c>
      <c r="O16" s="66" t="e">
        <f>IF(AND('Mapa final'!#REF!="Alta",'Mapa final'!#REF!="Leve"),CONCATENATE("R1C",'Mapa final'!#REF!),"")</f>
        <v>#REF!</v>
      </c>
      <c r="P16" s="64" t="str">
        <f>IF(AND('Mapa final'!$AB$11="Alta",'Mapa final'!$AD$11="Menor"),CONCATENATE("R1C",'Mapa final'!$R$11),"")</f>
        <v/>
      </c>
      <c r="Q16" s="65" t="str">
        <f>IF(AND('Mapa final'!$AB$12="Alta",'Mapa final'!$AD$12="Menor"),CONCATENATE("R1C",'Mapa final'!$R$12),"")</f>
        <v/>
      </c>
      <c r="R16" s="65" t="e">
        <f>IF(AND('Mapa final'!#REF!="Alta",'Mapa final'!#REF!="Menor"),CONCATENATE("R1C",'Mapa final'!#REF!),"")</f>
        <v>#REF!</v>
      </c>
      <c r="S16" s="65" t="e">
        <f>IF(AND('Mapa final'!#REF!="Alta",'Mapa final'!#REF!="Menor"),CONCATENATE("R1C",'Mapa final'!#REF!),"")</f>
        <v>#REF!</v>
      </c>
      <c r="T16" s="65" t="e">
        <f>IF(AND('Mapa final'!#REF!="Alta",'Mapa final'!#REF!="Menor"),CONCATENATE("R1C",'Mapa final'!#REF!),"")</f>
        <v>#REF!</v>
      </c>
      <c r="U16" s="66" t="e">
        <f>IF(AND('Mapa final'!#REF!="Alta",'Mapa final'!#REF!="Menor"),CONCATENATE("R1C",'Mapa final'!#REF!),"")</f>
        <v>#REF!</v>
      </c>
      <c r="V16" s="46" t="str">
        <f>IF(AND('Mapa final'!$AB$11="Alta",'Mapa final'!$AD$11="Moderado"),CONCATENATE("R1C",'Mapa final'!$R$11),"")</f>
        <v/>
      </c>
      <c r="W16" s="47" t="str">
        <f>IF(AND('Mapa final'!$AB$12="Alta",'Mapa final'!$AD$12="Moderado"),CONCATENATE("R1C",'Mapa final'!$R$12),"")</f>
        <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IF(AND('Mapa final'!$AB$11="Alta",'Mapa final'!$AD$11="Mayor"),CONCATENATE("R1C",'Mapa final'!$R$11),"")</f>
        <v/>
      </c>
      <c r="AC16" s="47" t="str">
        <f>IF(AND('Mapa final'!$AB$12="Alta",'Mapa final'!$AD$12="Mayor"),CONCATENATE("R1C",'Mapa final'!$R$12),"")</f>
        <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IF(AND('Mapa final'!$AB$11="Alta",'Mapa final'!$AD$11="Catastrófico"),CONCATENATE("R1C",'Mapa final'!$R$11),"")</f>
        <v/>
      </c>
      <c r="AI16" s="50" t="str">
        <f>IF(AND('Mapa final'!$AB$12="Alta",'Mapa final'!$AD$12="Catastrófico"),CONCATENATE("R1C",'Mapa final'!$R$12),"")</f>
        <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3"/>
      <c r="AO16" s="364" t="s">
        <v>77</v>
      </c>
      <c r="AP16" s="365"/>
      <c r="AQ16" s="365"/>
      <c r="AR16" s="365"/>
      <c r="AS16" s="365"/>
      <c r="AT16" s="36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316"/>
      <c r="C17" s="316"/>
      <c r="D17" s="317"/>
      <c r="E17" s="373"/>
      <c r="F17" s="358"/>
      <c r="G17" s="358"/>
      <c r="H17" s="358"/>
      <c r="I17" s="358"/>
      <c r="J17" s="67" t="str">
        <f>IF(AND('Mapa final'!$AB$13="Alta",'Mapa final'!$AD$13="Leve"),CONCATENATE("R2C",'Mapa final'!$R$13),"")</f>
        <v/>
      </c>
      <c r="K17" s="68" t="e">
        <f>IF(AND('Mapa final'!#REF!="Alta",'Mapa final'!#REF!="Leve"),CONCATENATE("R2C",'Mapa final'!#REF!),"")</f>
        <v>#REF!</v>
      </c>
      <c r="L17" s="68" t="e">
        <f>IF(AND('Mapa final'!#REF!="Alta",'Mapa final'!#REF!="Leve"),CONCATENATE("R2C",'Mapa final'!#REF!),"")</f>
        <v>#REF!</v>
      </c>
      <c r="M17" s="68" t="e">
        <f>IF(AND('Mapa final'!#REF!="Alta",'Mapa final'!#REF!="Leve"),CONCATENATE("R2C",'Mapa final'!#REF!),"")</f>
        <v>#REF!</v>
      </c>
      <c r="N17" s="68" t="e">
        <f>IF(AND('Mapa final'!#REF!="Alta",'Mapa final'!#REF!="Leve"),CONCATENATE("R2C",'Mapa final'!#REF!),"")</f>
        <v>#REF!</v>
      </c>
      <c r="O17" s="69" t="e">
        <f>IF(AND('Mapa final'!#REF!="Alta",'Mapa final'!#REF!="Leve"),CONCATENATE("R2C",'Mapa final'!#REF!),"")</f>
        <v>#REF!</v>
      </c>
      <c r="P17" s="67" t="str">
        <f>IF(AND('Mapa final'!$AB$13="Alta",'Mapa final'!$AD$13="Menor"),CONCATENATE("R2C",'Mapa final'!$R$13),"")</f>
        <v/>
      </c>
      <c r="Q17" s="68" t="e">
        <f>IF(AND('Mapa final'!#REF!="Alta",'Mapa final'!#REF!="Menor"),CONCATENATE("R2C",'Mapa final'!#REF!),"")</f>
        <v>#REF!</v>
      </c>
      <c r="R17" s="68" t="e">
        <f>IF(AND('Mapa final'!#REF!="Alta",'Mapa final'!#REF!="Menor"),CONCATENATE("R2C",'Mapa final'!#REF!),"")</f>
        <v>#REF!</v>
      </c>
      <c r="S17" s="68" t="e">
        <f>IF(AND('Mapa final'!#REF!="Alta",'Mapa final'!#REF!="Menor"),CONCATENATE("R2C",'Mapa final'!#REF!),"")</f>
        <v>#REF!</v>
      </c>
      <c r="T17" s="68" t="e">
        <f>IF(AND('Mapa final'!#REF!="Alta",'Mapa final'!#REF!="Menor"),CONCATENATE("R2C",'Mapa final'!#REF!),"")</f>
        <v>#REF!</v>
      </c>
      <c r="U17" s="69" t="e">
        <f>IF(AND('Mapa final'!#REF!="Alta",'Mapa final'!#REF!="Menor"),CONCATENATE("R2C",'Mapa final'!#REF!),"")</f>
        <v>#REF!</v>
      </c>
      <c r="V17" s="52" t="str">
        <f>IF(AND('Mapa final'!$AB$13="Alta",'Mapa final'!$AD$13="Moderado"),CONCATENATE("R2C",'Mapa final'!$R$13),"")</f>
        <v/>
      </c>
      <c r="W17" s="53" t="e">
        <f>IF(AND('Mapa final'!#REF!="Alta",'Mapa final'!#REF!="Moderado"),CONCATENATE("R2C",'Mapa final'!#REF!),"")</f>
        <v>#REF!</v>
      </c>
      <c r="X17" s="53" t="e">
        <f>IF(AND('Mapa final'!#REF!="Alta",'Mapa final'!#REF!="Moderado"),CONCATENATE("R2C",'Mapa final'!#REF!),"")</f>
        <v>#REF!</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str">
        <f>IF(AND('Mapa final'!$AB$13="Alta",'Mapa final'!$AD$13="Mayor"),CONCATENATE("R2C",'Mapa final'!$R$13),"")</f>
        <v/>
      </c>
      <c r="AC17" s="53" t="e">
        <f>IF(AND('Mapa final'!#REF!="Alta",'Mapa final'!#REF!="Mayor"),CONCATENATE("R2C",'Mapa final'!#REF!),"")</f>
        <v>#REF!</v>
      </c>
      <c r="AD17" s="53" t="e">
        <f>IF(AND('Mapa final'!#REF!="Alta",'Mapa final'!#REF!="Mayor"),CONCATENATE("R2C",'Mapa final'!#REF!),"")</f>
        <v>#REF!</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str">
        <f>IF(AND('Mapa final'!$AB$13="Alta",'Mapa final'!$AD$13="Catastrófico"),CONCATENATE("R2C",'Mapa final'!$R$13),"")</f>
        <v/>
      </c>
      <c r="AI17" s="56" t="e">
        <f>IF(AND('Mapa final'!#REF!="Alta",'Mapa final'!#REF!="Catastrófico"),CONCATENATE("R2C",'Mapa final'!#REF!),"")</f>
        <v>#REF!</v>
      </c>
      <c r="AJ17" s="56" t="e">
        <f>IF(AND('Mapa final'!#REF!="Alta",'Mapa final'!#REF!="Catastrófico"),CONCATENATE("R2C",'Mapa final'!#REF!),"")</f>
        <v>#REF!</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3"/>
      <c r="AO17" s="367"/>
      <c r="AP17" s="368"/>
      <c r="AQ17" s="368"/>
      <c r="AR17" s="368"/>
      <c r="AS17" s="368"/>
      <c r="AT17" s="36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316"/>
      <c r="C18" s="316"/>
      <c r="D18" s="317"/>
      <c r="E18" s="357"/>
      <c r="F18" s="358"/>
      <c r="G18" s="358"/>
      <c r="H18" s="358"/>
      <c r="I18" s="358"/>
      <c r="J18" s="67" t="str">
        <f>IF(AND('Mapa final'!$AB$14="Alta",'Mapa final'!$AD$14="Leve"),CONCATENATE("R3C",'Mapa final'!$R$14),"")</f>
        <v/>
      </c>
      <c r="K18" s="68" t="e">
        <f>IF(AND('Mapa final'!#REF!="Alta",'Mapa final'!#REF!="Leve"),CONCATENATE("R3C",'Mapa final'!#REF!),"")</f>
        <v>#REF!</v>
      </c>
      <c r="L18" s="68" t="e">
        <f>IF(AND('Mapa final'!#REF!="Alta",'Mapa final'!#REF!="Leve"),CONCATENATE("R3C",'Mapa final'!#REF!),"")</f>
        <v>#REF!</v>
      </c>
      <c r="M18" s="68" t="e">
        <f>IF(AND('Mapa final'!#REF!="Alta",'Mapa final'!#REF!="Leve"),CONCATENATE("R3C",'Mapa final'!#REF!),"")</f>
        <v>#REF!</v>
      </c>
      <c r="N18" s="68" t="e">
        <f>IF(AND('Mapa final'!#REF!="Alta",'Mapa final'!#REF!="Leve"),CONCATENATE("R3C",'Mapa final'!#REF!),"")</f>
        <v>#REF!</v>
      </c>
      <c r="O18" s="69" t="e">
        <f>IF(AND('Mapa final'!#REF!="Alta",'Mapa final'!#REF!="Leve"),CONCATENATE("R3C",'Mapa final'!#REF!),"")</f>
        <v>#REF!</v>
      </c>
      <c r="P18" s="67" t="str">
        <f>IF(AND('Mapa final'!$AB$14="Alta",'Mapa final'!$AD$14="Menor"),CONCATENATE("R3C",'Mapa final'!$R$14),"")</f>
        <v/>
      </c>
      <c r="Q18" s="68" t="e">
        <f>IF(AND('Mapa final'!#REF!="Alta",'Mapa final'!#REF!="Menor"),CONCATENATE("R3C",'Mapa final'!#REF!),"")</f>
        <v>#REF!</v>
      </c>
      <c r="R18" s="68" t="e">
        <f>IF(AND('Mapa final'!#REF!="Alta",'Mapa final'!#REF!="Menor"),CONCATENATE("R3C",'Mapa final'!#REF!),"")</f>
        <v>#REF!</v>
      </c>
      <c r="S18" s="68" t="e">
        <f>IF(AND('Mapa final'!#REF!="Alta",'Mapa final'!#REF!="Menor"),CONCATENATE("R3C",'Mapa final'!#REF!),"")</f>
        <v>#REF!</v>
      </c>
      <c r="T18" s="68" t="e">
        <f>IF(AND('Mapa final'!#REF!="Alta",'Mapa final'!#REF!="Menor"),CONCATENATE("R3C",'Mapa final'!#REF!),"")</f>
        <v>#REF!</v>
      </c>
      <c r="U18" s="69" t="e">
        <f>IF(AND('Mapa final'!#REF!="Alta",'Mapa final'!#REF!="Menor"),CONCATENATE("R3C",'Mapa final'!#REF!),"")</f>
        <v>#REF!</v>
      </c>
      <c r="V18" s="52" t="str">
        <f>IF(AND('Mapa final'!$AB$14="Alta",'Mapa final'!$AD$14="Moderado"),CONCATENATE("R3C",'Mapa final'!$R$14),"")</f>
        <v/>
      </c>
      <c r="W18" s="53" t="e">
        <f>IF(AND('Mapa final'!#REF!="Alta",'Mapa final'!#REF!="Moderado"),CONCATENATE("R3C",'Mapa final'!#REF!),"")</f>
        <v>#REF!</v>
      </c>
      <c r="X18" s="53" t="e">
        <f>IF(AND('Mapa final'!#REF!="Alta",'Mapa final'!#REF!="Moderado"),CONCATENATE("R3C",'Mapa final'!#REF!),"")</f>
        <v>#REF!</v>
      </c>
      <c r="Y18" s="53" t="e">
        <f>IF(AND('Mapa final'!#REF!="Alta",'Mapa final'!#REF!="Moderado"),CONCATENATE("R3C",'Mapa final'!#REF!),"")</f>
        <v>#REF!</v>
      </c>
      <c r="Z18" s="53" t="e">
        <f>IF(AND('Mapa final'!#REF!="Alta",'Mapa final'!#REF!="Moderado"),CONCATENATE("R3C",'Mapa final'!#REF!),"")</f>
        <v>#REF!</v>
      </c>
      <c r="AA18" s="54" t="e">
        <f>IF(AND('Mapa final'!#REF!="Alta",'Mapa final'!#REF!="Moderado"),CONCATENATE("R3C",'Mapa final'!#REF!),"")</f>
        <v>#REF!</v>
      </c>
      <c r="AB18" s="52" t="str">
        <f>IF(AND('Mapa final'!$AB$14="Alta",'Mapa final'!$AD$14="Mayor"),CONCATENATE("R3C",'Mapa final'!$R$14),"")</f>
        <v/>
      </c>
      <c r="AC18" s="53" t="e">
        <f>IF(AND('Mapa final'!#REF!="Alta",'Mapa final'!#REF!="Mayor"),CONCATENATE("R3C",'Mapa final'!#REF!),"")</f>
        <v>#REF!</v>
      </c>
      <c r="AD18" s="53" t="e">
        <f>IF(AND('Mapa final'!#REF!="Alta",'Mapa final'!#REF!="Mayor"),CONCATENATE("R3C",'Mapa final'!#REF!),"")</f>
        <v>#REF!</v>
      </c>
      <c r="AE18" s="53" t="e">
        <f>IF(AND('Mapa final'!#REF!="Alta",'Mapa final'!#REF!="Mayor"),CONCATENATE("R3C",'Mapa final'!#REF!),"")</f>
        <v>#REF!</v>
      </c>
      <c r="AF18" s="53" t="e">
        <f>IF(AND('Mapa final'!#REF!="Alta",'Mapa final'!#REF!="Mayor"),CONCATENATE("R3C",'Mapa final'!#REF!),"")</f>
        <v>#REF!</v>
      </c>
      <c r="AG18" s="54" t="e">
        <f>IF(AND('Mapa final'!#REF!="Alta",'Mapa final'!#REF!="Mayor"),CONCATENATE("R3C",'Mapa final'!#REF!),"")</f>
        <v>#REF!</v>
      </c>
      <c r="AH18" s="55" t="str">
        <f>IF(AND('Mapa final'!$AB$14="Alta",'Mapa final'!$AD$14="Catastrófico"),CONCATENATE("R3C",'Mapa final'!$R$14),"")</f>
        <v/>
      </c>
      <c r="AI18" s="56" t="e">
        <f>IF(AND('Mapa final'!#REF!="Alta",'Mapa final'!#REF!="Catastrófico"),CONCATENATE("R3C",'Mapa final'!#REF!),"")</f>
        <v>#REF!</v>
      </c>
      <c r="AJ18" s="56" t="e">
        <f>IF(AND('Mapa final'!#REF!="Alta",'Mapa final'!#REF!="Catastrófico"),CONCATENATE("R3C",'Mapa final'!#REF!),"")</f>
        <v>#REF!</v>
      </c>
      <c r="AK18" s="56" t="e">
        <f>IF(AND('Mapa final'!#REF!="Alta",'Mapa final'!#REF!="Catastrófico"),CONCATENATE("R3C",'Mapa final'!#REF!),"")</f>
        <v>#REF!</v>
      </c>
      <c r="AL18" s="56" t="e">
        <f>IF(AND('Mapa final'!#REF!="Alta",'Mapa final'!#REF!="Catastrófico"),CONCATENATE("R3C",'Mapa final'!#REF!),"")</f>
        <v>#REF!</v>
      </c>
      <c r="AM18" s="57" t="e">
        <f>IF(AND('Mapa final'!#REF!="Alta",'Mapa final'!#REF!="Catastrófico"),CONCATENATE("R3C",'Mapa final'!#REF!),"")</f>
        <v>#REF!</v>
      </c>
      <c r="AN18" s="83"/>
      <c r="AO18" s="367"/>
      <c r="AP18" s="368"/>
      <c r="AQ18" s="368"/>
      <c r="AR18" s="368"/>
      <c r="AS18" s="368"/>
      <c r="AT18" s="36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316"/>
      <c r="C19" s="316"/>
      <c r="D19" s="317"/>
      <c r="E19" s="357"/>
      <c r="F19" s="358"/>
      <c r="G19" s="358"/>
      <c r="H19" s="358"/>
      <c r="I19" s="358"/>
      <c r="J19" s="67" t="e">
        <f>IF(AND('Mapa final'!#REF!="Alta",'Mapa final'!#REF!="Leve"),CONCATENATE("R4C",'Mapa final'!#REF!),"")</f>
        <v>#REF!</v>
      </c>
      <c r="K19" s="68" t="e">
        <f>IF(AND('Mapa final'!#REF!="Alta",'Mapa final'!#REF!="Leve"),CONCATENATE("R4C",'Mapa final'!#REF!),"")</f>
        <v>#REF!</v>
      </c>
      <c r="L19" s="68" t="e">
        <f>IF(AND('Mapa final'!#REF!="Alta",'Mapa final'!#REF!="Leve"),CONCATENATE("R4C",'Mapa final'!#REF!),"")</f>
        <v>#REF!</v>
      </c>
      <c r="M19" s="68" t="e">
        <f>IF(AND('Mapa final'!#REF!="Alta",'Mapa final'!#REF!="Leve"),CONCATENATE("R4C",'Mapa final'!#REF!),"")</f>
        <v>#REF!</v>
      </c>
      <c r="N19" s="68" t="e">
        <f>IF(AND('Mapa final'!#REF!="Alta",'Mapa final'!#REF!="Leve"),CONCATENATE("R4C",'Mapa final'!#REF!),"")</f>
        <v>#REF!</v>
      </c>
      <c r="O19" s="69" t="e">
        <f>IF(AND('Mapa final'!#REF!="Alta",'Mapa final'!#REF!="Leve"),CONCATENATE("R4C",'Mapa final'!#REF!),"")</f>
        <v>#REF!</v>
      </c>
      <c r="P19" s="67" t="e">
        <f>IF(AND('Mapa final'!#REF!="Alta",'Mapa final'!#REF!="Menor"),CONCATENATE("R4C",'Mapa final'!#REF!),"")</f>
        <v>#REF!</v>
      </c>
      <c r="Q19" s="68" t="e">
        <f>IF(AND('Mapa final'!#REF!="Alta",'Mapa final'!#REF!="Menor"),CONCATENATE("R4C",'Mapa final'!#REF!),"")</f>
        <v>#REF!</v>
      </c>
      <c r="R19" s="68" t="e">
        <f>IF(AND('Mapa final'!#REF!="Alta",'Mapa final'!#REF!="Menor"),CONCATENATE("R4C",'Mapa final'!#REF!),"")</f>
        <v>#REF!</v>
      </c>
      <c r="S19" s="68" t="e">
        <f>IF(AND('Mapa final'!#REF!="Alta",'Mapa final'!#REF!="Menor"),CONCATENATE("R4C",'Mapa final'!#REF!),"")</f>
        <v>#REF!</v>
      </c>
      <c r="T19" s="68" t="e">
        <f>IF(AND('Mapa final'!#REF!="Alta",'Mapa final'!#REF!="Menor"),CONCATENATE("R4C",'Mapa final'!#REF!),"")</f>
        <v>#REF!</v>
      </c>
      <c r="U19" s="69" t="e">
        <f>IF(AND('Mapa final'!#REF!="Alta",'Mapa final'!#REF!="Menor"),CONCATENATE("R4C",'Mapa final'!#REF!),"")</f>
        <v>#REF!</v>
      </c>
      <c r="V19" s="52" t="e">
        <f>IF(AND('Mapa final'!#REF!="Alta",'Mapa final'!#REF!="Moderado"),CONCATENATE("R4C",'Mapa final'!#REF!),"")</f>
        <v>#REF!</v>
      </c>
      <c r="W19" s="53" t="e">
        <f>IF(AND('Mapa final'!#REF!="Alta",'Mapa final'!#REF!="Moderado"),CONCATENATE("R4C",'Mapa final'!#REF!),"")</f>
        <v>#REF!</v>
      </c>
      <c r="X19" s="53" t="e">
        <f>IF(AND('Mapa final'!#REF!="Alta",'Mapa final'!#REF!="Moderado"),CONCATENATE("R4C",'Mapa final'!#REF!),"")</f>
        <v>#REF!</v>
      </c>
      <c r="Y19" s="53" t="e">
        <f>IF(AND('Mapa final'!#REF!="Alta",'Mapa final'!#REF!="Moderado"),CONCATENATE("R4C",'Mapa final'!#REF!),"")</f>
        <v>#REF!</v>
      </c>
      <c r="Z19" s="53" t="e">
        <f>IF(AND('Mapa final'!#REF!="Alta",'Mapa final'!#REF!="Moderado"),CONCATENATE("R4C",'Mapa final'!#REF!),"")</f>
        <v>#REF!</v>
      </c>
      <c r="AA19" s="54" t="e">
        <f>IF(AND('Mapa final'!#REF!="Alta",'Mapa final'!#REF!="Moderado"),CONCATENATE("R4C",'Mapa final'!#REF!),"")</f>
        <v>#REF!</v>
      </c>
      <c r="AB19" s="52" t="e">
        <f>IF(AND('Mapa final'!#REF!="Alta",'Mapa final'!#REF!="Mayor"),CONCATENATE("R4C",'Mapa final'!#REF!),"")</f>
        <v>#REF!</v>
      </c>
      <c r="AC19" s="53" t="e">
        <f>IF(AND('Mapa final'!#REF!="Alta",'Mapa final'!#REF!="Mayor"),CONCATENATE("R4C",'Mapa final'!#REF!),"")</f>
        <v>#REF!</v>
      </c>
      <c r="AD19" s="53" t="e">
        <f>IF(AND('Mapa final'!#REF!="Alta",'Mapa final'!#REF!="Mayor"),CONCATENATE("R4C",'Mapa final'!#REF!),"")</f>
        <v>#REF!</v>
      </c>
      <c r="AE19" s="53" t="e">
        <f>IF(AND('Mapa final'!#REF!="Alta",'Mapa final'!#REF!="Mayor"),CONCATENATE("R4C",'Mapa final'!#REF!),"")</f>
        <v>#REF!</v>
      </c>
      <c r="AF19" s="53" t="e">
        <f>IF(AND('Mapa final'!#REF!="Alta",'Mapa final'!#REF!="Mayor"),CONCATENATE("R4C",'Mapa final'!#REF!),"")</f>
        <v>#REF!</v>
      </c>
      <c r="AG19" s="54" t="e">
        <f>IF(AND('Mapa final'!#REF!="Alta",'Mapa final'!#REF!="Mayor"),CONCATENATE("R4C",'Mapa final'!#REF!),"")</f>
        <v>#REF!</v>
      </c>
      <c r="AH19" s="55" t="e">
        <f>IF(AND('Mapa final'!#REF!="Alta",'Mapa final'!#REF!="Catastrófico"),CONCATENATE("R4C",'Mapa final'!#REF!),"")</f>
        <v>#REF!</v>
      </c>
      <c r="AI19" s="56" t="e">
        <f>IF(AND('Mapa final'!#REF!="Alta",'Mapa final'!#REF!="Catastrófico"),CONCATENATE("R4C",'Mapa final'!#REF!),"")</f>
        <v>#REF!</v>
      </c>
      <c r="AJ19" s="56" t="e">
        <f>IF(AND('Mapa final'!#REF!="Alta",'Mapa final'!#REF!="Catastrófico"),CONCATENATE("R4C",'Mapa final'!#REF!),"")</f>
        <v>#REF!</v>
      </c>
      <c r="AK19" s="56" t="e">
        <f>IF(AND('Mapa final'!#REF!="Alta",'Mapa final'!#REF!="Catastrófico"),CONCATENATE("R4C",'Mapa final'!#REF!),"")</f>
        <v>#REF!</v>
      </c>
      <c r="AL19" s="56" t="e">
        <f>IF(AND('Mapa final'!#REF!="Alta",'Mapa final'!#REF!="Catastrófico"),CONCATENATE("R4C",'Mapa final'!#REF!),"")</f>
        <v>#REF!</v>
      </c>
      <c r="AM19" s="57" t="e">
        <f>IF(AND('Mapa final'!#REF!="Alta",'Mapa final'!#REF!="Catastrófico"),CONCATENATE("R4C",'Mapa final'!#REF!),"")</f>
        <v>#REF!</v>
      </c>
      <c r="AN19" s="83"/>
      <c r="AO19" s="367"/>
      <c r="AP19" s="368"/>
      <c r="AQ19" s="368"/>
      <c r="AR19" s="368"/>
      <c r="AS19" s="368"/>
      <c r="AT19" s="36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316"/>
      <c r="C20" s="316"/>
      <c r="D20" s="317"/>
      <c r="E20" s="357"/>
      <c r="F20" s="358"/>
      <c r="G20" s="358"/>
      <c r="H20" s="358"/>
      <c r="I20" s="358"/>
      <c r="J20" s="67" t="str">
        <f>IF(AND('Mapa final'!$AB$15="Alta",'Mapa final'!$AD$15="Leve"),CONCATENATE("R5C",'Mapa final'!$R$15),"")</f>
        <v/>
      </c>
      <c r="K20" s="68" t="str">
        <f>IF(AND('Mapa final'!$AB$16="Alta",'Mapa final'!$AD$16="Leve"),CONCATENATE("R5C",'Mapa final'!$R$16),"")</f>
        <v/>
      </c>
      <c r="L20" s="68" t="str">
        <f>IF(AND('Mapa final'!$AB$17="Alta",'Mapa final'!$AD$17="Leve"),CONCATENATE("R5C",'Mapa final'!$R$17),"")</f>
        <v/>
      </c>
      <c r="M20" s="68" t="str">
        <f>IF(AND('Mapa final'!$AB$18="Alta",'Mapa final'!$AD$18="Leve"),CONCATENATE("R5C",'Mapa final'!$R$18),"")</f>
        <v/>
      </c>
      <c r="N20" s="68" t="str">
        <f>IF(AND('Mapa final'!$AB$19="Alta",'Mapa final'!$AD$19="Leve"),CONCATENATE("R5C",'Mapa final'!$R$19),"")</f>
        <v/>
      </c>
      <c r="O20" s="69" t="str">
        <f>IF(AND('Mapa final'!$AB$20="Alta",'Mapa final'!$AD$20="Leve"),CONCATENATE("R5C",'Mapa final'!$R$20),"")</f>
        <v/>
      </c>
      <c r="P20" s="67" t="str">
        <f>IF(AND('Mapa final'!$AB$15="Alta",'Mapa final'!$AD$15="Menor"),CONCATENATE("R5C",'Mapa final'!$R$15),"")</f>
        <v/>
      </c>
      <c r="Q20" s="68" t="str">
        <f>IF(AND('Mapa final'!$AB$16="Alta",'Mapa final'!$AD$16="Menor"),CONCATENATE("R5C",'Mapa final'!$R$16),"")</f>
        <v/>
      </c>
      <c r="R20" s="68" t="str">
        <f>IF(AND('Mapa final'!$AB$17="Alta",'Mapa final'!$AD$17="Menor"),CONCATENATE("R5C",'Mapa final'!$R$17),"")</f>
        <v/>
      </c>
      <c r="S20" s="68" t="str">
        <f>IF(AND('Mapa final'!$AB$18="Alta",'Mapa final'!$AD$18="Menor"),CONCATENATE("R5C",'Mapa final'!$R$18),"")</f>
        <v/>
      </c>
      <c r="T20" s="68" t="str">
        <f>IF(AND('Mapa final'!$AB$19="Alta",'Mapa final'!$AD$19="Menor"),CONCATENATE("R5C",'Mapa final'!$R$19),"")</f>
        <v/>
      </c>
      <c r="U20" s="69" t="str">
        <f>IF(AND('Mapa final'!$AB$20="Alta",'Mapa final'!$AD$20="Menor"),CONCATENATE("R5C",'Mapa final'!$R$20),"")</f>
        <v/>
      </c>
      <c r="V20" s="52" t="str">
        <f>IF(AND('Mapa final'!$AB$15="Alta",'Mapa final'!$AD$15="Moderado"),CONCATENATE("R5C",'Mapa final'!$R$15),"")</f>
        <v/>
      </c>
      <c r="W20" s="53" t="str">
        <f>IF(AND('Mapa final'!$AB$16="Alta",'Mapa final'!$AD$16="Moderado"),CONCATENATE("R5C",'Mapa final'!$R$16),"")</f>
        <v/>
      </c>
      <c r="X20" s="53" t="str">
        <f>IF(AND('Mapa final'!$AB$17="Alta",'Mapa final'!$AD$17="Moderado"),CONCATENATE("R5C",'Mapa final'!$R$17),"")</f>
        <v/>
      </c>
      <c r="Y20" s="53" t="str">
        <f>IF(AND('Mapa final'!$AB$18="Alta",'Mapa final'!$AD$18="Moderado"),CONCATENATE("R5C",'Mapa final'!$R$18),"")</f>
        <v/>
      </c>
      <c r="Z20" s="53" t="str">
        <f>IF(AND('Mapa final'!$AB$19="Alta",'Mapa final'!$AD$19="Moderado"),CONCATENATE("R5C",'Mapa final'!$R$19),"")</f>
        <v/>
      </c>
      <c r="AA20" s="54" t="str">
        <f>IF(AND('Mapa final'!$AB$20="Alta",'Mapa final'!$AD$20="Moderado"),CONCATENATE("R5C",'Mapa final'!$R$20),"")</f>
        <v/>
      </c>
      <c r="AB20" s="52" t="str">
        <f>IF(AND('Mapa final'!$AB$15="Alta",'Mapa final'!$AD$15="Mayor"),CONCATENATE("R5C",'Mapa final'!$R$15),"")</f>
        <v/>
      </c>
      <c r="AC20" s="53" t="str">
        <f>IF(AND('Mapa final'!$AB$16="Alta",'Mapa final'!$AD$16="Mayor"),CONCATENATE("R5C",'Mapa final'!$R$16),"")</f>
        <v/>
      </c>
      <c r="AD20" s="53" t="str">
        <f>IF(AND('Mapa final'!$AB$17="Alta",'Mapa final'!$AD$17="Mayor"),CONCATENATE("R5C",'Mapa final'!$R$17),"")</f>
        <v/>
      </c>
      <c r="AE20" s="53" t="str">
        <f>IF(AND('Mapa final'!$AB$18="Alta",'Mapa final'!$AD$18="Mayor"),CONCATENATE("R5C",'Mapa final'!$R$18),"")</f>
        <v/>
      </c>
      <c r="AF20" s="53" t="str">
        <f>IF(AND('Mapa final'!$AB$19="Alta",'Mapa final'!$AD$19="Mayor"),CONCATENATE("R5C",'Mapa final'!$R$19),"")</f>
        <v/>
      </c>
      <c r="AG20" s="54" t="str">
        <f>IF(AND('Mapa final'!$AB$20="Alta",'Mapa final'!$AD$20="Mayor"),CONCATENATE("R5C",'Mapa final'!$R$20),"")</f>
        <v/>
      </c>
      <c r="AH20" s="55" t="str">
        <f>IF(AND('Mapa final'!$AB$15="Alta",'Mapa final'!$AD$15="Catastrófico"),CONCATENATE("R5C",'Mapa final'!$R$15),"")</f>
        <v/>
      </c>
      <c r="AI20" s="56" t="str">
        <f>IF(AND('Mapa final'!$AB$16="Alta",'Mapa final'!$AD$16="Catastrófico"),CONCATENATE("R5C",'Mapa final'!$R$16),"")</f>
        <v/>
      </c>
      <c r="AJ20" s="56" t="str">
        <f>IF(AND('Mapa final'!$AB$17="Alta",'Mapa final'!$AD$17="Catastrófico"),CONCATENATE("R5C",'Mapa final'!$R$17),"")</f>
        <v/>
      </c>
      <c r="AK20" s="56" t="str">
        <f>IF(AND('Mapa final'!$AB$18="Alta",'Mapa final'!$AD$18="Catastrófico"),CONCATENATE("R5C",'Mapa final'!$R$18),"")</f>
        <v/>
      </c>
      <c r="AL20" s="56" t="str">
        <f>IF(AND('Mapa final'!$AB$19="Alta",'Mapa final'!$AD$19="Catastrófico"),CONCATENATE("R5C",'Mapa final'!$R$19),"")</f>
        <v/>
      </c>
      <c r="AM20" s="57" t="str">
        <f>IF(AND('Mapa final'!$AB$20="Alta",'Mapa final'!$AD$20="Catastrófico"),CONCATENATE("R5C",'Mapa final'!$R$20),"")</f>
        <v/>
      </c>
      <c r="AN20" s="83"/>
      <c r="AO20" s="367"/>
      <c r="AP20" s="368"/>
      <c r="AQ20" s="368"/>
      <c r="AR20" s="368"/>
      <c r="AS20" s="368"/>
      <c r="AT20" s="36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316"/>
      <c r="C21" s="316"/>
      <c r="D21" s="317"/>
      <c r="E21" s="357"/>
      <c r="F21" s="358"/>
      <c r="G21" s="358"/>
      <c r="H21" s="358"/>
      <c r="I21" s="358"/>
      <c r="J21" s="67" t="str">
        <f>IF(AND('Mapa final'!$AB$21="Alta",'Mapa final'!$AD$21="Leve"),CONCATENATE("R6C",'Mapa final'!$R$21),"")</f>
        <v/>
      </c>
      <c r="K21" s="68" t="str">
        <f>IF(AND('Mapa final'!$AB$22="Alta",'Mapa final'!$AD$22="Leve"),CONCATENATE("R6C",'Mapa final'!$R$22),"")</f>
        <v/>
      </c>
      <c r="L21" s="68" t="str">
        <f>IF(AND('Mapa final'!$AB$23="Alta",'Mapa final'!$AD$23="Leve"),CONCATENATE("R6C",'Mapa final'!$R$23),"")</f>
        <v/>
      </c>
      <c r="M21" s="68" t="str">
        <f>IF(AND('Mapa final'!$AB$24="Alta",'Mapa final'!$AD$24="Leve"),CONCATENATE("R6C",'Mapa final'!$R$24),"")</f>
        <v/>
      </c>
      <c r="N21" s="68" t="str">
        <f>IF(AND('Mapa final'!$AB$25="Alta",'Mapa final'!$AD$25="Leve"),CONCATENATE("R6C",'Mapa final'!$R$25),"")</f>
        <v/>
      </c>
      <c r="O21" s="69" t="str">
        <f>IF(AND('Mapa final'!$AB$26="Alta",'Mapa final'!$AD$26="Leve"),CONCATENATE("R6C",'Mapa final'!$R$26),"")</f>
        <v/>
      </c>
      <c r="P21" s="67" t="str">
        <f>IF(AND('Mapa final'!$AB$21="Alta",'Mapa final'!$AD$21="Menor"),CONCATENATE("R6C",'Mapa final'!$R$21),"")</f>
        <v/>
      </c>
      <c r="Q21" s="68" t="str">
        <f>IF(AND('Mapa final'!$AB$22="Alta",'Mapa final'!$AD$22="Menor"),CONCATENATE("R6C",'Mapa final'!$R$22),"")</f>
        <v/>
      </c>
      <c r="R21" s="68" t="str">
        <f>IF(AND('Mapa final'!$AB$23="Alta",'Mapa final'!$AD$23="Menor"),CONCATENATE("R6C",'Mapa final'!$R$23),"")</f>
        <v/>
      </c>
      <c r="S21" s="68" t="str">
        <f>IF(AND('Mapa final'!$AB$24="Alta",'Mapa final'!$AD$24="Menor"),CONCATENATE("R6C",'Mapa final'!$R$24),"")</f>
        <v/>
      </c>
      <c r="T21" s="68" t="str">
        <f>IF(AND('Mapa final'!$AB$25="Alta",'Mapa final'!$AD$25="Menor"),CONCATENATE("R6C",'Mapa final'!$R$25),"")</f>
        <v/>
      </c>
      <c r="U21" s="69" t="str">
        <f>IF(AND('Mapa final'!$AB$26="Alta",'Mapa final'!$AD$26="Menor"),CONCATENATE("R6C",'Mapa final'!$R$26),"")</f>
        <v/>
      </c>
      <c r="V21" s="52" t="str">
        <f>IF(AND('Mapa final'!$AB$21="Alta",'Mapa final'!$AD$21="Moderado"),CONCATENATE("R6C",'Mapa final'!$R$21),"")</f>
        <v/>
      </c>
      <c r="W21" s="53" t="str">
        <f>IF(AND('Mapa final'!$AB$22="Alta",'Mapa final'!$AD$22="Moderado"),CONCATENATE("R6C",'Mapa final'!$R$22),"")</f>
        <v/>
      </c>
      <c r="X21" s="53" t="str">
        <f>IF(AND('Mapa final'!$AB$23="Alta",'Mapa final'!$AD$23="Moderado"),CONCATENATE("R6C",'Mapa final'!$R$23),"")</f>
        <v/>
      </c>
      <c r="Y21" s="53" t="str">
        <f>IF(AND('Mapa final'!$AB$24="Alta",'Mapa final'!$AD$24="Moderado"),CONCATENATE("R6C",'Mapa final'!$R$24),"")</f>
        <v/>
      </c>
      <c r="Z21" s="53" t="str">
        <f>IF(AND('Mapa final'!$AB$25="Alta",'Mapa final'!$AD$25="Moderado"),CONCATENATE("R6C",'Mapa final'!$R$25),"")</f>
        <v/>
      </c>
      <c r="AA21" s="54" t="str">
        <f>IF(AND('Mapa final'!$AB$26="Alta",'Mapa final'!$AD$26="Moderado"),CONCATENATE("R6C",'Mapa final'!$R$26),"")</f>
        <v/>
      </c>
      <c r="AB21" s="52" t="str">
        <f>IF(AND('Mapa final'!$AB$21="Alta",'Mapa final'!$AD$21="Mayor"),CONCATENATE("R6C",'Mapa final'!$R$21),"")</f>
        <v/>
      </c>
      <c r="AC21" s="53" t="str">
        <f>IF(AND('Mapa final'!$AB$22="Alta",'Mapa final'!$AD$22="Mayor"),CONCATENATE("R6C",'Mapa final'!$R$22),"")</f>
        <v/>
      </c>
      <c r="AD21" s="53" t="str">
        <f>IF(AND('Mapa final'!$AB$23="Alta",'Mapa final'!$AD$23="Mayor"),CONCATENATE("R6C",'Mapa final'!$R$23),"")</f>
        <v/>
      </c>
      <c r="AE21" s="53" t="str">
        <f>IF(AND('Mapa final'!$AB$24="Alta",'Mapa final'!$AD$24="Mayor"),CONCATENATE("R6C",'Mapa final'!$R$24),"")</f>
        <v/>
      </c>
      <c r="AF21" s="53" t="str">
        <f>IF(AND('Mapa final'!$AB$25="Alta",'Mapa final'!$AD$25="Mayor"),CONCATENATE("R6C",'Mapa final'!$R$25),"")</f>
        <v/>
      </c>
      <c r="AG21" s="54" t="str">
        <f>IF(AND('Mapa final'!$AB$26="Alta",'Mapa final'!$AD$26="Mayor"),CONCATENATE("R6C",'Mapa final'!$R$26),"")</f>
        <v/>
      </c>
      <c r="AH21" s="55" t="str">
        <f>IF(AND('Mapa final'!$AB$21="Alta",'Mapa final'!$AD$21="Catastrófico"),CONCATENATE("R6C",'Mapa final'!$R$21),"")</f>
        <v/>
      </c>
      <c r="AI21" s="56" t="str">
        <f>IF(AND('Mapa final'!$AB$22="Alta",'Mapa final'!$AD$22="Catastrófico"),CONCATENATE("R6C",'Mapa final'!$R$22),"")</f>
        <v/>
      </c>
      <c r="AJ21" s="56" t="str">
        <f>IF(AND('Mapa final'!$AB$23="Alta",'Mapa final'!$AD$23="Catastrófico"),CONCATENATE("R6C",'Mapa final'!$R$23),"")</f>
        <v/>
      </c>
      <c r="AK21" s="56" t="str">
        <f>IF(AND('Mapa final'!$AB$24="Alta",'Mapa final'!$AD$24="Catastrófico"),CONCATENATE("R6C",'Mapa final'!$R$24),"")</f>
        <v/>
      </c>
      <c r="AL21" s="56" t="str">
        <f>IF(AND('Mapa final'!$AB$25="Alta",'Mapa final'!$AD$25="Catastrófico"),CONCATENATE("R6C",'Mapa final'!$R$25),"")</f>
        <v/>
      </c>
      <c r="AM21" s="57" t="str">
        <f>IF(AND('Mapa final'!$AB$26="Alta",'Mapa final'!$AD$26="Catastrófico"),CONCATENATE("R6C",'Mapa final'!$R$26),"")</f>
        <v/>
      </c>
      <c r="AN21" s="83"/>
      <c r="AO21" s="367"/>
      <c r="AP21" s="368"/>
      <c r="AQ21" s="368"/>
      <c r="AR21" s="368"/>
      <c r="AS21" s="368"/>
      <c r="AT21" s="36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316"/>
      <c r="C22" s="316"/>
      <c r="D22" s="317"/>
      <c r="E22" s="357"/>
      <c r="F22" s="358"/>
      <c r="G22" s="358"/>
      <c r="H22" s="358"/>
      <c r="I22" s="358"/>
      <c r="J22" s="67" t="str">
        <f>IF(AND('Mapa final'!$AB$27="Alta",'Mapa final'!$AD$27="Leve"),CONCATENATE("R7C",'Mapa final'!$R$27),"")</f>
        <v/>
      </c>
      <c r="K22" s="68" t="str">
        <f>IF(AND('Mapa final'!$AB$28="Alta",'Mapa final'!$AD$28="Leve"),CONCATENATE("R7C",'Mapa final'!$R$28),"")</f>
        <v/>
      </c>
      <c r="L22" s="68" t="str">
        <f>IF(AND('Mapa final'!$AB$29="Alta",'Mapa final'!$AD$29="Leve"),CONCATENATE("R7C",'Mapa final'!$R$29),"")</f>
        <v/>
      </c>
      <c r="M22" s="68" t="str">
        <f>IF(AND('Mapa final'!$AB$30="Alta",'Mapa final'!$AD$30="Leve"),CONCATENATE("R7C",'Mapa final'!$R$30),"")</f>
        <v/>
      </c>
      <c r="N22" s="68" t="str">
        <f>IF(AND('Mapa final'!$AB$31="Alta",'Mapa final'!$AD$31="Leve"),CONCATENATE("R7C",'Mapa final'!$R$31),"")</f>
        <v/>
      </c>
      <c r="O22" s="69" t="str">
        <f>IF(AND('Mapa final'!$AB$32="Alta",'Mapa final'!$AD$32="Leve"),CONCATENATE("R7C",'Mapa final'!$R$32),"")</f>
        <v/>
      </c>
      <c r="P22" s="67" t="str">
        <f>IF(AND('Mapa final'!$AB$27="Alta",'Mapa final'!$AD$27="Menor"),CONCATENATE("R7C",'Mapa final'!$R$27),"")</f>
        <v/>
      </c>
      <c r="Q22" s="68" t="str">
        <f>IF(AND('Mapa final'!$AB$28="Alta",'Mapa final'!$AD$28="Menor"),CONCATENATE("R7C",'Mapa final'!$R$28),"")</f>
        <v/>
      </c>
      <c r="R22" s="68" t="str">
        <f>IF(AND('Mapa final'!$AB$29="Alta",'Mapa final'!$AD$29="Menor"),CONCATENATE("R7C",'Mapa final'!$R$29),"")</f>
        <v/>
      </c>
      <c r="S22" s="68" t="str">
        <f>IF(AND('Mapa final'!$AB$30="Alta",'Mapa final'!$AD$30="Menor"),CONCATENATE("R7C",'Mapa final'!$R$30),"")</f>
        <v/>
      </c>
      <c r="T22" s="68" t="str">
        <f>IF(AND('Mapa final'!$AB$31="Alta",'Mapa final'!$AD$31="Menor"),CONCATENATE("R7C",'Mapa final'!$R$31),"")</f>
        <v/>
      </c>
      <c r="U22" s="69" t="str">
        <f>IF(AND('Mapa final'!$AB$32="Alta",'Mapa final'!$AD$32="Menor"),CONCATENATE("R7C",'Mapa final'!$R$32),"")</f>
        <v/>
      </c>
      <c r="V22" s="52" t="str">
        <f>IF(AND('Mapa final'!$AB$27="Alta",'Mapa final'!$AD$27="Moderado"),CONCATENATE("R7C",'Mapa final'!$R$27),"")</f>
        <v/>
      </c>
      <c r="W22" s="53" t="str">
        <f>IF(AND('Mapa final'!$AB$28="Alta",'Mapa final'!$AD$28="Moderado"),CONCATENATE("R7C",'Mapa final'!$R$28),"")</f>
        <v/>
      </c>
      <c r="X22" s="53" t="str">
        <f>IF(AND('Mapa final'!$AB$29="Alta",'Mapa final'!$AD$29="Moderado"),CONCATENATE("R7C",'Mapa final'!$R$29),"")</f>
        <v/>
      </c>
      <c r="Y22" s="53" t="str">
        <f>IF(AND('Mapa final'!$AB$30="Alta",'Mapa final'!$AD$30="Moderado"),CONCATENATE("R7C",'Mapa final'!$R$30),"")</f>
        <v/>
      </c>
      <c r="Z22" s="53" t="str">
        <f>IF(AND('Mapa final'!$AB$31="Alta",'Mapa final'!$AD$31="Moderado"),CONCATENATE("R7C",'Mapa final'!$R$31),"")</f>
        <v/>
      </c>
      <c r="AA22" s="54" t="str">
        <f>IF(AND('Mapa final'!$AB$32="Alta",'Mapa final'!$AD$32="Moderado"),CONCATENATE("R7C",'Mapa final'!$R$32),"")</f>
        <v/>
      </c>
      <c r="AB22" s="52" t="str">
        <f>IF(AND('Mapa final'!$AB$27="Alta",'Mapa final'!$AD$27="Mayor"),CONCATENATE("R7C",'Mapa final'!$R$27),"")</f>
        <v/>
      </c>
      <c r="AC22" s="53" t="str">
        <f>IF(AND('Mapa final'!$AB$28="Alta",'Mapa final'!$AD$28="Mayor"),CONCATENATE("R7C",'Mapa final'!$R$28),"")</f>
        <v/>
      </c>
      <c r="AD22" s="53" t="str">
        <f>IF(AND('Mapa final'!$AB$29="Alta",'Mapa final'!$AD$29="Mayor"),CONCATENATE("R7C",'Mapa final'!$R$29),"")</f>
        <v/>
      </c>
      <c r="AE22" s="53" t="str">
        <f>IF(AND('Mapa final'!$AB$30="Alta",'Mapa final'!$AD$30="Mayor"),CONCATENATE("R7C",'Mapa final'!$R$30),"")</f>
        <v/>
      </c>
      <c r="AF22" s="53" t="str">
        <f>IF(AND('Mapa final'!$AB$31="Alta",'Mapa final'!$AD$31="Mayor"),CONCATENATE("R7C",'Mapa final'!$R$31),"")</f>
        <v/>
      </c>
      <c r="AG22" s="54" t="str">
        <f>IF(AND('Mapa final'!$AB$32="Alta",'Mapa final'!$AD$32="Mayor"),CONCATENATE("R7C",'Mapa final'!$R$32),"")</f>
        <v/>
      </c>
      <c r="AH22" s="55" t="str">
        <f>IF(AND('Mapa final'!$AB$27="Alta",'Mapa final'!$AD$27="Catastrófico"),CONCATENATE("R7C",'Mapa final'!$R$27),"")</f>
        <v/>
      </c>
      <c r="AI22" s="56" t="str">
        <f>IF(AND('Mapa final'!$AB$28="Alta",'Mapa final'!$AD$28="Catastrófico"),CONCATENATE("R7C",'Mapa final'!$R$28),"")</f>
        <v/>
      </c>
      <c r="AJ22" s="56" t="str">
        <f>IF(AND('Mapa final'!$AB$29="Alta",'Mapa final'!$AD$29="Catastrófico"),CONCATENATE("R7C",'Mapa final'!$R$29),"")</f>
        <v/>
      </c>
      <c r="AK22" s="56" t="str">
        <f>IF(AND('Mapa final'!$AB$30="Alta",'Mapa final'!$AD$30="Catastrófico"),CONCATENATE("R7C",'Mapa final'!$R$30),"")</f>
        <v/>
      </c>
      <c r="AL22" s="56" t="str">
        <f>IF(AND('Mapa final'!$AB$31="Alta",'Mapa final'!$AD$31="Catastrófico"),CONCATENATE("R7C",'Mapa final'!$R$31),"")</f>
        <v/>
      </c>
      <c r="AM22" s="57" t="str">
        <f>IF(AND('Mapa final'!$AB$32="Alta",'Mapa final'!$AD$32="Catastrófico"),CONCATENATE("R7C",'Mapa final'!$R$32),"")</f>
        <v/>
      </c>
      <c r="AN22" s="83"/>
      <c r="AO22" s="367"/>
      <c r="AP22" s="368"/>
      <c r="AQ22" s="368"/>
      <c r="AR22" s="368"/>
      <c r="AS22" s="368"/>
      <c r="AT22" s="36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316"/>
      <c r="C23" s="316"/>
      <c r="D23" s="317"/>
      <c r="E23" s="357"/>
      <c r="F23" s="358"/>
      <c r="G23" s="358"/>
      <c r="H23" s="358"/>
      <c r="I23" s="358"/>
      <c r="J23" s="67" t="str">
        <f>IF(AND('Mapa final'!$AB$33="Alta",'Mapa final'!$AD$33="Leve"),CONCATENATE("R8C",'Mapa final'!$R$33),"")</f>
        <v/>
      </c>
      <c r="K23" s="68" t="str">
        <f>IF(AND('Mapa final'!$AB$34="Alta",'Mapa final'!$AD$34="Leve"),CONCATENATE("R8C",'Mapa final'!$R$34),"")</f>
        <v/>
      </c>
      <c r="L23" s="68" t="str">
        <f>IF(AND('Mapa final'!$AB$35="Alta",'Mapa final'!$AD$35="Leve"),CONCATENATE("R8C",'Mapa final'!$R$35),"")</f>
        <v/>
      </c>
      <c r="M23" s="68" t="str">
        <f>IF(AND('Mapa final'!$AB$36="Alta",'Mapa final'!$AD$36="Leve"),CONCATENATE("R8C",'Mapa final'!$R$36),"")</f>
        <v/>
      </c>
      <c r="N23" s="68" t="str">
        <f>IF(AND('Mapa final'!$AB$37="Alta",'Mapa final'!$AD$37="Leve"),CONCATENATE("R8C",'Mapa final'!$R$37),"")</f>
        <v/>
      </c>
      <c r="O23" s="69" t="str">
        <f>IF(AND('Mapa final'!$AB$38="Alta",'Mapa final'!$AD$38="Leve"),CONCATENATE("R8C",'Mapa final'!$R$38),"")</f>
        <v/>
      </c>
      <c r="P23" s="67" t="str">
        <f>IF(AND('Mapa final'!$AB$33="Alta",'Mapa final'!$AD$33="Menor"),CONCATENATE("R8C",'Mapa final'!$R$33),"")</f>
        <v/>
      </c>
      <c r="Q23" s="68" t="str">
        <f>IF(AND('Mapa final'!$AB$34="Alta",'Mapa final'!$AD$34="Menor"),CONCATENATE("R8C",'Mapa final'!$R$34),"")</f>
        <v/>
      </c>
      <c r="R23" s="68" t="str">
        <f>IF(AND('Mapa final'!$AB$35="Alta",'Mapa final'!$AD$35="Menor"),CONCATENATE("R8C",'Mapa final'!$R$35),"")</f>
        <v/>
      </c>
      <c r="S23" s="68" t="str">
        <f>IF(AND('Mapa final'!$AB$36="Alta",'Mapa final'!$AD$36="Menor"),CONCATENATE("R8C",'Mapa final'!$R$36),"")</f>
        <v/>
      </c>
      <c r="T23" s="68" t="str">
        <f>IF(AND('Mapa final'!$AB$37="Alta",'Mapa final'!$AD$37="Menor"),CONCATENATE("R8C",'Mapa final'!$R$37),"")</f>
        <v/>
      </c>
      <c r="U23" s="69" t="str">
        <f>IF(AND('Mapa final'!$AB$38="Alta",'Mapa final'!$AD$38="Menor"),CONCATENATE("R8C",'Mapa final'!$R$38),"")</f>
        <v/>
      </c>
      <c r="V23" s="52" t="str">
        <f>IF(AND('Mapa final'!$AB$33="Alta",'Mapa final'!$AD$33="Moderado"),CONCATENATE("R8C",'Mapa final'!$R$33),"")</f>
        <v/>
      </c>
      <c r="W23" s="53" t="str">
        <f>IF(AND('Mapa final'!$AB$34="Alta",'Mapa final'!$AD$34="Moderado"),CONCATENATE("R8C",'Mapa final'!$R$34),"")</f>
        <v/>
      </c>
      <c r="X23" s="53" t="str">
        <f>IF(AND('Mapa final'!$AB$35="Alta",'Mapa final'!$AD$35="Moderado"),CONCATENATE("R8C",'Mapa final'!$R$35),"")</f>
        <v/>
      </c>
      <c r="Y23" s="53" t="str">
        <f>IF(AND('Mapa final'!$AB$36="Alta",'Mapa final'!$AD$36="Moderado"),CONCATENATE("R8C",'Mapa final'!$R$36),"")</f>
        <v/>
      </c>
      <c r="Z23" s="53" t="str">
        <f>IF(AND('Mapa final'!$AB$37="Alta",'Mapa final'!$AD$37="Moderado"),CONCATENATE("R8C",'Mapa final'!$R$37),"")</f>
        <v/>
      </c>
      <c r="AA23" s="54" t="str">
        <f>IF(AND('Mapa final'!$AB$38="Alta",'Mapa final'!$AD$38="Moderado"),CONCATENATE("R8C",'Mapa final'!$R$38),"")</f>
        <v/>
      </c>
      <c r="AB23" s="52" t="str">
        <f>IF(AND('Mapa final'!$AB$33="Alta",'Mapa final'!$AD$33="Mayor"),CONCATENATE("R8C",'Mapa final'!$R$33),"")</f>
        <v/>
      </c>
      <c r="AC23" s="53" t="str">
        <f>IF(AND('Mapa final'!$AB$34="Alta",'Mapa final'!$AD$34="Mayor"),CONCATENATE("R8C",'Mapa final'!$R$34),"")</f>
        <v/>
      </c>
      <c r="AD23" s="53" t="str">
        <f>IF(AND('Mapa final'!$AB$35="Alta",'Mapa final'!$AD$35="Mayor"),CONCATENATE("R8C",'Mapa final'!$R$35),"")</f>
        <v/>
      </c>
      <c r="AE23" s="53" t="str">
        <f>IF(AND('Mapa final'!$AB$36="Alta",'Mapa final'!$AD$36="Mayor"),CONCATENATE("R8C",'Mapa final'!$R$36),"")</f>
        <v/>
      </c>
      <c r="AF23" s="53" t="str">
        <f>IF(AND('Mapa final'!$AB$37="Alta",'Mapa final'!$AD$37="Mayor"),CONCATENATE("R8C",'Mapa final'!$R$37),"")</f>
        <v/>
      </c>
      <c r="AG23" s="54" t="str">
        <f>IF(AND('Mapa final'!$AB$38="Alta",'Mapa final'!$AD$38="Mayor"),CONCATENATE("R8C",'Mapa final'!$R$38),"")</f>
        <v/>
      </c>
      <c r="AH23" s="55" t="str">
        <f>IF(AND('Mapa final'!$AB$33="Alta",'Mapa final'!$AD$33="Catastrófico"),CONCATENATE("R8C",'Mapa final'!$R$33),"")</f>
        <v/>
      </c>
      <c r="AI23" s="56" t="str">
        <f>IF(AND('Mapa final'!$AB$34="Alta",'Mapa final'!$AD$34="Catastrófico"),CONCATENATE("R8C",'Mapa final'!$R$34),"")</f>
        <v/>
      </c>
      <c r="AJ23" s="56" t="str">
        <f>IF(AND('Mapa final'!$AB$35="Alta",'Mapa final'!$AD$35="Catastrófico"),CONCATENATE("R8C",'Mapa final'!$R$35),"")</f>
        <v/>
      </c>
      <c r="AK23" s="56" t="str">
        <f>IF(AND('Mapa final'!$AB$36="Alta",'Mapa final'!$AD$36="Catastrófico"),CONCATENATE("R8C",'Mapa final'!$R$36),"")</f>
        <v/>
      </c>
      <c r="AL23" s="56" t="str">
        <f>IF(AND('Mapa final'!$AB$37="Alta",'Mapa final'!$AD$37="Catastrófico"),CONCATENATE("R8C",'Mapa final'!$R$37),"")</f>
        <v/>
      </c>
      <c r="AM23" s="57" t="str">
        <f>IF(AND('Mapa final'!$AB$38="Alta",'Mapa final'!$AD$38="Catastrófico"),CONCATENATE("R8C",'Mapa final'!$R$38),"")</f>
        <v/>
      </c>
      <c r="AN23" s="83"/>
      <c r="AO23" s="367"/>
      <c r="AP23" s="368"/>
      <c r="AQ23" s="368"/>
      <c r="AR23" s="368"/>
      <c r="AS23" s="368"/>
      <c r="AT23" s="36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316"/>
      <c r="C24" s="316"/>
      <c r="D24" s="317"/>
      <c r="E24" s="357"/>
      <c r="F24" s="358"/>
      <c r="G24" s="358"/>
      <c r="H24" s="358"/>
      <c r="I24" s="358"/>
      <c r="J24" s="67" t="str">
        <f>IF(AND('Mapa final'!$AB$39="Alta",'Mapa final'!$AD$39="Leve"),CONCATENATE("R9C",'Mapa final'!$R$39),"")</f>
        <v/>
      </c>
      <c r="K24" s="68" t="str">
        <f>IF(AND('Mapa final'!$AB$40="Alta",'Mapa final'!$AD$40="Leve"),CONCATENATE("R9C",'Mapa final'!$R$40),"")</f>
        <v/>
      </c>
      <c r="L24" s="68" t="str">
        <f>IF(AND('Mapa final'!$AB$41="Alta",'Mapa final'!$AD$41="Leve"),CONCATENATE("R9C",'Mapa final'!$R$41),"")</f>
        <v/>
      </c>
      <c r="M24" s="68" t="str">
        <f>IF(AND('Mapa final'!$AB$42="Alta",'Mapa final'!$AD$42="Leve"),CONCATENATE("R9C",'Mapa final'!$R$42),"")</f>
        <v/>
      </c>
      <c r="N24" s="68" t="str">
        <f>IF(AND('Mapa final'!$AB$43="Alta",'Mapa final'!$AD$43="Leve"),CONCATENATE("R9C",'Mapa final'!$R$43),"")</f>
        <v/>
      </c>
      <c r="O24" s="69" t="str">
        <f>IF(AND('Mapa final'!$AB$44="Alta",'Mapa final'!$AD$44="Leve"),CONCATENATE("R9C",'Mapa final'!$R$44),"")</f>
        <v/>
      </c>
      <c r="P24" s="67" t="str">
        <f>IF(AND('Mapa final'!$AB$39="Alta",'Mapa final'!$AD$39="Menor"),CONCATENATE("R9C",'Mapa final'!$R$39),"")</f>
        <v/>
      </c>
      <c r="Q24" s="68" t="str">
        <f>IF(AND('Mapa final'!$AB$40="Alta",'Mapa final'!$AD$40="Menor"),CONCATENATE("R9C",'Mapa final'!$R$40),"")</f>
        <v/>
      </c>
      <c r="R24" s="68" t="str">
        <f>IF(AND('Mapa final'!$AB$41="Alta",'Mapa final'!$AD$41="Menor"),CONCATENATE("R9C",'Mapa final'!$R$41),"")</f>
        <v/>
      </c>
      <c r="S24" s="68" t="str">
        <f>IF(AND('Mapa final'!$AB$42="Alta",'Mapa final'!$AD$42="Menor"),CONCATENATE("R9C",'Mapa final'!$R$42),"")</f>
        <v/>
      </c>
      <c r="T24" s="68" t="str">
        <f>IF(AND('Mapa final'!$AB$43="Alta",'Mapa final'!$AD$43="Menor"),CONCATENATE("R9C",'Mapa final'!$R$43),"")</f>
        <v/>
      </c>
      <c r="U24" s="69" t="str">
        <f>IF(AND('Mapa final'!$AB$44="Alta",'Mapa final'!$AD$44="Menor"),CONCATENATE("R9C",'Mapa final'!$R$44),"")</f>
        <v/>
      </c>
      <c r="V24" s="52" t="str">
        <f>IF(AND('Mapa final'!$AB$39="Alta",'Mapa final'!$AD$39="Moderado"),CONCATENATE("R9C",'Mapa final'!$R$39),"")</f>
        <v/>
      </c>
      <c r="W24" s="53" t="str">
        <f>IF(AND('Mapa final'!$AB$40="Alta",'Mapa final'!$AD$40="Moderado"),CONCATENATE("R9C",'Mapa final'!$R$40),"")</f>
        <v/>
      </c>
      <c r="X24" s="53" t="str">
        <f>IF(AND('Mapa final'!$AB$41="Alta",'Mapa final'!$AD$41="Moderado"),CONCATENATE("R9C",'Mapa final'!$R$41),"")</f>
        <v/>
      </c>
      <c r="Y24" s="53" t="str">
        <f>IF(AND('Mapa final'!$AB$42="Alta",'Mapa final'!$AD$42="Moderado"),CONCATENATE("R9C",'Mapa final'!$R$42),"")</f>
        <v/>
      </c>
      <c r="Z24" s="53" t="str">
        <f>IF(AND('Mapa final'!$AB$43="Alta",'Mapa final'!$AD$43="Moderado"),CONCATENATE("R9C",'Mapa final'!$R$43),"")</f>
        <v/>
      </c>
      <c r="AA24" s="54" t="str">
        <f>IF(AND('Mapa final'!$AB$44="Alta",'Mapa final'!$AD$44="Moderado"),CONCATENATE("R9C",'Mapa final'!$R$44),"")</f>
        <v/>
      </c>
      <c r="AB24" s="52" t="str">
        <f>IF(AND('Mapa final'!$AB$39="Alta",'Mapa final'!$AD$39="Mayor"),CONCATENATE("R9C",'Mapa final'!$R$39),"")</f>
        <v/>
      </c>
      <c r="AC24" s="53" t="str">
        <f>IF(AND('Mapa final'!$AB$40="Alta",'Mapa final'!$AD$40="Mayor"),CONCATENATE("R9C",'Mapa final'!$R$40),"")</f>
        <v/>
      </c>
      <c r="AD24" s="53" t="str">
        <f>IF(AND('Mapa final'!$AB$41="Alta",'Mapa final'!$AD$41="Mayor"),CONCATENATE("R9C",'Mapa final'!$R$41),"")</f>
        <v/>
      </c>
      <c r="AE24" s="53" t="str">
        <f>IF(AND('Mapa final'!$AB$42="Alta",'Mapa final'!$AD$42="Mayor"),CONCATENATE("R9C",'Mapa final'!$R$42),"")</f>
        <v/>
      </c>
      <c r="AF24" s="53" t="str">
        <f>IF(AND('Mapa final'!$AB$43="Alta",'Mapa final'!$AD$43="Mayor"),CONCATENATE("R9C",'Mapa final'!$R$43),"")</f>
        <v/>
      </c>
      <c r="AG24" s="54" t="str">
        <f>IF(AND('Mapa final'!$AB$44="Alta",'Mapa final'!$AD$44="Mayor"),CONCATENATE("R9C",'Mapa final'!$R$44),"")</f>
        <v/>
      </c>
      <c r="AH24" s="55" t="str">
        <f>IF(AND('Mapa final'!$AB$39="Alta",'Mapa final'!$AD$39="Catastrófico"),CONCATENATE("R9C",'Mapa final'!$R$39),"")</f>
        <v/>
      </c>
      <c r="AI24" s="56" t="str">
        <f>IF(AND('Mapa final'!$AB$40="Alta",'Mapa final'!$AD$40="Catastrófico"),CONCATENATE("R9C",'Mapa final'!$R$40),"")</f>
        <v/>
      </c>
      <c r="AJ24" s="56" t="str">
        <f>IF(AND('Mapa final'!$AB$41="Alta",'Mapa final'!$AD$41="Catastrófico"),CONCATENATE("R9C",'Mapa final'!$R$41),"")</f>
        <v/>
      </c>
      <c r="AK24" s="56" t="str">
        <f>IF(AND('Mapa final'!$AB$42="Alta",'Mapa final'!$AD$42="Catastrófico"),CONCATENATE("R9C",'Mapa final'!$R$42),"")</f>
        <v/>
      </c>
      <c r="AL24" s="56" t="str">
        <f>IF(AND('Mapa final'!$AB$43="Alta",'Mapa final'!$AD$43="Catastrófico"),CONCATENATE("R9C",'Mapa final'!$R$43),"")</f>
        <v/>
      </c>
      <c r="AM24" s="57" t="str">
        <f>IF(AND('Mapa final'!$AB$44="Alta",'Mapa final'!$AD$44="Catastrófico"),CONCATENATE("R9C",'Mapa final'!$R$44),"")</f>
        <v/>
      </c>
      <c r="AN24" s="83"/>
      <c r="AO24" s="367"/>
      <c r="AP24" s="368"/>
      <c r="AQ24" s="368"/>
      <c r="AR24" s="368"/>
      <c r="AS24" s="368"/>
      <c r="AT24" s="36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316"/>
      <c r="C25" s="316"/>
      <c r="D25" s="317"/>
      <c r="E25" s="360"/>
      <c r="F25" s="361"/>
      <c r="G25" s="361"/>
      <c r="H25" s="361"/>
      <c r="I25" s="361"/>
      <c r="J25" s="70" t="str">
        <f>IF(AND('Mapa final'!$AB$45="Alta",'Mapa final'!$AD$45="Leve"),CONCATENATE("R10C",'Mapa final'!$R$45),"")</f>
        <v/>
      </c>
      <c r="K25" s="71" t="str">
        <f>IF(AND('Mapa final'!$AB$46="Alta",'Mapa final'!$AD$46="Leve"),CONCATENATE("R10C",'Mapa final'!$R$46),"")</f>
        <v/>
      </c>
      <c r="L25" s="71" t="str">
        <f>IF(AND('Mapa final'!$AB$47="Alta",'Mapa final'!$AD$47="Leve"),CONCATENATE("R10C",'Mapa final'!$R$47),"")</f>
        <v/>
      </c>
      <c r="M25" s="71" t="str">
        <f>IF(AND('Mapa final'!$AB$48="Alta",'Mapa final'!$AD$48="Leve"),CONCATENATE("R10C",'Mapa final'!$R$48),"")</f>
        <v/>
      </c>
      <c r="N25" s="71" t="str">
        <f>IF(AND('Mapa final'!$AB$49="Alta",'Mapa final'!$AD$49="Leve"),CONCATENATE("R10C",'Mapa final'!$R$49),"")</f>
        <v/>
      </c>
      <c r="O25" s="72" t="str">
        <f>IF(AND('Mapa final'!$AB$50="Alta",'Mapa final'!$AD$50="Leve"),CONCATENATE("R10C",'Mapa final'!$R$50),"")</f>
        <v/>
      </c>
      <c r="P25" s="70" t="str">
        <f>IF(AND('Mapa final'!$AB$45="Alta",'Mapa final'!$AD$45="Menor"),CONCATENATE("R10C",'Mapa final'!$R$45),"")</f>
        <v/>
      </c>
      <c r="Q25" s="71" t="str">
        <f>IF(AND('Mapa final'!$AB$46="Alta",'Mapa final'!$AD$46="Menor"),CONCATENATE("R10C",'Mapa final'!$R$46),"")</f>
        <v/>
      </c>
      <c r="R25" s="71" t="str">
        <f>IF(AND('Mapa final'!$AB$47="Alta",'Mapa final'!$AD$47="Menor"),CONCATENATE("R10C",'Mapa final'!$R$47),"")</f>
        <v/>
      </c>
      <c r="S25" s="71" t="str">
        <f>IF(AND('Mapa final'!$AB$48="Alta",'Mapa final'!$AD$48="Menor"),CONCATENATE("R10C",'Mapa final'!$R$48),"")</f>
        <v/>
      </c>
      <c r="T25" s="71" t="str">
        <f>IF(AND('Mapa final'!$AB$49="Alta",'Mapa final'!$AD$49="Menor"),CONCATENATE("R10C",'Mapa final'!$R$49),"")</f>
        <v/>
      </c>
      <c r="U25" s="72" t="str">
        <f>IF(AND('Mapa final'!$AB$50="Alta",'Mapa final'!$AD$50="Menor"),CONCATENATE("R10C",'Mapa final'!$R$50),"")</f>
        <v/>
      </c>
      <c r="V25" s="58" t="str">
        <f>IF(AND('Mapa final'!$AB$45="Alta",'Mapa final'!$AD$45="Moderado"),CONCATENATE("R10C",'Mapa final'!$R$45),"")</f>
        <v/>
      </c>
      <c r="W25" s="59" t="str">
        <f>IF(AND('Mapa final'!$AB$46="Alta",'Mapa final'!$AD$46="Moderado"),CONCATENATE("R10C",'Mapa final'!$R$46),"")</f>
        <v/>
      </c>
      <c r="X25" s="59" t="str">
        <f>IF(AND('Mapa final'!$AB$47="Alta",'Mapa final'!$AD$47="Moderado"),CONCATENATE("R10C",'Mapa final'!$R$47),"")</f>
        <v/>
      </c>
      <c r="Y25" s="59" t="str">
        <f>IF(AND('Mapa final'!$AB$48="Alta",'Mapa final'!$AD$48="Moderado"),CONCATENATE("R10C",'Mapa final'!$R$48),"")</f>
        <v/>
      </c>
      <c r="Z25" s="59" t="str">
        <f>IF(AND('Mapa final'!$AB$49="Alta",'Mapa final'!$AD$49="Moderado"),CONCATENATE("R10C",'Mapa final'!$R$49),"")</f>
        <v/>
      </c>
      <c r="AA25" s="60" t="str">
        <f>IF(AND('Mapa final'!$AB$50="Alta",'Mapa final'!$AD$50="Moderado"),CONCATENATE("R10C",'Mapa final'!$R$50),"")</f>
        <v/>
      </c>
      <c r="AB25" s="58" t="str">
        <f>IF(AND('Mapa final'!$AB$45="Alta",'Mapa final'!$AD$45="Mayor"),CONCATENATE("R10C",'Mapa final'!$R$45),"")</f>
        <v/>
      </c>
      <c r="AC25" s="59" t="str">
        <f>IF(AND('Mapa final'!$AB$46="Alta",'Mapa final'!$AD$46="Mayor"),CONCATENATE("R10C",'Mapa final'!$R$46),"")</f>
        <v/>
      </c>
      <c r="AD25" s="59" t="str">
        <f>IF(AND('Mapa final'!$AB$47="Alta",'Mapa final'!$AD$47="Mayor"),CONCATENATE("R10C",'Mapa final'!$R$47),"")</f>
        <v/>
      </c>
      <c r="AE25" s="59" t="str">
        <f>IF(AND('Mapa final'!$AB$48="Alta",'Mapa final'!$AD$48="Mayor"),CONCATENATE("R10C",'Mapa final'!$R$48),"")</f>
        <v/>
      </c>
      <c r="AF25" s="59" t="str">
        <f>IF(AND('Mapa final'!$AB$49="Alta",'Mapa final'!$AD$49="Mayor"),CONCATENATE("R10C",'Mapa final'!$R$49),"")</f>
        <v/>
      </c>
      <c r="AG25" s="60" t="str">
        <f>IF(AND('Mapa final'!$AB$50="Alta",'Mapa final'!$AD$50="Mayor"),CONCATENATE("R10C",'Mapa final'!$R$50),"")</f>
        <v/>
      </c>
      <c r="AH25" s="61" t="str">
        <f>IF(AND('Mapa final'!$AB$45="Alta",'Mapa final'!$AD$45="Catastrófico"),CONCATENATE("R10C",'Mapa final'!$R$45),"")</f>
        <v/>
      </c>
      <c r="AI25" s="62" t="str">
        <f>IF(AND('Mapa final'!$AB$46="Alta",'Mapa final'!$AD$46="Catastrófico"),CONCATENATE("R10C",'Mapa final'!$R$46),"")</f>
        <v/>
      </c>
      <c r="AJ25" s="62" t="str">
        <f>IF(AND('Mapa final'!$AB$47="Alta",'Mapa final'!$AD$47="Catastrófico"),CONCATENATE("R10C",'Mapa final'!$R$47),"")</f>
        <v/>
      </c>
      <c r="AK25" s="62" t="str">
        <f>IF(AND('Mapa final'!$AB$48="Alta",'Mapa final'!$AD$48="Catastrófico"),CONCATENATE("R10C",'Mapa final'!$R$48),"")</f>
        <v/>
      </c>
      <c r="AL25" s="62" t="str">
        <f>IF(AND('Mapa final'!$AB$49="Alta",'Mapa final'!$AD$49="Catastrófico"),CONCATENATE("R10C",'Mapa final'!$R$49),"")</f>
        <v/>
      </c>
      <c r="AM25" s="63" t="str">
        <f>IF(AND('Mapa final'!$AB$50="Alta",'Mapa final'!$AD$50="Catastrófico"),CONCATENATE("R10C",'Mapa final'!$R$50),"")</f>
        <v/>
      </c>
      <c r="AN25" s="83"/>
      <c r="AO25" s="370"/>
      <c r="AP25" s="371"/>
      <c r="AQ25" s="371"/>
      <c r="AR25" s="371"/>
      <c r="AS25" s="371"/>
      <c r="AT25" s="37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316"/>
      <c r="C26" s="316"/>
      <c r="D26" s="317"/>
      <c r="E26" s="354" t="s">
        <v>109</v>
      </c>
      <c r="F26" s="355"/>
      <c r="G26" s="355"/>
      <c r="H26" s="355"/>
      <c r="I26" s="356"/>
      <c r="J26" s="64" t="str">
        <f>IF(AND('Mapa final'!$AB$11="Media",'Mapa final'!$AD$11="Leve"),CONCATENATE("R1C",'Mapa final'!$R$11),"")</f>
        <v/>
      </c>
      <c r="K26" s="65" t="str">
        <f>IF(AND('Mapa final'!$AB$12="Media",'Mapa final'!$AD$12="Leve"),CONCATENATE("R1C",'Mapa final'!$R$12),"")</f>
        <v/>
      </c>
      <c r="L26" s="65" t="e">
        <f>IF(AND('Mapa final'!#REF!="Media",'Mapa final'!#REF!="Leve"),CONCATENATE("R1C",'Mapa final'!#REF!),"")</f>
        <v>#REF!</v>
      </c>
      <c r="M26" s="65" t="e">
        <f>IF(AND('Mapa final'!#REF!="Media",'Mapa final'!#REF!="Leve"),CONCATENATE("R1C",'Mapa final'!#REF!),"")</f>
        <v>#REF!</v>
      </c>
      <c r="N26" s="65" t="e">
        <f>IF(AND('Mapa final'!#REF!="Media",'Mapa final'!#REF!="Leve"),CONCATENATE("R1C",'Mapa final'!#REF!),"")</f>
        <v>#REF!</v>
      </c>
      <c r="O26" s="66" t="e">
        <f>IF(AND('Mapa final'!#REF!="Media",'Mapa final'!#REF!="Leve"),CONCATENATE("R1C",'Mapa final'!#REF!),"")</f>
        <v>#REF!</v>
      </c>
      <c r="P26" s="64" t="str">
        <f>IF(AND('Mapa final'!$AB$11="Media",'Mapa final'!$AD$11="Menor"),CONCATENATE("R1C",'Mapa final'!$R$11),"")</f>
        <v/>
      </c>
      <c r="Q26" s="65" t="str">
        <f>IF(AND('Mapa final'!$AB$12="Media",'Mapa final'!$AD$12="Menor"),CONCATENATE("R1C",'Mapa final'!$R$12),"")</f>
        <v/>
      </c>
      <c r="R26" s="65" t="e">
        <f>IF(AND('Mapa final'!#REF!="Media",'Mapa final'!#REF!="Menor"),CONCATENATE("R1C",'Mapa final'!#REF!),"")</f>
        <v>#REF!</v>
      </c>
      <c r="S26" s="65" t="e">
        <f>IF(AND('Mapa final'!#REF!="Media",'Mapa final'!#REF!="Menor"),CONCATENATE("R1C",'Mapa final'!#REF!),"")</f>
        <v>#REF!</v>
      </c>
      <c r="T26" s="65" t="e">
        <f>IF(AND('Mapa final'!#REF!="Media",'Mapa final'!#REF!="Menor"),CONCATENATE("R1C",'Mapa final'!#REF!),"")</f>
        <v>#REF!</v>
      </c>
      <c r="U26" s="66" t="e">
        <f>IF(AND('Mapa final'!#REF!="Media",'Mapa final'!#REF!="Menor"),CONCATENATE("R1C",'Mapa final'!#REF!),"")</f>
        <v>#REF!</v>
      </c>
      <c r="V26" s="64" t="str">
        <f>IF(AND('Mapa final'!$AB$11="Media",'Mapa final'!$AD$11="Moderado"),CONCATENATE("R1C",'Mapa final'!$R$11),"")</f>
        <v>R1C1</v>
      </c>
      <c r="W26" s="65" t="str">
        <f>IF(AND('Mapa final'!$AB$12="Media",'Mapa final'!$AD$12="Moderado"),CONCATENATE("R1C",'Mapa final'!$R$12),"")</f>
        <v/>
      </c>
      <c r="X26" s="65" t="e">
        <f>IF(AND('Mapa final'!#REF!="Media",'Mapa final'!#REF!="Moderado"),CONCATENATE("R1C",'Mapa final'!#REF!),"")</f>
        <v>#REF!</v>
      </c>
      <c r="Y26" s="65" t="e">
        <f>IF(AND('Mapa final'!#REF!="Media",'Mapa final'!#REF!="Moderado"),CONCATENATE("R1C",'Mapa final'!#REF!),"")</f>
        <v>#REF!</v>
      </c>
      <c r="Z26" s="65" t="e">
        <f>IF(AND('Mapa final'!#REF!="Media",'Mapa final'!#REF!="Moderado"),CONCATENATE("R1C",'Mapa final'!#REF!),"")</f>
        <v>#REF!</v>
      </c>
      <c r="AA26" s="66" t="e">
        <f>IF(AND('Mapa final'!#REF!="Media",'Mapa final'!#REF!="Moderado"),CONCATENATE("R1C",'Mapa final'!#REF!),"")</f>
        <v>#REF!</v>
      </c>
      <c r="AB26" s="46" t="str">
        <f>IF(AND('Mapa final'!$AB$11="Media",'Mapa final'!$AD$11="Mayor"),CONCATENATE("R1C",'Mapa final'!$R$11),"")</f>
        <v/>
      </c>
      <c r="AC26" s="47" t="str">
        <f>IF(AND('Mapa final'!$AB$12="Media",'Mapa final'!$AD$12="Mayor"),CONCATENATE("R1C",'Mapa final'!$R$12),"")</f>
        <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IF(AND('Mapa final'!$AB$11="Media",'Mapa final'!$AD$11="Catastrófico"),CONCATENATE("R1C",'Mapa final'!$R$11),"")</f>
        <v/>
      </c>
      <c r="AI26" s="50" t="str">
        <f>IF(AND('Mapa final'!$AB$12="Media",'Mapa final'!$AD$12="Catastrófico"),CONCATENATE("R1C",'Mapa final'!$R$12),"")</f>
        <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3"/>
      <c r="AO26" s="394" t="s">
        <v>78</v>
      </c>
      <c r="AP26" s="395"/>
      <c r="AQ26" s="395"/>
      <c r="AR26" s="395"/>
      <c r="AS26" s="395"/>
      <c r="AT26" s="39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316"/>
      <c r="C27" s="316"/>
      <c r="D27" s="317"/>
      <c r="E27" s="373"/>
      <c r="F27" s="358"/>
      <c r="G27" s="358"/>
      <c r="H27" s="358"/>
      <c r="I27" s="359"/>
      <c r="J27" s="67" t="str">
        <f>IF(AND('Mapa final'!$AB$13="Media",'Mapa final'!$AD$13="Leve"),CONCATENATE("R2C",'Mapa final'!$R$13),"")</f>
        <v>R2C1</v>
      </c>
      <c r="K27" s="68" t="e">
        <f>IF(AND('Mapa final'!#REF!="Media",'Mapa final'!#REF!="Leve"),CONCATENATE("R2C",'Mapa final'!#REF!),"")</f>
        <v>#REF!</v>
      </c>
      <c r="L27" s="68" t="e">
        <f>IF(AND('Mapa final'!#REF!="Media",'Mapa final'!#REF!="Leve"),CONCATENATE("R2C",'Mapa final'!#REF!),"")</f>
        <v>#REF!</v>
      </c>
      <c r="M27" s="68" t="e">
        <f>IF(AND('Mapa final'!#REF!="Media",'Mapa final'!#REF!="Leve"),CONCATENATE("R2C",'Mapa final'!#REF!),"")</f>
        <v>#REF!</v>
      </c>
      <c r="N27" s="68" t="e">
        <f>IF(AND('Mapa final'!#REF!="Media",'Mapa final'!#REF!="Leve"),CONCATENATE("R2C",'Mapa final'!#REF!),"")</f>
        <v>#REF!</v>
      </c>
      <c r="O27" s="69" t="e">
        <f>IF(AND('Mapa final'!#REF!="Media",'Mapa final'!#REF!="Leve"),CONCATENATE("R2C",'Mapa final'!#REF!),"")</f>
        <v>#REF!</v>
      </c>
      <c r="P27" s="67" t="str">
        <f>IF(AND('Mapa final'!$AB$13="Media",'Mapa final'!$AD$13="Menor"),CONCATENATE("R2C",'Mapa final'!$R$13),"")</f>
        <v/>
      </c>
      <c r="Q27" s="68" t="e">
        <f>IF(AND('Mapa final'!#REF!="Media",'Mapa final'!#REF!="Menor"),CONCATENATE("R2C",'Mapa final'!#REF!),"")</f>
        <v>#REF!</v>
      </c>
      <c r="R27" s="68" t="e">
        <f>IF(AND('Mapa final'!#REF!="Media",'Mapa final'!#REF!="Menor"),CONCATENATE("R2C",'Mapa final'!#REF!),"")</f>
        <v>#REF!</v>
      </c>
      <c r="S27" s="68" t="e">
        <f>IF(AND('Mapa final'!#REF!="Media",'Mapa final'!#REF!="Menor"),CONCATENATE("R2C",'Mapa final'!#REF!),"")</f>
        <v>#REF!</v>
      </c>
      <c r="T27" s="68" t="e">
        <f>IF(AND('Mapa final'!#REF!="Media",'Mapa final'!#REF!="Menor"),CONCATENATE("R2C",'Mapa final'!#REF!),"")</f>
        <v>#REF!</v>
      </c>
      <c r="U27" s="69" t="e">
        <f>IF(AND('Mapa final'!#REF!="Media",'Mapa final'!#REF!="Menor"),CONCATENATE("R2C",'Mapa final'!#REF!),"")</f>
        <v>#REF!</v>
      </c>
      <c r="V27" s="67" t="str">
        <f>IF(AND('Mapa final'!$AB$13="Media",'Mapa final'!$AD$13="Moderado"),CONCATENATE("R2C",'Mapa final'!$R$13),"")</f>
        <v/>
      </c>
      <c r="W27" s="68" t="e">
        <f>IF(AND('Mapa final'!#REF!="Media",'Mapa final'!#REF!="Moderado"),CONCATENATE("R2C",'Mapa final'!#REF!),"")</f>
        <v>#REF!</v>
      </c>
      <c r="X27" s="68" t="e">
        <f>IF(AND('Mapa final'!#REF!="Media",'Mapa final'!#REF!="Moderado"),CONCATENATE("R2C",'Mapa final'!#REF!),"")</f>
        <v>#REF!</v>
      </c>
      <c r="Y27" s="68" t="e">
        <f>IF(AND('Mapa final'!#REF!="Media",'Mapa final'!#REF!="Moderado"),CONCATENATE("R2C",'Mapa final'!#REF!),"")</f>
        <v>#REF!</v>
      </c>
      <c r="Z27" s="68" t="e">
        <f>IF(AND('Mapa final'!#REF!="Media",'Mapa final'!#REF!="Moderado"),CONCATENATE("R2C",'Mapa final'!#REF!),"")</f>
        <v>#REF!</v>
      </c>
      <c r="AA27" s="69" t="e">
        <f>IF(AND('Mapa final'!#REF!="Media",'Mapa final'!#REF!="Moderado"),CONCATENATE("R2C",'Mapa final'!#REF!),"")</f>
        <v>#REF!</v>
      </c>
      <c r="AB27" s="52" t="str">
        <f>IF(AND('Mapa final'!$AB$13="Media",'Mapa final'!$AD$13="Mayor"),CONCATENATE("R2C",'Mapa final'!$R$13),"")</f>
        <v/>
      </c>
      <c r="AC27" s="53" t="e">
        <f>IF(AND('Mapa final'!#REF!="Media",'Mapa final'!#REF!="Mayor"),CONCATENATE("R2C",'Mapa final'!#REF!),"")</f>
        <v>#REF!</v>
      </c>
      <c r="AD27" s="53" t="e">
        <f>IF(AND('Mapa final'!#REF!="Media",'Mapa final'!#REF!="Mayor"),CONCATENATE("R2C",'Mapa final'!#REF!),"")</f>
        <v>#REF!</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str">
        <f>IF(AND('Mapa final'!$AB$13="Media",'Mapa final'!$AD$13="Catastrófico"),CONCATENATE("R2C",'Mapa final'!$R$13),"")</f>
        <v/>
      </c>
      <c r="AI27" s="56" t="e">
        <f>IF(AND('Mapa final'!#REF!="Media",'Mapa final'!#REF!="Catastrófico"),CONCATENATE("R2C",'Mapa final'!#REF!),"")</f>
        <v>#REF!</v>
      </c>
      <c r="AJ27" s="56" t="e">
        <f>IF(AND('Mapa final'!#REF!="Media",'Mapa final'!#REF!="Catastrófico"),CONCATENATE("R2C",'Mapa final'!#REF!),"")</f>
        <v>#REF!</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3"/>
      <c r="AO27" s="397"/>
      <c r="AP27" s="398"/>
      <c r="AQ27" s="398"/>
      <c r="AR27" s="398"/>
      <c r="AS27" s="398"/>
      <c r="AT27" s="39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316"/>
      <c r="C28" s="316"/>
      <c r="D28" s="317"/>
      <c r="E28" s="357"/>
      <c r="F28" s="358"/>
      <c r="G28" s="358"/>
      <c r="H28" s="358"/>
      <c r="I28" s="359"/>
      <c r="J28" s="67" t="str">
        <f>IF(AND('Mapa final'!$AB$14="Media",'Mapa final'!$AD$14="Leve"),CONCATENATE("R3C",'Mapa final'!$R$14),"")</f>
        <v>R3C1</v>
      </c>
      <c r="K28" s="68" t="e">
        <f>IF(AND('Mapa final'!#REF!="Media",'Mapa final'!#REF!="Leve"),CONCATENATE("R3C",'Mapa final'!#REF!),"")</f>
        <v>#REF!</v>
      </c>
      <c r="L28" s="68" t="e">
        <f>IF(AND('Mapa final'!#REF!="Media",'Mapa final'!#REF!="Leve"),CONCATENATE("R3C",'Mapa final'!#REF!),"")</f>
        <v>#REF!</v>
      </c>
      <c r="M28" s="68" t="e">
        <f>IF(AND('Mapa final'!#REF!="Media",'Mapa final'!#REF!="Leve"),CONCATENATE("R3C",'Mapa final'!#REF!),"")</f>
        <v>#REF!</v>
      </c>
      <c r="N28" s="68" t="e">
        <f>IF(AND('Mapa final'!#REF!="Media",'Mapa final'!#REF!="Leve"),CONCATENATE("R3C",'Mapa final'!#REF!),"")</f>
        <v>#REF!</v>
      </c>
      <c r="O28" s="69" t="e">
        <f>IF(AND('Mapa final'!#REF!="Media",'Mapa final'!#REF!="Leve"),CONCATENATE("R3C",'Mapa final'!#REF!),"")</f>
        <v>#REF!</v>
      </c>
      <c r="P28" s="67" t="str">
        <f>IF(AND('Mapa final'!$AB$14="Media",'Mapa final'!$AD$14="Menor"),CONCATENATE("R3C",'Mapa final'!$R$14),"")</f>
        <v/>
      </c>
      <c r="Q28" s="68" t="e">
        <f>IF(AND('Mapa final'!#REF!="Media",'Mapa final'!#REF!="Menor"),CONCATENATE("R3C",'Mapa final'!#REF!),"")</f>
        <v>#REF!</v>
      </c>
      <c r="R28" s="68" t="e">
        <f>IF(AND('Mapa final'!#REF!="Media",'Mapa final'!#REF!="Menor"),CONCATENATE("R3C",'Mapa final'!#REF!),"")</f>
        <v>#REF!</v>
      </c>
      <c r="S28" s="68" t="e">
        <f>IF(AND('Mapa final'!#REF!="Media",'Mapa final'!#REF!="Menor"),CONCATENATE("R3C",'Mapa final'!#REF!),"")</f>
        <v>#REF!</v>
      </c>
      <c r="T28" s="68" t="e">
        <f>IF(AND('Mapa final'!#REF!="Media",'Mapa final'!#REF!="Menor"),CONCATENATE("R3C",'Mapa final'!#REF!),"")</f>
        <v>#REF!</v>
      </c>
      <c r="U28" s="69" t="e">
        <f>IF(AND('Mapa final'!#REF!="Media",'Mapa final'!#REF!="Menor"),CONCATENATE("R3C",'Mapa final'!#REF!),"")</f>
        <v>#REF!</v>
      </c>
      <c r="V28" s="67" t="str">
        <f>IF(AND('Mapa final'!$AB$14="Media",'Mapa final'!$AD$14="Moderado"),CONCATENATE("R3C",'Mapa final'!$R$14),"")</f>
        <v/>
      </c>
      <c r="W28" s="68" t="e">
        <f>IF(AND('Mapa final'!#REF!="Media",'Mapa final'!#REF!="Moderado"),CONCATENATE("R3C",'Mapa final'!#REF!),"")</f>
        <v>#REF!</v>
      </c>
      <c r="X28" s="68" t="e">
        <f>IF(AND('Mapa final'!#REF!="Media",'Mapa final'!#REF!="Moderado"),CONCATENATE("R3C",'Mapa final'!#REF!),"")</f>
        <v>#REF!</v>
      </c>
      <c r="Y28" s="68" t="e">
        <f>IF(AND('Mapa final'!#REF!="Media",'Mapa final'!#REF!="Moderado"),CONCATENATE("R3C",'Mapa final'!#REF!),"")</f>
        <v>#REF!</v>
      </c>
      <c r="Z28" s="68" t="e">
        <f>IF(AND('Mapa final'!#REF!="Media",'Mapa final'!#REF!="Moderado"),CONCATENATE("R3C",'Mapa final'!#REF!),"")</f>
        <v>#REF!</v>
      </c>
      <c r="AA28" s="69" t="e">
        <f>IF(AND('Mapa final'!#REF!="Media",'Mapa final'!#REF!="Moderado"),CONCATENATE("R3C",'Mapa final'!#REF!),"")</f>
        <v>#REF!</v>
      </c>
      <c r="AB28" s="52" t="str">
        <f>IF(AND('Mapa final'!$AB$14="Media",'Mapa final'!$AD$14="Mayor"),CONCATENATE("R3C",'Mapa final'!$R$14),"")</f>
        <v/>
      </c>
      <c r="AC28" s="53" t="e">
        <f>IF(AND('Mapa final'!#REF!="Media",'Mapa final'!#REF!="Mayor"),CONCATENATE("R3C",'Mapa final'!#REF!),"")</f>
        <v>#REF!</v>
      </c>
      <c r="AD28" s="53" t="e">
        <f>IF(AND('Mapa final'!#REF!="Media",'Mapa final'!#REF!="Mayor"),CONCATENATE("R3C",'Mapa final'!#REF!),"")</f>
        <v>#REF!</v>
      </c>
      <c r="AE28" s="53" t="e">
        <f>IF(AND('Mapa final'!#REF!="Media",'Mapa final'!#REF!="Mayor"),CONCATENATE("R3C",'Mapa final'!#REF!),"")</f>
        <v>#REF!</v>
      </c>
      <c r="AF28" s="53" t="e">
        <f>IF(AND('Mapa final'!#REF!="Media",'Mapa final'!#REF!="Mayor"),CONCATENATE("R3C",'Mapa final'!#REF!),"")</f>
        <v>#REF!</v>
      </c>
      <c r="AG28" s="54" t="e">
        <f>IF(AND('Mapa final'!#REF!="Media",'Mapa final'!#REF!="Mayor"),CONCATENATE("R3C",'Mapa final'!#REF!),"")</f>
        <v>#REF!</v>
      </c>
      <c r="AH28" s="55" t="str">
        <f>IF(AND('Mapa final'!$AB$14="Media",'Mapa final'!$AD$14="Catastrófico"),CONCATENATE("R3C",'Mapa final'!$R$14),"")</f>
        <v/>
      </c>
      <c r="AI28" s="56" t="e">
        <f>IF(AND('Mapa final'!#REF!="Media",'Mapa final'!#REF!="Catastrófico"),CONCATENATE("R3C",'Mapa final'!#REF!),"")</f>
        <v>#REF!</v>
      </c>
      <c r="AJ28" s="56" t="e">
        <f>IF(AND('Mapa final'!#REF!="Media",'Mapa final'!#REF!="Catastrófico"),CONCATENATE("R3C",'Mapa final'!#REF!),"")</f>
        <v>#REF!</v>
      </c>
      <c r="AK28" s="56" t="e">
        <f>IF(AND('Mapa final'!#REF!="Media",'Mapa final'!#REF!="Catastrófico"),CONCATENATE("R3C",'Mapa final'!#REF!),"")</f>
        <v>#REF!</v>
      </c>
      <c r="AL28" s="56" t="e">
        <f>IF(AND('Mapa final'!#REF!="Media",'Mapa final'!#REF!="Catastrófico"),CONCATENATE("R3C",'Mapa final'!#REF!),"")</f>
        <v>#REF!</v>
      </c>
      <c r="AM28" s="57" t="e">
        <f>IF(AND('Mapa final'!#REF!="Media",'Mapa final'!#REF!="Catastrófico"),CONCATENATE("R3C",'Mapa final'!#REF!),"")</f>
        <v>#REF!</v>
      </c>
      <c r="AN28" s="83"/>
      <c r="AO28" s="397"/>
      <c r="AP28" s="398"/>
      <c r="AQ28" s="398"/>
      <c r="AR28" s="398"/>
      <c r="AS28" s="398"/>
      <c r="AT28" s="39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316"/>
      <c r="C29" s="316"/>
      <c r="D29" s="317"/>
      <c r="E29" s="357"/>
      <c r="F29" s="358"/>
      <c r="G29" s="358"/>
      <c r="H29" s="358"/>
      <c r="I29" s="359"/>
      <c r="J29" s="67" t="e">
        <f>IF(AND('Mapa final'!#REF!="Media",'Mapa final'!#REF!="Leve"),CONCATENATE("R4C",'Mapa final'!#REF!),"")</f>
        <v>#REF!</v>
      </c>
      <c r="K29" s="68" t="e">
        <f>IF(AND('Mapa final'!#REF!="Media",'Mapa final'!#REF!="Leve"),CONCATENATE("R4C",'Mapa final'!#REF!),"")</f>
        <v>#REF!</v>
      </c>
      <c r="L29" s="68" t="e">
        <f>IF(AND('Mapa final'!#REF!="Media",'Mapa final'!#REF!="Leve"),CONCATENATE("R4C",'Mapa final'!#REF!),"")</f>
        <v>#REF!</v>
      </c>
      <c r="M29" s="68" t="e">
        <f>IF(AND('Mapa final'!#REF!="Media",'Mapa final'!#REF!="Leve"),CONCATENATE("R4C",'Mapa final'!#REF!),"")</f>
        <v>#REF!</v>
      </c>
      <c r="N29" s="68" t="e">
        <f>IF(AND('Mapa final'!#REF!="Media",'Mapa final'!#REF!="Leve"),CONCATENATE("R4C",'Mapa final'!#REF!),"")</f>
        <v>#REF!</v>
      </c>
      <c r="O29" s="69" t="e">
        <f>IF(AND('Mapa final'!#REF!="Media",'Mapa final'!#REF!="Leve"),CONCATENATE("R4C",'Mapa final'!#REF!),"")</f>
        <v>#REF!</v>
      </c>
      <c r="P29" s="67" t="e">
        <f>IF(AND('Mapa final'!#REF!="Media",'Mapa final'!#REF!="Menor"),CONCATENATE("R4C",'Mapa final'!#REF!),"")</f>
        <v>#REF!</v>
      </c>
      <c r="Q29" s="68" t="e">
        <f>IF(AND('Mapa final'!#REF!="Media",'Mapa final'!#REF!="Menor"),CONCATENATE("R4C",'Mapa final'!#REF!),"")</f>
        <v>#REF!</v>
      </c>
      <c r="R29" s="68" t="e">
        <f>IF(AND('Mapa final'!#REF!="Media",'Mapa final'!#REF!="Menor"),CONCATENATE("R4C",'Mapa final'!#REF!),"")</f>
        <v>#REF!</v>
      </c>
      <c r="S29" s="68" t="e">
        <f>IF(AND('Mapa final'!#REF!="Media",'Mapa final'!#REF!="Menor"),CONCATENATE("R4C",'Mapa final'!#REF!),"")</f>
        <v>#REF!</v>
      </c>
      <c r="T29" s="68" t="e">
        <f>IF(AND('Mapa final'!#REF!="Media",'Mapa final'!#REF!="Menor"),CONCATENATE("R4C",'Mapa final'!#REF!),"")</f>
        <v>#REF!</v>
      </c>
      <c r="U29" s="69" t="e">
        <f>IF(AND('Mapa final'!#REF!="Media",'Mapa final'!#REF!="Menor"),CONCATENATE("R4C",'Mapa final'!#REF!),"")</f>
        <v>#REF!</v>
      </c>
      <c r="V29" s="67" t="e">
        <f>IF(AND('Mapa final'!#REF!="Media",'Mapa final'!#REF!="Moderado"),CONCATENATE("R4C",'Mapa final'!#REF!),"")</f>
        <v>#REF!</v>
      </c>
      <c r="W29" s="68" t="e">
        <f>IF(AND('Mapa final'!#REF!="Media",'Mapa final'!#REF!="Moderado"),CONCATENATE("R4C",'Mapa final'!#REF!),"")</f>
        <v>#REF!</v>
      </c>
      <c r="X29" s="68" t="e">
        <f>IF(AND('Mapa final'!#REF!="Media",'Mapa final'!#REF!="Moderado"),CONCATENATE("R4C",'Mapa final'!#REF!),"")</f>
        <v>#REF!</v>
      </c>
      <c r="Y29" s="68" t="e">
        <f>IF(AND('Mapa final'!#REF!="Media",'Mapa final'!#REF!="Moderado"),CONCATENATE("R4C",'Mapa final'!#REF!),"")</f>
        <v>#REF!</v>
      </c>
      <c r="Z29" s="68" t="e">
        <f>IF(AND('Mapa final'!#REF!="Media",'Mapa final'!#REF!="Moderado"),CONCATENATE("R4C",'Mapa final'!#REF!),"")</f>
        <v>#REF!</v>
      </c>
      <c r="AA29" s="69" t="e">
        <f>IF(AND('Mapa final'!#REF!="Media",'Mapa final'!#REF!="Moderado"),CONCATENATE("R4C",'Mapa final'!#REF!),"")</f>
        <v>#REF!</v>
      </c>
      <c r="AB29" s="52" t="e">
        <f>IF(AND('Mapa final'!#REF!="Media",'Mapa final'!#REF!="Mayor"),CONCATENATE("R4C",'Mapa final'!#REF!),"")</f>
        <v>#REF!</v>
      </c>
      <c r="AC29" s="53" t="e">
        <f>IF(AND('Mapa final'!#REF!="Media",'Mapa final'!#REF!="Mayor"),CONCATENATE("R4C",'Mapa final'!#REF!),"")</f>
        <v>#REF!</v>
      </c>
      <c r="AD29" s="53" t="e">
        <f>IF(AND('Mapa final'!#REF!="Media",'Mapa final'!#REF!="Mayor"),CONCATENATE("R4C",'Mapa final'!#REF!),"")</f>
        <v>#REF!</v>
      </c>
      <c r="AE29" s="53" t="e">
        <f>IF(AND('Mapa final'!#REF!="Media",'Mapa final'!#REF!="Mayor"),CONCATENATE("R4C",'Mapa final'!#REF!),"")</f>
        <v>#REF!</v>
      </c>
      <c r="AF29" s="53" t="e">
        <f>IF(AND('Mapa final'!#REF!="Media",'Mapa final'!#REF!="Mayor"),CONCATENATE("R4C",'Mapa final'!#REF!),"")</f>
        <v>#REF!</v>
      </c>
      <c r="AG29" s="54" t="e">
        <f>IF(AND('Mapa final'!#REF!="Media",'Mapa final'!#REF!="Mayor"),CONCATENATE("R4C",'Mapa final'!#REF!),"")</f>
        <v>#REF!</v>
      </c>
      <c r="AH29" s="55" t="e">
        <f>IF(AND('Mapa final'!#REF!="Media",'Mapa final'!#REF!="Catastrófico"),CONCATENATE("R4C",'Mapa final'!#REF!),"")</f>
        <v>#REF!</v>
      </c>
      <c r="AI29" s="56" t="e">
        <f>IF(AND('Mapa final'!#REF!="Media",'Mapa final'!#REF!="Catastrófico"),CONCATENATE("R4C",'Mapa final'!#REF!),"")</f>
        <v>#REF!</v>
      </c>
      <c r="AJ29" s="56" t="e">
        <f>IF(AND('Mapa final'!#REF!="Media",'Mapa final'!#REF!="Catastrófico"),CONCATENATE("R4C",'Mapa final'!#REF!),"")</f>
        <v>#REF!</v>
      </c>
      <c r="AK29" s="56" t="e">
        <f>IF(AND('Mapa final'!#REF!="Media",'Mapa final'!#REF!="Catastrófico"),CONCATENATE("R4C",'Mapa final'!#REF!),"")</f>
        <v>#REF!</v>
      </c>
      <c r="AL29" s="56" t="e">
        <f>IF(AND('Mapa final'!#REF!="Media",'Mapa final'!#REF!="Catastrófico"),CONCATENATE("R4C",'Mapa final'!#REF!),"")</f>
        <v>#REF!</v>
      </c>
      <c r="AM29" s="57" t="e">
        <f>IF(AND('Mapa final'!#REF!="Media",'Mapa final'!#REF!="Catastrófico"),CONCATENATE("R4C",'Mapa final'!#REF!),"")</f>
        <v>#REF!</v>
      </c>
      <c r="AN29" s="83"/>
      <c r="AO29" s="397"/>
      <c r="AP29" s="398"/>
      <c r="AQ29" s="398"/>
      <c r="AR29" s="398"/>
      <c r="AS29" s="398"/>
      <c r="AT29" s="39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316"/>
      <c r="C30" s="316"/>
      <c r="D30" s="317"/>
      <c r="E30" s="357"/>
      <c r="F30" s="358"/>
      <c r="G30" s="358"/>
      <c r="H30" s="358"/>
      <c r="I30" s="359"/>
      <c r="J30" s="67" t="str">
        <f>IF(AND('Mapa final'!$AB$15="Media",'Mapa final'!$AD$15="Leve"),CONCATENATE("R5C",'Mapa final'!$R$15),"")</f>
        <v/>
      </c>
      <c r="K30" s="68" t="str">
        <f>IF(AND('Mapa final'!$AB$16="Media",'Mapa final'!$AD$16="Leve"),CONCATENATE("R5C",'Mapa final'!$R$16),"")</f>
        <v/>
      </c>
      <c r="L30" s="68" t="str">
        <f>IF(AND('Mapa final'!$AB$17="Media",'Mapa final'!$AD$17="Leve"),CONCATENATE("R5C",'Mapa final'!$R$17),"")</f>
        <v/>
      </c>
      <c r="M30" s="68" t="str">
        <f>IF(AND('Mapa final'!$AB$18="Media",'Mapa final'!$AD$18="Leve"),CONCATENATE("R5C",'Mapa final'!$R$18),"")</f>
        <v/>
      </c>
      <c r="N30" s="68" t="str">
        <f>IF(AND('Mapa final'!$AB$19="Media",'Mapa final'!$AD$19="Leve"),CONCATENATE("R5C",'Mapa final'!$R$19),"")</f>
        <v/>
      </c>
      <c r="O30" s="69" t="str">
        <f>IF(AND('Mapa final'!$AB$20="Media",'Mapa final'!$AD$20="Leve"),CONCATENATE("R5C",'Mapa final'!$R$20),"")</f>
        <v/>
      </c>
      <c r="P30" s="67" t="str">
        <f>IF(AND('Mapa final'!$AB$15="Media",'Mapa final'!$AD$15="Menor"),CONCATENATE("R5C",'Mapa final'!$R$15),"")</f>
        <v/>
      </c>
      <c r="Q30" s="68" t="str">
        <f>IF(AND('Mapa final'!$AB$16="Media",'Mapa final'!$AD$16="Menor"),CONCATENATE("R5C",'Mapa final'!$R$16),"")</f>
        <v/>
      </c>
      <c r="R30" s="68" t="str">
        <f>IF(AND('Mapa final'!$AB$17="Media",'Mapa final'!$AD$17="Menor"),CONCATENATE("R5C",'Mapa final'!$R$17),"")</f>
        <v/>
      </c>
      <c r="S30" s="68" t="str">
        <f>IF(AND('Mapa final'!$AB$18="Media",'Mapa final'!$AD$18="Menor"),CONCATENATE("R5C",'Mapa final'!$R$18),"")</f>
        <v/>
      </c>
      <c r="T30" s="68" t="str">
        <f>IF(AND('Mapa final'!$AB$19="Media",'Mapa final'!$AD$19="Menor"),CONCATENATE("R5C",'Mapa final'!$R$19),"")</f>
        <v/>
      </c>
      <c r="U30" s="69" t="str">
        <f>IF(AND('Mapa final'!$AB$20="Media",'Mapa final'!$AD$20="Menor"),CONCATENATE("R5C",'Mapa final'!$R$20),"")</f>
        <v/>
      </c>
      <c r="V30" s="67" t="str">
        <f>IF(AND('Mapa final'!$AB$15="Media",'Mapa final'!$AD$15="Moderado"),CONCATENATE("R5C",'Mapa final'!$R$15),"")</f>
        <v/>
      </c>
      <c r="W30" s="68" t="str">
        <f>IF(AND('Mapa final'!$AB$16="Media",'Mapa final'!$AD$16="Moderado"),CONCATENATE("R5C",'Mapa final'!$R$16),"")</f>
        <v/>
      </c>
      <c r="X30" s="68" t="str">
        <f>IF(AND('Mapa final'!$AB$17="Media",'Mapa final'!$AD$17="Moderado"),CONCATENATE("R5C",'Mapa final'!$R$17),"")</f>
        <v/>
      </c>
      <c r="Y30" s="68" t="str">
        <f>IF(AND('Mapa final'!$AB$18="Media",'Mapa final'!$AD$18="Moderado"),CONCATENATE("R5C",'Mapa final'!$R$18),"")</f>
        <v/>
      </c>
      <c r="Z30" s="68" t="str">
        <f>IF(AND('Mapa final'!$AB$19="Media",'Mapa final'!$AD$19="Moderado"),CONCATENATE("R5C",'Mapa final'!$R$19),"")</f>
        <v/>
      </c>
      <c r="AA30" s="69" t="str">
        <f>IF(AND('Mapa final'!$AB$20="Media",'Mapa final'!$AD$20="Moderado"),CONCATENATE("R5C",'Mapa final'!$R$20),"")</f>
        <v/>
      </c>
      <c r="AB30" s="52" t="str">
        <f>IF(AND('Mapa final'!$AB$15="Media",'Mapa final'!$AD$15="Mayor"),CONCATENATE("R5C",'Mapa final'!$R$15),"")</f>
        <v/>
      </c>
      <c r="AC30" s="53" t="str">
        <f>IF(AND('Mapa final'!$AB$16="Media",'Mapa final'!$AD$16="Mayor"),CONCATENATE("R5C",'Mapa final'!$R$16),"")</f>
        <v/>
      </c>
      <c r="AD30" s="53" t="str">
        <f>IF(AND('Mapa final'!$AB$17="Media",'Mapa final'!$AD$17="Mayor"),CONCATENATE("R5C",'Mapa final'!$R$17),"")</f>
        <v/>
      </c>
      <c r="AE30" s="53" t="str">
        <f>IF(AND('Mapa final'!$AB$18="Media",'Mapa final'!$AD$18="Mayor"),CONCATENATE("R5C",'Mapa final'!$R$18),"")</f>
        <v/>
      </c>
      <c r="AF30" s="53" t="str">
        <f>IF(AND('Mapa final'!$AB$19="Media",'Mapa final'!$AD$19="Mayor"),CONCATENATE("R5C",'Mapa final'!$R$19),"")</f>
        <v/>
      </c>
      <c r="AG30" s="54" t="str">
        <f>IF(AND('Mapa final'!$AB$20="Media",'Mapa final'!$AD$20="Mayor"),CONCATENATE("R5C",'Mapa final'!$R$20),"")</f>
        <v/>
      </c>
      <c r="AH30" s="55" t="str">
        <f>IF(AND('Mapa final'!$AB$15="Media",'Mapa final'!$AD$15="Catastrófico"),CONCATENATE("R5C",'Mapa final'!$R$15),"")</f>
        <v/>
      </c>
      <c r="AI30" s="56" t="str">
        <f>IF(AND('Mapa final'!$AB$16="Media",'Mapa final'!$AD$16="Catastrófico"),CONCATENATE("R5C",'Mapa final'!$R$16),"")</f>
        <v/>
      </c>
      <c r="AJ30" s="56" t="str">
        <f>IF(AND('Mapa final'!$AB$17="Media",'Mapa final'!$AD$17="Catastrófico"),CONCATENATE("R5C",'Mapa final'!$R$17),"")</f>
        <v/>
      </c>
      <c r="AK30" s="56" t="str">
        <f>IF(AND('Mapa final'!$AB$18="Media",'Mapa final'!$AD$18="Catastrófico"),CONCATENATE("R5C",'Mapa final'!$R$18),"")</f>
        <v/>
      </c>
      <c r="AL30" s="56" t="str">
        <f>IF(AND('Mapa final'!$AB$19="Media",'Mapa final'!$AD$19="Catastrófico"),CONCATENATE("R5C",'Mapa final'!$R$19),"")</f>
        <v/>
      </c>
      <c r="AM30" s="57" t="str">
        <f>IF(AND('Mapa final'!$AB$20="Media",'Mapa final'!$AD$20="Catastrófico"),CONCATENATE("R5C",'Mapa final'!$R$20),"")</f>
        <v/>
      </c>
      <c r="AN30" s="83"/>
      <c r="AO30" s="397"/>
      <c r="AP30" s="398"/>
      <c r="AQ30" s="398"/>
      <c r="AR30" s="398"/>
      <c r="AS30" s="398"/>
      <c r="AT30" s="39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316"/>
      <c r="C31" s="316"/>
      <c r="D31" s="317"/>
      <c r="E31" s="357"/>
      <c r="F31" s="358"/>
      <c r="G31" s="358"/>
      <c r="H31" s="358"/>
      <c r="I31" s="359"/>
      <c r="J31" s="67" t="str">
        <f>IF(AND('Mapa final'!$AB$21="Media",'Mapa final'!$AD$21="Leve"),CONCATENATE("R6C",'Mapa final'!$R$21),"")</f>
        <v/>
      </c>
      <c r="K31" s="68" t="str">
        <f>IF(AND('Mapa final'!$AB$22="Media",'Mapa final'!$AD$22="Leve"),CONCATENATE("R6C",'Mapa final'!$R$22),"")</f>
        <v/>
      </c>
      <c r="L31" s="68" t="str">
        <f>IF(AND('Mapa final'!$AB$23="Media",'Mapa final'!$AD$23="Leve"),CONCATENATE("R6C",'Mapa final'!$R$23),"")</f>
        <v/>
      </c>
      <c r="M31" s="68" t="str">
        <f>IF(AND('Mapa final'!$AB$24="Media",'Mapa final'!$AD$24="Leve"),CONCATENATE("R6C",'Mapa final'!$R$24),"")</f>
        <v/>
      </c>
      <c r="N31" s="68" t="str">
        <f>IF(AND('Mapa final'!$AB$25="Media",'Mapa final'!$AD$25="Leve"),CONCATENATE("R6C",'Mapa final'!$R$25),"")</f>
        <v/>
      </c>
      <c r="O31" s="69" t="str">
        <f>IF(AND('Mapa final'!$AB$26="Media",'Mapa final'!$AD$26="Leve"),CONCATENATE("R6C",'Mapa final'!$R$26),"")</f>
        <v/>
      </c>
      <c r="P31" s="67" t="str">
        <f>IF(AND('Mapa final'!$AB$21="Media",'Mapa final'!$AD$21="Menor"),CONCATENATE("R6C",'Mapa final'!$R$21),"")</f>
        <v/>
      </c>
      <c r="Q31" s="68" t="str">
        <f>IF(AND('Mapa final'!$AB$22="Media",'Mapa final'!$AD$22="Menor"),CONCATENATE("R6C",'Mapa final'!$R$22),"")</f>
        <v/>
      </c>
      <c r="R31" s="68" t="str">
        <f>IF(AND('Mapa final'!$AB$23="Media",'Mapa final'!$AD$23="Menor"),CONCATENATE("R6C",'Mapa final'!$R$23),"")</f>
        <v/>
      </c>
      <c r="S31" s="68" t="str">
        <f>IF(AND('Mapa final'!$AB$24="Media",'Mapa final'!$AD$24="Menor"),CONCATENATE("R6C",'Mapa final'!$R$24),"")</f>
        <v/>
      </c>
      <c r="T31" s="68" t="str">
        <f>IF(AND('Mapa final'!$AB$25="Media",'Mapa final'!$AD$25="Menor"),CONCATENATE("R6C",'Mapa final'!$R$25),"")</f>
        <v/>
      </c>
      <c r="U31" s="69" t="str">
        <f>IF(AND('Mapa final'!$AB$26="Media",'Mapa final'!$AD$26="Menor"),CONCATENATE("R6C",'Mapa final'!$R$26),"")</f>
        <v/>
      </c>
      <c r="V31" s="67" t="str">
        <f>IF(AND('Mapa final'!$AB$21="Media",'Mapa final'!$AD$21="Moderado"),CONCATENATE("R6C",'Mapa final'!$R$21),"")</f>
        <v/>
      </c>
      <c r="W31" s="68" t="str">
        <f>IF(AND('Mapa final'!$AB$22="Media",'Mapa final'!$AD$22="Moderado"),CONCATENATE("R6C",'Mapa final'!$R$22),"")</f>
        <v/>
      </c>
      <c r="X31" s="68" t="str">
        <f>IF(AND('Mapa final'!$AB$23="Media",'Mapa final'!$AD$23="Moderado"),CONCATENATE("R6C",'Mapa final'!$R$23),"")</f>
        <v/>
      </c>
      <c r="Y31" s="68" t="str">
        <f>IF(AND('Mapa final'!$AB$24="Media",'Mapa final'!$AD$24="Moderado"),CONCATENATE("R6C",'Mapa final'!$R$24),"")</f>
        <v/>
      </c>
      <c r="Z31" s="68" t="str">
        <f>IF(AND('Mapa final'!$AB$25="Media",'Mapa final'!$AD$25="Moderado"),CONCATENATE("R6C",'Mapa final'!$R$25),"")</f>
        <v/>
      </c>
      <c r="AA31" s="69" t="str">
        <f>IF(AND('Mapa final'!$AB$26="Media",'Mapa final'!$AD$26="Moderado"),CONCATENATE("R6C",'Mapa final'!$R$26),"")</f>
        <v/>
      </c>
      <c r="AB31" s="52" t="str">
        <f>IF(AND('Mapa final'!$AB$21="Media",'Mapa final'!$AD$21="Mayor"),CONCATENATE("R6C",'Mapa final'!$R$21),"")</f>
        <v/>
      </c>
      <c r="AC31" s="53" t="str">
        <f>IF(AND('Mapa final'!$AB$22="Media",'Mapa final'!$AD$22="Mayor"),CONCATENATE("R6C",'Mapa final'!$R$22),"")</f>
        <v/>
      </c>
      <c r="AD31" s="53" t="str">
        <f>IF(AND('Mapa final'!$AB$23="Media",'Mapa final'!$AD$23="Mayor"),CONCATENATE("R6C",'Mapa final'!$R$23),"")</f>
        <v/>
      </c>
      <c r="AE31" s="53" t="str">
        <f>IF(AND('Mapa final'!$AB$24="Media",'Mapa final'!$AD$24="Mayor"),CONCATENATE("R6C",'Mapa final'!$R$24),"")</f>
        <v/>
      </c>
      <c r="AF31" s="53" t="str">
        <f>IF(AND('Mapa final'!$AB$25="Media",'Mapa final'!$AD$25="Mayor"),CONCATENATE("R6C",'Mapa final'!$R$25),"")</f>
        <v/>
      </c>
      <c r="AG31" s="54" t="str">
        <f>IF(AND('Mapa final'!$AB$26="Media",'Mapa final'!$AD$26="Mayor"),CONCATENATE("R6C",'Mapa final'!$R$26),"")</f>
        <v/>
      </c>
      <c r="AH31" s="55" t="str">
        <f>IF(AND('Mapa final'!$AB$21="Media",'Mapa final'!$AD$21="Catastrófico"),CONCATENATE("R6C",'Mapa final'!$R$21),"")</f>
        <v/>
      </c>
      <c r="AI31" s="56" t="str">
        <f>IF(AND('Mapa final'!$AB$22="Media",'Mapa final'!$AD$22="Catastrófico"),CONCATENATE("R6C",'Mapa final'!$R$22),"")</f>
        <v/>
      </c>
      <c r="AJ31" s="56" t="str">
        <f>IF(AND('Mapa final'!$AB$23="Media",'Mapa final'!$AD$23="Catastrófico"),CONCATENATE("R6C",'Mapa final'!$R$23),"")</f>
        <v/>
      </c>
      <c r="AK31" s="56" t="str">
        <f>IF(AND('Mapa final'!$AB$24="Media",'Mapa final'!$AD$24="Catastrófico"),CONCATENATE("R6C",'Mapa final'!$R$24),"")</f>
        <v/>
      </c>
      <c r="AL31" s="56" t="str">
        <f>IF(AND('Mapa final'!$AB$25="Media",'Mapa final'!$AD$25="Catastrófico"),CONCATENATE("R6C",'Mapa final'!$R$25),"")</f>
        <v/>
      </c>
      <c r="AM31" s="57" t="str">
        <f>IF(AND('Mapa final'!$AB$26="Media",'Mapa final'!$AD$26="Catastrófico"),CONCATENATE("R6C",'Mapa final'!$R$26),"")</f>
        <v/>
      </c>
      <c r="AN31" s="83"/>
      <c r="AO31" s="397"/>
      <c r="AP31" s="398"/>
      <c r="AQ31" s="398"/>
      <c r="AR31" s="398"/>
      <c r="AS31" s="398"/>
      <c r="AT31" s="39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316"/>
      <c r="C32" s="316"/>
      <c r="D32" s="317"/>
      <c r="E32" s="357"/>
      <c r="F32" s="358"/>
      <c r="G32" s="358"/>
      <c r="H32" s="358"/>
      <c r="I32" s="359"/>
      <c r="J32" s="67" t="str">
        <f>IF(AND('Mapa final'!$AB$27="Media",'Mapa final'!$AD$27="Leve"),CONCATENATE("R7C",'Mapa final'!$R$27),"")</f>
        <v/>
      </c>
      <c r="K32" s="68" t="str">
        <f>IF(AND('Mapa final'!$AB$28="Media",'Mapa final'!$AD$28="Leve"),CONCATENATE("R7C",'Mapa final'!$R$28),"")</f>
        <v/>
      </c>
      <c r="L32" s="68" t="str">
        <f>IF(AND('Mapa final'!$AB$29="Media",'Mapa final'!$AD$29="Leve"),CONCATENATE("R7C",'Mapa final'!$R$29),"")</f>
        <v/>
      </c>
      <c r="M32" s="68" t="str">
        <f>IF(AND('Mapa final'!$AB$30="Media",'Mapa final'!$AD$30="Leve"),CONCATENATE("R7C",'Mapa final'!$R$30),"")</f>
        <v/>
      </c>
      <c r="N32" s="68" t="str">
        <f>IF(AND('Mapa final'!$AB$31="Media",'Mapa final'!$AD$31="Leve"),CONCATENATE("R7C",'Mapa final'!$R$31),"")</f>
        <v/>
      </c>
      <c r="O32" s="69" t="str">
        <f>IF(AND('Mapa final'!$AB$32="Media",'Mapa final'!$AD$32="Leve"),CONCATENATE("R7C",'Mapa final'!$R$32),"")</f>
        <v/>
      </c>
      <c r="P32" s="67" t="str">
        <f>IF(AND('Mapa final'!$AB$27="Media",'Mapa final'!$AD$27="Menor"),CONCATENATE("R7C",'Mapa final'!$R$27),"")</f>
        <v/>
      </c>
      <c r="Q32" s="68" t="str">
        <f>IF(AND('Mapa final'!$AB$28="Media",'Mapa final'!$AD$28="Menor"),CONCATENATE("R7C",'Mapa final'!$R$28),"")</f>
        <v/>
      </c>
      <c r="R32" s="68" t="str">
        <f>IF(AND('Mapa final'!$AB$29="Media",'Mapa final'!$AD$29="Menor"),CONCATENATE("R7C",'Mapa final'!$R$29),"")</f>
        <v/>
      </c>
      <c r="S32" s="68" t="str">
        <f>IF(AND('Mapa final'!$AB$30="Media",'Mapa final'!$AD$30="Menor"),CONCATENATE("R7C",'Mapa final'!$R$30),"")</f>
        <v/>
      </c>
      <c r="T32" s="68" t="str">
        <f>IF(AND('Mapa final'!$AB$31="Media",'Mapa final'!$AD$31="Menor"),CONCATENATE("R7C",'Mapa final'!$R$31),"")</f>
        <v/>
      </c>
      <c r="U32" s="69" t="str">
        <f>IF(AND('Mapa final'!$AB$32="Media",'Mapa final'!$AD$32="Menor"),CONCATENATE("R7C",'Mapa final'!$R$32),"")</f>
        <v/>
      </c>
      <c r="V32" s="67" t="str">
        <f>IF(AND('Mapa final'!$AB$27="Media",'Mapa final'!$AD$27="Moderado"),CONCATENATE("R7C",'Mapa final'!$R$27),"")</f>
        <v/>
      </c>
      <c r="W32" s="68" t="str">
        <f>IF(AND('Mapa final'!$AB$28="Media",'Mapa final'!$AD$28="Moderado"),CONCATENATE("R7C",'Mapa final'!$R$28),"")</f>
        <v/>
      </c>
      <c r="X32" s="68" t="str">
        <f>IF(AND('Mapa final'!$AB$29="Media",'Mapa final'!$AD$29="Moderado"),CONCATENATE("R7C",'Mapa final'!$R$29),"")</f>
        <v/>
      </c>
      <c r="Y32" s="68" t="str">
        <f>IF(AND('Mapa final'!$AB$30="Media",'Mapa final'!$AD$30="Moderado"),CONCATENATE("R7C",'Mapa final'!$R$30),"")</f>
        <v/>
      </c>
      <c r="Z32" s="68" t="str">
        <f>IF(AND('Mapa final'!$AB$31="Media",'Mapa final'!$AD$31="Moderado"),CONCATENATE("R7C",'Mapa final'!$R$31),"")</f>
        <v/>
      </c>
      <c r="AA32" s="69" t="str">
        <f>IF(AND('Mapa final'!$AB$32="Media",'Mapa final'!$AD$32="Moderado"),CONCATENATE("R7C",'Mapa final'!$R$32),"")</f>
        <v/>
      </c>
      <c r="AB32" s="52" t="str">
        <f>IF(AND('Mapa final'!$AB$27="Media",'Mapa final'!$AD$27="Mayor"),CONCATENATE("R7C",'Mapa final'!$R$27),"")</f>
        <v/>
      </c>
      <c r="AC32" s="53" t="str">
        <f>IF(AND('Mapa final'!$AB$28="Media",'Mapa final'!$AD$28="Mayor"),CONCATENATE("R7C",'Mapa final'!$R$28),"")</f>
        <v/>
      </c>
      <c r="AD32" s="53" t="str">
        <f>IF(AND('Mapa final'!$AB$29="Media",'Mapa final'!$AD$29="Mayor"),CONCATENATE("R7C",'Mapa final'!$R$29),"")</f>
        <v/>
      </c>
      <c r="AE32" s="53" t="str">
        <f>IF(AND('Mapa final'!$AB$30="Media",'Mapa final'!$AD$30="Mayor"),CONCATENATE("R7C",'Mapa final'!$R$30),"")</f>
        <v/>
      </c>
      <c r="AF32" s="53" t="str">
        <f>IF(AND('Mapa final'!$AB$31="Media",'Mapa final'!$AD$31="Mayor"),CONCATENATE("R7C",'Mapa final'!$R$31),"")</f>
        <v/>
      </c>
      <c r="AG32" s="54" t="str">
        <f>IF(AND('Mapa final'!$AB$32="Media",'Mapa final'!$AD$32="Mayor"),CONCATENATE("R7C",'Mapa final'!$R$32),"")</f>
        <v/>
      </c>
      <c r="AH32" s="55" t="str">
        <f>IF(AND('Mapa final'!$AB$27="Media",'Mapa final'!$AD$27="Catastrófico"),CONCATENATE("R7C",'Mapa final'!$R$27),"")</f>
        <v/>
      </c>
      <c r="AI32" s="56" t="str">
        <f>IF(AND('Mapa final'!$AB$28="Media",'Mapa final'!$AD$28="Catastrófico"),CONCATENATE("R7C",'Mapa final'!$R$28),"")</f>
        <v/>
      </c>
      <c r="AJ32" s="56" t="str">
        <f>IF(AND('Mapa final'!$AB$29="Media",'Mapa final'!$AD$29="Catastrófico"),CONCATENATE("R7C",'Mapa final'!$R$29),"")</f>
        <v/>
      </c>
      <c r="AK32" s="56" t="str">
        <f>IF(AND('Mapa final'!$AB$30="Media",'Mapa final'!$AD$30="Catastrófico"),CONCATENATE("R7C",'Mapa final'!$R$30),"")</f>
        <v/>
      </c>
      <c r="AL32" s="56" t="str">
        <f>IF(AND('Mapa final'!$AB$31="Media",'Mapa final'!$AD$31="Catastrófico"),CONCATENATE("R7C",'Mapa final'!$R$31),"")</f>
        <v/>
      </c>
      <c r="AM32" s="57" t="str">
        <f>IF(AND('Mapa final'!$AB$32="Media",'Mapa final'!$AD$32="Catastrófico"),CONCATENATE("R7C",'Mapa final'!$R$32),"")</f>
        <v/>
      </c>
      <c r="AN32" s="83"/>
      <c r="AO32" s="397"/>
      <c r="AP32" s="398"/>
      <c r="AQ32" s="398"/>
      <c r="AR32" s="398"/>
      <c r="AS32" s="398"/>
      <c r="AT32" s="39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316"/>
      <c r="C33" s="316"/>
      <c r="D33" s="317"/>
      <c r="E33" s="357"/>
      <c r="F33" s="358"/>
      <c r="G33" s="358"/>
      <c r="H33" s="358"/>
      <c r="I33" s="359"/>
      <c r="J33" s="67" t="str">
        <f>IF(AND('Mapa final'!$AB$33="Media",'Mapa final'!$AD$33="Leve"),CONCATENATE("R8C",'Mapa final'!$R$33),"")</f>
        <v/>
      </c>
      <c r="K33" s="68" t="str">
        <f>IF(AND('Mapa final'!$AB$34="Media",'Mapa final'!$AD$34="Leve"),CONCATENATE("R8C",'Mapa final'!$R$34),"")</f>
        <v/>
      </c>
      <c r="L33" s="68" t="str">
        <f>IF(AND('Mapa final'!$AB$35="Media",'Mapa final'!$AD$35="Leve"),CONCATENATE("R8C",'Mapa final'!$R$35),"")</f>
        <v/>
      </c>
      <c r="M33" s="68" t="str">
        <f>IF(AND('Mapa final'!$AB$36="Media",'Mapa final'!$AD$36="Leve"),CONCATENATE("R8C",'Mapa final'!$R$36),"")</f>
        <v/>
      </c>
      <c r="N33" s="68" t="str">
        <f>IF(AND('Mapa final'!$AB$37="Media",'Mapa final'!$AD$37="Leve"),CONCATENATE("R8C",'Mapa final'!$R$37),"")</f>
        <v/>
      </c>
      <c r="O33" s="69" t="str">
        <f>IF(AND('Mapa final'!$AB$38="Media",'Mapa final'!$AD$38="Leve"),CONCATENATE("R8C",'Mapa final'!$R$38),"")</f>
        <v/>
      </c>
      <c r="P33" s="67" t="str">
        <f>IF(AND('Mapa final'!$AB$33="Media",'Mapa final'!$AD$33="Menor"),CONCATENATE("R8C",'Mapa final'!$R$33),"")</f>
        <v/>
      </c>
      <c r="Q33" s="68" t="str">
        <f>IF(AND('Mapa final'!$AB$34="Media",'Mapa final'!$AD$34="Menor"),CONCATENATE("R8C",'Mapa final'!$R$34),"")</f>
        <v/>
      </c>
      <c r="R33" s="68" t="str">
        <f>IF(AND('Mapa final'!$AB$35="Media",'Mapa final'!$AD$35="Menor"),CONCATENATE("R8C",'Mapa final'!$R$35),"")</f>
        <v/>
      </c>
      <c r="S33" s="68" t="str">
        <f>IF(AND('Mapa final'!$AB$36="Media",'Mapa final'!$AD$36="Menor"),CONCATENATE("R8C",'Mapa final'!$R$36),"")</f>
        <v/>
      </c>
      <c r="T33" s="68" t="str">
        <f>IF(AND('Mapa final'!$AB$37="Media",'Mapa final'!$AD$37="Menor"),CONCATENATE("R8C",'Mapa final'!$R$37),"")</f>
        <v/>
      </c>
      <c r="U33" s="69" t="str">
        <f>IF(AND('Mapa final'!$AB$38="Media",'Mapa final'!$AD$38="Menor"),CONCATENATE("R8C",'Mapa final'!$R$38),"")</f>
        <v/>
      </c>
      <c r="V33" s="67" t="str">
        <f>IF(AND('Mapa final'!$AB$33="Media",'Mapa final'!$AD$33="Moderado"),CONCATENATE("R8C",'Mapa final'!$R$33),"")</f>
        <v/>
      </c>
      <c r="W33" s="68" t="str">
        <f>IF(AND('Mapa final'!$AB$34="Media",'Mapa final'!$AD$34="Moderado"),CONCATENATE("R8C",'Mapa final'!$R$34),"")</f>
        <v/>
      </c>
      <c r="X33" s="68" t="str">
        <f>IF(AND('Mapa final'!$AB$35="Media",'Mapa final'!$AD$35="Moderado"),CONCATENATE("R8C",'Mapa final'!$R$35),"")</f>
        <v/>
      </c>
      <c r="Y33" s="68" t="str">
        <f>IF(AND('Mapa final'!$AB$36="Media",'Mapa final'!$AD$36="Moderado"),CONCATENATE("R8C",'Mapa final'!$R$36),"")</f>
        <v/>
      </c>
      <c r="Z33" s="68" t="str">
        <f>IF(AND('Mapa final'!$AB$37="Media",'Mapa final'!$AD$37="Moderado"),CONCATENATE("R8C",'Mapa final'!$R$37),"")</f>
        <v/>
      </c>
      <c r="AA33" s="69" t="str">
        <f>IF(AND('Mapa final'!$AB$38="Media",'Mapa final'!$AD$38="Moderado"),CONCATENATE("R8C",'Mapa final'!$R$38),"")</f>
        <v/>
      </c>
      <c r="AB33" s="52" t="str">
        <f>IF(AND('Mapa final'!$AB$33="Media",'Mapa final'!$AD$33="Mayor"),CONCATENATE("R8C",'Mapa final'!$R$33),"")</f>
        <v/>
      </c>
      <c r="AC33" s="53" t="str">
        <f>IF(AND('Mapa final'!$AB$34="Media",'Mapa final'!$AD$34="Mayor"),CONCATENATE("R8C",'Mapa final'!$R$34),"")</f>
        <v/>
      </c>
      <c r="AD33" s="53" t="str">
        <f>IF(AND('Mapa final'!$AB$35="Media",'Mapa final'!$AD$35="Mayor"),CONCATENATE("R8C",'Mapa final'!$R$35),"")</f>
        <v/>
      </c>
      <c r="AE33" s="53" t="str">
        <f>IF(AND('Mapa final'!$AB$36="Media",'Mapa final'!$AD$36="Mayor"),CONCATENATE("R8C",'Mapa final'!$R$36),"")</f>
        <v/>
      </c>
      <c r="AF33" s="53" t="str">
        <f>IF(AND('Mapa final'!$AB$37="Media",'Mapa final'!$AD$37="Mayor"),CONCATENATE("R8C",'Mapa final'!$R$37),"")</f>
        <v/>
      </c>
      <c r="AG33" s="54" t="str">
        <f>IF(AND('Mapa final'!$AB$38="Media",'Mapa final'!$AD$38="Mayor"),CONCATENATE("R8C",'Mapa final'!$R$38),"")</f>
        <v/>
      </c>
      <c r="AH33" s="55" t="str">
        <f>IF(AND('Mapa final'!$AB$33="Media",'Mapa final'!$AD$33="Catastrófico"),CONCATENATE("R8C",'Mapa final'!$R$33),"")</f>
        <v/>
      </c>
      <c r="AI33" s="56" t="str">
        <f>IF(AND('Mapa final'!$AB$34="Media",'Mapa final'!$AD$34="Catastrófico"),CONCATENATE("R8C",'Mapa final'!$R$34),"")</f>
        <v/>
      </c>
      <c r="AJ33" s="56" t="str">
        <f>IF(AND('Mapa final'!$AB$35="Media",'Mapa final'!$AD$35="Catastrófico"),CONCATENATE("R8C",'Mapa final'!$R$35),"")</f>
        <v/>
      </c>
      <c r="AK33" s="56" t="str">
        <f>IF(AND('Mapa final'!$AB$36="Media",'Mapa final'!$AD$36="Catastrófico"),CONCATENATE("R8C",'Mapa final'!$R$36),"")</f>
        <v/>
      </c>
      <c r="AL33" s="56" t="str">
        <f>IF(AND('Mapa final'!$AB$37="Media",'Mapa final'!$AD$37="Catastrófico"),CONCATENATE("R8C",'Mapa final'!$R$37),"")</f>
        <v/>
      </c>
      <c r="AM33" s="57" t="str">
        <f>IF(AND('Mapa final'!$AB$38="Media",'Mapa final'!$AD$38="Catastrófico"),CONCATENATE("R8C",'Mapa final'!$R$38),"")</f>
        <v/>
      </c>
      <c r="AN33" s="83"/>
      <c r="AO33" s="397"/>
      <c r="AP33" s="398"/>
      <c r="AQ33" s="398"/>
      <c r="AR33" s="398"/>
      <c r="AS33" s="398"/>
      <c r="AT33" s="39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316"/>
      <c r="C34" s="316"/>
      <c r="D34" s="317"/>
      <c r="E34" s="357"/>
      <c r="F34" s="358"/>
      <c r="G34" s="358"/>
      <c r="H34" s="358"/>
      <c r="I34" s="359"/>
      <c r="J34" s="67" t="str">
        <f>IF(AND('Mapa final'!$AB$39="Media",'Mapa final'!$AD$39="Leve"),CONCATENATE("R9C",'Mapa final'!$R$39),"")</f>
        <v/>
      </c>
      <c r="K34" s="68" t="str">
        <f>IF(AND('Mapa final'!$AB$40="Media",'Mapa final'!$AD$40="Leve"),CONCATENATE("R9C",'Mapa final'!$R$40),"")</f>
        <v/>
      </c>
      <c r="L34" s="68" t="str">
        <f>IF(AND('Mapa final'!$AB$41="Media",'Mapa final'!$AD$41="Leve"),CONCATENATE("R9C",'Mapa final'!$R$41),"")</f>
        <v/>
      </c>
      <c r="M34" s="68" t="str">
        <f>IF(AND('Mapa final'!$AB$42="Media",'Mapa final'!$AD$42="Leve"),CONCATENATE("R9C",'Mapa final'!$R$42),"")</f>
        <v/>
      </c>
      <c r="N34" s="68" t="str">
        <f>IF(AND('Mapa final'!$AB$43="Media",'Mapa final'!$AD$43="Leve"),CONCATENATE("R9C",'Mapa final'!$R$43),"")</f>
        <v/>
      </c>
      <c r="O34" s="69" t="str">
        <f>IF(AND('Mapa final'!$AB$44="Media",'Mapa final'!$AD$44="Leve"),CONCATENATE("R9C",'Mapa final'!$R$44),"")</f>
        <v/>
      </c>
      <c r="P34" s="67" t="str">
        <f>IF(AND('Mapa final'!$AB$39="Media",'Mapa final'!$AD$39="Menor"),CONCATENATE("R9C",'Mapa final'!$R$39),"")</f>
        <v/>
      </c>
      <c r="Q34" s="68" t="str">
        <f>IF(AND('Mapa final'!$AB$40="Media",'Mapa final'!$AD$40="Menor"),CONCATENATE("R9C",'Mapa final'!$R$40),"")</f>
        <v/>
      </c>
      <c r="R34" s="68" t="str">
        <f>IF(AND('Mapa final'!$AB$41="Media",'Mapa final'!$AD$41="Menor"),CONCATENATE("R9C",'Mapa final'!$R$41),"")</f>
        <v/>
      </c>
      <c r="S34" s="68" t="str">
        <f>IF(AND('Mapa final'!$AB$42="Media",'Mapa final'!$AD$42="Menor"),CONCATENATE("R9C",'Mapa final'!$R$42),"")</f>
        <v/>
      </c>
      <c r="T34" s="68" t="str">
        <f>IF(AND('Mapa final'!$AB$43="Media",'Mapa final'!$AD$43="Menor"),CONCATENATE("R9C",'Mapa final'!$R$43),"")</f>
        <v/>
      </c>
      <c r="U34" s="69" t="str">
        <f>IF(AND('Mapa final'!$AB$44="Media",'Mapa final'!$AD$44="Menor"),CONCATENATE("R9C",'Mapa final'!$R$44),"")</f>
        <v/>
      </c>
      <c r="V34" s="67" t="str">
        <f>IF(AND('Mapa final'!$AB$39="Media",'Mapa final'!$AD$39="Moderado"),CONCATENATE("R9C",'Mapa final'!$R$39),"")</f>
        <v/>
      </c>
      <c r="W34" s="68" t="str">
        <f>IF(AND('Mapa final'!$AB$40="Media",'Mapa final'!$AD$40="Moderado"),CONCATENATE("R9C",'Mapa final'!$R$40),"")</f>
        <v/>
      </c>
      <c r="X34" s="68" t="str">
        <f>IF(AND('Mapa final'!$AB$41="Media",'Mapa final'!$AD$41="Moderado"),CONCATENATE("R9C",'Mapa final'!$R$41),"")</f>
        <v/>
      </c>
      <c r="Y34" s="68" t="str">
        <f>IF(AND('Mapa final'!$AB$42="Media",'Mapa final'!$AD$42="Moderado"),CONCATENATE("R9C",'Mapa final'!$R$42),"")</f>
        <v/>
      </c>
      <c r="Z34" s="68" t="str">
        <f>IF(AND('Mapa final'!$AB$43="Media",'Mapa final'!$AD$43="Moderado"),CONCATENATE("R9C",'Mapa final'!$R$43),"")</f>
        <v/>
      </c>
      <c r="AA34" s="69" t="str">
        <f>IF(AND('Mapa final'!$AB$44="Media",'Mapa final'!$AD$44="Moderado"),CONCATENATE("R9C",'Mapa final'!$R$44),"")</f>
        <v/>
      </c>
      <c r="AB34" s="52" t="str">
        <f>IF(AND('Mapa final'!$AB$39="Media",'Mapa final'!$AD$39="Mayor"),CONCATENATE("R9C",'Mapa final'!$R$39),"")</f>
        <v/>
      </c>
      <c r="AC34" s="53" t="str">
        <f>IF(AND('Mapa final'!$AB$40="Media",'Mapa final'!$AD$40="Mayor"),CONCATENATE("R9C",'Mapa final'!$R$40),"")</f>
        <v/>
      </c>
      <c r="AD34" s="53" t="str">
        <f>IF(AND('Mapa final'!$AB$41="Media",'Mapa final'!$AD$41="Mayor"),CONCATENATE("R9C",'Mapa final'!$R$41),"")</f>
        <v/>
      </c>
      <c r="AE34" s="53" t="str">
        <f>IF(AND('Mapa final'!$AB$42="Media",'Mapa final'!$AD$42="Mayor"),CONCATENATE("R9C",'Mapa final'!$R$42),"")</f>
        <v/>
      </c>
      <c r="AF34" s="53" t="str">
        <f>IF(AND('Mapa final'!$AB$43="Media",'Mapa final'!$AD$43="Mayor"),CONCATENATE("R9C",'Mapa final'!$R$43),"")</f>
        <v/>
      </c>
      <c r="AG34" s="54" t="str">
        <f>IF(AND('Mapa final'!$AB$44="Media",'Mapa final'!$AD$44="Mayor"),CONCATENATE("R9C",'Mapa final'!$R$44),"")</f>
        <v/>
      </c>
      <c r="AH34" s="55" t="str">
        <f>IF(AND('Mapa final'!$AB$39="Media",'Mapa final'!$AD$39="Catastrófico"),CONCATENATE("R9C",'Mapa final'!$R$39),"")</f>
        <v/>
      </c>
      <c r="AI34" s="56" t="str">
        <f>IF(AND('Mapa final'!$AB$40="Media",'Mapa final'!$AD$40="Catastrófico"),CONCATENATE("R9C",'Mapa final'!$R$40),"")</f>
        <v/>
      </c>
      <c r="AJ34" s="56" t="str">
        <f>IF(AND('Mapa final'!$AB$41="Media",'Mapa final'!$AD$41="Catastrófico"),CONCATENATE("R9C",'Mapa final'!$R$41),"")</f>
        <v/>
      </c>
      <c r="AK34" s="56" t="str">
        <f>IF(AND('Mapa final'!$AB$42="Media",'Mapa final'!$AD$42="Catastrófico"),CONCATENATE("R9C",'Mapa final'!$R$42),"")</f>
        <v/>
      </c>
      <c r="AL34" s="56" t="str">
        <f>IF(AND('Mapa final'!$AB$43="Media",'Mapa final'!$AD$43="Catastrófico"),CONCATENATE("R9C",'Mapa final'!$R$43),"")</f>
        <v/>
      </c>
      <c r="AM34" s="57" t="str">
        <f>IF(AND('Mapa final'!$AB$44="Media",'Mapa final'!$AD$44="Catastrófico"),CONCATENATE("R9C",'Mapa final'!$R$44),"")</f>
        <v/>
      </c>
      <c r="AN34" s="83"/>
      <c r="AO34" s="397"/>
      <c r="AP34" s="398"/>
      <c r="AQ34" s="398"/>
      <c r="AR34" s="398"/>
      <c r="AS34" s="398"/>
      <c r="AT34" s="39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316"/>
      <c r="C35" s="316"/>
      <c r="D35" s="317"/>
      <c r="E35" s="360"/>
      <c r="F35" s="361"/>
      <c r="G35" s="361"/>
      <c r="H35" s="361"/>
      <c r="I35" s="362"/>
      <c r="J35" s="67" t="str">
        <f>IF(AND('Mapa final'!$AB$45="Media",'Mapa final'!$AD$45="Leve"),CONCATENATE("R10C",'Mapa final'!$R$45),"")</f>
        <v/>
      </c>
      <c r="K35" s="68" t="str">
        <f>IF(AND('Mapa final'!$AB$46="Media",'Mapa final'!$AD$46="Leve"),CONCATENATE("R10C",'Mapa final'!$R$46),"")</f>
        <v/>
      </c>
      <c r="L35" s="68" t="str">
        <f>IF(AND('Mapa final'!$AB$47="Media",'Mapa final'!$AD$47="Leve"),CONCATENATE("R10C",'Mapa final'!$R$47),"")</f>
        <v/>
      </c>
      <c r="M35" s="68" t="str">
        <f>IF(AND('Mapa final'!$AB$48="Media",'Mapa final'!$AD$48="Leve"),CONCATENATE("R10C",'Mapa final'!$R$48),"")</f>
        <v/>
      </c>
      <c r="N35" s="68" t="str">
        <f>IF(AND('Mapa final'!$AB$49="Media",'Mapa final'!$AD$49="Leve"),CONCATENATE("R10C",'Mapa final'!$R$49),"")</f>
        <v/>
      </c>
      <c r="O35" s="69" t="str">
        <f>IF(AND('Mapa final'!$AB$50="Media",'Mapa final'!$AD$50="Leve"),CONCATENATE("R10C",'Mapa final'!$R$50),"")</f>
        <v/>
      </c>
      <c r="P35" s="67" t="str">
        <f>IF(AND('Mapa final'!$AB$45="Media",'Mapa final'!$AD$45="Menor"),CONCATENATE("R10C",'Mapa final'!$R$45),"")</f>
        <v/>
      </c>
      <c r="Q35" s="68" t="str">
        <f>IF(AND('Mapa final'!$AB$46="Media",'Mapa final'!$AD$46="Menor"),CONCATENATE("R10C",'Mapa final'!$R$46),"")</f>
        <v/>
      </c>
      <c r="R35" s="68" t="str">
        <f>IF(AND('Mapa final'!$AB$47="Media",'Mapa final'!$AD$47="Menor"),CONCATENATE("R10C",'Mapa final'!$R$47),"")</f>
        <v/>
      </c>
      <c r="S35" s="68" t="str">
        <f>IF(AND('Mapa final'!$AB$48="Media",'Mapa final'!$AD$48="Menor"),CONCATENATE("R10C",'Mapa final'!$R$48),"")</f>
        <v/>
      </c>
      <c r="T35" s="68" t="str">
        <f>IF(AND('Mapa final'!$AB$49="Media",'Mapa final'!$AD$49="Menor"),CONCATENATE("R10C",'Mapa final'!$R$49),"")</f>
        <v/>
      </c>
      <c r="U35" s="69" t="str">
        <f>IF(AND('Mapa final'!$AB$50="Media",'Mapa final'!$AD$50="Menor"),CONCATENATE("R10C",'Mapa final'!$R$50),"")</f>
        <v/>
      </c>
      <c r="V35" s="67" t="str">
        <f>IF(AND('Mapa final'!$AB$45="Media",'Mapa final'!$AD$45="Moderado"),CONCATENATE("R10C",'Mapa final'!$R$45),"")</f>
        <v/>
      </c>
      <c r="W35" s="68" t="str">
        <f>IF(AND('Mapa final'!$AB$46="Media",'Mapa final'!$AD$46="Moderado"),CONCATENATE("R10C",'Mapa final'!$R$46),"")</f>
        <v/>
      </c>
      <c r="X35" s="68" t="str">
        <f>IF(AND('Mapa final'!$AB$47="Media",'Mapa final'!$AD$47="Moderado"),CONCATENATE("R10C",'Mapa final'!$R$47),"")</f>
        <v/>
      </c>
      <c r="Y35" s="68" t="str">
        <f>IF(AND('Mapa final'!$AB$48="Media",'Mapa final'!$AD$48="Moderado"),CONCATENATE("R10C",'Mapa final'!$R$48),"")</f>
        <v/>
      </c>
      <c r="Z35" s="68" t="str">
        <f>IF(AND('Mapa final'!$AB$49="Media",'Mapa final'!$AD$49="Moderado"),CONCATENATE("R10C",'Mapa final'!$R$49),"")</f>
        <v/>
      </c>
      <c r="AA35" s="69" t="str">
        <f>IF(AND('Mapa final'!$AB$50="Media",'Mapa final'!$AD$50="Moderado"),CONCATENATE("R10C",'Mapa final'!$R$50),"")</f>
        <v/>
      </c>
      <c r="AB35" s="58" t="str">
        <f>IF(AND('Mapa final'!$AB$45="Media",'Mapa final'!$AD$45="Mayor"),CONCATENATE("R10C",'Mapa final'!$R$45),"")</f>
        <v/>
      </c>
      <c r="AC35" s="59" t="str">
        <f>IF(AND('Mapa final'!$AB$46="Media",'Mapa final'!$AD$46="Mayor"),CONCATENATE("R10C",'Mapa final'!$R$46),"")</f>
        <v/>
      </c>
      <c r="AD35" s="59" t="str">
        <f>IF(AND('Mapa final'!$AB$47="Media",'Mapa final'!$AD$47="Mayor"),CONCATENATE("R10C",'Mapa final'!$R$47),"")</f>
        <v/>
      </c>
      <c r="AE35" s="59" t="str">
        <f>IF(AND('Mapa final'!$AB$48="Media",'Mapa final'!$AD$48="Mayor"),CONCATENATE("R10C",'Mapa final'!$R$48),"")</f>
        <v/>
      </c>
      <c r="AF35" s="59" t="str">
        <f>IF(AND('Mapa final'!$AB$49="Media",'Mapa final'!$AD$49="Mayor"),CONCATENATE("R10C",'Mapa final'!$R$49),"")</f>
        <v/>
      </c>
      <c r="AG35" s="60" t="str">
        <f>IF(AND('Mapa final'!$AB$50="Media",'Mapa final'!$AD$50="Mayor"),CONCATENATE("R10C",'Mapa final'!$R$50),"")</f>
        <v/>
      </c>
      <c r="AH35" s="61" t="str">
        <f>IF(AND('Mapa final'!$AB$45="Media",'Mapa final'!$AD$45="Catastrófico"),CONCATENATE("R10C",'Mapa final'!$R$45),"")</f>
        <v/>
      </c>
      <c r="AI35" s="62" t="str">
        <f>IF(AND('Mapa final'!$AB$46="Media",'Mapa final'!$AD$46="Catastrófico"),CONCATENATE("R10C",'Mapa final'!$R$46),"")</f>
        <v/>
      </c>
      <c r="AJ35" s="62" t="str">
        <f>IF(AND('Mapa final'!$AB$47="Media",'Mapa final'!$AD$47="Catastrófico"),CONCATENATE("R10C",'Mapa final'!$R$47),"")</f>
        <v/>
      </c>
      <c r="AK35" s="62" t="str">
        <f>IF(AND('Mapa final'!$AB$48="Media",'Mapa final'!$AD$48="Catastrófico"),CONCATENATE("R10C",'Mapa final'!$R$48),"")</f>
        <v/>
      </c>
      <c r="AL35" s="62" t="str">
        <f>IF(AND('Mapa final'!$AB$49="Media",'Mapa final'!$AD$49="Catastrófico"),CONCATENATE("R10C",'Mapa final'!$R$49),"")</f>
        <v/>
      </c>
      <c r="AM35" s="63" t="str">
        <f>IF(AND('Mapa final'!$AB$50="Media",'Mapa final'!$AD$50="Catastrófico"),CONCATENATE("R10C",'Mapa final'!$R$50),"")</f>
        <v/>
      </c>
      <c r="AN35" s="83"/>
      <c r="AO35" s="400"/>
      <c r="AP35" s="401"/>
      <c r="AQ35" s="401"/>
      <c r="AR35" s="401"/>
      <c r="AS35" s="401"/>
      <c r="AT35" s="40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316"/>
      <c r="C36" s="316"/>
      <c r="D36" s="317"/>
      <c r="E36" s="354" t="s">
        <v>106</v>
      </c>
      <c r="F36" s="355"/>
      <c r="G36" s="355"/>
      <c r="H36" s="355"/>
      <c r="I36" s="355"/>
      <c r="J36" s="73" t="str">
        <f>IF(AND('Mapa final'!$AB$11="Baja",'Mapa final'!$AD$11="Leve"),CONCATENATE("R1C",'Mapa final'!$R$11),"")</f>
        <v/>
      </c>
      <c r="K36" s="74" t="str">
        <f>IF(AND('Mapa final'!$AB$12="Baja",'Mapa final'!$AD$12="Leve"),CONCATENATE("R1C",'Mapa final'!$R$12),"")</f>
        <v/>
      </c>
      <c r="L36" s="74" t="e">
        <f>IF(AND('Mapa final'!#REF!="Baja",'Mapa final'!#REF!="Leve"),CONCATENATE("R1C",'Mapa final'!#REF!),"")</f>
        <v>#REF!</v>
      </c>
      <c r="M36" s="74" t="e">
        <f>IF(AND('Mapa final'!#REF!="Baja",'Mapa final'!#REF!="Leve"),CONCATENATE("R1C",'Mapa final'!#REF!),"")</f>
        <v>#REF!</v>
      </c>
      <c r="N36" s="74" t="e">
        <f>IF(AND('Mapa final'!#REF!="Baja",'Mapa final'!#REF!="Leve"),CONCATENATE("R1C",'Mapa final'!#REF!),"")</f>
        <v>#REF!</v>
      </c>
      <c r="O36" s="75" t="e">
        <f>IF(AND('Mapa final'!#REF!="Baja",'Mapa final'!#REF!="Leve"),CONCATENATE("R1C",'Mapa final'!#REF!),"")</f>
        <v>#REF!</v>
      </c>
      <c r="P36" s="64" t="str">
        <f>IF(AND('Mapa final'!$AB$11="Baja",'Mapa final'!$AD$11="Menor"),CONCATENATE("R1C",'Mapa final'!$R$11),"")</f>
        <v/>
      </c>
      <c r="Q36" s="65" t="str">
        <f>IF(AND('Mapa final'!$AB$12="Baja",'Mapa final'!$AD$12="Menor"),CONCATENATE("R1C",'Mapa final'!$R$12),"")</f>
        <v/>
      </c>
      <c r="R36" s="65" t="e">
        <f>IF(AND('Mapa final'!#REF!="Baja",'Mapa final'!#REF!="Menor"),CONCATENATE("R1C",'Mapa final'!#REF!),"")</f>
        <v>#REF!</v>
      </c>
      <c r="S36" s="65" t="e">
        <f>IF(AND('Mapa final'!#REF!="Baja",'Mapa final'!#REF!="Menor"),CONCATENATE("R1C",'Mapa final'!#REF!),"")</f>
        <v>#REF!</v>
      </c>
      <c r="T36" s="65" t="e">
        <f>IF(AND('Mapa final'!#REF!="Baja",'Mapa final'!#REF!="Menor"),CONCATENATE("R1C",'Mapa final'!#REF!),"")</f>
        <v>#REF!</v>
      </c>
      <c r="U36" s="66" t="e">
        <f>IF(AND('Mapa final'!#REF!="Baja",'Mapa final'!#REF!="Menor"),CONCATENATE("R1C",'Mapa final'!#REF!),"")</f>
        <v>#REF!</v>
      </c>
      <c r="V36" s="64" t="str">
        <f>IF(AND('Mapa final'!$AB$11="Baja",'Mapa final'!$AD$11="Moderado"),CONCATENATE("R1C",'Mapa final'!$R$11),"")</f>
        <v/>
      </c>
      <c r="W36" s="65" t="str">
        <f>IF(AND('Mapa final'!$AB$12="Baja",'Mapa final'!$AD$12="Moderado"),CONCATENATE("R1C",'Mapa final'!$R$12),"")</f>
        <v/>
      </c>
      <c r="X36" s="65" t="e">
        <f>IF(AND('Mapa final'!#REF!="Baja",'Mapa final'!#REF!="Moderado"),CONCATENATE("R1C",'Mapa final'!#REF!),"")</f>
        <v>#REF!</v>
      </c>
      <c r="Y36" s="65" t="e">
        <f>IF(AND('Mapa final'!#REF!="Baja",'Mapa final'!#REF!="Moderado"),CONCATENATE("R1C",'Mapa final'!#REF!),"")</f>
        <v>#REF!</v>
      </c>
      <c r="Z36" s="65" t="e">
        <f>IF(AND('Mapa final'!#REF!="Baja",'Mapa final'!#REF!="Moderado"),CONCATENATE("R1C",'Mapa final'!#REF!),"")</f>
        <v>#REF!</v>
      </c>
      <c r="AA36" s="66" t="e">
        <f>IF(AND('Mapa final'!#REF!="Baja",'Mapa final'!#REF!="Moderado"),CONCATENATE("R1C",'Mapa final'!#REF!),"")</f>
        <v>#REF!</v>
      </c>
      <c r="AB36" s="46" t="str">
        <f>IF(AND('Mapa final'!$AB$11="Baja",'Mapa final'!$AD$11="Mayor"),CONCATENATE("R1C",'Mapa final'!$R$11),"")</f>
        <v/>
      </c>
      <c r="AC36" s="47" t="str">
        <f>IF(AND('Mapa final'!$AB$12="Baja",'Mapa final'!$AD$12="Mayor"),CONCATENATE("R1C",'Mapa final'!$R$12),"")</f>
        <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IF(AND('Mapa final'!$AB$11="Baja",'Mapa final'!$AD$11="Catastrófico"),CONCATENATE("R1C",'Mapa final'!$R$11),"")</f>
        <v/>
      </c>
      <c r="AI36" s="50" t="str">
        <f>IF(AND('Mapa final'!$AB$12="Baja",'Mapa final'!$AD$12="Catastrófico"),CONCATENATE("R1C",'Mapa final'!$R$12),"")</f>
        <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3"/>
      <c r="AO36" s="385" t="s">
        <v>79</v>
      </c>
      <c r="AP36" s="386"/>
      <c r="AQ36" s="386"/>
      <c r="AR36" s="386"/>
      <c r="AS36" s="386"/>
      <c r="AT36" s="38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316"/>
      <c r="C37" s="316"/>
      <c r="D37" s="317"/>
      <c r="E37" s="373"/>
      <c r="F37" s="358"/>
      <c r="G37" s="358"/>
      <c r="H37" s="358"/>
      <c r="I37" s="358"/>
      <c r="J37" s="76" t="str">
        <f>IF(AND('Mapa final'!$AB$13="Baja",'Mapa final'!$AD$13="Leve"),CONCATENATE("R2C",'Mapa final'!$R$13),"")</f>
        <v/>
      </c>
      <c r="K37" s="77" t="e">
        <f>IF(AND('Mapa final'!#REF!="Baja",'Mapa final'!#REF!="Leve"),CONCATENATE("R2C",'Mapa final'!#REF!),"")</f>
        <v>#REF!</v>
      </c>
      <c r="L37" s="77" t="e">
        <f>IF(AND('Mapa final'!#REF!="Baja",'Mapa final'!#REF!="Leve"),CONCATENATE("R2C",'Mapa final'!#REF!),"")</f>
        <v>#REF!</v>
      </c>
      <c r="M37" s="77" t="e">
        <f>IF(AND('Mapa final'!#REF!="Baja",'Mapa final'!#REF!="Leve"),CONCATENATE("R2C",'Mapa final'!#REF!),"")</f>
        <v>#REF!</v>
      </c>
      <c r="N37" s="77" t="e">
        <f>IF(AND('Mapa final'!#REF!="Baja",'Mapa final'!#REF!="Leve"),CONCATENATE("R2C",'Mapa final'!#REF!),"")</f>
        <v>#REF!</v>
      </c>
      <c r="O37" s="78" t="e">
        <f>IF(AND('Mapa final'!#REF!="Baja",'Mapa final'!#REF!="Leve"),CONCATENATE("R2C",'Mapa final'!#REF!),"")</f>
        <v>#REF!</v>
      </c>
      <c r="P37" s="67" t="str">
        <f>IF(AND('Mapa final'!$AB$13="Baja",'Mapa final'!$AD$13="Menor"),CONCATENATE("R2C",'Mapa final'!$R$13),"")</f>
        <v/>
      </c>
      <c r="Q37" s="68" t="e">
        <f>IF(AND('Mapa final'!#REF!="Baja",'Mapa final'!#REF!="Menor"),CONCATENATE("R2C",'Mapa final'!#REF!),"")</f>
        <v>#REF!</v>
      </c>
      <c r="R37" s="68" t="e">
        <f>IF(AND('Mapa final'!#REF!="Baja",'Mapa final'!#REF!="Menor"),CONCATENATE("R2C",'Mapa final'!#REF!),"")</f>
        <v>#REF!</v>
      </c>
      <c r="S37" s="68" t="e">
        <f>IF(AND('Mapa final'!#REF!="Baja",'Mapa final'!#REF!="Menor"),CONCATENATE("R2C",'Mapa final'!#REF!),"")</f>
        <v>#REF!</v>
      </c>
      <c r="T37" s="68" t="e">
        <f>IF(AND('Mapa final'!#REF!="Baja",'Mapa final'!#REF!="Menor"),CONCATENATE("R2C",'Mapa final'!#REF!),"")</f>
        <v>#REF!</v>
      </c>
      <c r="U37" s="69" t="e">
        <f>IF(AND('Mapa final'!#REF!="Baja",'Mapa final'!#REF!="Menor"),CONCATENATE("R2C",'Mapa final'!#REF!),"")</f>
        <v>#REF!</v>
      </c>
      <c r="V37" s="67" t="str">
        <f>IF(AND('Mapa final'!$AB$13="Baja",'Mapa final'!$AD$13="Moderado"),CONCATENATE("R2C",'Mapa final'!$R$13),"")</f>
        <v/>
      </c>
      <c r="W37" s="68" t="e">
        <f>IF(AND('Mapa final'!#REF!="Baja",'Mapa final'!#REF!="Moderado"),CONCATENATE("R2C",'Mapa final'!#REF!),"")</f>
        <v>#REF!</v>
      </c>
      <c r="X37" s="68" t="e">
        <f>IF(AND('Mapa final'!#REF!="Baja",'Mapa final'!#REF!="Moderado"),CONCATENATE("R2C",'Mapa final'!#REF!),"")</f>
        <v>#REF!</v>
      </c>
      <c r="Y37" s="68" t="e">
        <f>IF(AND('Mapa final'!#REF!="Baja",'Mapa final'!#REF!="Moderado"),CONCATENATE("R2C",'Mapa final'!#REF!),"")</f>
        <v>#REF!</v>
      </c>
      <c r="Z37" s="68" t="e">
        <f>IF(AND('Mapa final'!#REF!="Baja",'Mapa final'!#REF!="Moderado"),CONCATENATE("R2C",'Mapa final'!#REF!),"")</f>
        <v>#REF!</v>
      </c>
      <c r="AA37" s="69" t="e">
        <f>IF(AND('Mapa final'!#REF!="Baja",'Mapa final'!#REF!="Moderado"),CONCATENATE("R2C",'Mapa final'!#REF!),"")</f>
        <v>#REF!</v>
      </c>
      <c r="AB37" s="52" t="str">
        <f>IF(AND('Mapa final'!$AB$13="Baja",'Mapa final'!$AD$13="Mayor"),CONCATENATE("R2C",'Mapa final'!$R$13),"")</f>
        <v/>
      </c>
      <c r="AC37" s="53" t="e">
        <f>IF(AND('Mapa final'!#REF!="Baja",'Mapa final'!#REF!="Mayor"),CONCATENATE("R2C",'Mapa final'!#REF!),"")</f>
        <v>#REF!</v>
      </c>
      <c r="AD37" s="53" t="e">
        <f>IF(AND('Mapa final'!#REF!="Baja",'Mapa final'!#REF!="Mayor"),CONCATENATE("R2C",'Mapa final'!#REF!),"")</f>
        <v>#REF!</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str">
        <f>IF(AND('Mapa final'!$AB$13="Baja",'Mapa final'!$AD$13="Catastrófico"),CONCATENATE("R2C",'Mapa final'!$R$13),"")</f>
        <v/>
      </c>
      <c r="AI37" s="56" t="e">
        <f>IF(AND('Mapa final'!#REF!="Baja",'Mapa final'!#REF!="Catastrófico"),CONCATENATE("R2C",'Mapa final'!#REF!),"")</f>
        <v>#REF!</v>
      </c>
      <c r="AJ37" s="56" t="e">
        <f>IF(AND('Mapa final'!#REF!="Baja",'Mapa final'!#REF!="Catastrófico"),CONCATENATE("R2C",'Mapa final'!#REF!),"")</f>
        <v>#REF!</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3"/>
      <c r="AO37" s="388"/>
      <c r="AP37" s="389"/>
      <c r="AQ37" s="389"/>
      <c r="AR37" s="389"/>
      <c r="AS37" s="389"/>
      <c r="AT37" s="39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316"/>
      <c r="C38" s="316"/>
      <c r="D38" s="317"/>
      <c r="E38" s="357"/>
      <c r="F38" s="358"/>
      <c r="G38" s="358"/>
      <c r="H38" s="358"/>
      <c r="I38" s="358"/>
      <c r="J38" s="76" t="str">
        <f>IF(AND('Mapa final'!$AB$14="Baja",'Mapa final'!$AD$14="Leve"),CONCATENATE("R3C",'Mapa final'!$R$14),"")</f>
        <v/>
      </c>
      <c r="K38" s="77" t="e">
        <f>IF(AND('Mapa final'!#REF!="Baja",'Mapa final'!#REF!="Leve"),CONCATENATE("R3C",'Mapa final'!#REF!),"")</f>
        <v>#REF!</v>
      </c>
      <c r="L38" s="77" t="e">
        <f>IF(AND('Mapa final'!#REF!="Baja",'Mapa final'!#REF!="Leve"),CONCATENATE("R3C",'Mapa final'!#REF!),"")</f>
        <v>#REF!</v>
      </c>
      <c r="M38" s="77" t="e">
        <f>IF(AND('Mapa final'!#REF!="Baja",'Mapa final'!#REF!="Leve"),CONCATENATE("R3C",'Mapa final'!#REF!),"")</f>
        <v>#REF!</v>
      </c>
      <c r="N38" s="77" t="e">
        <f>IF(AND('Mapa final'!#REF!="Baja",'Mapa final'!#REF!="Leve"),CONCATENATE("R3C",'Mapa final'!#REF!),"")</f>
        <v>#REF!</v>
      </c>
      <c r="O38" s="78" t="e">
        <f>IF(AND('Mapa final'!#REF!="Baja",'Mapa final'!#REF!="Leve"),CONCATENATE("R3C",'Mapa final'!#REF!),"")</f>
        <v>#REF!</v>
      </c>
      <c r="P38" s="67" t="str">
        <f>IF(AND('Mapa final'!$AB$14="Baja",'Mapa final'!$AD$14="Menor"),CONCATENATE("R3C",'Mapa final'!$R$14),"")</f>
        <v/>
      </c>
      <c r="Q38" s="68" t="e">
        <f>IF(AND('Mapa final'!#REF!="Baja",'Mapa final'!#REF!="Menor"),CONCATENATE("R3C",'Mapa final'!#REF!),"")</f>
        <v>#REF!</v>
      </c>
      <c r="R38" s="68" t="e">
        <f>IF(AND('Mapa final'!#REF!="Baja",'Mapa final'!#REF!="Menor"),CONCATENATE("R3C",'Mapa final'!#REF!),"")</f>
        <v>#REF!</v>
      </c>
      <c r="S38" s="68" t="e">
        <f>IF(AND('Mapa final'!#REF!="Baja",'Mapa final'!#REF!="Menor"),CONCATENATE("R3C",'Mapa final'!#REF!),"")</f>
        <v>#REF!</v>
      </c>
      <c r="T38" s="68" t="e">
        <f>IF(AND('Mapa final'!#REF!="Baja",'Mapa final'!#REF!="Menor"),CONCATENATE("R3C",'Mapa final'!#REF!),"")</f>
        <v>#REF!</v>
      </c>
      <c r="U38" s="69" t="e">
        <f>IF(AND('Mapa final'!#REF!="Baja",'Mapa final'!#REF!="Menor"),CONCATENATE("R3C",'Mapa final'!#REF!),"")</f>
        <v>#REF!</v>
      </c>
      <c r="V38" s="67" t="str">
        <f>IF(AND('Mapa final'!$AB$14="Baja",'Mapa final'!$AD$14="Moderado"),CONCATENATE("R3C",'Mapa final'!$R$14),"")</f>
        <v/>
      </c>
      <c r="W38" s="68" t="e">
        <f>IF(AND('Mapa final'!#REF!="Baja",'Mapa final'!#REF!="Moderado"),CONCATENATE("R3C",'Mapa final'!#REF!),"")</f>
        <v>#REF!</v>
      </c>
      <c r="X38" s="68" t="e">
        <f>IF(AND('Mapa final'!#REF!="Baja",'Mapa final'!#REF!="Moderado"),CONCATENATE("R3C",'Mapa final'!#REF!),"")</f>
        <v>#REF!</v>
      </c>
      <c r="Y38" s="68" t="e">
        <f>IF(AND('Mapa final'!#REF!="Baja",'Mapa final'!#REF!="Moderado"),CONCATENATE("R3C",'Mapa final'!#REF!),"")</f>
        <v>#REF!</v>
      </c>
      <c r="Z38" s="68" t="e">
        <f>IF(AND('Mapa final'!#REF!="Baja",'Mapa final'!#REF!="Moderado"),CONCATENATE("R3C",'Mapa final'!#REF!),"")</f>
        <v>#REF!</v>
      </c>
      <c r="AA38" s="69" t="e">
        <f>IF(AND('Mapa final'!#REF!="Baja",'Mapa final'!#REF!="Moderado"),CONCATENATE("R3C",'Mapa final'!#REF!),"")</f>
        <v>#REF!</v>
      </c>
      <c r="AB38" s="52" t="str">
        <f>IF(AND('Mapa final'!$AB$14="Baja",'Mapa final'!$AD$14="Mayor"),CONCATENATE("R3C",'Mapa final'!$R$14),"")</f>
        <v/>
      </c>
      <c r="AC38" s="53" t="e">
        <f>IF(AND('Mapa final'!#REF!="Baja",'Mapa final'!#REF!="Mayor"),CONCATENATE("R3C",'Mapa final'!#REF!),"")</f>
        <v>#REF!</v>
      </c>
      <c r="AD38" s="53" t="e">
        <f>IF(AND('Mapa final'!#REF!="Baja",'Mapa final'!#REF!="Mayor"),CONCATENATE("R3C",'Mapa final'!#REF!),"")</f>
        <v>#REF!</v>
      </c>
      <c r="AE38" s="53" t="e">
        <f>IF(AND('Mapa final'!#REF!="Baja",'Mapa final'!#REF!="Mayor"),CONCATENATE("R3C",'Mapa final'!#REF!),"")</f>
        <v>#REF!</v>
      </c>
      <c r="AF38" s="53" t="e">
        <f>IF(AND('Mapa final'!#REF!="Baja",'Mapa final'!#REF!="Mayor"),CONCATENATE("R3C",'Mapa final'!#REF!),"")</f>
        <v>#REF!</v>
      </c>
      <c r="AG38" s="54" t="e">
        <f>IF(AND('Mapa final'!#REF!="Baja",'Mapa final'!#REF!="Mayor"),CONCATENATE("R3C",'Mapa final'!#REF!),"")</f>
        <v>#REF!</v>
      </c>
      <c r="AH38" s="55" t="str">
        <f>IF(AND('Mapa final'!$AB$14="Baja",'Mapa final'!$AD$14="Catastrófico"),CONCATENATE("R3C",'Mapa final'!$R$14),"")</f>
        <v/>
      </c>
      <c r="AI38" s="56" t="e">
        <f>IF(AND('Mapa final'!#REF!="Baja",'Mapa final'!#REF!="Catastrófico"),CONCATENATE("R3C",'Mapa final'!#REF!),"")</f>
        <v>#REF!</v>
      </c>
      <c r="AJ38" s="56" t="e">
        <f>IF(AND('Mapa final'!#REF!="Baja",'Mapa final'!#REF!="Catastrófico"),CONCATENATE("R3C",'Mapa final'!#REF!),"")</f>
        <v>#REF!</v>
      </c>
      <c r="AK38" s="56" t="e">
        <f>IF(AND('Mapa final'!#REF!="Baja",'Mapa final'!#REF!="Catastrófico"),CONCATENATE("R3C",'Mapa final'!#REF!),"")</f>
        <v>#REF!</v>
      </c>
      <c r="AL38" s="56" t="e">
        <f>IF(AND('Mapa final'!#REF!="Baja",'Mapa final'!#REF!="Catastrófico"),CONCATENATE("R3C",'Mapa final'!#REF!),"")</f>
        <v>#REF!</v>
      </c>
      <c r="AM38" s="57" t="e">
        <f>IF(AND('Mapa final'!#REF!="Baja",'Mapa final'!#REF!="Catastrófico"),CONCATENATE("R3C",'Mapa final'!#REF!),"")</f>
        <v>#REF!</v>
      </c>
      <c r="AN38" s="83"/>
      <c r="AO38" s="388"/>
      <c r="AP38" s="389"/>
      <c r="AQ38" s="389"/>
      <c r="AR38" s="389"/>
      <c r="AS38" s="389"/>
      <c r="AT38" s="390"/>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316"/>
      <c r="C39" s="316"/>
      <c r="D39" s="317"/>
      <c r="E39" s="357"/>
      <c r="F39" s="358"/>
      <c r="G39" s="358"/>
      <c r="H39" s="358"/>
      <c r="I39" s="358"/>
      <c r="J39" s="76" t="e">
        <f>IF(AND('Mapa final'!#REF!="Baja",'Mapa final'!#REF!="Leve"),CONCATENATE("R4C",'Mapa final'!#REF!),"")</f>
        <v>#REF!</v>
      </c>
      <c r="K39" s="77" t="e">
        <f>IF(AND('Mapa final'!#REF!="Baja",'Mapa final'!#REF!="Leve"),CONCATENATE("R4C",'Mapa final'!#REF!),"")</f>
        <v>#REF!</v>
      </c>
      <c r="L39" s="77" t="e">
        <f>IF(AND('Mapa final'!#REF!="Baja",'Mapa final'!#REF!="Leve"),CONCATENATE("R4C",'Mapa final'!#REF!),"")</f>
        <v>#REF!</v>
      </c>
      <c r="M39" s="77" t="e">
        <f>IF(AND('Mapa final'!#REF!="Baja",'Mapa final'!#REF!="Leve"),CONCATENATE("R4C",'Mapa final'!#REF!),"")</f>
        <v>#REF!</v>
      </c>
      <c r="N39" s="77" t="e">
        <f>IF(AND('Mapa final'!#REF!="Baja",'Mapa final'!#REF!="Leve"),CONCATENATE("R4C",'Mapa final'!#REF!),"")</f>
        <v>#REF!</v>
      </c>
      <c r="O39" s="78" t="e">
        <f>IF(AND('Mapa final'!#REF!="Baja",'Mapa final'!#REF!="Leve"),CONCATENATE("R4C",'Mapa final'!#REF!),"")</f>
        <v>#REF!</v>
      </c>
      <c r="P39" s="67" t="e">
        <f>IF(AND('Mapa final'!#REF!="Baja",'Mapa final'!#REF!="Menor"),CONCATENATE("R4C",'Mapa final'!#REF!),"")</f>
        <v>#REF!</v>
      </c>
      <c r="Q39" s="68" t="e">
        <f>IF(AND('Mapa final'!#REF!="Baja",'Mapa final'!#REF!="Menor"),CONCATENATE("R4C",'Mapa final'!#REF!),"")</f>
        <v>#REF!</v>
      </c>
      <c r="R39" s="68" t="e">
        <f>IF(AND('Mapa final'!#REF!="Baja",'Mapa final'!#REF!="Menor"),CONCATENATE("R4C",'Mapa final'!#REF!),"")</f>
        <v>#REF!</v>
      </c>
      <c r="S39" s="68" t="e">
        <f>IF(AND('Mapa final'!#REF!="Baja",'Mapa final'!#REF!="Menor"),CONCATENATE("R4C",'Mapa final'!#REF!),"")</f>
        <v>#REF!</v>
      </c>
      <c r="T39" s="68" t="e">
        <f>IF(AND('Mapa final'!#REF!="Baja",'Mapa final'!#REF!="Menor"),CONCATENATE("R4C",'Mapa final'!#REF!),"")</f>
        <v>#REF!</v>
      </c>
      <c r="U39" s="69" t="e">
        <f>IF(AND('Mapa final'!#REF!="Baja",'Mapa final'!#REF!="Menor"),CONCATENATE("R4C",'Mapa final'!#REF!),"")</f>
        <v>#REF!</v>
      </c>
      <c r="V39" s="67" t="e">
        <f>IF(AND('Mapa final'!#REF!="Baja",'Mapa final'!#REF!="Moderado"),CONCATENATE("R4C",'Mapa final'!#REF!),"")</f>
        <v>#REF!</v>
      </c>
      <c r="W39" s="68" t="e">
        <f>IF(AND('Mapa final'!#REF!="Baja",'Mapa final'!#REF!="Moderado"),CONCATENATE("R4C",'Mapa final'!#REF!),"")</f>
        <v>#REF!</v>
      </c>
      <c r="X39" s="68" t="e">
        <f>IF(AND('Mapa final'!#REF!="Baja",'Mapa final'!#REF!="Moderado"),CONCATENATE("R4C",'Mapa final'!#REF!),"")</f>
        <v>#REF!</v>
      </c>
      <c r="Y39" s="68" t="e">
        <f>IF(AND('Mapa final'!#REF!="Baja",'Mapa final'!#REF!="Moderado"),CONCATENATE("R4C",'Mapa final'!#REF!),"")</f>
        <v>#REF!</v>
      </c>
      <c r="Z39" s="68" t="e">
        <f>IF(AND('Mapa final'!#REF!="Baja",'Mapa final'!#REF!="Moderado"),CONCATENATE("R4C",'Mapa final'!#REF!),"")</f>
        <v>#REF!</v>
      </c>
      <c r="AA39" s="69" t="e">
        <f>IF(AND('Mapa final'!#REF!="Baja",'Mapa final'!#REF!="Moderado"),CONCATENATE("R4C",'Mapa final'!#REF!),"")</f>
        <v>#REF!</v>
      </c>
      <c r="AB39" s="52" t="e">
        <f>IF(AND('Mapa final'!#REF!="Baja",'Mapa final'!#REF!="Mayor"),CONCATENATE("R4C",'Mapa final'!#REF!),"")</f>
        <v>#REF!</v>
      </c>
      <c r="AC39" s="53" t="e">
        <f>IF(AND('Mapa final'!#REF!="Baja",'Mapa final'!#REF!="Mayor"),CONCATENATE("R4C",'Mapa final'!#REF!),"")</f>
        <v>#REF!</v>
      </c>
      <c r="AD39" s="53" t="e">
        <f>IF(AND('Mapa final'!#REF!="Baja",'Mapa final'!#REF!="Mayor"),CONCATENATE("R4C",'Mapa final'!#REF!),"")</f>
        <v>#REF!</v>
      </c>
      <c r="AE39" s="53" t="e">
        <f>IF(AND('Mapa final'!#REF!="Baja",'Mapa final'!#REF!="Mayor"),CONCATENATE("R4C",'Mapa final'!#REF!),"")</f>
        <v>#REF!</v>
      </c>
      <c r="AF39" s="53" t="e">
        <f>IF(AND('Mapa final'!#REF!="Baja",'Mapa final'!#REF!="Mayor"),CONCATENATE("R4C",'Mapa final'!#REF!),"")</f>
        <v>#REF!</v>
      </c>
      <c r="AG39" s="54" t="e">
        <f>IF(AND('Mapa final'!#REF!="Baja",'Mapa final'!#REF!="Mayor"),CONCATENATE("R4C",'Mapa final'!#REF!),"")</f>
        <v>#REF!</v>
      </c>
      <c r="AH39" s="55" t="e">
        <f>IF(AND('Mapa final'!#REF!="Baja",'Mapa final'!#REF!="Catastrófico"),CONCATENATE("R4C",'Mapa final'!#REF!),"")</f>
        <v>#REF!</v>
      </c>
      <c r="AI39" s="56" t="e">
        <f>IF(AND('Mapa final'!#REF!="Baja",'Mapa final'!#REF!="Catastrófico"),CONCATENATE("R4C",'Mapa final'!#REF!),"")</f>
        <v>#REF!</v>
      </c>
      <c r="AJ39" s="56" t="e">
        <f>IF(AND('Mapa final'!#REF!="Baja",'Mapa final'!#REF!="Catastrófico"),CONCATENATE("R4C",'Mapa final'!#REF!),"")</f>
        <v>#REF!</v>
      </c>
      <c r="AK39" s="56" t="e">
        <f>IF(AND('Mapa final'!#REF!="Baja",'Mapa final'!#REF!="Catastrófico"),CONCATENATE("R4C",'Mapa final'!#REF!),"")</f>
        <v>#REF!</v>
      </c>
      <c r="AL39" s="56" t="e">
        <f>IF(AND('Mapa final'!#REF!="Baja",'Mapa final'!#REF!="Catastrófico"),CONCATENATE("R4C",'Mapa final'!#REF!),"")</f>
        <v>#REF!</v>
      </c>
      <c r="AM39" s="57" t="e">
        <f>IF(AND('Mapa final'!#REF!="Baja",'Mapa final'!#REF!="Catastrófico"),CONCATENATE("R4C",'Mapa final'!#REF!),"")</f>
        <v>#REF!</v>
      </c>
      <c r="AN39" s="83"/>
      <c r="AO39" s="388"/>
      <c r="AP39" s="389"/>
      <c r="AQ39" s="389"/>
      <c r="AR39" s="389"/>
      <c r="AS39" s="389"/>
      <c r="AT39" s="390"/>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316"/>
      <c r="C40" s="316"/>
      <c r="D40" s="317"/>
      <c r="E40" s="357"/>
      <c r="F40" s="358"/>
      <c r="G40" s="358"/>
      <c r="H40" s="358"/>
      <c r="I40" s="358"/>
      <c r="J40" s="76" t="str">
        <f>IF(AND('Mapa final'!$AB$15="Baja",'Mapa final'!$AD$15="Leve"),CONCATENATE("R5C",'Mapa final'!$R$15),"")</f>
        <v/>
      </c>
      <c r="K40" s="77" t="str">
        <f>IF(AND('Mapa final'!$AB$16="Baja",'Mapa final'!$AD$16="Leve"),CONCATENATE("R5C",'Mapa final'!$R$16),"")</f>
        <v/>
      </c>
      <c r="L40" s="77" t="str">
        <f>IF(AND('Mapa final'!$AB$17="Baja",'Mapa final'!$AD$17="Leve"),CONCATENATE("R5C",'Mapa final'!$R$17),"")</f>
        <v/>
      </c>
      <c r="M40" s="77" t="str">
        <f>IF(AND('Mapa final'!$AB$18="Baja",'Mapa final'!$AD$18="Leve"),CONCATENATE("R5C",'Mapa final'!$R$18),"")</f>
        <v/>
      </c>
      <c r="N40" s="77" t="str">
        <f>IF(AND('Mapa final'!$AB$19="Baja",'Mapa final'!$AD$19="Leve"),CONCATENATE("R5C",'Mapa final'!$R$19),"")</f>
        <v/>
      </c>
      <c r="O40" s="78" t="str">
        <f>IF(AND('Mapa final'!$AB$20="Baja",'Mapa final'!$AD$20="Leve"),CONCATENATE("R5C",'Mapa final'!$R$20),"")</f>
        <v/>
      </c>
      <c r="P40" s="67" t="str">
        <f>IF(AND('Mapa final'!$AB$15="Baja",'Mapa final'!$AD$15="Menor"),CONCATENATE("R5C",'Mapa final'!$R$15),"")</f>
        <v/>
      </c>
      <c r="Q40" s="68" t="str">
        <f>IF(AND('Mapa final'!$AB$16="Baja",'Mapa final'!$AD$16="Menor"),CONCATENATE("R5C",'Mapa final'!$R$16),"")</f>
        <v/>
      </c>
      <c r="R40" s="68" t="str">
        <f>IF(AND('Mapa final'!$AB$17="Baja",'Mapa final'!$AD$17="Menor"),CONCATENATE("R5C",'Mapa final'!$R$17),"")</f>
        <v/>
      </c>
      <c r="S40" s="68" t="str">
        <f>IF(AND('Mapa final'!$AB$18="Baja",'Mapa final'!$AD$18="Menor"),CONCATENATE("R5C",'Mapa final'!$R$18),"")</f>
        <v/>
      </c>
      <c r="T40" s="68" t="str">
        <f>IF(AND('Mapa final'!$AB$19="Baja",'Mapa final'!$AD$19="Menor"),CONCATENATE("R5C",'Mapa final'!$R$19),"")</f>
        <v/>
      </c>
      <c r="U40" s="69" t="str">
        <f>IF(AND('Mapa final'!$AB$20="Baja",'Mapa final'!$AD$20="Menor"),CONCATENATE("R5C",'Mapa final'!$R$20),"")</f>
        <v/>
      </c>
      <c r="V40" s="67" t="str">
        <f>IF(AND('Mapa final'!$AB$15="Baja",'Mapa final'!$AD$15="Moderado"),CONCATENATE("R5C",'Mapa final'!$R$15),"")</f>
        <v/>
      </c>
      <c r="W40" s="68" t="str">
        <f>IF(AND('Mapa final'!$AB$16="Baja",'Mapa final'!$AD$16="Moderado"),CONCATENATE("R5C",'Mapa final'!$R$16),"")</f>
        <v/>
      </c>
      <c r="X40" s="68" t="str">
        <f>IF(AND('Mapa final'!$AB$17="Baja",'Mapa final'!$AD$17="Moderado"),CONCATENATE("R5C",'Mapa final'!$R$17),"")</f>
        <v/>
      </c>
      <c r="Y40" s="68" t="str">
        <f>IF(AND('Mapa final'!$AB$18="Baja",'Mapa final'!$AD$18="Moderado"),CONCATENATE("R5C",'Mapa final'!$R$18),"")</f>
        <v/>
      </c>
      <c r="Z40" s="68" t="str">
        <f>IF(AND('Mapa final'!$AB$19="Baja",'Mapa final'!$AD$19="Moderado"),CONCATENATE("R5C",'Mapa final'!$R$19),"")</f>
        <v/>
      </c>
      <c r="AA40" s="69" t="str">
        <f>IF(AND('Mapa final'!$AB$20="Baja",'Mapa final'!$AD$20="Moderado"),CONCATENATE("R5C",'Mapa final'!$R$20),"")</f>
        <v/>
      </c>
      <c r="AB40" s="52" t="str">
        <f>IF(AND('Mapa final'!$AB$15="Baja",'Mapa final'!$AD$15="Mayor"),CONCATENATE("R5C",'Mapa final'!$R$15),"")</f>
        <v/>
      </c>
      <c r="AC40" s="53" t="str">
        <f>IF(AND('Mapa final'!$AB$16="Baja",'Mapa final'!$AD$16="Mayor"),CONCATENATE("R5C",'Mapa final'!$R$16),"")</f>
        <v/>
      </c>
      <c r="AD40" s="53" t="str">
        <f>IF(AND('Mapa final'!$AB$17="Baja",'Mapa final'!$AD$17="Mayor"),CONCATENATE("R5C",'Mapa final'!$R$17),"")</f>
        <v/>
      </c>
      <c r="AE40" s="53" t="str">
        <f>IF(AND('Mapa final'!$AB$18="Baja",'Mapa final'!$AD$18="Mayor"),CONCATENATE("R5C",'Mapa final'!$R$18),"")</f>
        <v/>
      </c>
      <c r="AF40" s="53" t="str">
        <f>IF(AND('Mapa final'!$AB$19="Baja",'Mapa final'!$AD$19="Mayor"),CONCATENATE("R5C",'Mapa final'!$R$19),"")</f>
        <v/>
      </c>
      <c r="AG40" s="54" t="str">
        <f>IF(AND('Mapa final'!$AB$20="Baja",'Mapa final'!$AD$20="Mayor"),CONCATENATE("R5C",'Mapa final'!$R$20),"")</f>
        <v/>
      </c>
      <c r="AH40" s="55" t="str">
        <f>IF(AND('Mapa final'!$AB$15="Baja",'Mapa final'!$AD$15="Catastrófico"),CONCATENATE("R5C",'Mapa final'!$R$15),"")</f>
        <v/>
      </c>
      <c r="AI40" s="56" t="str">
        <f>IF(AND('Mapa final'!$AB$16="Baja",'Mapa final'!$AD$16="Catastrófico"),CONCATENATE("R5C",'Mapa final'!$R$16),"")</f>
        <v/>
      </c>
      <c r="AJ40" s="56" t="str">
        <f>IF(AND('Mapa final'!$AB$17="Baja",'Mapa final'!$AD$17="Catastrófico"),CONCATENATE("R5C",'Mapa final'!$R$17),"")</f>
        <v/>
      </c>
      <c r="AK40" s="56" t="str">
        <f>IF(AND('Mapa final'!$AB$18="Baja",'Mapa final'!$AD$18="Catastrófico"),CONCATENATE("R5C",'Mapa final'!$R$18),"")</f>
        <v/>
      </c>
      <c r="AL40" s="56" t="str">
        <f>IF(AND('Mapa final'!$AB$19="Baja",'Mapa final'!$AD$19="Catastrófico"),CONCATENATE("R5C",'Mapa final'!$R$19),"")</f>
        <v/>
      </c>
      <c r="AM40" s="57" t="str">
        <f>IF(AND('Mapa final'!$AB$20="Baja",'Mapa final'!$AD$20="Catastrófico"),CONCATENATE("R5C",'Mapa final'!$R$20),"")</f>
        <v/>
      </c>
      <c r="AN40" s="83"/>
      <c r="AO40" s="388"/>
      <c r="AP40" s="389"/>
      <c r="AQ40" s="389"/>
      <c r="AR40" s="389"/>
      <c r="AS40" s="389"/>
      <c r="AT40" s="390"/>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316"/>
      <c r="C41" s="316"/>
      <c r="D41" s="317"/>
      <c r="E41" s="357"/>
      <c r="F41" s="358"/>
      <c r="G41" s="358"/>
      <c r="H41" s="358"/>
      <c r="I41" s="358"/>
      <c r="J41" s="76" t="str">
        <f>IF(AND('Mapa final'!$AB$21="Baja",'Mapa final'!$AD$21="Leve"),CONCATENATE("R6C",'Mapa final'!$R$21),"")</f>
        <v/>
      </c>
      <c r="K41" s="77" t="str">
        <f>IF(AND('Mapa final'!$AB$22="Baja",'Mapa final'!$AD$22="Leve"),CONCATENATE("R6C",'Mapa final'!$R$22),"")</f>
        <v/>
      </c>
      <c r="L41" s="77" t="str">
        <f>IF(AND('Mapa final'!$AB$23="Baja",'Mapa final'!$AD$23="Leve"),CONCATENATE("R6C",'Mapa final'!$R$23),"")</f>
        <v/>
      </c>
      <c r="M41" s="77" t="str">
        <f>IF(AND('Mapa final'!$AB$24="Baja",'Mapa final'!$AD$24="Leve"),CONCATENATE("R6C",'Mapa final'!$R$24),"")</f>
        <v/>
      </c>
      <c r="N41" s="77" t="str">
        <f>IF(AND('Mapa final'!$AB$25="Baja",'Mapa final'!$AD$25="Leve"),CONCATENATE("R6C",'Mapa final'!$R$25),"")</f>
        <v/>
      </c>
      <c r="O41" s="78" t="str">
        <f>IF(AND('Mapa final'!$AB$26="Baja",'Mapa final'!$AD$26="Leve"),CONCATENATE("R6C",'Mapa final'!$R$26),"")</f>
        <v/>
      </c>
      <c r="P41" s="67" t="str">
        <f>IF(AND('Mapa final'!$AB$21="Baja",'Mapa final'!$AD$21="Menor"),CONCATENATE("R6C",'Mapa final'!$R$21),"")</f>
        <v/>
      </c>
      <c r="Q41" s="68" t="str">
        <f>IF(AND('Mapa final'!$AB$22="Baja",'Mapa final'!$AD$22="Menor"),CONCATENATE("R6C",'Mapa final'!$R$22),"")</f>
        <v/>
      </c>
      <c r="R41" s="68" t="str">
        <f>IF(AND('Mapa final'!$AB$23="Baja",'Mapa final'!$AD$23="Menor"),CONCATENATE("R6C",'Mapa final'!$R$23),"")</f>
        <v/>
      </c>
      <c r="S41" s="68" t="str">
        <f>IF(AND('Mapa final'!$AB$24="Baja",'Mapa final'!$AD$24="Menor"),CONCATENATE("R6C",'Mapa final'!$R$24),"")</f>
        <v/>
      </c>
      <c r="T41" s="68" t="str">
        <f>IF(AND('Mapa final'!$AB$25="Baja",'Mapa final'!$AD$25="Menor"),CONCATENATE("R6C",'Mapa final'!$R$25),"")</f>
        <v/>
      </c>
      <c r="U41" s="69" t="str">
        <f>IF(AND('Mapa final'!$AB$26="Baja",'Mapa final'!$AD$26="Menor"),CONCATENATE("R6C",'Mapa final'!$R$26),"")</f>
        <v/>
      </c>
      <c r="V41" s="67" t="str">
        <f>IF(AND('Mapa final'!$AB$21="Baja",'Mapa final'!$AD$21="Moderado"),CONCATENATE("R6C",'Mapa final'!$R$21),"")</f>
        <v/>
      </c>
      <c r="W41" s="68" t="str">
        <f>IF(AND('Mapa final'!$AB$22="Baja",'Mapa final'!$AD$22="Moderado"),CONCATENATE("R6C",'Mapa final'!$R$22),"")</f>
        <v/>
      </c>
      <c r="X41" s="68" t="str">
        <f>IF(AND('Mapa final'!$AB$23="Baja",'Mapa final'!$AD$23="Moderado"),CONCATENATE("R6C",'Mapa final'!$R$23),"")</f>
        <v/>
      </c>
      <c r="Y41" s="68" t="str">
        <f>IF(AND('Mapa final'!$AB$24="Baja",'Mapa final'!$AD$24="Moderado"),CONCATENATE("R6C",'Mapa final'!$R$24),"")</f>
        <v/>
      </c>
      <c r="Z41" s="68" t="str">
        <f>IF(AND('Mapa final'!$AB$25="Baja",'Mapa final'!$AD$25="Moderado"),CONCATENATE("R6C",'Mapa final'!$R$25),"")</f>
        <v/>
      </c>
      <c r="AA41" s="69" t="str">
        <f>IF(AND('Mapa final'!$AB$26="Baja",'Mapa final'!$AD$26="Moderado"),CONCATENATE("R6C",'Mapa final'!$R$26),"")</f>
        <v/>
      </c>
      <c r="AB41" s="52" t="str">
        <f>IF(AND('Mapa final'!$AB$21="Baja",'Mapa final'!$AD$21="Mayor"),CONCATENATE("R6C",'Mapa final'!$R$21),"")</f>
        <v/>
      </c>
      <c r="AC41" s="53" t="str">
        <f>IF(AND('Mapa final'!$AB$22="Baja",'Mapa final'!$AD$22="Mayor"),CONCATENATE("R6C",'Mapa final'!$R$22),"")</f>
        <v/>
      </c>
      <c r="AD41" s="53" t="str">
        <f>IF(AND('Mapa final'!$AB$23="Baja",'Mapa final'!$AD$23="Mayor"),CONCATENATE("R6C",'Mapa final'!$R$23),"")</f>
        <v/>
      </c>
      <c r="AE41" s="53" t="str">
        <f>IF(AND('Mapa final'!$AB$24="Baja",'Mapa final'!$AD$24="Mayor"),CONCATENATE("R6C",'Mapa final'!$R$24),"")</f>
        <v/>
      </c>
      <c r="AF41" s="53" t="str">
        <f>IF(AND('Mapa final'!$AB$25="Baja",'Mapa final'!$AD$25="Mayor"),CONCATENATE("R6C",'Mapa final'!$R$25),"")</f>
        <v/>
      </c>
      <c r="AG41" s="54" t="str">
        <f>IF(AND('Mapa final'!$AB$26="Baja",'Mapa final'!$AD$26="Mayor"),CONCATENATE("R6C",'Mapa final'!$R$26),"")</f>
        <v/>
      </c>
      <c r="AH41" s="55" t="str">
        <f>IF(AND('Mapa final'!$AB$21="Baja",'Mapa final'!$AD$21="Catastrófico"),CONCATENATE("R6C",'Mapa final'!$R$21),"")</f>
        <v/>
      </c>
      <c r="AI41" s="56" t="str">
        <f>IF(AND('Mapa final'!$AB$22="Baja",'Mapa final'!$AD$22="Catastrófico"),CONCATENATE("R6C",'Mapa final'!$R$22),"")</f>
        <v/>
      </c>
      <c r="AJ41" s="56" t="str">
        <f>IF(AND('Mapa final'!$AB$23="Baja",'Mapa final'!$AD$23="Catastrófico"),CONCATENATE("R6C",'Mapa final'!$R$23),"")</f>
        <v/>
      </c>
      <c r="AK41" s="56" t="str">
        <f>IF(AND('Mapa final'!$AB$24="Baja",'Mapa final'!$AD$24="Catastrófico"),CONCATENATE("R6C",'Mapa final'!$R$24),"")</f>
        <v/>
      </c>
      <c r="AL41" s="56" t="str">
        <f>IF(AND('Mapa final'!$AB$25="Baja",'Mapa final'!$AD$25="Catastrófico"),CONCATENATE("R6C",'Mapa final'!$R$25),"")</f>
        <v/>
      </c>
      <c r="AM41" s="57" t="str">
        <f>IF(AND('Mapa final'!$AB$26="Baja",'Mapa final'!$AD$26="Catastrófico"),CONCATENATE("R6C",'Mapa final'!$R$26),"")</f>
        <v/>
      </c>
      <c r="AN41" s="83"/>
      <c r="AO41" s="388"/>
      <c r="AP41" s="389"/>
      <c r="AQ41" s="389"/>
      <c r="AR41" s="389"/>
      <c r="AS41" s="389"/>
      <c r="AT41" s="390"/>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316"/>
      <c r="C42" s="316"/>
      <c r="D42" s="317"/>
      <c r="E42" s="357"/>
      <c r="F42" s="358"/>
      <c r="G42" s="358"/>
      <c r="H42" s="358"/>
      <c r="I42" s="358"/>
      <c r="J42" s="76" t="str">
        <f>IF(AND('Mapa final'!$AB$27="Baja",'Mapa final'!$AD$27="Leve"),CONCATENATE("R7C",'Mapa final'!$R$27),"")</f>
        <v/>
      </c>
      <c r="K42" s="77" t="str">
        <f>IF(AND('Mapa final'!$AB$28="Baja",'Mapa final'!$AD$28="Leve"),CONCATENATE("R7C",'Mapa final'!$R$28),"")</f>
        <v/>
      </c>
      <c r="L42" s="77" t="str">
        <f>IF(AND('Mapa final'!$AB$29="Baja",'Mapa final'!$AD$29="Leve"),CONCATENATE("R7C",'Mapa final'!$R$29),"")</f>
        <v/>
      </c>
      <c r="M42" s="77" t="str">
        <f>IF(AND('Mapa final'!$AB$30="Baja",'Mapa final'!$AD$30="Leve"),CONCATENATE("R7C",'Mapa final'!$R$30),"")</f>
        <v/>
      </c>
      <c r="N42" s="77" t="str">
        <f>IF(AND('Mapa final'!$AB$31="Baja",'Mapa final'!$AD$31="Leve"),CONCATENATE("R7C",'Mapa final'!$R$31),"")</f>
        <v/>
      </c>
      <c r="O42" s="78" t="str">
        <f>IF(AND('Mapa final'!$AB$32="Baja",'Mapa final'!$AD$32="Leve"),CONCATENATE("R7C",'Mapa final'!$R$32),"")</f>
        <v/>
      </c>
      <c r="P42" s="67" t="str">
        <f>IF(AND('Mapa final'!$AB$27="Baja",'Mapa final'!$AD$27="Menor"),CONCATENATE("R7C",'Mapa final'!$R$27),"")</f>
        <v/>
      </c>
      <c r="Q42" s="68" t="str">
        <f>IF(AND('Mapa final'!$AB$28="Baja",'Mapa final'!$AD$28="Menor"),CONCATENATE("R7C",'Mapa final'!$R$28),"")</f>
        <v/>
      </c>
      <c r="R42" s="68" t="str">
        <f>IF(AND('Mapa final'!$AB$29="Baja",'Mapa final'!$AD$29="Menor"),CONCATENATE("R7C",'Mapa final'!$R$29),"")</f>
        <v/>
      </c>
      <c r="S42" s="68" t="str">
        <f>IF(AND('Mapa final'!$AB$30="Baja",'Mapa final'!$AD$30="Menor"),CONCATENATE("R7C",'Mapa final'!$R$30),"")</f>
        <v/>
      </c>
      <c r="T42" s="68" t="str">
        <f>IF(AND('Mapa final'!$AB$31="Baja",'Mapa final'!$AD$31="Menor"),CONCATENATE("R7C",'Mapa final'!$R$31),"")</f>
        <v/>
      </c>
      <c r="U42" s="69" t="str">
        <f>IF(AND('Mapa final'!$AB$32="Baja",'Mapa final'!$AD$32="Menor"),CONCATENATE("R7C",'Mapa final'!$R$32),"")</f>
        <v/>
      </c>
      <c r="V42" s="67" t="str">
        <f>IF(AND('Mapa final'!$AB$27="Baja",'Mapa final'!$AD$27="Moderado"),CONCATENATE("R7C",'Mapa final'!$R$27),"")</f>
        <v/>
      </c>
      <c r="W42" s="68" t="str">
        <f>IF(AND('Mapa final'!$AB$28="Baja",'Mapa final'!$AD$28="Moderado"),CONCATENATE("R7C",'Mapa final'!$R$28),"")</f>
        <v/>
      </c>
      <c r="X42" s="68" t="str">
        <f>IF(AND('Mapa final'!$AB$29="Baja",'Mapa final'!$AD$29="Moderado"),CONCATENATE("R7C",'Mapa final'!$R$29),"")</f>
        <v/>
      </c>
      <c r="Y42" s="68" t="str">
        <f>IF(AND('Mapa final'!$AB$30="Baja",'Mapa final'!$AD$30="Moderado"),CONCATENATE("R7C",'Mapa final'!$R$30),"")</f>
        <v/>
      </c>
      <c r="Z42" s="68" t="str">
        <f>IF(AND('Mapa final'!$AB$31="Baja",'Mapa final'!$AD$31="Moderado"),CONCATENATE("R7C",'Mapa final'!$R$31),"")</f>
        <v/>
      </c>
      <c r="AA42" s="69" t="str">
        <f>IF(AND('Mapa final'!$AB$32="Baja",'Mapa final'!$AD$32="Moderado"),CONCATENATE("R7C",'Mapa final'!$R$32),"")</f>
        <v/>
      </c>
      <c r="AB42" s="52" t="str">
        <f>IF(AND('Mapa final'!$AB$27="Baja",'Mapa final'!$AD$27="Mayor"),CONCATENATE("R7C",'Mapa final'!$R$27),"")</f>
        <v/>
      </c>
      <c r="AC42" s="53" t="str">
        <f>IF(AND('Mapa final'!$AB$28="Baja",'Mapa final'!$AD$28="Mayor"),CONCATENATE("R7C",'Mapa final'!$R$28),"")</f>
        <v/>
      </c>
      <c r="AD42" s="53" t="str">
        <f>IF(AND('Mapa final'!$AB$29="Baja",'Mapa final'!$AD$29="Mayor"),CONCATENATE("R7C",'Mapa final'!$R$29),"")</f>
        <v/>
      </c>
      <c r="AE42" s="53" t="str">
        <f>IF(AND('Mapa final'!$AB$30="Baja",'Mapa final'!$AD$30="Mayor"),CONCATENATE("R7C",'Mapa final'!$R$30),"")</f>
        <v/>
      </c>
      <c r="AF42" s="53" t="str">
        <f>IF(AND('Mapa final'!$AB$31="Baja",'Mapa final'!$AD$31="Mayor"),CONCATENATE("R7C",'Mapa final'!$R$31),"")</f>
        <v/>
      </c>
      <c r="AG42" s="54" t="str">
        <f>IF(AND('Mapa final'!$AB$32="Baja",'Mapa final'!$AD$32="Mayor"),CONCATENATE("R7C",'Mapa final'!$R$32),"")</f>
        <v/>
      </c>
      <c r="AH42" s="55" t="str">
        <f>IF(AND('Mapa final'!$AB$27="Baja",'Mapa final'!$AD$27="Catastrófico"),CONCATENATE("R7C",'Mapa final'!$R$27),"")</f>
        <v/>
      </c>
      <c r="AI42" s="56" t="str">
        <f>IF(AND('Mapa final'!$AB$28="Baja",'Mapa final'!$AD$28="Catastrófico"),CONCATENATE("R7C",'Mapa final'!$R$28),"")</f>
        <v/>
      </c>
      <c r="AJ42" s="56" t="str">
        <f>IF(AND('Mapa final'!$AB$29="Baja",'Mapa final'!$AD$29="Catastrófico"),CONCATENATE("R7C",'Mapa final'!$R$29),"")</f>
        <v/>
      </c>
      <c r="AK42" s="56" t="str">
        <f>IF(AND('Mapa final'!$AB$30="Baja",'Mapa final'!$AD$30="Catastrófico"),CONCATENATE("R7C",'Mapa final'!$R$30),"")</f>
        <v/>
      </c>
      <c r="AL42" s="56" t="str">
        <f>IF(AND('Mapa final'!$AB$31="Baja",'Mapa final'!$AD$31="Catastrófico"),CONCATENATE("R7C",'Mapa final'!$R$31),"")</f>
        <v/>
      </c>
      <c r="AM42" s="57" t="str">
        <f>IF(AND('Mapa final'!$AB$32="Baja",'Mapa final'!$AD$32="Catastrófico"),CONCATENATE("R7C",'Mapa final'!$R$32),"")</f>
        <v/>
      </c>
      <c r="AN42" s="83"/>
      <c r="AO42" s="388"/>
      <c r="AP42" s="389"/>
      <c r="AQ42" s="389"/>
      <c r="AR42" s="389"/>
      <c r="AS42" s="389"/>
      <c r="AT42" s="390"/>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316"/>
      <c r="C43" s="316"/>
      <c r="D43" s="317"/>
      <c r="E43" s="357"/>
      <c r="F43" s="358"/>
      <c r="G43" s="358"/>
      <c r="H43" s="358"/>
      <c r="I43" s="358"/>
      <c r="J43" s="76" t="str">
        <f>IF(AND('Mapa final'!$AB$33="Baja",'Mapa final'!$AD$33="Leve"),CONCATENATE("R8C",'Mapa final'!$R$33),"")</f>
        <v/>
      </c>
      <c r="K43" s="77" t="str">
        <f>IF(AND('Mapa final'!$AB$34="Baja",'Mapa final'!$AD$34="Leve"),CONCATENATE("R8C",'Mapa final'!$R$34),"")</f>
        <v/>
      </c>
      <c r="L43" s="77" t="str">
        <f>IF(AND('Mapa final'!$AB$35="Baja",'Mapa final'!$AD$35="Leve"),CONCATENATE("R8C",'Mapa final'!$R$35),"")</f>
        <v/>
      </c>
      <c r="M43" s="77" t="str">
        <f>IF(AND('Mapa final'!$AB$36="Baja",'Mapa final'!$AD$36="Leve"),CONCATENATE("R8C",'Mapa final'!$R$36),"")</f>
        <v/>
      </c>
      <c r="N43" s="77" t="str">
        <f>IF(AND('Mapa final'!$AB$37="Baja",'Mapa final'!$AD$37="Leve"),CONCATENATE("R8C",'Mapa final'!$R$37),"")</f>
        <v/>
      </c>
      <c r="O43" s="78" t="str">
        <f>IF(AND('Mapa final'!$AB$38="Baja",'Mapa final'!$AD$38="Leve"),CONCATENATE("R8C",'Mapa final'!$R$38),"")</f>
        <v/>
      </c>
      <c r="P43" s="67" t="str">
        <f>IF(AND('Mapa final'!$AB$33="Baja",'Mapa final'!$AD$33="Menor"),CONCATENATE("R8C",'Mapa final'!$R$33),"")</f>
        <v/>
      </c>
      <c r="Q43" s="68" t="str">
        <f>IF(AND('Mapa final'!$AB$34="Baja",'Mapa final'!$AD$34="Menor"),CONCATENATE("R8C",'Mapa final'!$R$34),"")</f>
        <v/>
      </c>
      <c r="R43" s="68" t="str">
        <f>IF(AND('Mapa final'!$AB$35="Baja",'Mapa final'!$AD$35="Menor"),CONCATENATE("R8C",'Mapa final'!$R$35),"")</f>
        <v/>
      </c>
      <c r="S43" s="68" t="str">
        <f>IF(AND('Mapa final'!$AB$36="Baja",'Mapa final'!$AD$36="Menor"),CONCATENATE("R8C",'Mapa final'!$R$36),"")</f>
        <v/>
      </c>
      <c r="T43" s="68" t="str">
        <f>IF(AND('Mapa final'!$AB$37="Baja",'Mapa final'!$AD$37="Menor"),CONCATENATE("R8C",'Mapa final'!$R$37),"")</f>
        <v/>
      </c>
      <c r="U43" s="69" t="str">
        <f>IF(AND('Mapa final'!$AB$38="Baja",'Mapa final'!$AD$38="Menor"),CONCATENATE("R8C",'Mapa final'!$R$38),"")</f>
        <v/>
      </c>
      <c r="V43" s="67" t="str">
        <f>IF(AND('Mapa final'!$AB$33="Baja",'Mapa final'!$AD$33="Moderado"),CONCATENATE("R8C",'Mapa final'!$R$33),"")</f>
        <v/>
      </c>
      <c r="W43" s="68" t="str">
        <f>IF(AND('Mapa final'!$AB$34="Baja",'Mapa final'!$AD$34="Moderado"),CONCATENATE("R8C",'Mapa final'!$R$34),"")</f>
        <v/>
      </c>
      <c r="X43" s="68" t="str">
        <f>IF(AND('Mapa final'!$AB$35="Baja",'Mapa final'!$AD$35="Moderado"),CONCATENATE("R8C",'Mapa final'!$R$35),"")</f>
        <v/>
      </c>
      <c r="Y43" s="68" t="str">
        <f>IF(AND('Mapa final'!$AB$36="Baja",'Mapa final'!$AD$36="Moderado"),CONCATENATE("R8C",'Mapa final'!$R$36),"")</f>
        <v/>
      </c>
      <c r="Z43" s="68" t="str">
        <f>IF(AND('Mapa final'!$AB$37="Baja",'Mapa final'!$AD$37="Moderado"),CONCATENATE("R8C",'Mapa final'!$R$37),"")</f>
        <v/>
      </c>
      <c r="AA43" s="69" t="str">
        <f>IF(AND('Mapa final'!$AB$38="Baja",'Mapa final'!$AD$38="Moderado"),CONCATENATE("R8C",'Mapa final'!$R$38),"")</f>
        <v/>
      </c>
      <c r="AB43" s="52" t="str">
        <f>IF(AND('Mapa final'!$AB$33="Baja",'Mapa final'!$AD$33="Mayor"),CONCATENATE("R8C",'Mapa final'!$R$33),"")</f>
        <v/>
      </c>
      <c r="AC43" s="53" t="str">
        <f>IF(AND('Mapa final'!$AB$34="Baja",'Mapa final'!$AD$34="Mayor"),CONCATENATE("R8C",'Mapa final'!$R$34),"")</f>
        <v/>
      </c>
      <c r="AD43" s="53" t="str">
        <f>IF(AND('Mapa final'!$AB$35="Baja",'Mapa final'!$AD$35="Mayor"),CONCATENATE("R8C",'Mapa final'!$R$35),"")</f>
        <v/>
      </c>
      <c r="AE43" s="53" t="str">
        <f>IF(AND('Mapa final'!$AB$36="Baja",'Mapa final'!$AD$36="Mayor"),CONCATENATE("R8C",'Mapa final'!$R$36),"")</f>
        <v/>
      </c>
      <c r="AF43" s="53" t="str">
        <f>IF(AND('Mapa final'!$AB$37="Baja",'Mapa final'!$AD$37="Mayor"),CONCATENATE("R8C",'Mapa final'!$R$37),"")</f>
        <v/>
      </c>
      <c r="AG43" s="54" t="str">
        <f>IF(AND('Mapa final'!$AB$38="Baja",'Mapa final'!$AD$38="Mayor"),CONCATENATE("R8C",'Mapa final'!$R$38),"")</f>
        <v/>
      </c>
      <c r="AH43" s="55" t="str">
        <f>IF(AND('Mapa final'!$AB$33="Baja",'Mapa final'!$AD$33="Catastrófico"),CONCATENATE("R8C",'Mapa final'!$R$33),"")</f>
        <v/>
      </c>
      <c r="AI43" s="56" t="str">
        <f>IF(AND('Mapa final'!$AB$34="Baja",'Mapa final'!$AD$34="Catastrófico"),CONCATENATE("R8C",'Mapa final'!$R$34),"")</f>
        <v/>
      </c>
      <c r="AJ43" s="56" t="str">
        <f>IF(AND('Mapa final'!$AB$35="Baja",'Mapa final'!$AD$35="Catastrófico"),CONCATENATE("R8C",'Mapa final'!$R$35),"")</f>
        <v/>
      </c>
      <c r="AK43" s="56" t="str">
        <f>IF(AND('Mapa final'!$AB$36="Baja",'Mapa final'!$AD$36="Catastrófico"),CONCATENATE("R8C",'Mapa final'!$R$36),"")</f>
        <v/>
      </c>
      <c r="AL43" s="56" t="str">
        <f>IF(AND('Mapa final'!$AB$37="Baja",'Mapa final'!$AD$37="Catastrófico"),CONCATENATE("R8C",'Mapa final'!$R$37),"")</f>
        <v/>
      </c>
      <c r="AM43" s="57" t="str">
        <f>IF(AND('Mapa final'!$AB$38="Baja",'Mapa final'!$AD$38="Catastrófico"),CONCATENATE("R8C",'Mapa final'!$R$38),"")</f>
        <v/>
      </c>
      <c r="AN43" s="83"/>
      <c r="AO43" s="388"/>
      <c r="AP43" s="389"/>
      <c r="AQ43" s="389"/>
      <c r="AR43" s="389"/>
      <c r="AS43" s="389"/>
      <c r="AT43" s="390"/>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316"/>
      <c r="C44" s="316"/>
      <c r="D44" s="317"/>
      <c r="E44" s="357"/>
      <c r="F44" s="358"/>
      <c r="G44" s="358"/>
      <c r="H44" s="358"/>
      <c r="I44" s="358"/>
      <c r="J44" s="76" t="str">
        <f>IF(AND('Mapa final'!$AB$39="Baja",'Mapa final'!$AD$39="Leve"),CONCATENATE("R9C",'Mapa final'!$R$39),"")</f>
        <v/>
      </c>
      <c r="K44" s="77" t="str">
        <f>IF(AND('Mapa final'!$AB$40="Baja",'Mapa final'!$AD$40="Leve"),CONCATENATE("R9C",'Mapa final'!$R$40),"")</f>
        <v/>
      </c>
      <c r="L44" s="77" t="str">
        <f>IF(AND('Mapa final'!$AB$41="Baja",'Mapa final'!$AD$41="Leve"),CONCATENATE("R9C",'Mapa final'!$R$41),"")</f>
        <v/>
      </c>
      <c r="M44" s="77" t="str">
        <f>IF(AND('Mapa final'!$AB$42="Baja",'Mapa final'!$AD$42="Leve"),CONCATENATE("R9C",'Mapa final'!$R$42),"")</f>
        <v/>
      </c>
      <c r="N44" s="77" t="str">
        <f>IF(AND('Mapa final'!$AB$43="Baja",'Mapa final'!$AD$43="Leve"),CONCATENATE("R9C",'Mapa final'!$R$43),"")</f>
        <v/>
      </c>
      <c r="O44" s="78" t="str">
        <f>IF(AND('Mapa final'!$AB$44="Baja",'Mapa final'!$AD$44="Leve"),CONCATENATE("R9C",'Mapa final'!$R$44),"")</f>
        <v/>
      </c>
      <c r="P44" s="67" t="str">
        <f>IF(AND('Mapa final'!$AB$39="Baja",'Mapa final'!$AD$39="Menor"),CONCATENATE("R9C",'Mapa final'!$R$39),"")</f>
        <v/>
      </c>
      <c r="Q44" s="68" t="str">
        <f>IF(AND('Mapa final'!$AB$40="Baja",'Mapa final'!$AD$40="Menor"),CONCATENATE("R9C",'Mapa final'!$R$40),"")</f>
        <v/>
      </c>
      <c r="R44" s="68" t="str">
        <f>IF(AND('Mapa final'!$AB$41="Baja",'Mapa final'!$AD$41="Menor"),CONCATENATE("R9C",'Mapa final'!$R$41),"")</f>
        <v/>
      </c>
      <c r="S44" s="68" t="str">
        <f>IF(AND('Mapa final'!$AB$42="Baja",'Mapa final'!$AD$42="Menor"),CONCATENATE("R9C",'Mapa final'!$R$42),"")</f>
        <v/>
      </c>
      <c r="T44" s="68" t="str">
        <f>IF(AND('Mapa final'!$AB$43="Baja",'Mapa final'!$AD$43="Menor"),CONCATENATE("R9C",'Mapa final'!$R$43),"")</f>
        <v/>
      </c>
      <c r="U44" s="69" t="str">
        <f>IF(AND('Mapa final'!$AB$44="Baja",'Mapa final'!$AD$44="Menor"),CONCATENATE("R9C",'Mapa final'!$R$44),"")</f>
        <v/>
      </c>
      <c r="V44" s="67" t="str">
        <f>IF(AND('Mapa final'!$AB$39="Baja",'Mapa final'!$AD$39="Moderado"),CONCATENATE("R9C",'Mapa final'!$R$39),"")</f>
        <v/>
      </c>
      <c r="W44" s="68" t="str">
        <f>IF(AND('Mapa final'!$AB$40="Baja",'Mapa final'!$AD$40="Moderado"),CONCATENATE("R9C",'Mapa final'!$R$40),"")</f>
        <v/>
      </c>
      <c r="X44" s="68" t="str">
        <f>IF(AND('Mapa final'!$AB$41="Baja",'Mapa final'!$AD$41="Moderado"),CONCATENATE("R9C",'Mapa final'!$R$41),"")</f>
        <v/>
      </c>
      <c r="Y44" s="68" t="str">
        <f>IF(AND('Mapa final'!$AB$42="Baja",'Mapa final'!$AD$42="Moderado"),CONCATENATE("R9C",'Mapa final'!$R$42),"")</f>
        <v/>
      </c>
      <c r="Z44" s="68" t="str">
        <f>IF(AND('Mapa final'!$AB$43="Baja",'Mapa final'!$AD$43="Moderado"),CONCATENATE("R9C",'Mapa final'!$R$43),"")</f>
        <v/>
      </c>
      <c r="AA44" s="69" t="str">
        <f>IF(AND('Mapa final'!$AB$44="Baja",'Mapa final'!$AD$44="Moderado"),CONCATENATE("R9C",'Mapa final'!$R$44),"")</f>
        <v/>
      </c>
      <c r="AB44" s="52" t="str">
        <f>IF(AND('Mapa final'!$AB$39="Baja",'Mapa final'!$AD$39="Mayor"),CONCATENATE("R9C",'Mapa final'!$R$39),"")</f>
        <v/>
      </c>
      <c r="AC44" s="53" t="str">
        <f>IF(AND('Mapa final'!$AB$40="Baja",'Mapa final'!$AD$40="Mayor"),CONCATENATE("R9C",'Mapa final'!$R$40),"")</f>
        <v/>
      </c>
      <c r="AD44" s="53" t="str">
        <f>IF(AND('Mapa final'!$AB$41="Baja",'Mapa final'!$AD$41="Mayor"),CONCATENATE("R9C",'Mapa final'!$R$41),"")</f>
        <v/>
      </c>
      <c r="AE44" s="53" t="str">
        <f>IF(AND('Mapa final'!$AB$42="Baja",'Mapa final'!$AD$42="Mayor"),CONCATENATE("R9C",'Mapa final'!$R$42),"")</f>
        <v/>
      </c>
      <c r="AF44" s="53" t="str">
        <f>IF(AND('Mapa final'!$AB$43="Baja",'Mapa final'!$AD$43="Mayor"),CONCATENATE("R9C",'Mapa final'!$R$43),"")</f>
        <v/>
      </c>
      <c r="AG44" s="54" t="str">
        <f>IF(AND('Mapa final'!$AB$44="Baja",'Mapa final'!$AD$44="Mayor"),CONCATENATE("R9C",'Mapa final'!$R$44),"")</f>
        <v/>
      </c>
      <c r="AH44" s="55" t="str">
        <f>IF(AND('Mapa final'!$AB$39="Baja",'Mapa final'!$AD$39="Catastrófico"),CONCATENATE("R9C",'Mapa final'!$R$39),"")</f>
        <v/>
      </c>
      <c r="AI44" s="56" t="str">
        <f>IF(AND('Mapa final'!$AB$40="Baja",'Mapa final'!$AD$40="Catastrófico"),CONCATENATE("R9C",'Mapa final'!$R$40),"")</f>
        <v/>
      </c>
      <c r="AJ44" s="56" t="str">
        <f>IF(AND('Mapa final'!$AB$41="Baja",'Mapa final'!$AD$41="Catastrófico"),CONCATENATE("R9C",'Mapa final'!$R$41),"")</f>
        <v/>
      </c>
      <c r="AK44" s="56" t="str">
        <f>IF(AND('Mapa final'!$AB$42="Baja",'Mapa final'!$AD$42="Catastrófico"),CONCATENATE("R9C",'Mapa final'!$R$42),"")</f>
        <v/>
      </c>
      <c r="AL44" s="56" t="str">
        <f>IF(AND('Mapa final'!$AB$43="Baja",'Mapa final'!$AD$43="Catastrófico"),CONCATENATE("R9C",'Mapa final'!$R$43),"")</f>
        <v/>
      </c>
      <c r="AM44" s="57" t="str">
        <f>IF(AND('Mapa final'!$AB$44="Baja",'Mapa final'!$AD$44="Catastrófico"),CONCATENATE("R9C",'Mapa final'!$R$44),"")</f>
        <v/>
      </c>
      <c r="AN44" s="83"/>
      <c r="AO44" s="388"/>
      <c r="AP44" s="389"/>
      <c r="AQ44" s="389"/>
      <c r="AR44" s="389"/>
      <c r="AS44" s="389"/>
      <c r="AT44" s="390"/>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316"/>
      <c r="C45" s="316"/>
      <c r="D45" s="317"/>
      <c r="E45" s="360"/>
      <c r="F45" s="361"/>
      <c r="G45" s="361"/>
      <c r="H45" s="361"/>
      <c r="I45" s="361"/>
      <c r="J45" s="79" t="str">
        <f>IF(AND('Mapa final'!$AB$45="Baja",'Mapa final'!$AD$45="Leve"),CONCATENATE("R10C",'Mapa final'!$R$45),"")</f>
        <v/>
      </c>
      <c r="K45" s="80" t="str">
        <f>IF(AND('Mapa final'!$AB$46="Baja",'Mapa final'!$AD$46="Leve"),CONCATENATE("R10C",'Mapa final'!$R$46),"")</f>
        <v/>
      </c>
      <c r="L45" s="80" t="str">
        <f>IF(AND('Mapa final'!$AB$47="Baja",'Mapa final'!$AD$47="Leve"),CONCATENATE("R10C",'Mapa final'!$R$47),"")</f>
        <v/>
      </c>
      <c r="M45" s="80" t="str">
        <f>IF(AND('Mapa final'!$AB$48="Baja",'Mapa final'!$AD$48="Leve"),CONCATENATE("R10C",'Mapa final'!$R$48),"")</f>
        <v/>
      </c>
      <c r="N45" s="80" t="str">
        <f>IF(AND('Mapa final'!$AB$49="Baja",'Mapa final'!$AD$49="Leve"),CONCATENATE("R10C",'Mapa final'!$R$49),"")</f>
        <v/>
      </c>
      <c r="O45" s="81" t="str">
        <f>IF(AND('Mapa final'!$AB$50="Baja",'Mapa final'!$AD$50="Leve"),CONCATENATE("R10C",'Mapa final'!$R$50),"")</f>
        <v/>
      </c>
      <c r="P45" s="67" t="str">
        <f>IF(AND('Mapa final'!$AB$45="Baja",'Mapa final'!$AD$45="Menor"),CONCATENATE("R10C",'Mapa final'!$R$45),"")</f>
        <v/>
      </c>
      <c r="Q45" s="68" t="str">
        <f>IF(AND('Mapa final'!$AB$46="Baja",'Mapa final'!$AD$46="Menor"),CONCATENATE("R10C",'Mapa final'!$R$46),"")</f>
        <v/>
      </c>
      <c r="R45" s="68" t="str">
        <f>IF(AND('Mapa final'!$AB$47="Baja",'Mapa final'!$AD$47="Menor"),CONCATENATE("R10C",'Mapa final'!$R$47),"")</f>
        <v/>
      </c>
      <c r="S45" s="68" t="str">
        <f>IF(AND('Mapa final'!$AB$48="Baja",'Mapa final'!$AD$48="Menor"),CONCATENATE("R10C",'Mapa final'!$R$48),"")</f>
        <v/>
      </c>
      <c r="T45" s="68" t="str">
        <f>IF(AND('Mapa final'!$AB$49="Baja",'Mapa final'!$AD$49="Menor"),CONCATENATE("R10C",'Mapa final'!$R$49),"")</f>
        <v/>
      </c>
      <c r="U45" s="69" t="str">
        <f>IF(AND('Mapa final'!$AB$50="Baja",'Mapa final'!$AD$50="Menor"),CONCATENATE("R10C",'Mapa final'!$R$50),"")</f>
        <v/>
      </c>
      <c r="V45" s="70" t="str">
        <f>IF(AND('Mapa final'!$AB$45="Baja",'Mapa final'!$AD$45="Moderado"),CONCATENATE("R10C",'Mapa final'!$R$45),"")</f>
        <v/>
      </c>
      <c r="W45" s="71" t="str">
        <f>IF(AND('Mapa final'!$AB$46="Baja",'Mapa final'!$AD$46="Moderado"),CONCATENATE("R10C",'Mapa final'!$R$46),"")</f>
        <v/>
      </c>
      <c r="X45" s="71" t="str">
        <f>IF(AND('Mapa final'!$AB$47="Baja",'Mapa final'!$AD$47="Moderado"),CONCATENATE("R10C",'Mapa final'!$R$47),"")</f>
        <v/>
      </c>
      <c r="Y45" s="71" t="str">
        <f>IF(AND('Mapa final'!$AB$48="Baja",'Mapa final'!$AD$48="Moderado"),CONCATENATE("R10C",'Mapa final'!$R$48),"")</f>
        <v/>
      </c>
      <c r="Z45" s="71" t="str">
        <f>IF(AND('Mapa final'!$AB$49="Baja",'Mapa final'!$AD$49="Moderado"),CONCATENATE("R10C",'Mapa final'!$R$49),"")</f>
        <v/>
      </c>
      <c r="AA45" s="72" t="str">
        <f>IF(AND('Mapa final'!$AB$50="Baja",'Mapa final'!$AD$50="Moderado"),CONCATENATE("R10C",'Mapa final'!$R$50),"")</f>
        <v/>
      </c>
      <c r="AB45" s="58" t="str">
        <f>IF(AND('Mapa final'!$AB$45="Baja",'Mapa final'!$AD$45="Mayor"),CONCATENATE("R10C",'Mapa final'!$R$45),"")</f>
        <v/>
      </c>
      <c r="AC45" s="59" t="str">
        <f>IF(AND('Mapa final'!$AB$46="Baja",'Mapa final'!$AD$46="Mayor"),CONCATENATE("R10C",'Mapa final'!$R$46),"")</f>
        <v/>
      </c>
      <c r="AD45" s="59" t="str">
        <f>IF(AND('Mapa final'!$AB$47="Baja",'Mapa final'!$AD$47="Mayor"),CONCATENATE("R10C",'Mapa final'!$R$47),"")</f>
        <v/>
      </c>
      <c r="AE45" s="59" t="str">
        <f>IF(AND('Mapa final'!$AB$48="Baja",'Mapa final'!$AD$48="Mayor"),CONCATENATE("R10C",'Mapa final'!$R$48),"")</f>
        <v/>
      </c>
      <c r="AF45" s="59" t="str">
        <f>IF(AND('Mapa final'!$AB$49="Baja",'Mapa final'!$AD$49="Mayor"),CONCATENATE("R10C",'Mapa final'!$R$49),"")</f>
        <v/>
      </c>
      <c r="AG45" s="60" t="str">
        <f>IF(AND('Mapa final'!$AB$50="Baja",'Mapa final'!$AD$50="Mayor"),CONCATENATE("R10C",'Mapa final'!$R$50),"")</f>
        <v/>
      </c>
      <c r="AH45" s="61" t="str">
        <f>IF(AND('Mapa final'!$AB$45="Baja",'Mapa final'!$AD$45="Catastrófico"),CONCATENATE("R10C",'Mapa final'!$R$45),"")</f>
        <v/>
      </c>
      <c r="AI45" s="62" t="str">
        <f>IF(AND('Mapa final'!$AB$46="Baja",'Mapa final'!$AD$46="Catastrófico"),CONCATENATE("R10C",'Mapa final'!$R$46),"")</f>
        <v/>
      </c>
      <c r="AJ45" s="62" t="str">
        <f>IF(AND('Mapa final'!$AB$47="Baja",'Mapa final'!$AD$47="Catastrófico"),CONCATENATE("R10C",'Mapa final'!$R$47),"")</f>
        <v/>
      </c>
      <c r="AK45" s="62" t="str">
        <f>IF(AND('Mapa final'!$AB$48="Baja",'Mapa final'!$AD$48="Catastrófico"),CONCATENATE("R10C",'Mapa final'!$R$48),"")</f>
        <v/>
      </c>
      <c r="AL45" s="62" t="str">
        <f>IF(AND('Mapa final'!$AB$49="Baja",'Mapa final'!$AD$49="Catastrófico"),CONCATENATE("R10C",'Mapa final'!$R$49),"")</f>
        <v/>
      </c>
      <c r="AM45" s="63" t="str">
        <f>IF(AND('Mapa final'!$AB$50="Baja",'Mapa final'!$AD$50="Catastrófico"),CONCATENATE("R10C",'Mapa final'!$R$50),"")</f>
        <v/>
      </c>
      <c r="AN45" s="83"/>
      <c r="AO45" s="391"/>
      <c r="AP45" s="392"/>
      <c r="AQ45" s="392"/>
      <c r="AR45" s="392"/>
      <c r="AS45" s="392"/>
      <c r="AT45" s="393"/>
    </row>
    <row r="46" spans="1:80" ht="46.5" customHeight="1" x14ac:dyDescent="0.35">
      <c r="A46" s="83"/>
      <c r="B46" s="316"/>
      <c r="C46" s="316"/>
      <c r="D46" s="317"/>
      <c r="E46" s="354" t="s">
        <v>105</v>
      </c>
      <c r="F46" s="355"/>
      <c r="G46" s="355"/>
      <c r="H46" s="355"/>
      <c r="I46" s="356"/>
      <c r="J46" s="73" t="str">
        <f>IF(AND('Mapa final'!$AB$11="Muy Baja",'Mapa final'!$AD$11="Leve"),CONCATENATE("R1C",'Mapa final'!$R$11),"")</f>
        <v/>
      </c>
      <c r="K46" s="74" t="str">
        <f>IF(AND('Mapa final'!$AB$12="Muy Baja",'Mapa final'!$AD$12="Leve"),CONCATENATE("R1C",'Mapa final'!$R$12),"")</f>
        <v/>
      </c>
      <c r="L46" s="74" t="e">
        <f>IF(AND('Mapa final'!#REF!="Muy Baja",'Mapa final'!#REF!="Leve"),CONCATENATE("R1C",'Mapa final'!#REF!),"")</f>
        <v>#REF!</v>
      </c>
      <c r="M46" s="74" t="e">
        <f>IF(AND('Mapa final'!#REF!="Muy Baja",'Mapa final'!#REF!="Leve"),CONCATENATE("R1C",'Mapa final'!#REF!),"")</f>
        <v>#REF!</v>
      </c>
      <c r="N46" s="74" t="e">
        <f>IF(AND('Mapa final'!#REF!="Muy Baja",'Mapa final'!#REF!="Leve"),CONCATENATE("R1C",'Mapa final'!#REF!),"")</f>
        <v>#REF!</v>
      </c>
      <c r="O46" s="75" t="e">
        <f>IF(AND('Mapa final'!#REF!="Muy Baja",'Mapa final'!#REF!="Leve"),CONCATENATE("R1C",'Mapa final'!#REF!),"")</f>
        <v>#REF!</v>
      </c>
      <c r="P46" s="73" t="str">
        <f>IF(AND('Mapa final'!$AB$11="Muy Baja",'Mapa final'!$AD$11="Menor"),CONCATENATE("R1C",'Mapa final'!$R$11),"")</f>
        <v/>
      </c>
      <c r="Q46" s="74" t="str">
        <f>IF(AND('Mapa final'!$AB$12="Muy Baja",'Mapa final'!$AD$12="Menor"),CONCATENATE("R1C",'Mapa final'!$R$12),"")</f>
        <v/>
      </c>
      <c r="R46" s="74" t="e">
        <f>IF(AND('Mapa final'!#REF!="Muy Baja",'Mapa final'!#REF!="Menor"),CONCATENATE("R1C",'Mapa final'!#REF!),"")</f>
        <v>#REF!</v>
      </c>
      <c r="S46" s="74" t="e">
        <f>IF(AND('Mapa final'!#REF!="Muy Baja",'Mapa final'!#REF!="Menor"),CONCATENATE("R1C",'Mapa final'!#REF!),"")</f>
        <v>#REF!</v>
      </c>
      <c r="T46" s="74" t="e">
        <f>IF(AND('Mapa final'!#REF!="Muy Baja",'Mapa final'!#REF!="Menor"),CONCATENATE("R1C",'Mapa final'!#REF!),"")</f>
        <v>#REF!</v>
      </c>
      <c r="U46" s="75" t="e">
        <f>IF(AND('Mapa final'!#REF!="Muy Baja",'Mapa final'!#REF!="Menor"),CONCATENATE("R1C",'Mapa final'!#REF!),"")</f>
        <v>#REF!</v>
      </c>
      <c r="V46" s="64" t="str">
        <f>IF(AND('Mapa final'!$AB$11="Muy Baja",'Mapa final'!$AD$11="Moderado"),CONCATENATE("R1C",'Mapa final'!$R$11),"")</f>
        <v/>
      </c>
      <c r="W46" s="82" t="str">
        <f>IF(AND('Mapa final'!$AB$12="Muy Baja",'Mapa final'!$AD$12="Moderado"),CONCATENATE("R1C",'Mapa final'!$R$12),"")</f>
        <v/>
      </c>
      <c r="X46" s="65" t="e">
        <f>IF(AND('Mapa final'!#REF!="Muy Baja",'Mapa final'!#REF!="Moderado"),CONCATENATE("R1C",'Mapa final'!#REF!),"")</f>
        <v>#REF!</v>
      </c>
      <c r="Y46" s="65" t="e">
        <f>IF(AND('Mapa final'!#REF!="Muy Baja",'Mapa final'!#REF!="Moderado"),CONCATENATE("R1C",'Mapa final'!#REF!),"")</f>
        <v>#REF!</v>
      </c>
      <c r="Z46" s="65" t="e">
        <f>IF(AND('Mapa final'!#REF!="Muy Baja",'Mapa final'!#REF!="Moderado"),CONCATENATE("R1C",'Mapa final'!#REF!),"")</f>
        <v>#REF!</v>
      </c>
      <c r="AA46" s="66" t="e">
        <f>IF(AND('Mapa final'!#REF!="Muy Baja",'Mapa final'!#REF!="Moderado"),CONCATENATE("R1C",'Mapa final'!#REF!),"")</f>
        <v>#REF!</v>
      </c>
      <c r="AB46" s="46" t="str">
        <f>IF(AND('Mapa final'!$AB$11="Muy Baja",'Mapa final'!$AD$11="Mayor"),CONCATENATE("R1C",'Mapa final'!$R$11),"")</f>
        <v/>
      </c>
      <c r="AC46" s="47" t="str">
        <f>IF(AND('Mapa final'!$AB$12="Muy Baja",'Mapa final'!$AD$12="Mayor"),CONCATENATE("R1C",'Mapa final'!$R$12),"")</f>
        <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IF(AND('Mapa final'!$AB$11="Muy Baja",'Mapa final'!$AD$11="Catastrófico"),CONCATENATE("R1C",'Mapa final'!$R$11),"")</f>
        <v/>
      </c>
      <c r="AI46" s="50" t="str">
        <f>IF(AND('Mapa final'!$AB$12="Muy Baja",'Mapa final'!$AD$12="Catastrófico"),CONCATENATE("R1C",'Mapa final'!$R$12),"")</f>
        <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316"/>
      <c r="C47" s="316"/>
      <c r="D47" s="317"/>
      <c r="E47" s="373"/>
      <c r="F47" s="358"/>
      <c r="G47" s="358"/>
      <c r="H47" s="358"/>
      <c r="I47" s="359"/>
      <c r="J47" s="76" t="str">
        <f>IF(AND('Mapa final'!$AB$13="Muy Baja",'Mapa final'!$AD$13="Leve"),CONCATENATE("R2C",'Mapa final'!$R$13),"")</f>
        <v/>
      </c>
      <c r="K47" s="77" t="e">
        <f>IF(AND('Mapa final'!#REF!="Muy Baja",'Mapa final'!#REF!="Leve"),CONCATENATE("R2C",'Mapa final'!#REF!),"")</f>
        <v>#REF!</v>
      </c>
      <c r="L47" s="77" t="e">
        <f>IF(AND('Mapa final'!#REF!="Muy Baja",'Mapa final'!#REF!="Leve"),CONCATENATE("R2C",'Mapa final'!#REF!),"")</f>
        <v>#REF!</v>
      </c>
      <c r="M47" s="77" t="e">
        <f>IF(AND('Mapa final'!#REF!="Muy Baja",'Mapa final'!#REF!="Leve"),CONCATENATE("R2C",'Mapa final'!#REF!),"")</f>
        <v>#REF!</v>
      </c>
      <c r="N47" s="77" t="e">
        <f>IF(AND('Mapa final'!#REF!="Muy Baja",'Mapa final'!#REF!="Leve"),CONCATENATE("R2C",'Mapa final'!#REF!),"")</f>
        <v>#REF!</v>
      </c>
      <c r="O47" s="78" t="e">
        <f>IF(AND('Mapa final'!#REF!="Muy Baja",'Mapa final'!#REF!="Leve"),CONCATENATE("R2C",'Mapa final'!#REF!),"")</f>
        <v>#REF!</v>
      </c>
      <c r="P47" s="76" t="str">
        <f>IF(AND('Mapa final'!$AB$13="Muy Baja",'Mapa final'!$AD$13="Menor"),CONCATENATE("R2C",'Mapa final'!$R$13),"")</f>
        <v/>
      </c>
      <c r="Q47" s="77" t="e">
        <f>IF(AND('Mapa final'!#REF!="Muy Baja",'Mapa final'!#REF!="Menor"),CONCATENATE("R2C",'Mapa final'!#REF!),"")</f>
        <v>#REF!</v>
      </c>
      <c r="R47" s="77" t="e">
        <f>IF(AND('Mapa final'!#REF!="Muy Baja",'Mapa final'!#REF!="Menor"),CONCATENATE("R2C",'Mapa final'!#REF!),"")</f>
        <v>#REF!</v>
      </c>
      <c r="S47" s="77" t="e">
        <f>IF(AND('Mapa final'!#REF!="Muy Baja",'Mapa final'!#REF!="Menor"),CONCATENATE("R2C",'Mapa final'!#REF!),"")</f>
        <v>#REF!</v>
      </c>
      <c r="T47" s="77" t="e">
        <f>IF(AND('Mapa final'!#REF!="Muy Baja",'Mapa final'!#REF!="Menor"),CONCATENATE("R2C",'Mapa final'!#REF!),"")</f>
        <v>#REF!</v>
      </c>
      <c r="U47" s="78" t="e">
        <f>IF(AND('Mapa final'!#REF!="Muy Baja",'Mapa final'!#REF!="Menor"),CONCATENATE("R2C",'Mapa final'!#REF!),"")</f>
        <v>#REF!</v>
      </c>
      <c r="V47" s="67" t="str">
        <f>IF(AND('Mapa final'!$AB$13="Muy Baja",'Mapa final'!$AD$13="Moderado"),CONCATENATE("R2C",'Mapa final'!$R$13),"")</f>
        <v/>
      </c>
      <c r="W47" s="68" t="e">
        <f>IF(AND('Mapa final'!#REF!="Muy Baja",'Mapa final'!#REF!="Moderado"),CONCATENATE("R2C",'Mapa final'!#REF!),"")</f>
        <v>#REF!</v>
      </c>
      <c r="X47" s="68" t="e">
        <f>IF(AND('Mapa final'!#REF!="Muy Baja",'Mapa final'!#REF!="Moderado"),CONCATENATE("R2C",'Mapa final'!#REF!),"")</f>
        <v>#REF!</v>
      </c>
      <c r="Y47" s="68" t="e">
        <f>IF(AND('Mapa final'!#REF!="Muy Baja",'Mapa final'!#REF!="Moderado"),CONCATENATE("R2C",'Mapa final'!#REF!),"")</f>
        <v>#REF!</v>
      </c>
      <c r="Z47" s="68" t="e">
        <f>IF(AND('Mapa final'!#REF!="Muy Baja",'Mapa final'!#REF!="Moderado"),CONCATENATE("R2C",'Mapa final'!#REF!),"")</f>
        <v>#REF!</v>
      </c>
      <c r="AA47" s="69" t="e">
        <f>IF(AND('Mapa final'!#REF!="Muy Baja",'Mapa final'!#REF!="Moderado"),CONCATENATE("R2C",'Mapa final'!#REF!),"")</f>
        <v>#REF!</v>
      </c>
      <c r="AB47" s="52" t="str">
        <f>IF(AND('Mapa final'!$AB$13="Muy Baja",'Mapa final'!$AD$13="Mayor"),CONCATENATE("R2C",'Mapa final'!$R$13),"")</f>
        <v/>
      </c>
      <c r="AC47" s="53" t="e">
        <f>IF(AND('Mapa final'!#REF!="Muy Baja",'Mapa final'!#REF!="Mayor"),CONCATENATE("R2C",'Mapa final'!#REF!),"")</f>
        <v>#REF!</v>
      </c>
      <c r="AD47" s="53" t="e">
        <f>IF(AND('Mapa final'!#REF!="Muy Baja",'Mapa final'!#REF!="Mayor"),CONCATENATE("R2C",'Mapa final'!#REF!),"")</f>
        <v>#REF!</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str">
        <f>IF(AND('Mapa final'!$AB$13="Muy Baja",'Mapa final'!$AD$13="Catastrófico"),CONCATENATE("R2C",'Mapa final'!$R$13),"")</f>
        <v/>
      </c>
      <c r="AI47" s="56" t="e">
        <f>IF(AND('Mapa final'!#REF!="Muy Baja",'Mapa final'!#REF!="Catastrófico"),CONCATENATE("R2C",'Mapa final'!#REF!),"")</f>
        <v>#REF!</v>
      </c>
      <c r="AJ47" s="56" t="e">
        <f>IF(AND('Mapa final'!#REF!="Muy Baja",'Mapa final'!#REF!="Catastrófico"),CONCATENATE("R2C",'Mapa final'!#REF!),"")</f>
        <v>#REF!</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316"/>
      <c r="C48" s="316"/>
      <c r="D48" s="317"/>
      <c r="E48" s="373"/>
      <c r="F48" s="358"/>
      <c r="G48" s="358"/>
      <c r="H48" s="358"/>
      <c r="I48" s="359"/>
      <c r="J48" s="76" t="str">
        <f>IF(AND('Mapa final'!$AB$14="Muy Baja",'Mapa final'!$AD$14="Leve"),CONCATENATE("R3C",'Mapa final'!$R$14),"")</f>
        <v/>
      </c>
      <c r="K48" s="77" t="e">
        <f>IF(AND('Mapa final'!#REF!="Muy Baja",'Mapa final'!#REF!="Leve"),CONCATENATE("R3C",'Mapa final'!#REF!),"")</f>
        <v>#REF!</v>
      </c>
      <c r="L48" s="77" t="e">
        <f>IF(AND('Mapa final'!#REF!="Muy Baja",'Mapa final'!#REF!="Leve"),CONCATENATE("R3C",'Mapa final'!#REF!),"")</f>
        <v>#REF!</v>
      </c>
      <c r="M48" s="77" t="e">
        <f>IF(AND('Mapa final'!#REF!="Muy Baja",'Mapa final'!#REF!="Leve"),CONCATENATE("R3C",'Mapa final'!#REF!),"")</f>
        <v>#REF!</v>
      </c>
      <c r="N48" s="77" t="e">
        <f>IF(AND('Mapa final'!#REF!="Muy Baja",'Mapa final'!#REF!="Leve"),CONCATENATE("R3C",'Mapa final'!#REF!),"")</f>
        <v>#REF!</v>
      </c>
      <c r="O48" s="78" t="e">
        <f>IF(AND('Mapa final'!#REF!="Muy Baja",'Mapa final'!#REF!="Leve"),CONCATENATE("R3C",'Mapa final'!#REF!),"")</f>
        <v>#REF!</v>
      </c>
      <c r="P48" s="76" t="str">
        <f>IF(AND('Mapa final'!$AB$14="Muy Baja",'Mapa final'!$AD$14="Menor"),CONCATENATE("R3C",'Mapa final'!$R$14),"")</f>
        <v/>
      </c>
      <c r="Q48" s="77" t="e">
        <f>IF(AND('Mapa final'!#REF!="Muy Baja",'Mapa final'!#REF!="Menor"),CONCATENATE("R3C",'Mapa final'!#REF!),"")</f>
        <v>#REF!</v>
      </c>
      <c r="R48" s="77" t="e">
        <f>IF(AND('Mapa final'!#REF!="Muy Baja",'Mapa final'!#REF!="Menor"),CONCATENATE("R3C",'Mapa final'!#REF!),"")</f>
        <v>#REF!</v>
      </c>
      <c r="S48" s="77" t="e">
        <f>IF(AND('Mapa final'!#REF!="Muy Baja",'Mapa final'!#REF!="Menor"),CONCATENATE("R3C",'Mapa final'!#REF!),"")</f>
        <v>#REF!</v>
      </c>
      <c r="T48" s="77" t="e">
        <f>IF(AND('Mapa final'!#REF!="Muy Baja",'Mapa final'!#REF!="Menor"),CONCATENATE("R3C",'Mapa final'!#REF!),"")</f>
        <v>#REF!</v>
      </c>
      <c r="U48" s="78" t="e">
        <f>IF(AND('Mapa final'!#REF!="Muy Baja",'Mapa final'!#REF!="Menor"),CONCATENATE("R3C",'Mapa final'!#REF!),"")</f>
        <v>#REF!</v>
      </c>
      <c r="V48" s="67" t="str">
        <f>IF(AND('Mapa final'!$AB$14="Muy Baja",'Mapa final'!$AD$14="Moderado"),CONCATENATE("R3C",'Mapa final'!$R$14),"")</f>
        <v/>
      </c>
      <c r="W48" s="68" t="e">
        <f>IF(AND('Mapa final'!#REF!="Muy Baja",'Mapa final'!#REF!="Moderado"),CONCATENATE("R3C",'Mapa final'!#REF!),"")</f>
        <v>#REF!</v>
      </c>
      <c r="X48" s="68" t="e">
        <f>IF(AND('Mapa final'!#REF!="Muy Baja",'Mapa final'!#REF!="Moderado"),CONCATENATE("R3C",'Mapa final'!#REF!),"")</f>
        <v>#REF!</v>
      </c>
      <c r="Y48" s="68" t="e">
        <f>IF(AND('Mapa final'!#REF!="Muy Baja",'Mapa final'!#REF!="Moderado"),CONCATENATE("R3C",'Mapa final'!#REF!),"")</f>
        <v>#REF!</v>
      </c>
      <c r="Z48" s="68" t="e">
        <f>IF(AND('Mapa final'!#REF!="Muy Baja",'Mapa final'!#REF!="Moderado"),CONCATENATE("R3C",'Mapa final'!#REF!),"")</f>
        <v>#REF!</v>
      </c>
      <c r="AA48" s="69" t="e">
        <f>IF(AND('Mapa final'!#REF!="Muy Baja",'Mapa final'!#REF!="Moderado"),CONCATENATE("R3C",'Mapa final'!#REF!),"")</f>
        <v>#REF!</v>
      </c>
      <c r="AB48" s="52" t="str">
        <f>IF(AND('Mapa final'!$AB$14="Muy Baja",'Mapa final'!$AD$14="Mayor"),CONCATENATE("R3C",'Mapa final'!$R$14),"")</f>
        <v/>
      </c>
      <c r="AC48" s="53" t="e">
        <f>IF(AND('Mapa final'!#REF!="Muy Baja",'Mapa final'!#REF!="Mayor"),CONCATENATE("R3C",'Mapa final'!#REF!),"")</f>
        <v>#REF!</v>
      </c>
      <c r="AD48" s="53" t="e">
        <f>IF(AND('Mapa final'!#REF!="Muy Baja",'Mapa final'!#REF!="Mayor"),CONCATENATE("R3C",'Mapa final'!#REF!),"")</f>
        <v>#REF!</v>
      </c>
      <c r="AE48" s="53" t="e">
        <f>IF(AND('Mapa final'!#REF!="Muy Baja",'Mapa final'!#REF!="Mayor"),CONCATENATE("R3C",'Mapa final'!#REF!),"")</f>
        <v>#REF!</v>
      </c>
      <c r="AF48" s="53" t="e">
        <f>IF(AND('Mapa final'!#REF!="Muy Baja",'Mapa final'!#REF!="Mayor"),CONCATENATE("R3C",'Mapa final'!#REF!),"")</f>
        <v>#REF!</v>
      </c>
      <c r="AG48" s="54" t="e">
        <f>IF(AND('Mapa final'!#REF!="Muy Baja",'Mapa final'!#REF!="Mayor"),CONCATENATE("R3C",'Mapa final'!#REF!),"")</f>
        <v>#REF!</v>
      </c>
      <c r="AH48" s="55" t="str">
        <f>IF(AND('Mapa final'!$AB$14="Muy Baja",'Mapa final'!$AD$14="Catastrófico"),CONCATENATE("R3C",'Mapa final'!$R$14),"")</f>
        <v/>
      </c>
      <c r="AI48" s="56" t="e">
        <f>IF(AND('Mapa final'!#REF!="Muy Baja",'Mapa final'!#REF!="Catastrófico"),CONCATENATE("R3C",'Mapa final'!#REF!),"")</f>
        <v>#REF!</v>
      </c>
      <c r="AJ48" s="56" t="e">
        <f>IF(AND('Mapa final'!#REF!="Muy Baja",'Mapa final'!#REF!="Catastrófico"),CONCATENATE("R3C",'Mapa final'!#REF!),"")</f>
        <v>#REF!</v>
      </c>
      <c r="AK48" s="56" t="e">
        <f>IF(AND('Mapa final'!#REF!="Muy Baja",'Mapa final'!#REF!="Catastrófico"),CONCATENATE("R3C",'Mapa final'!#REF!),"")</f>
        <v>#REF!</v>
      </c>
      <c r="AL48" s="56" t="e">
        <f>IF(AND('Mapa final'!#REF!="Muy Baja",'Mapa final'!#REF!="Catastrófico"),CONCATENATE("R3C",'Mapa final'!#REF!),"")</f>
        <v>#REF!</v>
      </c>
      <c r="AM48" s="57" t="e">
        <f>IF(AND('Mapa final'!#REF!="Muy Baja",'Mapa final'!#REF!="Catastrófico"),CONCATENATE("R3C",'Mapa final'!#REF!),"")</f>
        <v>#REF!</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316"/>
      <c r="C49" s="316"/>
      <c r="D49" s="317"/>
      <c r="E49" s="357"/>
      <c r="F49" s="358"/>
      <c r="G49" s="358"/>
      <c r="H49" s="358"/>
      <c r="I49" s="359"/>
      <c r="J49" s="76" t="e">
        <f>IF(AND('Mapa final'!#REF!="Muy Baja",'Mapa final'!#REF!="Leve"),CONCATENATE("R4C",'Mapa final'!#REF!),"")</f>
        <v>#REF!</v>
      </c>
      <c r="K49" s="77" t="e">
        <f>IF(AND('Mapa final'!#REF!="Muy Baja",'Mapa final'!#REF!="Leve"),CONCATENATE("R4C",'Mapa final'!#REF!),"")</f>
        <v>#REF!</v>
      </c>
      <c r="L49" s="77" t="e">
        <f>IF(AND('Mapa final'!#REF!="Muy Baja",'Mapa final'!#REF!="Leve"),CONCATENATE("R4C",'Mapa final'!#REF!),"")</f>
        <v>#REF!</v>
      </c>
      <c r="M49" s="77" t="e">
        <f>IF(AND('Mapa final'!#REF!="Muy Baja",'Mapa final'!#REF!="Leve"),CONCATENATE("R4C",'Mapa final'!#REF!),"")</f>
        <v>#REF!</v>
      </c>
      <c r="N49" s="77" t="e">
        <f>IF(AND('Mapa final'!#REF!="Muy Baja",'Mapa final'!#REF!="Leve"),CONCATENATE("R4C",'Mapa final'!#REF!),"")</f>
        <v>#REF!</v>
      </c>
      <c r="O49" s="78" t="e">
        <f>IF(AND('Mapa final'!#REF!="Muy Baja",'Mapa final'!#REF!="Leve"),CONCATENATE("R4C",'Mapa final'!#REF!),"")</f>
        <v>#REF!</v>
      </c>
      <c r="P49" s="76" t="e">
        <f>IF(AND('Mapa final'!#REF!="Muy Baja",'Mapa final'!#REF!="Menor"),CONCATENATE("R4C",'Mapa final'!#REF!),"")</f>
        <v>#REF!</v>
      </c>
      <c r="Q49" s="77" t="e">
        <f>IF(AND('Mapa final'!#REF!="Muy Baja",'Mapa final'!#REF!="Menor"),CONCATENATE("R4C",'Mapa final'!#REF!),"")</f>
        <v>#REF!</v>
      </c>
      <c r="R49" s="77" t="e">
        <f>IF(AND('Mapa final'!#REF!="Muy Baja",'Mapa final'!#REF!="Menor"),CONCATENATE("R4C",'Mapa final'!#REF!),"")</f>
        <v>#REF!</v>
      </c>
      <c r="S49" s="77" t="e">
        <f>IF(AND('Mapa final'!#REF!="Muy Baja",'Mapa final'!#REF!="Menor"),CONCATENATE("R4C",'Mapa final'!#REF!),"")</f>
        <v>#REF!</v>
      </c>
      <c r="T49" s="77" t="e">
        <f>IF(AND('Mapa final'!#REF!="Muy Baja",'Mapa final'!#REF!="Menor"),CONCATENATE("R4C",'Mapa final'!#REF!),"")</f>
        <v>#REF!</v>
      </c>
      <c r="U49" s="78" t="e">
        <f>IF(AND('Mapa final'!#REF!="Muy Baja",'Mapa final'!#REF!="Menor"),CONCATENATE("R4C",'Mapa final'!#REF!),"")</f>
        <v>#REF!</v>
      </c>
      <c r="V49" s="67" t="e">
        <f>IF(AND('Mapa final'!#REF!="Muy Baja",'Mapa final'!#REF!="Moderado"),CONCATENATE("R4C",'Mapa final'!#REF!),"")</f>
        <v>#REF!</v>
      </c>
      <c r="W49" s="68" t="e">
        <f>IF(AND('Mapa final'!#REF!="Muy Baja",'Mapa final'!#REF!="Moderado"),CONCATENATE("R4C",'Mapa final'!#REF!),"")</f>
        <v>#REF!</v>
      </c>
      <c r="X49" s="68" t="e">
        <f>IF(AND('Mapa final'!#REF!="Muy Baja",'Mapa final'!#REF!="Moderado"),CONCATENATE("R4C",'Mapa final'!#REF!),"")</f>
        <v>#REF!</v>
      </c>
      <c r="Y49" s="68" t="e">
        <f>IF(AND('Mapa final'!#REF!="Muy Baja",'Mapa final'!#REF!="Moderado"),CONCATENATE("R4C",'Mapa final'!#REF!),"")</f>
        <v>#REF!</v>
      </c>
      <c r="Z49" s="68" t="e">
        <f>IF(AND('Mapa final'!#REF!="Muy Baja",'Mapa final'!#REF!="Moderado"),CONCATENATE("R4C",'Mapa final'!#REF!),"")</f>
        <v>#REF!</v>
      </c>
      <c r="AA49" s="69" t="e">
        <f>IF(AND('Mapa final'!#REF!="Muy Baja",'Mapa final'!#REF!="Moderado"),CONCATENATE("R4C",'Mapa final'!#REF!),"")</f>
        <v>#REF!</v>
      </c>
      <c r="AB49" s="52" t="e">
        <f>IF(AND('Mapa final'!#REF!="Muy Baja",'Mapa final'!#REF!="Mayor"),CONCATENATE("R4C",'Mapa final'!#REF!),"")</f>
        <v>#REF!</v>
      </c>
      <c r="AC49" s="53" t="e">
        <f>IF(AND('Mapa final'!#REF!="Muy Baja",'Mapa final'!#REF!="Mayor"),CONCATENATE("R4C",'Mapa final'!#REF!),"")</f>
        <v>#REF!</v>
      </c>
      <c r="AD49" s="53" t="e">
        <f>IF(AND('Mapa final'!#REF!="Muy Baja",'Mapa final'!#REF!="Mayor"),CONCATENATE("R4C",'Mapa final'!#REF!),"")</f>
        <v>#REF!</v>
      </c>
      <c r="AE49" s="53" t="e">
        <f>IF(AND('Mapa final'!#REF!="Muy Baja",'Mapa final'!#REF!="Mayor"),CONCATENATE("R4C",'Mapa final'!#REF!),"")</f>
        <v>#REF!</v>
      </c>
      <c r="AF49" s="53" t="e">
        <f>IF(AND('Mapa final'!#REF!="Muy Baja",'Mapa final'!#REF!="Mayor"),CONCATENATE("R4C",'Mapa final'!#REF!),"")</f>
        <v>#REF!</v>
      </c>
      <c r="AG49" s="54" t="e">
        <f>IF(AND('Mapa final'!#REF!="Muy Baja",'Mapa final'!#REF!="Mayor"),CONCATENATE("R4C",'Mapa final'!#REF!),"")</f>
        <v>#REF!</v>
      </c>
      <c r="AH49" s="55" t="e">
        <f>IF(AND('Mapa final'!#REF!="Muy Baja",'Mapa final'!#REF!="Catastrófico"),CONCATENATE("R4C",'Mapa final'!#REF!),"")</f>
        <v>#REF!</v>
      </c>
      <c r="AI49" s="56" t="e">
        <f>IF(AND('Mapa final'!#REF!="Muy Baja",'Mapa final'!#REF!="Catastrófico"),CONCATENATE("R4C",'Mapa final'!#REF!),"")</f>
        <v>#REF!</v>
      </c>
      <c r="AJ49" s="56" t="e">
        <f>IF(AND('Mapa final'!#REF!="Muy Baja",'Mapa final'!#REF!="Catastrófico"),CONCATENATE("R4C",'Mapa final'!#REF!),"")</f>
        <v>#REF!</v>
      </c>
      <c r="AK49" s="56" t="e">
        <f>IF(AND('Mapa final'!#REF!="Muy Baja",'Mapa final'!#REF!="Catastrófico"),CONCATENATE("R4C",'Mapa final'!#REF!),"")</f>
        <v>#REF!</v>
      </c>
      <c r="AL49" s="56" t="e">
        <f>IF(AND('Mapa final'!#REF!="Muy Baja",'Mapa final'!#REF!="Catastrófico"),CONCATENATE("R4C",'Mapa final'!#REF!),"")</f>
        <v>#REF!</v>
      </c>
      <c r="AM49" s="57" t="e">
        <f>IF(AND('Mapa final'!#REF!="Muy Baja",'Mapa final'!#REF!="Catastrófico"),CONCATENATE("R4C",'Mapa final'!#REF!),"")</f>
        <v>#REF!</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316"/>
      <c r="C50" s="316"/>
      <c r="D50" s="317"/>
      <c r="E50" s="357"/>
      <c r="F50" s="358"/>
      <c r="G50" s="358"/>
      <c r="H50" s="358"/>
      <c r="I50" s="359"/>
      <c r="J50" s="76" t="str">
        <f>IF(AND('Mapa final'!$AB$15="Muy Baja",'Mapa final'!$AD$15="Leve"),CONCATENATE("R5C",'Mapa final'!$R$15),"")</f>
        <v/>
      </c>
      <c r="K50" s="77" t="str">
        <f>IF(AND('Mapa final'!$AB$16="Muy Baja",'Mapa final'!$AD$16="Leve"),CONCATENATE("R5C",'Mapa final'!$R$16),"")</f>
        <v/>
      </c>
      <c r="L50" s="77" t="str">
        <f>IF(AND('Mapa final'!$AB$17="Muy Baja",'Mapa final'!$AD$17="Leve"),CONCATENATE("R5C",'Mapa final'!$R$17),"")</f>
        <v/>
      </c>
      <c r="M50" s="77" t="str">
        <f>IF(AND('Mapa final'!$AB$18="Muy Baja",'Mapa final'!$AD$18="Leve"),CONCATENATE("R5C",'Mapa final'!$R$18),"")</f>
        <v/>
      </c>
      <c r="N50" s="77" t="str">
        <f>IF(AND('Mapa final'!$AB$19="Muy Baja",'Mapa final'!$AD$19="Leve"),CONCATENATE("R5C",'Mapa final'!$R$19),"")</f>
        <v/>
      </c>
      <c r="O50" s="78" t="str">
        <f>IF(AND('Mapa final'!$AB$20="Muy Baja",'Mapa final'!$AD$20="Leve"),CONCATENATE("R5C",'Mapa final'!$R$20),"")</f>
        <v/>
      </c>
      <c r="P50" s="76" t="str">
        <f>IF(AND('Mapa final'!$AB$15="Muy Baja",'Mapa final'!$AD$15="Menor"),CONCATENATE("R5C",'Mapa final'!$R$15),"")</f>
        <v/>
      </c>
      <c r="Q50" s="77" t="str">
        <f>IF(AND('Mapa final'!$AB$16="Muy Baja",'Mapa final'!$AD$16="Menor"),CONCATENATE("R5C",'Mapa final'!$R$16),"")</f>
        <v/>
      </c>
      <c r="R50" s="77" t="str">
        <f>IF(AND('Mapa final'!$AB$17="Muy Baja",'Mapa final'!$AD$17="Menor"),CONCATENATE("R5C",'Mapa final'!$R$17),"")</f>
        <v/>
      </c>
      <c r="S50" s="77" t="str">
        <f>IF(AND('Mapa final'!$AB$18="Muy Baja",'Mapa final'!$AD$18="Menor"),CONCATENATE("R5C",'Mapa final'!$R$18),"")</f>
        <v/>
      </c>
      <c r="T50" s="77" t="str">
        <f>IF(AND('Mapa final'!$AB$19="Muy Baja",'Mapa final'!$AD$19="Menor"),CONCATENATE("R5C",'Mapa final'!$R$19),"")</f>
        <v/>
      </c>
      <c r="U50" s="78" t="str">
        <f>IF(AND('Mapa final'!$AB$20="Muy Baja",'Mapa final'!$AD$20="Menor"),CONCATENATE("R5C",'Mapa final'!$R$20),"")</f>
        <v/>
      </c>
      <c r="V50" s="67" t="str">
        <f>IF(AND('Mapa final'!$AB$15="Muy Baja",'Mapa final'!$AD$15="Moderado"),CONCATENATE("R5C",'Mapa final'!$R$15),"")</f>
        <v/>
      </c>
      <c r="W50" s="68" t="str">
        <f>IF(AND('Mapa final'!$AB$16="Muy Baja",'Mapa final'!$AD$16="Moderado"),CONCATENATE("R5C",'Mapa final'!$R$16),"")</f>
        <v/>
      </c>
      <c r="X50" s="68" t="str">
        <f>IF(AND('Mapa final'!$AB$17="Muy Baja",'Mapa final'!$AD$17="Moderado"),CONCATENATE("R5C",'Mapa final'!$R$17),"")</f>
        <v/>
      </c>
      <c r="Y50" s="68" t="str">
        <f>IF(AND('Mapa final'!$AB$18="Muy Baja",'Mapa final'!$AD$18="Moderado"),CONCATENATE("R5C",'Mapa final'!$R$18),"")</f>
        <v/>
      </c>
      <c r="Z50" s="68" t="str">
        <f>IF(AND('Mapa final'!$AB$19="Muy Baja",'Mapa final'!$AD$19="Moderado"),CONCATENATE("R5C",'Mapa final'!$R$19),"")</f>
        <v/>
      </c>
      <c r="AA50" s="69" t="str">
        <f>IF(AND('Mapa final'!$AB$20="Muy Baja",'Mapa final'!$AD$20="Moderado"),CONCATENATE("R5C",'Mapa final'!$R$20),"")</f>
        <v/>
      </c>
      <c r="AB50" s="52" t="str">
        <f>IF(AND('Mapa final'!$AB$15="Muy Baja",'Mapa final'!$AD$15="Mayor"),CONCATENATE("R5C",'Mapa final'!$R$15),"")</f>
        <v/>
      </c>
      <c r="AC50" s="53" t="str">
        <f>IF(AND('Mapa final'!$AB$16="Muy Baja",'Mapa final'!$AD$16="Mayor"),CONCATENATE("R5C",'Mapa final'!$R$16),"")</f>
        <v/>
      </c>
      <c r="AD50" s="53" t="str">
        <f>IF(AND('Mapa final'!$AB$17="Muy Baja",'Mapa final'!$AD$17="Mayor"),CONCATENATE("R5C",'Mapa final'!$R$17),"")</f>
        <v/>
      </c>
      <c r="AE50" s="53" t="str">
        <f>IF(AND('Mapa final'!$AB$18="Muy Baja",'Mapa final'!$AD$18="Mayor"),CONCATENATE("R5C",'Mapa final'!$R$18),"")</f>
        <v/>
      </c>
      <c r="AF50" s="53" t="str">
        <f>IF(AND('Mapa final'!$AB$19="Muy Baja",'Mapa final'!$AD$19="Mayor"),CONCATENATE("R5C",'Mapa final'!$R$19),"")</f>
        <v/>
      </c>
      <c r="AG50" s="54" t="str">
        <f>IF(AND('Mapa final'!$AB$20="Muy Baja",'Mapa final'!$AD$20="Mayor"),CONCATENATE("R5C",'Mapa final'!$R$20),"")</f>
        <v/>
      </c>
      <c r="AH50" s="55" t="str">
        <f>IF(AND('Mapa final'!$AB$15="Muy Baja",'Mapa final'!$AD$15="Catastrófico"),CONCATENATE("R5C",'Mapa final'!$R$15),"")</f>
        <v/>
      </c>
      <c r="AI50" s="56" t="str">
        <f>IF(AND('Mapa final'!$AB$16="Muy Baja",'Mapa final'!$AD$16="Catastrófico"),CONCATENATE("R5C",'Mapa final'!$R$16),"")</f>
        <v/>
      </c>
      <c r="AJ50" s="56" t="str">
        <f>IF(AND('Mapa final'!$AB$17="Muy Baja",'Mapa final'!$AD$17="Catastrófico"),CONCATENATE("R5C",'Mapa final'!$R$17),"")</f>
        <v/>
      </c>
      <c r="AK50" s="56" t="str">
        <f>IF(AND('Mapa final'!$AB$18="Muy Baja",'Mapa final'!$AD$18="Catastrófico"),CONCATENATE("R5C",'Mapa final'!$R$18),"")</f>
        <v/>
      </c>
      <c r="AL50" s="56" t="str">
        <f>IF(AND('Mapa final'!$AB$19="Muy Baja",'Mapa final'!$AD$19="Catastrófico"),CONCATENATE("R5C",'Mapa final'!$R$19),"")</f>
        <v/>
      </c>
      <c r="AM50" s="57" t="str">
        <f>IF(AND('Mapa final'!$AB$20="Muy Baja",'Mapa final'!$AD$20="Catastrófico"),CONCATENATE("R5C",'Mapa final'!$R$20),"")</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316"/>
      <c r="C51" s="316"/>
      <c r="D51" s="317"/>
      <c r="E51" s="357"/>
      <c r="F51" s="358"/>
      <c r="G51" s="358"/>
      <c r="H51" s="358"/>
      <c r="I51" s="359"/>
      <c r="J51" s="76" t="str">
        <f>IF(AND('Mapa final'!$AB$21="Muy Baja",'Mapa final'!$AD$21="Leve"),CONCATENATE("R6C",'Mapa final'!$R$21),"")</f>
        <v/>
      </c>
      <c r="K51" s="77" t="str">
        <f>IF(AND('Mapa final'!$AB$22="Muy Baja",'Mapa final'!$AD$22="Leve"),CONCATENATE("R6C",'Mapa final'!$R$22),"")</f>
        <v/>
      </c>
      <c r="L51" s="77" t="str">
        <f>IF(AND('Mapa final'!$AB$23="Muy Baja",'Mapa final'!$AD$23="Leve"),CONCATENATE("R6C",'Mapa final'!$R$23),"")</f>
        <v/>
      </c>
      <c r="M51" s="77" t="str">
        <f>IF(AND('Mapa final'!$AB$24="Muy Baja",'Mapa final'!$AD$24="Leve"),CONCATENATE("R6C",'Mapa final'!$R$24),"")</f>
        <v/>
      </c>
      <c r="N51" s="77" t="str">
        <f>IF(AND('Mapa final'!$AB$25="Muy Baja",'Mapa final'!$AD$25="Leve"),CONCATENATE("R6C",'Mapa final'!$R$25),"")</f>
        <v/>
      </c>
      <c r="O51" s="78" t="str">
        <f>IF(AND('Mapa final'!$AB$26="Muy Baja",'Mapa final'!$AD$26="Leve"),CONCATENATE("R6C",'Mapa final'!$R$26),"")</f>
        <v/>
      </c>
      <c r="P51" s="76" t="str">
        <f>IF(AND('Mapa final'!$AB$21="Muy Baja",'Mapa final'!$AD$21="Menor"),CONCATENATE("R6C",'Mapa final'!$R$21),"")</f>
        <v/>
      </c>
      <c r="Q51" s="77" t="str">
        <f>IF(AND('Mapa final'!$AB$22="Muy Baja",'Mapa final'!$AD$22="Menor"),CONCATENATE("R6C",'Mapa final'!$R$22),"")</f>
        <v/>
      </c>
      <c r="R51" s="77" t="str">
        <f>IF(AND('Mapa final'!$AB$23="Muy Baja",'Mapa final'!$AD$23="Menor"),CONCATENATE("R6C",'Mapa final'!$R$23),"")</f>
        <v/>
      </c>
      <c r="S51" s="77" t="str">
        <f>IF(AND('Mapa final'!$AB$24="Muy Baja",'Mapa final'!$AD$24="Menor"),CONCATENATE("R6C",'Mapa final'!$R$24),"")</f>
        <v/>
      </c>
      <c r="T51" s="77" t="str">
        <f>IF(AND('Mapa final'!$AB$25="Muy Baja",'Mapa final'!$AD$25="Menor"),CONCATENATE("R6C",'Mapa final'!$R$25),"")</f>
        <v/>
      </c>
      <c r="U51" s="78" t="str">
        <f>IF(AND('Mapa final'!$AB$26="Muy Baja",'Mapa final'!$AD$26="Menor"),CONCATENATE("R6C",'Mapa final'!$R$26),"")</f>
        <v/>
      </c>
      <c r="V51" s="67" t="str">
        <f>IF(AND('Mapa final'!$AB$21="Muy Baja",'Mapa final'!$AD$21="Moderado"),CONCATENATE("R6C",'Mapa final'!$R$21),"")</f>
        <v/>
      </c>
      <c r="W51" s="68" t="str">
        <f>IF(AND('Mapa final'!$AB$22="Muy Baja",'Mapa final'!$AD$22="Moderado"),CONCATENATE("R6C",'Mapa final'!$R$22),"")</f>
        <v/>
      </c>
      <c r="X51" s="68" t="str">
        <f>IF(AND('Mapa final'!$AB$23="Muy Baja",'Mapa final'!$AD$23="Moderado"),CONCATENATE("R6C",'Mapa final'!$R$23),"")</f>
        <v/>
      </c>
      <c r="Y51" s="68" t="str">
        <f>IF(AND('Mapa final'!$AB$24="Muy Baja",'Mapa final'!$AD$24="Moderado"),CONCATENATE("R6C",'Mapa final'!$R$24),"")</f>
        <v/>
      </c>
      <c r="Z51" s="68" t="str">
        <f>IF(AND('Mapa final'!$AB$25="Muy Baja",'Mapa final'!$AD$25="Moderado"),CONCATENATE("R6C",'Mapa final'!$R$25),"")</f>
        <v/>
      </c>
      <c r="AA51" s="69" t="str">
        <f>IF(AND('Mapa final'!$AB$26="Muy Baja",'Mapa final'!$AD$26="Moderado"),CONCATENATE("R6C",'Mapa final'!$R$26),"")</f>
        <v/>
      </c>
      <c r="AB51" s="52" t="str">
        <f>IF(AND('Mapa final'!$AB$21="Muy Baja",'Mapa final'!$AD$21="Mayor"),CONCATENATE("R6C",'Mapa final'!$R$21),"")</f>
        <v/>
      </c>
      <c r="AC51" s="53" t="str">
        <f>IF(AND('Mapa final'!$AB$22="Muy Baja",'Mapa final'!$AD$22="Mayor"),CONCATENATE("R6C",'Mapa final'!$R$22),"")</f>
        <v/>
      </c>
      <c r="AD51" s="53" t="str">
        <f>IF(AND('Mapa final'!$AB$23="Muy Baja",'Mapa final'!$AD$23="Mayor"),CONCATENATE("R6C",'Mapa final'!$R$23),"")</f>
        <v/>
      </c>
      <c r="AE51" s="53" t="str">
        <f>IF(AND('Mapa final'!$AB$24="Muy Baja",'Mapa final'!$AD$24="Mayor"),CONCATENATE("R6C",'Mapa final'!$R$24),"")</f>
        <v/>
      </c>
      <c r="AF51" s="53" t="str">
        <f>IF(AND('Mapa final'!$AB$25="Muy Baja",'Mapa final'!$AD$25="Mayor"),CONCATENATE("R6C",'Mapa final'!$R$25),"")</f>
        <v/>
      </c>
      <c r="AG51" s="54" t="str">
        <f>IF(AND('Mapa final'!$AB$26="Muy Baja",'Mapa final'!$AD$26="Mayor"),CONCATENATE("R6C",'Mapa final'!$R$26),"")</f>
        <v/>
      </c>
      <c r="AH51" s="55" t="str">
        <f>IF(AND('Mapa final'!$AB$21="Muy Baja",'Mapa final'!$AD$21="Catastrófico"),CONCATENATE("R6C",'Mapa final'!$R$21),"")</f>
        <v/>
      </c>
      <c r="AI51" s="56" t="str">
        <f>IF(AND('Mapa final'!$AB$22="Muy Baja",'Mapa final'!$AD$22="Catastrófico"),CONCATENATE("R6C",'Mapa final'!$R$22),"")</f>
        <v/>
      </c>
      <c r="AJ51" s="56" t="str">
        <f>IF(AND('Mapa final'!$AB$23="Muy Baja",'Mapa final'!$AD$23="Catastrófico"),CONCATENATE("R6C",'Mapa final'!$R$23),"")</f>
        <v/>
      </c>
      <c r="AK51" s="56" t="str">
        <f>IF(AND('Mapa final'!$AB$24="Muy Baja",'Mapa final'!$AD$24="Catastrófico"),CONCATENATE("R6C",'Mapa final'!$R$24),"")</f>
        <v/>
      </c>
      <c r="AL51" s="56" t="str">
        <f>IF(AND('Mapa final'!$AB$25="Muy Baja",'Mapa final'!$AD$25="Catastrófico"),CONCATENATE("R6C",'Mapa final'!$R$25),"")</f>
        <v/>
      </c>
      <c r="AM51" s="57" t="str">
        <f>IF(AND('Mapa final'!$AB$26="Muy Baja",'Mapa final'!$AD$26="Catastrófico"),CONCATENATE("R6C",'Mapa final'!$R$26),"")</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316"/>
      <c r="C52" s="316"/>
      <c r="D52" s="317"/>
      <c r="E52" s="357"/>
      <c r="F52" s="358"/>
      <c r="G52" s="358"/>
      <c r="H52" s="358"/>
      <c r="I52" s="359"/>
      <c r="J52" s="76" t="str">
        <f>IF(AND('Mapa final'!$AB$27="Muy Baja",'Mapa final'!$AD$27="Leve"),CONCATENATE("R7C",'Mapa final'!$R$27),"")</f>
        <v/>
      </c>
      <c r="K52" s="77" t="str">
        <f>IF(AND('Mapa final'!$AB$28="Muy Baja",'Mapa final'!$AD$28="Leve"),CONCATENATE("R7C",'Mapa final'!$R$28),"")</f>
        <v/>
      </c>
      <c r="L52" s="77" t="str">
        <f>IF(AND('Mapa final'!$AB$29="Muy Baja",'Mapa final'!$AD$29="Leve"),CONCATENATE("R7C",'Mapa final'!$R$29),"")</f>
        <v/>
      </c>
      <c r="M52" s="77" t="str">
        <f>IF(AND('Mapa final'!$AB$30="Muy Baja",'Mapa final'!$AD$30="Leve"),CONCATENATE("R7C",'Mapa final'!$R$30),"")</f>
        <v/>
      </c>
      <c r="N52" s="77" t="str">
        <f>IF(AND('Mapa final'!$AB$31="Muy Baja",'Mapa final'!$AD$31="Leve"),CONCATENATE("R7C",'Mapa final'!$R$31),"")</f>
        <v/>
      </c>
      <c r="O52" s="78" t="str">
        <f>IF(AND('Mapa final'!$AB$32="Muy Baja",'Mapa final'!$AD$32="Leve"),CONCATENATE("R7C",'Mapa final'!$R$32),"")</f>
        <v/>
      </c>
      <c r="P52" s="76" t="str">
        <f>IF(AND('Mapa final'!$AB$27="Muy Baja",'Mapa final'!$AD$27="Menor"),CONCATENATE("R7C",'Mapa final'!$R$27),"")</f>
        <v/>
      </c>
      <c r="Q52" s="77" t="str">
        <f>IF(AND('Mapa final'!$AB$28="Muy Baja",'Mapa final'!$AD$28="Menor"),CONCATENATE("R7C",'Mapa final'!$R$28),"")</f>
        <v/>
      </c>
      <c r="R52" s="77" t="str">
        <f>IF(AND('Mapa final'!$AB$29="Muy Baja",'Mapa final'!$AD$29="Menor"),CONCATENATE("R7C",'Mapa final'!$R$29),"")</f>
        <v/>
      </c>
      <c r="S52" s="77" t="str">
        <f>IF(AND('Mapa final'!$AB$30="Muy Baja",'Mapa final'!$AD$30="Menor"),CONCATENATE("R7C",'Mapa final'!$R$30),"")</f>
        <v/>
      </c>
      <c r="T52" s="77" t="str">
        <f>IF(AND('Mapa final'!$AB$31="Muy Baja",'Mapa final'!$AD$31="Menor"),CONCATENATE("R7C",'Mapa final'!$R$31),"")</f>
        <v/>
      </c>
      <c r="U52" s="78" t="str">
        <f>IF(AND('Mapa final'!$AB$32="Muy Baja",'Mapa final'!$AD$32="Menor"),CONCATENATE("R7C",'Mapa final'!$R$32),"")</f>
        <v/>
      </c>
      <c r="V52" s="67" t="str">
        <f>IF(AND('Mapa final'!$AB$27="Muy Baja",'Mapa final'!$AD$27="Moderado"),CONCATENATE("R7C",'Mapa final'!$R$27),"")</f>
        <v/>
      </c>
      <c r="W52" s="68" t="str">
        <f>IF(AND('Mapa final'!$AB$28="Muy Baja",'Mapa final'!$AD$28="Moderado"),CONCATENATE("R7C",'Mapa final'!$R$28),"")</f>
        <v/>
      </c>
      <c r="X52" s="68" t="str">
        <f>IF(AND('Mapa final'!$AB$29="Muy Baja",'Mapa final'!$AD$29="Moderado"),CONCATENATE("R7C",'Mapa final'!$R$29),"")</f>
        <v/>
      </c>
      <c r="Y52" s="68" t="str">
        <f>IF(AND('Mapa final'!$AB$30="Muy Baja",'Mapa final'!$AD$30="Moderado"),CONCATENATE("R7C",'Mapa final'!$R$30),"")</f>
        <v/>
      </c>
      <c r="Z52" s="68" t="str">
        <f>IF(AND('Mapa final'!$AB$31="Muy Baja",'Mapa final'!$AD$31="Moderado"),CONCATENATE("R7C",'Mapa final'!$R$31),"")</f>
        <v/>
      </c>
      <c r="AA52" s="69" t="str">
        <f>IF(AND('Mapa final'!$AB$32="Muy Baja",'Mapa final'!$AD$32="Moderado"),CONCATENATE("R7C",'Mapa final'!$R$32),"")</f>
        <v/>
      </c>
      <c r="AB52" s="52" t="str">
        <f>IF(AND('Mapa final'!$AB$27="Muy Baja",'Mapa final'!$AD$27="Mayor"),CONCATENATE("R7C",'Mapa final'!$R$27),"")</f>
        <v/>
      </c>
      <c r="AC52" s="53" t="str">
        <f>IF(AND('Mapa final'!$AB$28="Muy Baja",'Mapa final'!$AD$28="Mayor"),CONCATENATE("R7C",'Mapa final'!$R$28),"")</f>
        <v/>
      </c>
      <c r="AD52" s="53" t="str">
        <f>IF(AND('Mapa final'!$AB$29="Muy Baja",'Mapa final'!$AD$29="Mayor"),CONCATENATE("R7C",'Mapa final'!$R$29),"")</f>
        <v/>
      </c>
      <c r="AE52" s="53" t="str">
        <f>IF(AND('Mapa final'!$AB$30="Muy Baja",'Mapa final'!$AD$30="Mayor"),CONCATENATE("R7C",'Mapa final'!$R$30),"")</f>
        <v/>
      </c>
      <c r="AF52" s="53" t="str">
        <f>IF(AND('Mapa final'!$AB$31="Muy Baja",'Mapa final'!$AD$31="Mayor"),CONCATENATE("R7C",'Mapa final'!$R$31),"")</f>
        <v/>
      </c>
      <c r="AG52" s="54" t="str">
        <f>IF(AND('Mapa final'!$AB$32="Muy Baja",'Mapa final'!$AD$32="Mayor"),CONCATENATE("R7C",'Mapa final'!$R$32),"")</f>
        <v/>
      </c>
      <c r="AH52" s="55" t="str">
        <f>IF(AND('Mapa final'!$AB$27="Muy Baja",'Mapa final'!$AD$27="Catastrófico"),CONCATENATE("R7C",'Mapa final'!$R$27),"")</f>
        <v/>
      </c>
      <c r="AI52" s="56" t="str">
        <f>IF(AND('Mapa final'!$AB$28="Muy Baja",'Mapa final'!$AD$28="Catastrófico"),CONCATENATE("R7C",'Mapa final'!$R$28),"")</f>
        <v/>
      </c>
      <c r="AJ52" s="56" t="str">
        <f>IF(AND('Mapa final'!$AB$29="Muy Baja",'Mapa final'!$AD$29="Catastrófico"),CONCATENATE("R7C",'Mapa final'!$R$29),"")</f>
        <v/>
      </c>
      <c r="AK52" s="56" t="str">
        <f>IF(AND('Mapa final'!$AB$30="Muy Baja",'Mapa final'!$AD$30="Catastrófico"),CONCATENATE("R7C",'Mapa final'!$R$30),"")</f>
        <v/>
      </c>
      <c r="AL52" s="56" t="str">
        <f>IF(AND('Mapa final'!$AB$31="Muy Baja",'Mapa final'!$AD$31="Catastrófico"),CONCATENATE("R7C",'Mapa final'!$R$31),"")</f>
        <v/>
      </c>
      <c r="AM52" s="57" t="str">
        <f>IF(AND('Mapa final'!$AB$32="Muy Baja",'Mapa final'!$AD$32="Catastrófico"),CONCATENATE("R7C",'Mapa final'!$R$32),"")</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316"/>
      <c r="C53" s="316"/>
      <c r="D53" s="317"/>
      <c r="E53" s="357"/>
      <c r="F53" s="358"/>
      <c r="G53" s="358"/>
      <c r="H53" s="358"/>
      <c r="I53" s="359"/>
      <c r="J53" s="76" t="str">
        <f>IF(AND('Mapa final'!$AB$33="Muy Baja",'Mapa final'!$AD$33="Leve"),CONCATENATE("R8C",'Mapa final'!$R$33),"")</f>
        <v/>
      </c>
      <c r="K53" s="77" t="str">
        <f>IF(AND('Mapa final'!$AB$34="Muy Baja",'Mapa final'!$AD$34="Leve"),CONCATENATE("R8C",'Mapa final'!$R$34),"")</f>
        <v/>
      </c>
      <c r="L53" s="77" t="str">
        <f>IF(AND('Mapa final'!$AB$35="Muy Baja",'Mapa final'!$AD$35="Leve"),CONCATENATE("R8C",'Mapa final'!$R$35),"")</f>
        <v/>
      </c>
      <c r="M53" s="77" t="str">
        <f>IF(AND('Mapa final'!$AB$36="Muy Baja",'Mapa final'!$AD$36="Leve"),CONCATENATE("R8C",'Mapa final'!$R$36),"")</f>
        <v/>
      </c>
      <c r="N53" s="77" t="str">
        <f>IF(AND('Mapa final'!$AB$37="Muy Baja",'Mapa final'!$AD$37="Leve"),CONCATENATE("R8C",'Mapa final'!$R$37),"")</f>
        <v/>
      </c>
      <c r="O53" s="78" t="str">
        <f>IF(AND('Mapa final'!$AB$38="Muy Baja",'Mapa final'!$AD$38="Leve"),CONCATENATE("R8C",'Mapa final'!$R$38),"")</f>
        <v/>
      </c>
      <c r="P53" s="76" t="str">
        <f>IF(AND('Mapa final'!$AB$33="Muy Baja",'Mapa final'!$AD$33="Menor"),CONCATENATE("R8C",'Mapa final'!$R$33),"")</f>
        <v/>
      </c>
      <c r="Q53" s="77" t="str">
        <f>IF(AND('Mapa final'!$AB$34="Muy Baja",'Mapa final'!$AD$34="Menor"),CONCATENATE("R8C",'Mapa final'!$R$34),"")</f>
        <v/>
      </c>
      <c r="R53" s="77" t="str">
        <f>IF(AND('Mapa final'!$AB$35="Muy Baja",'Mapa final'!$AD$35="Menor"),CONCATENATE("R8C",'Mapa final'!$R$35),"")</f>
        <v/>
      </c>
      <c r="S53" s="77" t="str">
        <f>IF(AND('Mapa final'!$AB$36="Muy Baja",'Mapa final'!$AD$36="Menor"),CONCATENATE("R8C",'Mapa final'!$R$36),"")</f>
        <v/>
      </c>
      <c r="T53" s="77" t="str">
        <f>IF(AND('Mapa final'!$AB$37="Muy Baja",'Mapa final'!$AD$37="Menor"),CONCATENATE("R8C",'Mapa final'!$R$37),"")</f>
        <v/>
      </c>
      <c r="U53" s="78" t="str">
        <f>IF(AND('Mapa final'!$AB$38="Muy Baja",'Mapa final'!$AD$38="Menor"),CONCATENATE("R8C",'Mapa final'!$R$38),"")</f>
        <v/>
      </c>
      <c r="V53" s="67" t="str">
        <f>IF(AND('Mapa final'!$AB$33="Muy Baja",'Mapa final'!$AD$33="Moderado"),CONCATENATE("R8C",'Mapa final'!$R$33),"")</f>
        <v/>
      </c>
      <c r="W53" s="68" t="str">
        <f>IF(AND('Mapa final'!$AB$34="Muy Baja",'Mapa final'!$AD$34="Moderado"),CONCATENATE("R8C",'Mapa final'!$R$34),"")</f>
        <v/>
      </c>
      <c r="X53" s="68" t="str">
        <f>IF(AND('Mapa final'!$AB$35="Muy Baja",'Mapa final'!$AD$35="Moderado"),CONCATENATE("R8C",'Mapa final'!$R$35),"")</f>
        <v/>
      </c>
      <c r="Y53" s="68" t="str">
        <f>IF(AND('Mapa final'!$AB$36="Muy Baja",'Mapa final'!$AD$36="Moderado"),CONCATENATE("R8C",'Mapa final'!$R$36),"")</f>
        <v/>
      </c>
      <c r="Z53" s="68" t="str">
        <f>IF(AND('Mapa final'!$AB$37="Muy Baja",'Mapa final'!$AD$37="Moderado"),CONCATENATE("R8C",'Mapa final'!$R$37),"")</f>
        <v/>
      </c>
      <c r="AA53" s="69" t="str">
        <f>IF(AND('Mapa final'!$AB$38="Muy Baja",'Mapa final'!$AD$38="Moderado"),CONCATENATE("R8C",'Mapa final'!$R$38),"")</f>
        <v/>
      </c>
      <c r="AB53" s="52" t="str">
        <f>IF(AND('Mapa final'!$AB$33="Muy Baja",'Mapa final'!$AD$33="Mayor"),CONCATENATE("R8C",'Mapa final'!$R$33),"")</f>
        <v/>
      </c>
      <c r="AC53" s="53" t="str">
        <f>IF(AND('Mapa final'!$AB$34="Muy Baja",'Mapa final'!$AD$34="Mayor"),CONCATENATE("R8C",'Mapa final'!$R$34),"")</f>
        <v/>
      </c>
      <c r="AD53" s="53" t="str">
        <f>IF(AND('Mapa final'!$AB$35="Muy Baja",'Mapa final'!$AD$35="Mayor"),CONCATENATE("R8C",'Mapa final'!$R$35),"")</f>
        <v/>
      </c>
      <c r="AE53" s="53" t="str">
        <f>IF(AND('Mapa final'!$AB$36="Muy Baja",'Mapa final'!$AD$36="Mayor"),CONCATENATE("R8C",'Mapa final'!$R$36),"")</f>
        <v/>
      </c>
      <c r="AF53" s="53" t="str">
        <f>IF(AND('Mapa final'!$AB$37="Muy Baja",'Mapa final'!$AD$37="Mayor"),CONCATENATE("R8C",'Mapa final'!$R$37),"")</f>
        <v/>
      </c>
      <c r="AG53" s="54" t="str">
        <f>IF(AND('Mapa final'!$AB$38="Muy Baja",'Mapa final'!$AD$38="Mayor"),CONCATENATE("R8C",'Mapa final'!$R$38),"")</f>
        <v/>
      </c>
      <c r="AH53" s="55" t="str">
        <f>IF(AND('Mapa final'!$AB$33="Muy Baja",'Mapa final'!$AD$33="Catastrófico"),CONCATENATE("R8C",'Mapa final'!$R$33),"")</f>
        <v/>
      </c>
      <c r="AI53" s="56" t="str">
        <f>IF(AND('Mapa final'!$AB$34="Muy Baja",'Mapa final'!$AD$34="Catastrófico"),CONCATENATE("R8C",'Mapa final'!$R$34),"")</f>
        <v/>
      </c>
      <c r="AJ53" s="56" t="str">
        <f>IF(AND('Mapa final'!$AB$35="Muy Baja",'Mapa final'!$AD$35="Catastrófico"),CONCATENATE("R8C",'Mapa final'!$R$35),"")</f>
        <v/>
      </c>
      <c r="AK53" s="56" t="str">
        <f>IF(AND('Mapa final'!$AB$36="Muy Baja",'Mapa final'!$AD$36="Catastrófico"),CONCATENATE("R8C",'Mapa final'!$R$36),"")</f>
        <v/>
      </c>
      <c r="AL53" s="56" t="str">
        <f>IF(AND('Mapa final'!$AB$37="Muy Baja",'Mapa final'!$AD$37="Catastrófico"),CONCATENATE("R8C",'Mapa final'!$R$37),"")</f>
        <v/>
      </c>
      <c r="AM53" s="57" t="str">
        <f>IF(AND('Mapa final'!$AB$38="Muy Baja",'Mapa final'!$AD$38="Catastrófico"),CONCATENATE("R8C",'Mapa final'!$R$38),"")</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316"/>
      <c r="C54" s="316"/>
      <c r="D54" s="317"/>
      <c r="E54" s="357"/>
      <c r="F54" s="358"/>
      <c r="G54" s="358"/>
      <c r="H54" s="358"/>
      <c r="I54" s="359"/>
      <c r="J54" s="76" t="str">
        <f>IF(AND('Mapa final'!$AB$39="Muy Baja",'Mapa final'!$AD$39="Leve"),CONCATENATE("R9C",'Mapa final'!$R$39),"")</f>
        <v/>
      </c>
      <c r="K54" s="77" t="str">
        <f>IF(AND('Mapa final'!$AB$40="Muy Baja",'Mapa final'!$AD$40="Leve"),CONCATENATE("R9C",'Mapa final'!$R$40),"")</f>
        <v/>
      </c>
      <c r="L54" s="77" t="str">
        <f>IF(AND('Mapa final'!$AB$41="Muy Baja",'Mapa final'!$AD$41="Leve"),CONCATENATE("R9C",'Mapa final'!$R$41),"")</f>
        <v/>
      </c>
      <c r="M54" s="77" t="str">
        <f>IF(AND('Mapa final'!$AB$42="Muy Baja",'Mapa final'!$AD$42="Leve"),CONCATENATE("R9C",'Mapa final'!$R$42),"")</f>
        <v/>
      </c>
      <c r="N54" s="77" t="str">
        <f>IF(AND('Mapa final'!$AB$43="Muy Baja",'Mapa final'!$AD$43="Leve"),CONCATENATE("R9C",'Mapa final'!$R$43),"")</f>
        <v/>
      </c>
      <c r="O54" s="78" t="str">
        <f>IF(AND('Mapa final'!$AB$44="Muy Baja",'Mapa final'!$AD$44="Leve"),CONCATENATE("R9C",'Mapa final'!$R$44),"")</f>
        <v/>
      </c>
      <c r="P54" s="76" t="str">
        <f>IF(AND('Mapa final'!$AB$39="Muy Baja",'Mapa final'!$AD$39="Menor"),CONCATENATE("R9C",'Mapa final'!$R$39),"")</f>
        <v/>
      </c>
      <c r="Q54" s="77" t="str">
        <f>IF(AND('Mapa final'!$AB$40="Muy Baja",'Mapa final'!$AD$40="Menor"),CONCATENATE("R9C",'Mapa final'!$R$40),"")</f>
        <v/>
      </c>
      <c r="R54" s="77" t="str">
        <f>IF(AND('Mapa final'!$AB$41="Muy Baja",'Mapa final'!$AD$41="Menor"),CONCATENATE("R9C",'Mapa final'!$R$41),"")</f>
        <v/>
      </c>
      <c r="S54" s="77" t="str">
        <f>IF(AND('Mapa final'!$AB$42="Muy Baja",'Mapa final'!$AD$42="Menor"),CONCATENATE("R9C",'Mapa final'!$R$42),"")</f>
        <v/>
      </c>
      <c r="T54" s="77" t="str">
        <f>IF(AND('Mapa final'!$AB$43="Muy Baja",'Mapa final'!$AD$43="Menor"),CONCATENATE("R9C",'Mapa final'!$R$43),"")</f>
        <v/>
      </c>
      <c r="U54" s="78" t="str">
        <f>IF(AND('Mapa final'!$AB$44="Muy Baja",'Mapa final'!$AD$44="Menor"),CONCATENATE("R9C",'Mapa final'!$R$44),"")</f>
        <v/>
      </c>
      <c r="V54" s="67" t="str">
        <f>IF(AND('Mapa final'!$AB$39="Muy Baja",'Mapa final'!$AD$39="Moderado"),CONCATENATE("R9C",'Mapa final'!$R$39),"")</f>
        <v/>
      </c>
      <c r="W54" s="68" t="str">
        <f>IF(AND('Mapa final'!$AB$40="Muy Baja",'Mapa final'!$AD$40="Moderado"),CONCATENATE("R9C",'Mapa final'!$R$40),"")</f>
        <v/>
      </c>
      <c r="X54" s="68" t="str">
        <f>IF(AND('Mapa final'!$AB$41="Muy Baja",'Mapa final'!$AD$41="Moderado"),CONCATENATE("R9C",'Mapa final'!$R$41),"")</f>
        <v/>
      </c>
      <c r="Y54" s="68" t="str">
        <f>IF(AND('Mapa final'!$AB$42="Muy Baja",'Mapa final'!$AD$42="Moderado"),CONCATENATE("R9C",'Mapa final'!$R$42),"")</f>
        <v/>
      </c>
      <c r="Z54" s="68" t="str">
        <f>IF(AND('Mapa final'!$AB$43="Muy Baja",'Mapa final'!$AD$43="Moderado"),CONCATENATE("R9C",'Mapa final'!$R$43),"")</f>
        <v/>
      </c>
      <c r="AA54" s="69" t="str">
        <f>IF(AND('Mapa final'!$AB$44="Muy Baja",'Mapa final'!$AD$44="Moderado"),CONCATENATE("R9C",'Mapa final'!$R$44),"")</f>
        <v/>
      </c>
      <c r="AB54" s="52" t="str">
        <f>IF(AND('Mapa final'!$AB$39="Muy Baja",'Mapa final'!$AD$39="Mayor"),CONCATENATE("R9C",'Mapa final'!$R$39),"")</f>
        <v/>
      </c>
      <c r="AC54" s="53" t="str">
        <f>IF(AND('Mapa final'!$AB$40="Muy Baja",'Mapa final'!$AD$40="Mayor"),CONCATENATE("R9C",'Mapa final'!$R$40),"")</f>
        <v/>
      </c>
      <c r="AD54" s="53" t="str">
        <f>IF(AND('Mapa final'!$AB$41="Muy Baja",'Mapa final'!$AD$41="Mayor"),CONCATENATE("R9C",'Mapa final'!$R$41),"")</f>
        <v/>
      </c>
      <c r="AE54" s="53" t="str">
        <f>IF(AND('Mapa final'!$AB$42="Muy Baja",'Mapa final'!$AD$42="Mayor"),CONCATENATE("R9C",'Mapa final'!$R$42),"")</f>
        <v/>
      </c>
      <c r="AF54" s="53" t="str">
        <f>IF(AND('Mapa final'!$AB$43="Muy Baja",'Mapa final'!$AD$43="Mayor"),CONCATENATE("R9C",'Mapa final'!$R$43),"")</f>
        <v/>
      </c>
      <c r="AG54" s="54" t="str">
        <f>IF(AND('Mapa final'!$AB$44="Muy Baja",'Mapa final'!$AD$44="Mayor"),CONCATENATE("R9C",'Mapa final'!$R$44),"")</f>
        <v/>
      </c>
      <c r="AH54" s="55" t="str">
        <f>IF(AND('Mapa final'!$AB$39="Muy Baja",'Mapa final'!$AD$39="Catastrófico"),CONCATENATE("R9C",'Mapa final'!$R$39),"")</f>
        <v/>
      </c>
      <c r="AI54" s="56" t="str">
        <f>IF(AND('Mapa final'!$AB$40="Muy Baja",'Mapa final'!$AD$40="Catastrófico"),CONCATENATE("R9C",'Mapa final'!$R$40),"")</f>
        <v/>
      </c>
      <c r="AJ54" s="56" t="str">
        <f>IF(AND('Mapa final'!$AB$41="Muy Baja",'Mapa final'!$AD$41="Catastrófico"),CONCATENATE("R9C",'Mapa final'!$R$41),"")</f>
        <v/>
      </c>
      <c r="AK54" s="56" t="str">
        <f>IF(AND('Mapa final'!$AB$42="Muy Baja",'Mapa final'!$AD$42="Catastrófico"),CONCATENATE("R9C",'Mapa final'!$R$42),"")</f>
        <v/>
      </c>
      <c r="AL54" s="56" t="str">
        <f>IF(AND('Mapa final'!$AB$43="Muy Baja",'Mapa final'!$AD$43="Catastrófico"),CONCATENATE("R9C",'Mapa final'!$R$43),"")</f>
        <v/>
      </c>
      <c r="AM54" s="57" t="str">
        <f>IF(AND('Mapa final'!$AB$44="Muy Baja",'Mapa final'!$AD$44="Catastrófico"),CONCATENATE("R9C",'Mapa final'!$R$44),"")</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316"/>
      <c r="C55" s="316"/>
      <c r="D55" s="317"/>
      <c r="E55" s="360"/>
      <c r="F55" s="361"/>
      <c r="G55" s="361"/>
      <c r="H55" s="361"/>
      <c r="I55" s="362"/>
      <c r="J55" s="79" t="str">
        <f>IF(AND('Mapa final'!$AB$45="Muy Baja",'Mapa final'!$AD$45="Leve"),CONCATENATE("R10C",'Mapa final'!$R$45),"")</f>
        <v/>
      </c>
      <c r="K55" s="80" t="str">
        <f>IF(AND('Mapa final'!$AB$46="Muy Baja",'Mapa final'!$AD$46="Leve"),CONCATENATE("R10C",'Mapa final'!$R$46),"")</f>
        <v/>
      </c>
      <c r="L55" s="80" t="str">
        <f>IF(AND('Mapa final'!$AB$47="Muy Baja",'Mapa final'!$AD$47="Leve"),CONCATENATE("R10C",'Mapa final'!$R$47),"")</f>
        <v/>
      </c>
      <c r="M55" s="80" t="str">
        <f>IF(AND('Mapa final'!$AB$48="Muy Baja",'Mapa final'!$AD$48="Leve"),CONCATENATE("R10C",'Mapa final'!$R$48),"")</f>
        <v/>
      </c>
      <c r="N55" s="80" t="str">
        <f>IF(AND('Mapa final'!$AB$49="Muy Baja",'Mapa final'!$AD$49="Leve"),CONCATENATE("R10C",'Mapa final'!$R$49),"")</f>
        <v/>
      </c>
      <c r="O55" s="81" t="str">
        <f>IF(AND('Mapa final'!$AB$50="Muy Baja",'Mapa final'!$AD$50="Leve"),CONCATENATE("R10C",'Mapa final'!$R$50),"")</f>
        <v/>
      </c>
      <c r="P55" s="79" t="str">
        <f>IF(AND('Mapa final'!$AB$45="Muy Baja",'Mapa final'!$AD$45="Menor"),CONCATENATE("R10C",'Mapa final'!$R$45),"")</f>
        <v/>
      </c>
      <c r="Q55" s="80" t="str">
        <f>IF(AND('Mapa final'!$AB$46="Muy Baja",'Mapa final'!$AD$46="Menor"),CONCATENATE("R10C",'Mapa final'!$R$46),"")</f>
        <v/>
      </c>
      <c r="R55" s="80" t="str">
        <f>IF(AND('Mapa final'!$AB$47="Muy Baja",'Mapa final'!$AD$47="Menor"),CONCATENATE("R10C",'Mapa final'!$R$47),"")</f>
        <v/>
      </c>
      <c r="S55" s="80" t="str">
        <f>IF(AND('Mapa final'!$AB$48="Muy Baja",'Mapa final'!$AD$48="Menor"),CONCATENATE("R10C",'Mapa final'!$R$48),"")</f>
        <v/>
      </c>
      <c r="T55" s="80" t="str">
        <f>IF(AND('Mapa final'!$AB$49="Muy Baja",'Mapa final'!$AD$49="Menor"),CONCATENATE("R10C",'Mapa final'!$R$49),"")</f>
        <v/>
      </c>
      <c r="U55" s="81" t="str">
        <f>IF(AND('Mapa final'!$AB$50="Muy Baja",'Mapa final'!$AD$50="Menor"),CONCATENATE("R10C",'Mapa final'!$R$50),"")</f>
        <v/>
      </c>
      <c r="V55" s="70" t="str">
        <f>IF(AND('Mapa final'!$AB$45="Muy Baja",'Mapa final'!$AD$45="Moderado"),CONCATENATE("R10C",'Mapa final'!$R$45),"")</f>
        <v/>
      </c>
      <c r="W55" s="71" t="str">
        <f>IF(AND('Mapa final'!$AB$46="Muy Baja",'Mapa final'!$AD$46="Moderado"),CONCATENATE("R10C",'Mapa final'!$R$46),"")</f>
        <v/>
      </c>
      <c r="X55" s="71" t="str">
        <f>IF(AND('Mapa final'!$AB$47="Muy Baja",'Mapa final'!$AD$47="Moderado"),CONCATENATE("R10C",'Mapa final'!$R$47),"")</f>
        <v/>
      </c>
      <c r="Y55" s="71" t="str">
        <f>IF(AND('Mapa final'!$AB$48="Muy Baja",'Mapa final'!$AD$48="Moderado"),CONCATENATE("R10C",'Mapa final'!$R$48),"")</f>
        <v/>
      </c>
      <c r="Z55" s="71" t="str">
        <f>IF(AND('Mapa final'!$AB$49="Muy Baja",'Mapa final'!$AD$49="Moderado"),CONCATENATE("R10C",'Mapa final'!$R$49),"")</f>
        <v/>
      </c>
      <c r="AA55" s="72" t="str">
        <f>IF(AND('Mapa final'!$AB$50="Muy Baja",'Mapa final'!$AD$50="Moderado"),CONCATENATE("R10C",'Mapa final'!$R$50),"")</f>
        <v/>
      </c>
      <c r="AB55" s="58" t="str">
        <f>IF(AND('Mapa final'!$AB$45="Muy Baja",'Mapa final'!$AD$45="Mayor"),CONCATENATE("R10C",'Mapa final'!$R$45),"")</f>
        <v/>
      </c>
      <c r="AC55" s="59" t="str">
        <f>IF(AND('Mapa final'!$AB$46="Muy Baja",'Mapa final'!$AD$46="Mayor"),CONCATENATE("R10C",'Mapa final'!$R$46),"")</f>
        <v/>
      </c>
      <c r="AD55" s="59" t="str">
        <f>IF(AND('Mapa final'!$AB$47="Muy Baja",'Mapa final'!$AD$47="Mayor"),CONCATENATE("R10C",'Mapa final'!$R$47),"")</f>
        <v/>
      </c>
      <c r="AE55" s="59" t="str">
        <f>IF(AND('Mapa final'!$AB$48="Muy Baja",'Mapa final'!$AD$48="Mayor"),CONCATENATE("R10C",'Mapa final'!$R$48),"")</f>
        <v/>
      </c>
      <c r="AF55" s="59" t="str">
        <f>IF(AND('Mapa final'!$AB$49="Muy Baja",'Mapa final'!$AD$49="Mayor"),CONCATENATE("R10C",'Mapa final'!$R$49),"")</f>
        <v/>
      </c>
      <c r="AG55" s="60" t="str">
        <f>IF(AND('Mapa final'!$AB$50="Muy Baja",'Mapa final'!$AD$50="Mayor"),CONCATENATE("R10C",'Mapa final'!$R$50),"")</f>
        <v/>
      </c>
      <c r="AH55" s="61" t="str">
        <f>IF(AND('Mapa final'!$AB$45="Muy Baja",'Mapa final'!$AD$45="Catastrófico"),CONCATENATE("R10C",'Mapa final'!$R$45),"")</f>
        <v/>
      </c>
      <c r="AI55" s="62" t="str">
        <f>IF(AND('Mapa final'!$AB$46="Muy Baja",'Mapa final'!$AD$46="Catastrófico"),CONCATENATE("R10C",'Mapa final'!$R$46),"")</f>
        <v/>
      </c>
      <c r="AJ55" s="62" t="str">
        <f>IF(AND('Mapa final'!$AB$47="Muy Baja",'Mapa final'!$AD$47="Catastrófico"),CONCATENATE("R10C",'Mapa final'!$R$47),"")</f>
        <v/>
      </c>
      <c r="AK55" s="62" t="str">
        <f>IF(AND('Mapa final'!$AB$48="Muy Baja",'Mapa final'!$AD$48="Catastrófico"),CONCATENATE("R10C",'Mapa final'!$R$48),"")</f>
        <v/>
      </c>
      <c r="AL55" s="62" t="str">
        <f>IF(AND('Mapa final'!$AB$49="Muy Baja",'Mapa final'!$AD$49="Catastrófico"),CONCATENATE("R10C",'Mapa final'!$R$49),"")</f>
        <v/>
      </c>
      <c r="AM55" s="63" t="str">
        <f>IF(AND('Mapa final'!$AB$50="Muy Baja",'Mapa final'!$AD$50="Catastrófico"),CONCATENATE("R10C",'Mapa final'!$R$50),"")</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54" t="s">
        <v>104</v>
      </c>
      <c r="K56" s="355"/>
      <c r="L56" s="355"/>
      <c r="M56" s="355"/>
      <c r="N56" s="355"/>
      <c r="O56" s="356"/>
      <c r="P56" s="354" t="s">
        <v>103</v>
      </c>
      <c r="Q56" s="355"/>
      <c r="R56" s="355"/>
      <c r="S56" s="355"/>
      <c r="T56" s="355"/>
      <c r="U56" s="356"/>
      <c r="V56" s="354" t="s">
        <v>102</v>
      </c>
      <c r="W56" s="355"/>
      <c r="X56" s="355"/>
      <c r="Y56" s="355"/>
      <c r="Z56" s="355"/>
      <c r="AA56" s="356"/>
      <c r="AB56" s="354" t="s">
        <v>101</v>
      </c>
      <c r="AC56" s="363"/>
      <c r="AD56" s="355"/>
      <c r="AE56" s="355"/>
      <c r="AF56" s="355"/>
      <c r="AG56" s="356"/>
      <c r="AH56" s="354" t="s">
        <v>100</v>
      </c>
      <c r="AI56" s="355"/>
      <c r="AJ56" s="355"/>
      <c r="AK56" s="355"/>
      <c r="AL56" s="355"/>
      <c r="AM56" s="356"/>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57"/>
      <c r="K57" s="358"/>
      <c r="L57" s="358"/>
      <c r="M57" s="358"/>
      <c r="N57" s="358"/>
      <c r="O57" s="359"/>
      <c r="P57" s="357"/>
      <c r="Q57" s="358"/>
      <c r="R57" s="358"/>
      <c r="S57" s="358"/>
      <c r="T57" s="358"/>
      <c r="U57" s="359"/>
      <c r="V57" s="357"/>
      <c r="W57" s="358"/>
      <c r="X57" s="358"/>
      <c r="Y57" s="358"/>
      <c r="Z57" s="358"/>
      <c r="AA57" s="359"/>
      <c r="AB57" s="357"/>
      <c r="AC57" s="358"/>
      <c r="AD57" s="358"/>
      <c r="AE57" s="358"/>
      <c r="AF57" s="358"/>
      <c r="AG57" s="359"/>
      <c r="AH57" s="357"/>
      <c r="AI57" s="358"/>
      <c r="AJ57" s="358"/>
      <c r="AK57" s="358"/>
      <c r="AL57" s="358"/>
      <c r="AM57" s="359"/>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57"/>
      <c r="K58" s="358"/>
      <c r="L58" s="358"/>
      <c r="M58" s="358"/>
      <c r="N58" s="358"/>
      <c r="O58" s="359"/>
      <c r="P58" s="357"/>
      <c r="Q58" s="358"/>
      <c r="R58" s="358"/>
      <c r="S58" s="358"/>
      <c r="T58" s="358"/>
      <c r="U58" s="359"/>
      <c r="V58" s="357"/>
      <c r="W58" s="358"/>
      <c r="X58" s="358"/>
      <c r="Y58" s="358"/>
      <c r="Z58" s="358"/>
      <c r="AA58" s="359"/>
      <c r="AB58" s="357"/>
      <c r="AC58" s="358"/>
      <c r="AD58" s="358"/>
      <c r="AE58" s="358"/>
      <c r="AF58" s="358"/>
      <c r="AG58" s="359"/>
      <c r="AH58" s="357"/>
      <c r="AI58" s="358"/>
      <c r="AJ58" s="358"/>
      <c r="AK58" s="358"/>
      <c r="AL58" s="358"/>
      <c r="AM58" s="359"/>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57"/>
      <c r="K59" s="358"/>
      <c r="L59" s="358"/>
      <c r="M59" s="358"/>
      <c r="N59" s="358"/>
      <c r="O59" s="359"/>
      <c r="P59" s="357"/>
      <c r="Q59" s="358"/>
      <c r="R59" s="358"/>
      <c r="S59" s="358"/>
      <c r="T59" s="358"/>
      <c r="U59" s="359"/>
      <c r="V59" s="357"/>
      <c r="W59" s="358"/>
      <c r="X59" s="358"/>
      <c r="Y59" s="358"/>
      <c r="Z59" s="358"/>
      <c r="AA59" s="359"/>
      <c r="AB59" s="357"/>
      <c r="AC59" s="358"/>
      <c r="AD59" s="358"/>
      <c r="AE59" s="358"/>
      <c r="AF59" s="358"/>
      <c r="AG59" s="359"/>
      <c r="AH59" s="357"/>
      <c r="AI59" s="358"/>
      <c r="AJ59" s="358"/>
      <c r="AK59" s="358"/>
      <c r="AL59" s="358"/>
      <c r="AM59" s="359"/>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57"/>
      <c r="K60" s="358"/>
      <c r="L60" s="358"/>
      <c r="M60" s="358"/>
      <c r="N60" s="358"/>
      <c r="O60" s="359"/>
      <c r="P60" s="357"/>
      <c r="Q60" s="358"/>
      <c r="R60" s="358"/>
      <c r="S60" s="358"/>
      <c r="T60" s="358"/>
      <c r="U60" s="359"/>
      <c r="V60" s="357"/>
      <c r="W60" s="358"/>
      <c r="X60" s="358"/>
      <c r="Y60" s="358"/>
      <c r="Z60" s="358"/>
      <c r="AA60" s="359"/>
      <c r="AB60" s="357"/>
      <c r="AC60" s="358"/>
      <c r="AD60" s="358"/>
      <c r="AE60" s="358"/>
      <c r="AF60" s="358"/>
      <c r="AG60" s="359"/>
      <c r="AH60" s="357"/>
      <c r="AI60" s="358"/>
      <c r="AJ60" s="358"/>
      <c r="AK60" s="358"/>
      <c r="AL60" s="358"/>
      <c r="AM60" s="359"/>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60"/>
      <c r="K61" s="361"/>
      <c r="L61" s="361"/>
      <c r="M61" s="361"/>
      <c r="N61" s="361"/>
      <c r="O61" s="362"/>
      <c r="P61" s="360"/>
      <c r="Q61" s="361"/>
      <c r="R61" s="361"/>
      <c r="S61" s="361"/>
      <c r="T61" s="361"/>
      <c r="U61" s="362"/>
      <c r="V61" s="360"/>
      <c r="W61" s="361"/>
      <c r="X61" s="361"/>
      <c r="Y61" s="361"/>
      <c r="Z61" s="361"/>
      <c r="AA61" s="362"/>
      <c r="AB61" s="360"/>
      <c r="AC61" s="361"/>
      <c r="AD61" s="361"/>
      <c r="AE61" s="361"/>
      <c r="AF61" s="361"/>
      <c r="AG61" s="362"/>
      <c r="AH61" s="360"/>
      <c r="AI61" s="361"/>
      <c r="AJ61" s="361"/>
      <c r="AK61" s="361"/>
      <c r="AL61" s="361"/>
      <c r="AM61" s="36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B8" sqref="B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403" t="s">
        <v>53</v>
      </c>
      <c r="C1" s="403"/>
      <c r="D1" s="40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50</v>
      </c>
      <c r="D3" s="12" t="s">
        <v>3</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49</v>
      </c>
      <c r="C4" s="14" t="s">
        <v>206</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51</v>
      </c>
      <c r="C5" s="17" t="s">
        <v>207</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99</v>
      </c>
      <c r="C6" s="17" t="s">
        <v>208</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5</v>
      </c>
      <c r="C7" s="17" t="s">
        <v>209</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52</v>
      </c>
      <c r="C8" s="17" t="s">
        <v>210</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8"/>
  <sheetViews>
    <sheetView zoomScale="60" zoomScaleNormal="60" workbookViewId="0">
      <selection activeCell="A210" sqref="A210"/>
    </sheetView>
  </sheetViews>
  <sheetFormatPr baseColWidth="10" defaultRowHeight="15" x14ac:dyDescent="0.25"/>
  <cols>
    <col min="2" max="2" width="40.42578125" customWidth="1"/>
    <col min="3" max="3" width="74.85546875" customWidth="1"/>
    <col min="4" max="4" width="126.42578125" bestFit="1" customWidth="1"/>
    <col min="5" max="5" width="12.42578125" bestFit="1" customWidth="1"/>
    <col min="6" max="6" width="144.7109375" bestFit="1" customWidth="1"/>
    <col min="7" max="7" width="47.140625" bestFit="1" customWidth="1"/>
    <col min="8" max="8" width="125.140625" bestFit="1" customWidth="1"/>
    <col min="9" max="9" width="146.28515625" bestFit="1" customWidth="1"/>
    <col min="10" max="10" width="52.140625" bestFit="1" customWidth="1"/>
    <col min="11" max="11" width="147.42578125" bestFit="1" customWidth="1"/>
    <col min="12" max="12" width="16.42578125" bestFit="1" customWidth="1"/>
  </cols>
  <sheetData>
    <row r="1" spans="1:21" ht="33.75" x14ac:dyDescent="0.25">
      <c r="A1" s="83"/>
      <c r="B1" s="404" t="s">
        <v>61</v>
      </c>
      <c r="C1" s="404"/>
      <c r="D1" s="404"/>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54</v>
      </c>
      <c r="D3" s="36" t="s">
        <v>55</v>
      </c>
      <c r="E3" s="83"/>
      <c r="F3" s="83"/>
      <c r="G3" s="83"/>
      <c r="H3" s="83"/>
      <c r="I3" s="83"/>
      <c r="J3" s="83"/>
      <c r="K3" s="83"/>
      <c r="L3" s="83"/>
      <c r="M3" s="83"/>
      <c r="N3" s="83"/>
      <c r="O3" s="83"/>
      <c r="P3" s="83"/>
      <c r="Q3" s="83"/>
      <c r="R3" s="83"/>
      <c r="S3" s="83"/>
      <c r="T3" s="83"/>
      <c r="U3" s="83"/>
    </row>
    <row r="4" spans="1:21" ht="33.75" x14ac:dyDescent="0.25">
      <c r="A4" s="103" t="s">
        <v>80</v>
      </c>
      <c r="B4" s="39" t="s">
        <v>98</v>
      </c>
      <c r="C4" s="44" t="s">
        <v>141</v>
      </c>
      <c r="D4" s="37" t="s">
        <v>94</v>
      </c>
      <c r="E4" s="83"/>
      <c r="F4" s="83"/>
      <c r="G4" s="83"/>
      <c r="H4" s="83"/>
      <c r="I4" s="83"/>
      <c r="J4" s="83"/>
      <c r="K4" s="83"/>
      <c r="L4" s="83"/>
      <c r="M4" s="83"/>
      <c r="N4" s="83"/>
      <c r="O4" s="83"/>
      <c r="P4" s="83"/>
      <c r="Q4" s="83"/>
      <c r="R4" s="83"/>
      <c r="S4" s="83"/>
      <c r="T4" s="83"/>
      <c r="U4" s="83"/>
    </row>
    <row r="5" spans="1:21" ht="101.25" x14ac:dyDescent="0.25">
      <c r="A5" s="103" t="s">
        <v>81</v>
      </c>
      <c r="B5" s="40" t="s">
        <v>57</v>
      </c>
      <c r="C5" s="45" t="s">
        <v>90</v>
      </c>
      <c r="D5" s="38" t="s">
        <v>95</v>
      </c>
      <c r="E5" s="83"/>
      <c r="F5" s="83"/>
      <c r="G5" s="83"/>
      <c r="H5" s="83"/>
      <c r="I5" s="83"/>
      <c r="J5" s="83"/>
      <c r="K5" s="83"/>
      <c r="L5" s="83"/>
      <c r="M5" s="83"/>
      <c r="N5" s="83"/>
      <c r="O5" s="83"/>
      <c r="P5" s="83"/>
      <c r="Q5" s="83"/>
      <c r="R5" s="83"/>
      <c r="S5" s="83"/>
      <c r="T5" s="83"/>
      <c r="U5" s="83"/>
    </row>
    <row r="6" spans="1:21" ht="67.5" x14ac:dyDescent="0.25">
      <c r="A6" s="103" t="s">
        <v>78</v>
      </c>
      <c r="B6" s="41" t="s">
        <v>58</v>
      </c>
      <c r="C6" s="45" t="s">
        <v>91</v>
      </c>
      <c r="D6" s="38" t="s">
        <v>97</v>
      </c>
      <c r="E6" s="83"/>
      <c r="F6" s="83"/>
      <c r="G6" s="83"/>
      <c r="H6" s="83"/>
      <c r="I6" s="83"/>
      <c r="J6" s="83"/>
      <c r="K6" s="83"/>
      <c r="L6" s="83"/>
      <c r="M6" s="83"/>
      <c r="N6" s="83"/>
      <c r="O6" s="83"/>
      <c r="P6" s="83"/>
      <c r="Q6" s="83"/>
      <c r="R6" s="83"/>
      <c r="S6" s="83"/>
      <c r="T6" s="83"/>
      <c r="U6" s="83"/>
    </row>
    <row r="7" spans="1:21" ht="101.25" x14ac:dyDescent="0.25">
      <c r="A7" s="103" t="s">
        <v>6</v>
      </c>
      <c r="B7" s="42" t="s">
        <v>59</v>
      </c>
      <c r="C7" s="45" t="s">
        <v>92</v>
      </c>
      <c r="D7" s="38" t="s">
        <v>96</v>
      </c>
      <c r="E7" s="83"/>
      <c r="F7" s="83"/>
      <c r="G7" s="83"/>
      <c r="H7" s="83"/>
      <c r="I7" s="83"/>
      <c r="J7" s="83"/>
      <c r="K7" s="83"/>
      <c r="L7" s="83"/>
      <c r="M7" s="83"/>
      <c r="N7" s="83"/>
      <c r="O7" s="83"/>
      <c r="P7" s="83"/>
      <c r="Q7" s="83"/>
      <c r="R7" s="83"/>
      <c r="S7" s="83"/>
      <c r="T7" s="83"/>
      <c r="U7" s="83"/>
    </row>
    <row r="8" spans="1:21" ht="67.5" x14ac:dyDescent="0.25">
      <c r="A8" s="103" t="s">
        <v>82</v>
      </c>
      <c r="B8" s="43" t="s">
        <v>60</v>
      </c>
      <c r="C8" s="45" t="s">
        <v>93</v>
      </c>
      <c r="D8" s="38" t="s">
        <v>110</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88</v>
      </c>
      <c r="C11" s="103" t="s">
        <v>129</v>
      </c>
      <c r="D11" s="103" t="s">
        <v>136</v>
      </c>
      <c r="E11" s="83"/>
      <c r="F11" s="83"/>
      <c r="G11" s="83"/>
      <c r="H11" s="83"/>
      <c r="I11" s="83"/>
      <c r="J11" s="83"/>
      <c r="K11" s="83"/>
      <c r="L11" s="83"/>
      <c r="M11" s="83"/>
      <c r="N11" s="83"/>
      <c r="O11" s="83"/>
      <c r="P11" s="83"/>
      <c r="Q11" s="83"/>
      <c r="R11" s="83"/>
      <c r="S11" s="83"/>
      <c r="T11" s="83"/>
      <c r="U11" s="83"/>
    </row>
    <row r="12" spans="1:21" x14ac:dyDescent="0.25">
      <c r="A12" s="103"/>
      <c r="B12" s="103" t="s">
        <v>86</v>
      </c>
      <c r="C12" s="103" t="s">
        <v>133</v>
      </c>
      <c r="D12" s="103" t="s">
        <v>137</v>
      </c>
      <c r="E12" s="83"/>
      <c r="F12" s="83"/>
      <c r="G12" s="83"/>
      <c r="H12" s="83"/>
      <c r="I12" s="83"/>
      <c r="J12" s="83"/>
      <c r="K12" s="83"/>
      <c r="L12" s="83"/>
      <c r="M12" s="83"/>
      <c r="N12" s="83"/>
      <c r="O12" s="83"/>
      <c r="P12" s="83"/>
      <c r="Q12" s="83"/>
      <c r="R12" s="83"/>
      <c r="S12" s="83"/>
      <c r="T12" s="83"/>
      <c r="U12" s="83"/>
    </row>
    <row r="13" spans="1:21" x14ac:dyDescent="0.25">
      <c r="A13" s="103"/>
      <c r="B13" s="103"/>
      <c r="C13" s="103" t="s">
        <v>132</v>
      </c>
      <c r="D13" s="103" t="s">
        <v>138</v>
      </c>
      <c r="E13" s="83"/>
      <c r="F13" s="83"/>
      <c r="G13" s="83"/>
      <c r="H13" s="83"/>
      <c r="I13" s="83"/>
      <c r="J13" s="83"/>
      <c r="K13" s="83"/>
      <c r="L13" s="83"/>
      <c r="M13" s="83"/>
      <c r="N13" s="83"/>
      <c r="O13" s="83"/>
      <c r="P13" s="83"/>
      <c r="Q13" s="83"/>
      <c r="R13" s="83"/>
      <c r="S13" s="83"/>
      <c r="T13" s="83"/>
      <c r="U13" s="83"/>
    </row>
    <row r="14" spans="1:21" x14ac:dyDescent="0.25">
      <c r="A14" s="103"/>
      <c r="B14" s="103"/>
      <c r="C14" s="103" t="s">
        <v>134</v>
      </c>
      <c r="D14" s="103" t="s">
        <v>139</v>
      </c>
      <c r="E14" s="83"/>
      <c r="F14" s="83"/>
      <c r="G14" s="83"/>
      <c r="H14" s="83"/>
      <c r="I14" s="83"/>
      <c r="J14" s="83"/>
      <c r="K14" s="83"/>
      <c r="L14" s="83"/>
      <c r="M14" s="83"/>
      <c r="N14" s="83"/>
      <c r="O14" s="83"/>
      <c r="P14" s="83"/>
      <c r="Q14" s="83"/>
      <c r="R14" s="83"/>
      <c r="S14" s="83"/>
      <c r="T14" s="83"/>
      <c r="U14" s="83"/>
    </row>
    <row r="15" spans="1:21" x14ac:dyDescent="0.25">
      <c r="A15" s="103"/>
      <c r="B15" s="103"/>
      <c r="C15" s="103" t="s">
        <v>135</v>
      </c>
      <c r="D15" s="103" t="s">
        <v>140</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85</v>
      </c>
      <c r="C209" s="30" t="s">
        <v>128</v>
      </c>
      <c r="D209" s="33" t="s">
        <v>85</v>
      </c>
      <c r="E209" s="33" t="s">
        <v>128</v>
      </c>
    </row>
    <row r="210" spans="1:8" ht="21" x14ac:dyDescent="0.35">
      <c r="A210" s="83"/>
      <c r="B210" s="31" t="s">
        <v>87</v>
      </c>
      <c r="C210" s="31" t="s">
        <v>56</v>
      </c>
      <c r="D210" t="s">
        <v>87</v>
      </c>
      <c r="F210" t="str">
        <f>IF(NOT(ISBLANK(D210)),D210,IF(NOT(ISBLANK(E210)),"     "&amp;E210,FALSE))</f>
        <v>Afectación Económica o presupuestal</v>
      </c>
      <c r="G210" t="s">
        <v>87</v>
      </c>
      <c r="H210" t="str">
        <f>IF(NOT(ISERROR(MATCH(G210,_xlfn.ANCHORARRAY(B221),0))),F223&amp;"Por favor no seleccionar los criterios de impacto",G210)</f>
        <v>❌Por favor no seleccionar los criterios de impacto</v>
      </c>
    </row>
    <row r="211" spans="1:8" ht="21" x14ac:dyDescent="0.35">
      <c r="A211" s="83"/>
      <c r="B211" s="31" t="s">
        <v>87</v>
      </c>
      <c r="C211" s="31" t="s">
        <v>90</v>
      </c>
      <c r="E211" t="s">
        <v>56</v>
      </c>
      <c r="F211" t="str">
        <f t="shared" ref="F211:F221" si="0">IF(NOT(ISBLANK(D211)),D211,IF(NOT(ISBLANK(E211)),"     "&amp;E211,FALSE))</f>
        <v xml:space="preserve">     Afectación menor a 10 SMLMV .</v>
      </c>
    </row>
    <row r="212" spans="1:8" ht="21" x14ac:dyDescent="0.35">
      <c r="A212" s="83"/>
      <c r="B212" s="31" t="s">
        <v>87</v>
      </c>
      <c r="C212" s="31" t="s">
        <v>91</v>
      </c>
      <c r="E212" t="s">
        <v>90</v>
      </c>
      <c r="F212" t="str">
        <f t="shared" si="0"/>
        <v xml:space="preserve">     Entre 10 y 50 SMLMV </v>
      </c>
    </row>
    <row r="213" spans="1:8" ht="21" x14ac:dyDescent="0.35">
      <c r="A213" s="83"/>
      <c r="B213" s="31" t="s">
        <v>87</v>
      </c>
      <c r="C213" s="31" t="s">
        <v>92</v>
      </c>
      <c r="E213" t="s">
        <v>91</v>
      </c>
      <c r="F213" t="str">
        <f t="shared" si="0"/>
        <v xml:space="preserve">     Entre 50 y 100 SMLMV </v>
      </c>
    </row>
    <row r="214" spans="1:8" ht="21" x14ac:dyDescent="0.35">
      <c r="A214" s="83"/>
      <c r="B214" s="31" t="s">
        <v>87</v>
      </c>
      <c r="C214" s="31" t="s">
        <v>93</v>
      </c>
      <c r="E214" t="s">
        <v>92</v>
      </c>
      <c r="F214" t="str">
        <f t="shared" si="0"/>
        <v xml:space="preserve">     Entre 100 y 500 SMLMV </v>
      </c>
    </row>
    <row r="215" spans="1:8" ht="21" x14ac:dyDescent="0.35">
      <c r="A215" s="83"/>
      <c r="B215" s="31" t="s">
        <v>55</v>
      </c>
      <c r="C215" s="31" t="s">
        <v>94</v>
      </c>
      <c r="E215" t="s">
        <v>93</v>
      </c>
      <c r="F215" t="str">
        <f t="shared" si="0"/>
        <v xml:space="preserve">     Mayor a 500 SMLMV </v>
      </c>
    </row>
    <row r="216" spans="1:8" ht="21" x14ac:dyDescent="0.35">
      <c r="A216" s="83"/>
      <c r="B216" s="31" t="s">
        <v>55</v>
      </c>
      <c r="C216" s="31" t="s">
        <v>95</v>
      </c>
      <c r="D216" t="s">
        <v>55</v>
      </c>
      <c r="F216" t="str">
        <f t="shared" si="0"/>
        <v>Pérdida Reputacional</v>
      </c>
    </row>
    <row r="217" spans="1:8" ht="21" x14ac:dyDescent="0.35">
      <c r="A217" s="83"/>
      <c r="B217" s="31" t="s">
        <v>55</v>
      </c>
      <c r="C217" s="31" t="s">
        <v>97</v>
      </c>
      <c r="E217" t="s">
        <v>94</v>
      </c>
      <c r="F217" t="str">
        <f t="shared" si="0"/>
        <v xml:space="preserve">     El riesgo afecta la imagen de alguna área de la organización</v>
      </c>
    </row>
    <row r="218" spans="1:8" ht="21" x14ac:dyDescent="0.35">
      <c r="A218" s="83"/>
      <c r="B218" s="31" t="s">
        <v>55</v>
      </c>
      <c r="C218" s="31" t="s">
        <v>96</v>
      </c>
      <c r="E218" t="s">
        <v>95</v>
      </c>
      <c r="F218" t="str">
        <f t="shared" si="0"/>
        <v xml:space="preserve">     El riesgo afecta la imagen de la entidad internamente, de conocimiento general, nivel interno, de junta dircetiva y accionistas y/o de provedores</v>
      </c>
    </row>
    <row r="219" spans="1:8" ht="21" x14ac:dyDescent="0.35">
      <c r="A219" s="83"/>
      <c r="B219" s="31" t="s">
        <v>55</v>
      </c>
      <c r="C219" s="31" t="s">
        <v>110</v>
      </c>
      <c r="E219" t="s">
        <v>97</v>
      </c>
      <c r="F219" t="str">
        <f t="shared" si="0"/>
        <v xml:space="preserve">     El riesgo afecta la imagen de la entidad con algunos usuarios de relevancia frente al logro de los objetivos</v>
      </c>
    </row>
    <row r="220" spans="1:8" x14ac:dyDescent="0.25">
      <c r="A220" s="83"/>
      <c r="B220" s="32"/>
      <c r="C220" s="32"/>
      <c r="E220" t="s">
        <v>96</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110</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130</v>
      </c>
    </row>
    <row r="224" spans="1:8" x14ac:dyDescent="0.25">
      <c r="B224" s="22"/>
      <c r="C224" s="22"/>
      <c r="F224" s="35" t="s">
        <v>131</v>
      </c>
    </row>
    <row r="225" spans="2:4" x14ac:dyDescent="0.25">
      <c r="B225" s="22"/>
      <c r="C225" s="22"/>
    </row>
    <row r="226" spans="2:4" x14ac:dyDescent="0.25">
      <c r="B226" s="22"/>
      <c r="C226" s="22"/>
    </row>
    <row r="227" spans="2:4" x14ac:dyDescent="0.25">
      <c r="B227" s="22" t="s">
        <v>200</v>
      </c>
      <c r="C227" s="22"/>
      <c r="D227" s="22"/>
    </row>
    <row r="228" spans="2:4" x14ac:dyDescent="0.25">
      <c r="B228" t="s">
        <v>85</v>
      </c>
      <c r="C228" s="22" t="s">
        <v>128</v>
      </c>
      <c r="D228" s="33" t="s">
        <v>201</v>
      </c>
    </row>
    <row r="229" spans="2:4" x14ac:dyDescent="0.25">
      <c r="B229" s="145" t="s">
        <v>203</v>
      </c>
      <c r="C229" s="22" t="s">
        <v>193</v>
      </c>
      <c r="D229" s="143" t="s">
        <v>203</v>
      </c>
    </row>
    <row r="230" spans="2:4" x14ac:dyDescent="0.25">
      <c r="B230" s="145" t="s">
        <v>203</v>
      </c>
      <c r="C230" s="22" t="s">
        <v>194</v>
      </c>
      <c r="D230" s="144" t="s">
        <v>193</v>
      </c>
    </row>
    <row r="231" spans="2:4" x14ac:dyDescent="0.25">
      <c r="B231" s="145" t="s">
        <v>203</v>
      </c>
      <c r="C231" s="22" t="s">
        <v>195</v>
      </c>
      <c r="D231" s="144" t="s">
        <v>194</v>
      </c>
    </row>
    <row r="232" spans="2:4" x14ac:dyDescent="0.25">
      <c r="B232" s="145" t="s">
        <v>204</v>
      </c>
      <c r="C232" s="22" t="s">
        <v>196</v>
      </c>
      <c r="D232" s="144" t="s">
        <v>195</v>
      </c>
    </row>
    <row r="233" spans="2:4" x14ac:dyDescent="0.25">
      <c r="B233" s="145" t="s">
        <v>204</v>
      </c>
      <c r="C233" s="22" t="s">
        <v>197</v>
      </c>
      <c r="D233" s="143" t="s">
        <v>204</v>
      </c>
    </row>
    <row r="234" spans="2:4" x14ac:dyDescent="0.25">
      <c r="B234" s="145" t="s">
        <v>204</v>
      </c>
      <c r="C234" s="22" t="s">
        <v>198</v>
      </c>
      <c r="D234" s="144" t="s">
        <v>196</v>
      </c>
    </row>
    <row r="235" spans="2:4" x14ac:dyDescent="0.25">
      <c r="B235" s="145" t="s">
        <v>204</v>
      </c>
      <c r="C235" s="22" t="s">
        <v>199</v>
      </c>
      <c r="D235" s="144" t="s">
        <v>197</v>
      </c>
    </row>
    <row r="236" spans="2:4" x14ac:dyDescent="0.25">
      <c r="D236" s="144" t="s">
        <v>198</v>
      </c>
    </row>
    <row r="237" spans="2:4" x14ac:dyDescent="0.25">
      <c r="D237" s="144" t="s">
        <v>199</v>
      </c>
    </row>
    <row r="238" spans="2:4" x14ac:dyDescent="0.25">
      <c r="D238" s="143" t="s">
        <v>202</v>
      </c>
    </row>
  </sheetData>
  <mergeCells count="1">
    <mergeCell ref="B1:D1"/>
  </mergeCells>
  <dataValidations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F4" sqref="F4:F6"/>
    </sheetView>
  </sheetViews>
  <sheetFormatPr baseColWidth="10" defaultColWidth="14.42578125" defaultRowHeight="12.75" x14ac:dyDescent="0.2"/>
  <cols>
    <col min="1" max="2" width="14.42578125" style="88"/>
    <col min="3" max="3" width="17" style="88" customWidth="1"/>
    <col min="4" max="4" width="14.42578125" style="88"/>
    <col min="5" max="5" width="46" style="88" customWidth="1"/>
    <col min="6" max="16384" width="14.42578125" style="88"/>
  </cols>
  <sheetData>
    <row r="1" spans="2:6" ht="24" customHeight="1" thickBot="1" x14ac:dyDescent="0.25">
      <c r="B1" s="405" t="s">
        <v>205</v>
      </c>
      <c r="C1" s="406"/>
      <c r="D1" s="406"/>
      <c r="E1" s="406"/>
      <c r="F1" s="407"/>
    </row>
    <row r="2" spans="2:6" ht="16.5" thickBot="1" x14ac:dyDescent="0.3">
      <c r="B2" s="89"/>
      <c r="C2" s="89"/>
      <c r="D2" s="89"/>
      <c r="E2" s="89"/>
      <c r="F2" s="89"/>
    </row>
    <row r="3" spans="2:6" ht="16.5" thickBot="1" x14ac:dyDescent="0.25">
      <c r="B3" s="409" t="s">
        <v>62</v>
      </c>
      <c r="C3" s="410"/>
      <c r="D3" s="410"/>
      <c r="E3" s="101" t="s">
        <v>63</v>
      </c>
      <c r="F3" s="102" t="s">
        <v>64</v>
      </c>
    </row>
    <row r="4" spans="2:6" ht="31.5" x14ac:dyDescent="0.2">
      <c r="B4" s="411" t="s">
        <v>65</v>
      </c>
      <c r="C4" s="413" t="s">
        <v>12</v>
      </c>
      <c r="D4" s="90" t="s">
        <v>13</v>
      </c>
      <c r="E4" s="91" t="s">
        <v>66</v>
      </c>
      <c r="F4" s="92">
        <v>0.25</v>
      </c>
    </row>
    <row r="5" spans="2:6" ht="47.25" x14ac:dyDescent="0.2">
      <c r="B5" s="412"/>
      <c r="C5" s="414"/>
      <c r="D5" s="93" t="s">
        <v>14</v>
      </c>
      <c r="E5" s="94" t="s">
        <v>67</v>
      </c>
      <c r="F5" s="95">
        <v>0.15</v>
      </c>
    </row>
    <row r="6" spans="2:6" ht="47.25" x14ac:dyDescent="0.2">
      <c r="B6" s="412"/>
      <c r="C6" s="414"/>
      <c r="D6" s="93" t="s">
        <v>15</v>
      </c>
      <c r="E6" s="94" t="s">
        <v>68</v>
      </c>
      <c r="F6" s="95">
        <v>0.1</v>
      </c>
    </row>
    <row r="7" spans="2:6" ht="63" x14ac:dyDescent="0.2">
      <c r="B7" s="412"/>
      <c r="C7" s="414" t="s">
        <v>16</v>
      </c>
      <c r="D7" s="93" t="s">
        <v>9</v>
      </c>
      <c r="E7" s="94" t="s">
        <v>69</v>
      </c>
      <c r="F7" s="95">
        <v>0.25</v>
      </c>
    </row>
    <row r="8" spans="2:6" ht="31.5" x14ac:dyDescent="0.2">
      <c r="B8" s="412"/>
      <c r="C8" s="414"/>
      <c r="D8" s="93" t="s">
        <v>8</v>
      </c>
      <c r="E8" s="94" t="s">
        <v>70</v>
      </c>
      <c r="F8" s="95">
        <v>0.15</v>
      </c>
    </row>
    <row r="9" spans="2:6" ht="47.25" x14ac:dyDescent="0.2">
      <c r="B9" s="412" t="s">
        <v>145</v>
      </c>
      <c r="C9" s="414" t="s">
        <v>17</v>
      </c>
      <c r="D9" s="93" t="s">
        <v>18</v>
      </c>
      <c r="E9" s="94" t="s">
        <v>71</v>
      </c>
      <c r="F9" s="96" t="s">
        <v>72</v>
      </c>
    </row>
    <row r="10" spans="2:6" ht="63" x14ac:dyDescent="0.2">
      <c r="B10" s="412"/>
      <c r="C10" s="414"/>
      <c r="D10" s="93" t="s">
        <v>19</v>
      </c>
      <c r="E10" s="94" t="s">
        <v>73</v>
      </c>
      <c r="F10" s="96" t="s">
        <v>72</v>
      </c>
    </row>
    <row r="11" spans="2:6" ht="47.25" x14ac:dyDescent="0.2">
      <c r="B11" s="412"/>
      <c r="C11" s="414" t="s">
        <v>20</v>
      </c>
      <c r="D11" s="93" t="s">
        <v>21</v>
      </c>
      <c r="E11" s="94" t="s">
        <v>74</v>
      </c>
      <c r="F11" s="96" t="s">
        <v>72</v>
      </c>
    </row>
    <row r="12" spans="2:6" ht="47.25" x14ac:dyDescent="0.2">
      <c r="B12" s="412"/>
      <c r="C12" s="414"/>
      <c r="D12" s="93" t="s">
        <v>22</v>
      </c>
      <c r="E12" s="94" t="s">
        <v>75</v>
      </c>
      <c r="F12" s="96" t="s">
        <v>72</v>
      </c>
    </row>
    <row r="13" spans="2:6" ht="31.5" x14ac:dyDescent="0.2">
      <c r="B13" s="412"/>
      <c r="C13" s="414" t="s">
        <v>23</v>
      </c>
      <c r="D13" s="93" t="s">
        <v>111</v>
      </c>
      <c r="E13" s="94" t="s">
        <v>114</v>
      </c>
      <c r="F13" s="96" t="s">
        <v>72</v>
      </c>
    </row>
    <row r="14" spans="2:6" ht="32.25" thickBot="1" x14ac:dyDescent="0.25">
      <c r="B14" s="415"/>
      <c r="C14" s="416"/>
      <c r="D14" s="97" t="s">
        <v>112</v>
      </c>
      <c r="E14" s="98" t="s">
        <v>113</v>
      </c>
      <c r="F14" s="99" t="s">
        <v>72</v>
      </c>
    </row>
    <row r="15" spans="2:6" ht="49.7" customHeight="1" x14ac:dyDescent="0.2">
      <c r="B15" s="408" t="s">
        <v>142</v>
      </c>
      <c r="C15" s="408"/>
      <c r="D15" s="408"/>
      <c r="E15" s="408"/>
      <c r="F15" s="408"/>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D1" zoomScaleNormal="100" workbookViewId="0">
      <selection activeCell="D27" sqref="D27"/>
    </sheetView>
  </sheetViews>
  <sheetFormatPr baseColWidth="10" defaultRowHeight="15" x14ac:dyDescent="0.25"/>
  <cols>
    <col min="1" max="1" width="78.42578125" customWidth="1"/>
    <col min="3" max="3" width="32" bestFit="1" customWidth="1"/>
    <col min="4" max="4" width="119.42578125" bestFit="1" customWidth="1"/>
    <col min="5" max="5" width="81" customWidth="1"/>
  </cols>
  <sheetData>
    <row r="1" spans="1:5" ht="15.75" thickBot="1" x14ac:dyDescent="0.3">
      <c r="A1" s="140" t="s">
        <v>175</v>
      </c>
      <c r="D1" s="417" t="s">
        <v>176</v>
      </c>
      <c r="E1" s="418"/>
    </row>
    <row r="2" spans="1:5" x14ac:dyDescent="0.25">
      <c r="A2" s="154" t="s">
        <v>248</v>
      </c>
      <c r="D2" s="419" t="s">
        <v>177</v>
      </c>
      <c r="E2" s="162" t="s">
        <v>268</v>
      </c>
    </row>
    <row r="3" spans="1:5" x14ac:dyDescent="0.25">
      <c r="A3" s="155" t="s">
        <v>249</v>
      </c>
      <c r="D3" s="420"/>
      <c r="E3" s="163" t="s">
        <v>269</v>
      </c>
    </row>
    <row r="4" spans="1:5" x14ac:dyDescent="0.25">
      <c r="A4" s="156" t="s">
        <v>250</v>
      </c>
      <c r="D4" s="420"/>
      <c r="E4" s="163" t="s">
        <v>270</v>
      </c>
    </row>
    <row r="5" spans="1:5" x14ac:dyDescent="0.25">
      <c r="A5" s="157" t="s">
        <v>251</v>
      </c>
      <c r="D5" s="421"/>
      <c r="E5" s="163" t="s">
        <v>271</v>
      </c>
    </row>
    <row r="6" spans="1:5" ht="30" x14ac:dyDescent="0.25">
      <c r="A6" s="155" t="s">
        <v>252</v>
      </c>
      <c r="D6" s="419" t="s">
        <v>178</v>
      </c>
      <c r="E6" s="163" t="s">
        <v>245</v>
      </c>
    </row>
    <row r="7" spans="1:5" ht="30" x14ac:dyDescent="0.25">
      <c r="A7" s="155" t="s">
        <v>253</v>
      </c>
      <c r="D7" s="420"/>
      <c r="E7" s="163" t="s">
        <v>272</v>
      </c>
    </row>
    <row r="8" spans="1:5" x14ac:dyDescent="0.25">
      <c r="A8" s="158" t="s">
        <v>254</v>
      </c>
      <c r="D8" s="420"/>
      <c r="E8" s="163" t="s">
        <v>244</v>
      </c>
    </row>
    <row r="9" spans="1:5" x14ac:dyDescent="0.25">
      <c r="A9" s="158" t="s">
        <v>255</v>
      </c>
      <c r="D9" s="419" t="s">
        <v>179</v>
      </c>
      <c r="E9" s="163" t="s">
        <v>273</v>
      </c>
    </row>
    <row r="10" spans="1:5" x14ac:dyDescent="0.25">
      <c r="A10" s="159" t="s">
        <v>256</v>
      </c>
      <c r="D10" s="420"/>
      <c r="E10" s="163" t="s">
        <v>274</v>
      </c>
    </row>
    <row r="11" spans="1:5" x14ac:dyDescent="0.25">
      <c r="A11" s="158" t="s">
        <v>257</v>
      </c>
      <c r="D11" s="419" t="s">
        <v>180</v>
      </c>
      <c r="E11" s="163" t="s">
        <v>246</v>
      </c>
    </row>
    <row r="12" spans="1:5" x14ac:dyDescent="0.25">
      <c r="A12" s="160" t="s">
        <v>258</v>
      </c>
      <c r="D12" s="420"/>
      <c r="E12" s="163" t="s">
        <v>275</v>
      </c>
    </row>
    <row r="13" spans="1:5" x14ac:dyDescent="0.25">
      <c r="A13" s="155" t="s">
        <v>259</v>
      </c>
      <c r="D13" s="421"/>
      <c r="E13" s="163" t="s">
        <v>276</v>
      </c>
    </row>
    <row r="14" spans="1:5" ht="30" x14ac:dyDescent="0.25">
      <c r="A14" s="158" t="s">
        <v>260</v>
      </c>
      <c r="E14" s="163" t="s">
        <v>277</v>
      </c>
    </row>
    <row r="15" spans="1:5" x14ac:dyDescent="0.25">
      <c r="A15" s="155" t="s">
        <v>261</v>
      </c>
      <c r="D15" s="141" t="s">
        <v>184</v>
      </c>
      <c r="E15" s="163" t="s">
        <v>247</v>
      </c>
    </row>
    <row r="16" spans="1:5" x14ac:dyDescent="0.25">
      <c r="A16" s="155" t="s">
        <v>262</v>
      </c>
      <c r="D16" s="142" t="s">
        <v>185</v>
      </c>
      <c r="E16" s="163" t="s">
        <v>241</v>
      </c>
    </row>
    <row r="17" spans="1:7" x14ac:dyDescent="0.25">
      <c r="A17" s="160" t="s">
        <v>263</v>
      </c>
      <c r="D17" s="142" t="s">
        <v>186</v>
      </c>
      <c r="E17" s="163" t="s">
        <v>242</v>
      </c>
    </row>
    <row r="18" spans="1:7" x14ac:dyDescent="0.25">
      <c r="A18" s="157" t="s">
        <v>264</v>
      </c>
      <c r="D18" s="142" t="s">
        <v>187</v>
      </c>
      <c r="E18" s="163" t="s">
        <v>240</v>
      </c>
    </row>
    <row r="19" spans="1:7" ht="30" x14ac:dyDescent="0.25">
      <c r="A19" s="158" t="s">
        <v>265</v>
      </c>
      <c r="D19" s="142" t="s">
        <v>188</v>
      </c>
      <c r="E19" s="163" t="s">
        <v>278</v>
      </c>
    </row>
    <row r="20" spans="1:7" x14ac:dyDescent="0.25">
      <c r="A20" s="159" t="s">
        <v>247</v>
      </c>
      <c r="D20" s="142" t="s">
        <v>189</v>
      </c>
      <c r="E20" s="163" t="s">
        <v>243</v>
      </c>
    </row>
    <row r="21" spans="1:7" x14ac:dyDescent="0.25">
      <c r="A21" s="155" t="s">
        <v>266</v>
      </c>
      <c r="D21" s="142" t="s">
        <v>190</v>
      </c>
      <c r="E21" s="163" t="s">
        <v>279</v>
      </c>
    </row>
    <row r="22" spans="1:7" ht="15.75" thickBot="1" x14ac:dyDescent="0.3">
      <c r="A22" s="161" t="s">
        <v>267</v>
      </c>
      <c r="D22" s="142" t="s">
        <v>191</v>
      </c>
      <c r="E22" s="163" t="s">
        <v>280</v>
      </c>
    </row>
    <row r="23" spans="1:7" x14ac:dyDescent="0.25">
      <c r="A23" s="146"/>
      <c r="E23" s="163" t="s">
        <v>281</v>
      </c>
    </row>
    <row r="24" spans="1:7" x14ac:dyDescent="0.25">
      <c r="A24" s="141" t="s">
        <v>192</v>
      </c>
      <c r="E24" s="163" t="s">
        <v>282</v>
      </c>
    </row>
    <row r="25" spans="1:7" ht="20.25" x14ac:dyDescent="0.25">
      <c r="A25" s="142" t="s">
        <v>185</v>
      </c>
      <c r="B25" s="30"/>
      <c r="E25" s="163" t="s">
        <v>283</v>
      </c>
    </row>
    <row r="26" spans="1:7" ht="21" x14ac:dyDescent="0.35">
      <c r="A26" s="142" t="s">
        <v>186</v>
      </c>
      <c r="B26" s="31"/>
      <c r="E26" s="163" t="s">
        <v>284</v>
      </c>
      <c r="F26" t="s">
        <v>87</v>
      </c>
      <c r="G26" t="str">
        <f>IF(NOT(ISERROR(MATCH(F26,_xlfn.ANCHORARRAY(A37),0))),E39&amp;"Por favor no seleccionar los criterios de impacto",F26)</f>
        <v>Afectación Económica o presupuestal</v>
      </c>
    </row>
    <row r="27" spans="1:7" ht="21.75" thickBot="1" x14ac:dyDescent="0.4">
      <c r="A27" s="142" t="s">
        <v>187</v>
      </c>
      <c r="B27" s="31"/>
      <c r="E27" s="164" t="s">
        <v>285</v>
      </c>
    </row>
    <row r="28" spans="1:7" ht="21" x14ac:dyDescent="0.35">
      <c r="A28" s="142" t="s">
        <v>188</v>
      </c>
      <c r="B28" s="31"/>
    </row>
    <row r="29" spans="1:7" ht="21" x14ac:dyDescent="0.35">
      <c r="A29" s="142" t="s">
        <v>189</v>
      </c>
      <c r="B29" s="31"/>
    </row>
    <row r="30" spans="1:7" ht="21" x14ac:dyDescent="0.35">
      <c r="A30" s="142" t="s">
        <v>190</v>
      </c>
      <c r="B30" s="31"/>
    </row>
    <row r="31" spans="1:7" ht="21" x14ac:dyDescent="0.35">
      <c r="A31" s="142" t="s">
        <v>191</v>
      </c>
      <c r="B31" s="31"/>
    </row>
    <row r="32" spans="1:7" ht="21" x14ac:dyDescent="0.35">
      <c r="A32" s="31"/>
      <c r="B32" s="31"/>
    </row>
    <row r="33" spans="1:2" ht="21" x14ac:dyDescent="0.35">
      <c r="A33" s="31"/>
      <c r="B33" s="31"/>
    </row>
    <row r="34" spans="1:2" ht="21" x14ac:dyDescent="0.35">
      <c r="A34" s="31"/>
      <c r="B34" s="31"/>
    </row>
    <row r="35" spans="1:2" ht="21" x14ac:dyDescent="0.35">
      <c r="A35" s="31"/>
      <c r="B35" s="31"/>
    </row>
    <row r="36" spans="1:2" x14ac:dyDescent="0.25">
      <c r="A36" s="32"/>
      <c r="B36" s="32"/>
    </row>
  </sheetData>
  <mergeCells count="5">
    <mergeCell ref="D1:E1"/>
    <mergeCell ref="D2:D5"/>
    <mergeCell ref="D6:D8"/>
    <mergeCell ref="D9:D10"/>
    <mergeCell ref="D11:D13"/>
  </mergeCells>
  <dataValidations count="1">
    <dataValidation type="list" allowBlank="1" showInputMessage="1" showErrorMessage="1" sqref="F26" xr:uid="{00000000-0002-0000-0700-000000000000}">
      <formula1>$F$210:$F$221</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B20" sqref="B20"/>
    </sheetView>
  </sheetViews>
  <sheetFormatPr baseColWidth="10" defaultRowHeight="15" x14ac:dyDescent="0.25"/>
  <sheetData>
    <row r="2" spans="2:5" x14ac:dyDescent="0.25">
      <c r="B2" t="s">
        <v>30</v>
      </c>
      <c r="E2" t="s">
        <v>117</v>
      </c>
    </row>
    <row r="3" spans="2:5" x14ac:dyDescent="0.25">
      <c r="B3" t="s">
        <v>31</v>
      </c>
      <c r="E3" t="s">
        <v>116</v>
      </c>
    </row>
    <row r="4" spans="2:5" x14ac:dyDescent="0.25">
      <c r="B4" t="s">
        <v>121</v>
      </c>
      <c r="E4" t="s">
        <v>118</v>
      </c>
    </row>
    <row r="5" spans="2:5" x14ac:dyDescent="0.25">
      <c r="B5" t="s">
        <v>120</v>
      </c>
    </row>
    <row r="8" spans="2:5" x14ac:dyDescent="0.25">
      <c r="B8" t="s">
        <v>83</v>
      </c>
    </row>
    <row r="9" spans="2:5" x14ac:dyDescent="0.25">
      <c r="B9" t="s">
        <v>39</v>
      </c>
    </row>
    <row r="10" spans="2:5" x14ac:dyDescent="0.25">
      <c r="B10" t="s">
        <v>40</v>
      </c>
    </row>
    <row r="11" spans="2:5" x14ac:dyDescent="0.25">
      <c r="B11" t="s">
        <v>211</v>
      </c>
    </row>
    <row r="13" spans="2:5" x14ac:dyDescent="0.25">
      <c r="B13" t="s">
        <v>212</v>
      </c>
    </row>
    <row r="14" spans="2:5" x14ac:dyDescent="0.25">
      <c r="B14" t="s">
        <v>213</v>
      </c>
    </row>
    <row r="15" spans="2:5" x14ac:dyDescent="0.25">
      <c r="B15" t="s">
        <v>214</v>
      </c>
    </row>
    <row r="16" spans="2:5" x14ac:dyDescent="0.25">
      <c r="B16" t="s">
        <v>215</v>
      </c>
    </row>
    <row r="17" spans="2:2" x14ac:dyDescent="0.25">
      <c r="B17" t="s">
        <v>216</v>
      </c>
    </row>
    <row r="18" spans="2:2" x14ac:dyDescent="0.25">
      <c r="B18" t="s">
        <v>217</v>
      </c>
    </row>
    <row r="19" spans="2:2" x14ac:dyDescent="0.25">
      <c r="B19" t="s">
        <v>218</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Procesos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Ingrid Lozano</cp:lastModifiedBy>
  <cp:lastPrinted>2020-05-13T01:12:22Z</cp:lastPrinted>
  <dcterms:created xsi:type="dcterms:W3CDTF">2020-03-24T23:12:47Z</dcterms:created>
  <dcterms:modified xsi:type="dcterms:W3CDTF">2023-10-31T13:35:16Z</dcterms:modified>
</cp:coreProperties>
</file>